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28.xml" ContentType="application/vnd.openxmlformats-officedocument.drawing+xml"/>
  <Override PartName="/xl/customProperty1.bin" ContentType="application/vnd.openxmlformats-officedocument.spreadsheetml.customProperty"/>
  <Override PartName="/xl/drawings/drawing29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always" hidePivotFieldList="1"/>
  <mc:AlternateContent xmlns:mc="http://schemas.openxmlformats.org/markup-compatibility/2006">
    <mc:Choice Requires="x15">
      <x15ac:absPath xmlns:x15ac="http://schemas.microsoft.com/office/spreadsheetml/2010/11/ac" url="G:\Google Drive\00_Relatorios Gerenciais Masutti\"/>
    </mc:Choice>
  </mc:AlternateContent>
  <bookViews>
    <workbookView xWindow="390" yWindow="1425" windowWidth="23415" windowHeight="10245" tabRatio="790" firstSheet="13" activeTab="14"/>
  </bookViews>
  <sheets>
    <sheet name="BD Anexo 01 e 02" sheetId="19" state="hidden" r:id="rId1"/>
    <sheet name="FatMasutti2016" sheetId="68" r:id="rId2"/>
    <sheet name="05-Fat ACJ Geral 12 meses (2)" sheetId="65" r:id="rId3"/>
    <sheet name="01-Fat CLM Geral 12 meses" sheetId="1" r:id="rId4"/>
    <sheet name="02-Fat CLM Produto 12 meses" sheetId="2" r:id="rId5"/>
    <sheet name="03-Fat Consolidado " sheetId="20" r:id="rId6"/>
    <sheet name="04-Fat AGR Geral 12 meses" sheetId="3" state="hidden" r:id="rId7"/>
    <sheet name="05-Fat ACJ Geral 12 meses" sheetId="4" r:id="rId8"/>
    <sheet name="06-Fat REL Geral 12 meses" sheetId="5" state="hidden" r:id="rId9"/>
    <sheet name="07.1-Safra1112" sheetId="41" r:id="rId10"/>
    <sheet name="07-Safra1213" sheetId="29" r:id="rId11"/>
    <sheet name="08-Safra1314" sheetId="28" r:id="rId12"/>
    <sheet name="09-2 SAFRA 1415" sheetId="61" r:id="rId13"/>
    <sheet name="09.1-safra 1516" sheetId="36" r:id="rId14"/>
    <sheet name="safra 16 17 " sheetId="66" r:id="rId15"/>
    <sheet name="10-Areas e Unidades" sheetId="21" r:id="rId16"/>
    <sheet name="11-Patrimonio Consolidado" sheetId="11" r:id="rId17"/>
    <sheet name="12-Capex 2012" sheetId="24" state="hidden" r:id="rId18"/>
    <sheet name="13-Capex 2013" sheetId="22" state="hidden" r:id="rId19"/>
    <sheet name="BD Anexo 11" sheetId="18" r:id="rId20"/>
    <sheet name="capex2015" sheetId="60" state="hidden" r:id="rId21"/>
    <sheet name="14.2-Capex 2016" sheetId="67" r:id="rId22"/>
    <sheet name="pat_2016" sheetId="69" state="hidden" r:id="rId23"/>
    <sheet name="14.1-Capex 2015" sheetId="39" r:id="rId24"/>
    <sheet name="14-Capex 2014" sheetId="30" r:id="rId25"/>
    <sheet name="BD Anexo 14-1" sheetId="40" state="hidden" r:id="rId26"/>
    <sheet name="BD Anexo 14" sheetId="31" state="hidden" r:id="rId27"/>
    <sheet name="15-Contratos Algodao 1314" sheetId="35" state="hidden" r:id="rId28"/>
    <sheet name="bd_algodao" sheetId="54" state="hidden" r:id="rId29"/>
    <sheet name="15.1-Contratos Algodao 1415" sheetId="37" state="hidden" r:id="rId30"/>
    <sheet name="Contratos Graos 1516 (2)" sheetId="62" state="hidden" r:id="rId31"/>
    <sheet name="Contratos Graos 1617" sheetId="71" r:id="rId32"/>
    <sheet name="Contratos Graos 1516" sheetId="58" r:id="rId33"/>
    <sheet name="19-Contratos graos 1415" sheetId="32" state="hidden" r:id="rId34"/>
    <sheet name="finan_graos" sheetId="52" state="hidden" r:id="rId35"/>
    <sheet name="Plan2" sheetId="55" state="hidden" r:id="rId36"/>
    <sheet name="BD_CONTRATOS_GRAOS" sheetId="50" state="hidden" r:id="rId37"/>
    <sheet name="16-Endividamento Bancario" sheetId="12" r:id="rId38"/>
    <sheet name="16.1-Perfil Divida" sheetId="26" r:id="rId39"/>
    <sheet name="17-Endividamento Terras" sheetId="17" r:id="rId40"/>
    <sheet name="18-Endividamento Fornecedores" sheetId="33" r:id="rId41"/>
    <sheet name="20-Estoques" sheetId="34" r:id="rId42"/>
    <sheet name="Plan1" sheetId="38" state="hidden" r:id="rId43"/>
    <sheet name="21-Adto.Clientes" sheetId="42" state="hidden" r:id="rId44"/>
    <sheet name="22-Saldos Bancarios" sheetId="43" state="hidden" r:id="rId45"/>
    <sheet name="Endividamento Juca" sheetId="47" state="hidden" r:id="rId46"/>
    <sheet name="Endividamento Volnei" sheetId="48" state="hidden" r:id="rId47"/>
    <sheet name="Plan3" sheetId="56" state="hidden" r:id="rId48"/>
    <sheet name="Plan5" sheetId="70" r:id="rId49"/>
  </sheets>
  <externalReferences>
    <externalReference r:id="rId50"/>
    <externalReference r:id="rId51"/>
  </externalReferences>
  <definedNames>
    <definedName name="_192.168.4.3_agricola__padrão__GM_CONTRATOS_ALGODAO" localSheetId="28" hidden="1">bd_algodao!$A$1:$L$127</definedName>
    <definedName name="_192.168.4.3_agricola__padrão__GM_CONTRATOS_GRAOS_1415" localSheetId="36" hidden="1">BD_CONTRATOS_GRAOS!$A$1:$P$107</definedName>
    <definedName name="_192.168.4.3_agricola__padrão__GM_PAT_CONSOLIDADO_1" localSheetId="19" hidden="1">'BD Anexo 11'!$A$1:$J$3503</definedName>
    <definedName name="_xlnm._FilterDatabase" localSheetId="16" hidden="1">'11-Patrimonio Consolidado'!$B$5:$N$50</definedName>
    <definedName name="_xlnm._FilterDatabase" localSheetId="23" hidden="1">'14.1-Capex 2015'!$B$5:$N$25</definedName>
    <definedName name="_xlnm._FilterDatabase" localSheetId="21" hidden="1">'14.2-Capex 2016'!$B$8:$P$19</definedName>
    <definedName name="_xlnm._FilterDatabase" localSheetId="37" hidden="1">'16-Endividamento Bancario'!$B$39:$L$77</definedName>
    <definedName name="_xlnm._FilterDatabase" localSheetId="19" hidden="1">'BD Anexo 11'!$K$1:$T$3235</definedName>
    <definedName name="_xlnm._FilterDatabase" localSheetId="26" hidden="1">'BD Anexo 14'!$A$3:$J$387</definedName>
    <definedName name="_xlnm._FilterDatabase" localSheetId="36" hidden="1">BD_CONTRATOS_GRAOS!$A$4:$F$34</definedName>
    <definedName name="_xlnm._FilterDatabase" localSheetId="22" hidden="1">pat_2016!$C$1:$C$49</definedName>
    <definedName name="_xlnm._FilterDatabase" localSheetId="48" hidden="1">Plan5!$A$1:$A$8</definedName>
    <definedName name="_xlnm.Print_Area" localSheetId="3">'01-Fat CLM Geral 12 meses'!$B$1:$F$39</definedName>
    <definedName name="_xlnm.Print_Area" localSheetId="4">'02-Fat CLM Produto 12 meses'!$C$1:$E$32</definedName>
    <definedName name="_xlnm.Print_Area" localSheetId="5">'03-Fat Consolidado '!$B$1:$J$41</definedName>
    <definedName name="_xlnm.Print_Area" localSheetId="7">'05-Fat ACJ Geral 12 meses'!$B$1:$I$48</definedName>
    <definedName name="_xlnm.Print_Area" localSheetId="2">'05-Fat ACJ Geral 12 meses (2)'!$A$1:$L$52</definedName>
    <definedName name="_xlnm.Print_Area" localSheetId="10">'07-Safra1213'!$A$1:$P$36</definedName>
    <definedName name="_xlnm.Print_Area" localSheetId="11">'08-Safra1314'!$A$1:$P$36</definedName>
    <definedName name="_xlnm.Print_Area" localSheetId="13">'09.1-safra 1516'!$A$1:$Q$56</definedName>
    <definedName name="_xlnm.Print_Area" localSheetId="12">'09-2 SAFRA 1415'!$A$1:$Q$46</definedName>
    <definedName name="_xlnm.Print_Area" localSheetId="15">'10-Areas e Unidades'!$C$1:$P$73</definedName>
    <definedName name="_xlnm.Print_Area" localSheetId="16">'11-Patrimonio Consolidado'!$A$1:$N$71</definedName>
    <definedName name="_xlnm.Print_Area" localSheetId="23">'14.1-Capex 2015'!$A$1:$N$43</definedName>
    <definedName name="_xlnm.Print_Area" localSheetId="21">'14.2-Capex 2016'!$A$1:$P$41</definedName>
    <definedName name="_xlnm.Print_Area" localSheetId="24">'14-Capex 2014'!$A$1:$N$58</definedName>
    <definedName name="_xlnm.Print_Area" localSheetId="29">'15.1-Contratos Algodao 1415'!$A$1:$K$27</definedName>
    <definedName name="_xlnm.Print_Area" localSheetId="27">'15-Contratos Algodao 1314'!$A$1:$J$43</definedName>
    <definedName name="_xlnm.Print_Area" localSheetId="38">'16.1-Perfil Divida'!$B$1:$G$90</definedName>
    <definedName name="_xlnm.Print_Area" localSheetId="37">'16-Endividamento Bancario'!$B$1:$L$96</definedName>
    <definedName name="_xlnm.Print_Area" localSheetId="39">'17-Endividamento Terras'!$B$1:$L$41</definedName>
    <definedName name="_xlnm.Print_Area" localSheetId="33">'19-Contratos graos 1415'!$A$1:$K$24</definedName>
    <definedName name="_xlnm.Print_Area" localSheetId="32">'Contratos Graos 1516'!$B:$H</definedName>
    <definedName name="_xlnm.Print_Area" localSheetId="30">'Contratos Graos 1516 (2)'!$B:$H</definedName>
    <definedName name="_xlnm.Print_Area" localSheetId="31">'Contratos Graos 1617'!$B:$H</definedName>
    <definedName name="_xlnm.Print_Area" localSheetId="1">FatMasutti2016!$B$1:$F$39</definedName>
    <definedName name="padrão__GM_CONTAS_RECEBER_ABERTOS" localSheetId="34" hidden="1">finan_graos!$F$4:$V$534</definedName>
  </definedNames>
  <calcPr calcId="152511" calcMode="manual" fullCalcOnLoad="1"/>
  <pivotCaches>
    <pivotCache cacheId="0" r:id="rId52"/>
  </pivotCaches>
</workbook>
</file>

<file path=xl/calcChain.xml><?xml version="1.0" encoding="utf-8"?>
<calcChain xmlns="http://schemas.openxmlformats.org/spreadsheetml/2006/main">
  <c r="D38" i="71" l="1"/>
  <c r="D29" i="71"/>
  <c r="H20" i="71"/>
  <c r="G9" i="71"/>
  <c r="L86" i="12" a="1"/>
  <c r="L86" i="12" s="1"/>
  <c r="L85" i="12" s="1"/>
  <c r="K86" i="12" a="1"/>
  <c r="K86" i="12"/>
  <c r="K85" i="12" s="1"/>
  <c r="J86" i="12" a="1"/>
  <c r="J86" i="12"/>
  <c r="J85" i="12"/>
  <c r="I86" i="12" a="1"/>
  <c r="I86" i="12"/>
  <c r="I85" i="12"/>
  <c r="H86" i="12" a="1"/>
  <c r="H86" i="12" s="1"/>
  <c r="H85" i="12" s="1"/>
  <c r="L83" i="12" a="1"/>
  <c r="L83" i="12"/>
  <c r="L82" i="12"/>
  <c r="K83" i="12" a="1"/>
  <c r="K83" i="12" s="1"/>
  <c r="K82" i="12" s="1"/>
  <c r="J83" i="12" a="1"/>
  <c r="J83" i="12" s="1"/>
  <c r="J82" i="12" s="1"/>
  <c r="I83" i="12" a="1"/>
  <c r="I83" i="12"/>
  <c r="H83" i="12" a="1"/>
  <c r="H83" i="12" s="1"/>
  <c r="H82" i="12" s="1"/>
  <c r="L77" i="12" a="1"/>
  <c r="L77" i="12"/>
  <c r="K77" i="12" a="1"/>
  <c r="K77" i="12" s="1"/>
  <c r="K76" i="12" s="1"/>
  <c r="J77" i="12" a="1"/>
  <c r="J77" i="12" s="1"/>
  <c r="J76" i="12" s="1"/>
  <c r="I77" i="12" a="1"/>
  <c r="I77" i="12"/>
  <c r="H77" i="12" a="1"/>
  <c r="H77" i="12" s="1"/>
  <c r="H76" i="12" s="1"/>
  <c r="L74" i="12" a="1"/>
  <c r="L74" i="12" s="1"/>
  <c r="L73" i="12" s="1"/>
  <c r="K74" i="12" a="1"/>
  <c r="K74" i="12"/>
  <c r="K73" i="12" s="1"/>
  <c r="J74" i="12" a="1"/>
  <c r="J74" i="12"/>
  <c r="J73" i="12"/>
  <c r="I74" i="12" a="1"/>
  <c r="I74" i="12" s="1"/>
  <c r="I73" i="12" s="1"/>
  <c r="H74" i="12" a="1"/>
  <c r="H74" i="12" s="1"/>
  <c r="L71" i="12" a="1"/>
  <c r="L71" i="12"/>
  <c r="K71" i="12" a="1"/>
  <c r="K71" i="12" s="1"/>
  <c r="J71" i="12" a="1"/>
  <c r="J71" i="12"/>
  <c r="I71" i="12" a="1"/>
  <c r="I71" i="12" s="1"/>
  <c r="H71" i="12" a="1"/>
  <c r="H71" i="12"/>
  <c r="L69" i="12" a="1"/>
  <c r="L69" i="12" s="1"/>
  <c r="K69" i="12" a="1"/>
  <c r="K69" i="12"/>
  <c r="J69" i="12" a="1"/>
  <c r="J69" i="12" s="1"/>
  <c r="I69" i="12" a="1"/>
  <c r="I69" i="12"/>
  <c r="H69" i="12" a="1"/>
  <c r="H69" i="12" s="1"/>
  <c r="L67" i="12" a="1"/>
  <c r="L67" i="12"/>
  <c r="K67" i="12" a="1"/>
  <c r="K67" i="12" s="1"/>
  <c r="J67" i="12" a="1"/>
  <c r="J67" i="12"/>
  <c r="I67" i="12" a="1"/>
  <c r="I67" i="12" s="1"/>
  <c r="H67" i="12" a="1"/>
  <c r="H67" i="12"/>
  <c r="L64" i="12" a="1"/>
  <c r="L64" i="12" s="1"/>
  <c r="L62" i="12" s="1"/>
  <c r="K64" i="12" a="1"/>
  <c r="K64" i="12" s="1"/>
  <c r="K62" i="12" s="1"/>
  <c r="J64" i="12" a="1"/>
  <c r="J64" i="12"/>
  <c r="I64" i="12" a="1"/>
  <c r="I64" i="12" s="1"/>
  <c r="I62" i="12" s="1"/>
  <c r="H64" i="12" a="1"/>
  <c r="H64" i="12" s="1"/>
  <c r="H62" i="12" s="1"/>
  <c r="L46" i="12" a="1"/>
  <c r="L46" i="12"/>
  <c r="L45" i="12"/>
  <c r="K46" i="12" a="1"/>
  <c r="K46" i="12" s="1"/>
  <c r="K45" i="12" s="1"/>
  <c r="J46" i="12" a="1"/>
  <c r="J46" i="12" s="1"/>
  <c r="J45" i="12" s="1"/>
  <c r="I46" i="12" a="1"/>
  <c r="I46" i="12"/>
  <c r="H46" i="12" a="1"/>
  <c r="H46" i="12" s="1"/>
  <c r="L43" i="12" a="1"/>
  <c r="L43" i="12"/>
  <c r="L42" i="12" s="1"/>
  <c r="K43" i="12" a="1"/>
  <c r="K43" i="12"/>
  <c r="K42" i="12"/>
  <c r="J43" i="12" a="1"/>
  <c r="J43" i="12" s="1"/>
  <c r="J42" i="12" s="1"/>
  <c r="I43" i="12" a="1"/>
  <c r="I43" i="12" s="1"/>
  <c r="I42" i="12" s="1"/>
  <c r="H43" i="12" a="1"/>
  <c r="H43" i="12"/>
  <c r="H42" i="12" s="1"/>
  <c r="L32" i="12" a="1"/>
  <c r="L32" i="12"/>
  <c r="L31" i="12"/>
  <c r="L34" i="12" s="1"/>
  <c r="E59" i="26" s="1"/>
  <c r="K32" i="12" a="1"/>
  <c r="K32" i="12"/>
  <c r="K31" i="12" s="1"/>
  <c r="K34" i="12" s="1"/>
  <c r="E58" i="26" s="1"/>
  <c r="J32" i="12" a="1"/>
  <c r="J32" i="12" s="1"/>
  <c r="J31" i="12" s="1"/>
  <c r="J34" i="12" s="1"/>
  <c r="E57" i="26" s="1"/>
  <c r="I32" i="12" a="1"/>
  <c r="I32" i="12" s="1"/>
  <c r="I31" i="12" s="1"/>
  <c r="I34" i="12" s="1"/>
  <c r="E56" i="26" s="1"/>
  <c r="H32" i="12" a="1"/>
  <c r="H32" i="12" s="1"/>
  <c r="E74" i="12"/>
  <c r="D74" i="12"/>
  <c r="L70" i="12" a="1"/>
  <c r="L70" i="12" s="1"/>
  <c r="K70" i="12" a="1"/>
  <c r="K70" i="12"/>
  <c r="J70" i="12" a="1"/>
  <c r="J70" i="12" s="1"/>
  <c r="I70" i="12" a="1"/>
  <c r="I70" i="12"/>
  <c r="H70" i="12" a="1"/>
  <c r="H70" i="12" s="1"/>
  <c r="L60" i="12" a="1"/>
  <c r="L60" i="12" s="1"/>
  <c r="K60" i="12" a="1"/>
  <c r="K60" i="12" s="1"/>
  <c r="J60" i="12" a="1"/>
  <c r="J60" i="12" s="1"/>
  <c r="I60" i="12" a="1"/>
  <c r="I60" i="12" s="1"/>
  <c r="H60" i="12" a="1"/>
  <c r="H60" i="12" s="1"/>
  <c r="L59" i="12" a="1"/>
  <c r="L59" i="12" s="1"/>
  <c r="K59" i="12" a="1"/>
  <c r="K59" i="12" s="1"/>
  <c r="J59" i="12" a="1"/>
  <c r="J59" i="12" s="1"/>
  <c r="J58" i="12" s="1"/>
  <c r="I59" i="12" a="1"/>
  <c r="I59" i="12" s="1"/>
  <c r="I58" i="12" s="1"/>
  <c r="H59" i="12" a="1"/>
  <c r="H59" i="12"/>
  <c r="L56" i="12" a="1"/>
  <c r="L56" i="12"/>
  <c r="L55" i="12" s="1"/>
  <c r="K56" i="12" a="1"/>
  <c r="K56" i="12" s="1"/>
  <c r="K55" i="12" s="1"/>
  <c r="J56" i="12" a="1"/>
  <c r="J56" i="12"/>
  <c r="J55" i="12" s="1"/>
  <c r="I56" i="12" a="1"/>
  <c r="I56" i="12" s="1"/>
  <c r="I55" i="12" s="1"/>
  <c r="H56" i="12" a="1"/>
  <c r="H56" i="12"/>
  <c r="H55" i="12" s="1"/>
  <c r="M52" i="12" a="1"/>
  <c r="M52" i="12" s="1"/>
  <c r="L52" i="12" a="1"/>
  <c r="L52" i="12" s="1"/>
  <c r="L51" i="12" s="1"/>
  <c r="K52" i="12" a="1"/>
  <c r="K52" i="12"/>
  <c r="K51" i="12" s="1"/>
  <c r="J52" i="12" a="1"/>
  <c r="J52" i="12" s="1"/>
  <c r="J51" i="12" s="1"/>
  <c r="I52" i="12" a="1"/>
  <c r="I52" i="12"/>
  <c r="I51" i="12" s="1"/>
  <c r="H52" i="12" a="1"/>
  <c r="H52" i="12" s="1"/>
  <c r="L49" i="12" a="1"/>
  <c r="L49" i="12" s="1"/>
  <c r="L48" i="12" s="1"/>
  <c r="K49" i="12" a="1"/>
  <c r="K49" i="12"/>
  <c r="K48" i="12" s="1"/>
  <c r="J49" i="12" a="1"/>
  <c r="J49" i="12" s="1"/>
  <c r="J48" i="12" s="1"/>
  <c r="J88" i="12" s="1"/>
  <c r="I49" i="12" a="1"/>
  <c r="I49" i="12"/>
  <c r="I48" i="12" s="1"/>
  <c r="H49" i="12" a="1"/>
  <c r="H49" i="12"/>
  <c r="H48" i="12" s="1"/>
  <c r="L23" i="12" a="1"/>
  <c r="L23" i="12" s="1"/>
  <c r="L22" i="12"/>
  <c r="K23" i="12" a="1"/>
  <c r="K23" i="12"/>
  <c r="K22" i="12" s="1"/>
  <c r="J23" i="12" a="1"/>
  <c r="J23" i="12" s="1"/>
  <c r="J22" i="12"/>
  <c r="I23" i="12" a="1"/>
  <c r="I23" i="12"/>
  <c r="I22" i="12" s="1"/>
  <c r="H23" i="12" a="1"/>
  <c r="H23" i="12"/>
  <c r="G23" i="12" s="1"/>
  <c r="L20" i="12" a="1"/>
  <c r="L20" i="12" s="1"/>
  <c r="L19" i="12" s="1"/>
  <c r="K20" i="12" a="1"/>
  <c r="K20" i="12"/>
  <c r="K19" i="12" s="1"/>
  <c r="J20" i="12" a="1"/>
  <c r="J20" i="12" s="1"/>
  <c r="J19" i="12" s="1"/>
  <c r="I20" i="12" a="1"/>
  <c r="I20" i="12"/>
  <c r="I19" i="12" s="1"/>
  <c r="H20" i="12" a="1"/>
  <c r="H20" i="12" s="1"/>
  <c r="H19" i="12" s="1"/>
  <c r="L17" i="12" a="1"/>
  <c r="L17" i="12" s="1"/>
  <c r="L16" i="12" s="1"/>
  <c r="K17" i="12" a="1"/>
  <c r="K17" i="12"/>
  <c r="K16" i="12" s="1"/>
  <c r="J17" i="12" a="1"/>
  <c r="J17" i="12" s="1"/>
  <c r="J16" i="12"/>
  <c r="I17" i="12" a="1"/>
  <c r="I17" i="12" s="1"/>
  <c r="H17" i="12" a="1"/>
  <c r="H17" i="12"/>
  <c r="H16" i="12" s="1"/>
  <c r="M14" i="12" a="1"/>
  <c r="M14" i="12" s="1"/>
  <c r="L14" i="12" a="1"/>
  <c r="L14" i="12" s="1"/>
  <c r="L13" i="12" s="1"/>
  <c r="L25" i="12" s="1"/>
  <c r="D59" i="26" s="1"/>
  <c r="K14" i="12" a="1"/>
  <c r="K14" i="12" s="1"/>
  <c r="K13" i="12"/>
  <c r="J14" i="12" a="1"/>
  <c r="J14" i="12" s="1"/>
  <c r="J13" i="12" s="1"/>
  <c r="J25" i="12" s="1"/>
  <c r="I14" i="12" a="1"/>
  <c r="I14" i="12"/>
  <c r="I13" i="12"/>
  <c r="H14" i="12" a="1"/>
  <c r="H14" i="12"/>
  <c r="D9" i="11" a="1"/>
  <c r="D9" i="11"/>
  <c r="F9" i="11" a="1"/>
  <c r="F9" i="11"/>
  <c r="H9" i="11" a="1"/>
  <c r="H9" i="11"/>
  <c r="J9" i="11" a="1"/>
  <c r="J9" i="11"/>
  <c r="D10" i="11" a="1"/>
  <c r="D10" i="11"/>
  <c r="F10" i="11" a="1"/>
  <c r="F10" i="11"/>
  <c r="L10" i="11"/>
  <c r="H10" i="11" a="1"/>
  <c r="H10" i="11"/>
  <c r="J10" i="11" a="1"/>
  <c r="J10" i="11"/>
  <c r="D11" i="11" a="1"/>
  <c r="D11" i="11"/>
  <c r="F11" i="11" a="1"/>
  <c r="F11" i="11"/>
  <c r="H11" i="11" a="1"/>
  <c r="H11" i="11"/>
  <c r="J11" i="11" a="1"/>
  <c r="J11" i="11"/>
  <c r="D12" i="11" a="1"/>
  <c r="D12" i="11"/>
  <c r="F12" i="11" a="1"/>
  <c r="F12" i="11"/>
  <c r="L12" i="11"/>
  <c r="H12" i="11" a="1"/>
  <c r="H12" i="11"/>
  <c r="J12" i="11" a="1"/>
  <c r="J12" i="11"/>
  <c r="D13" i="11" a="1"/>
  <c r="D13" i="11"/>
  <c r="F13" i="11" a="1"/>
  <c r="F13" i="11"/>
  <c r="H13" i="11" a="1"/>
  <c r="H13" i="11"/>
  <c r="J13" i="11" a="1"/>
  <c r="J13" i="11"/>
  <c r="D14" i="11" a="1"/>
  <c r="D14" i="11"/>
  <c r="F14" i="11" a="1"/>
  <c r="F14" i="11"/>
  <c r="H14" i="11" a="1"/>
  <c r="H14" i="11"/>
  <c r="J14" i="11" a="1"/>
  <c r="J14" i="11"/>
  <c r="D15" i="11" a="1"/>
  <c r="D15" i="11"/>
  <c r="F15" i="11" a="1"/>
  <c r="F15" i="11"/>
  <c r="H15" i="11" a="1"/>
  <c r="H15" i="11"/>
  <c r="J15" i="11" a="1"/>
  <c r="J15" i="11"/>
  <c r="D16" i="11" a="1"/>
  <c r="D16" i="11"/>
  <c r="F16" i="11" a="1"/>
  <c r="F16" i="11"/>
  <c r="H16" i="11" a="1"/>
  <c r="H16" i="11"/>
  <c r="J16" i="11" a="1"/>
  <c r="J16" i="11"/>
  <c r="D17" i="11" a="1"/>
  <c r="D17" i="11"/>
  <c r="F17" i="11" a="1"/>
  <c r="F17" i="11"/>
  <c r="H17" i="11" a="1"/>
  <c r="H17" i="11"/>
  <c r="L17" i="11"/>
  <c r="J17" i="11" a="1"/>
  <c r="J17" i="11"/>
  <c r="D18" i="11" a="1"/>
  <c r="D18" i="11"/>
  <c r="F18" i="11" a="1"/>
  <c r="F18" i="11"/>
  <c r="H18" i="11" a="1"/>
  <c r="H18" i="11"/>
  <c r="L18" i="11"/>
  <c r="J18" i="11" a="1"/>
  <c r="J18" i="11"/>
  <c r="D19" i="11" a="1"/>
  <c r="D19" i="11"/>
  <c r="F19" i="11" a="1"/>
  <c r="F19" i="11"/>
  <c r="H19" i="11" a="1"/>
  <c r="H19" i="11"/>
  <c r="L19" i="11"/>
  <c r="J19" i="11" a="1"/>
  <c r="J19" i="11"/>
  <c r="D20" i="11" a="1"/>
  <c r="D20" i="11"/>
  <c r="F20" i="11" a="1"/>
  <c r="F20" i="11"/>
  <c r="H20" i="11" a="1"/>
  <c r="H20" i="11"/>
  <c r="J20" i="11" a="1"/>
  <c r="J20" i="11"/>
  <c r="D21" i="11" a="1"/>
  <c r="D21" i="11"/>
  <c r="F21" i="11" a="1"/>
  <c r="F21" i="11"/>
  <c r="H21" i="11" a="1"/>
  <c r="H21" i="11"/>
  <c r="J21" i="11" a="1"/>
  <c r="J21" i="11"/>
  <c r="D22" i="11" a="1"/>
  <c r="D22" i="11"/>
  <c r="F22" i="11" a="1"/>
  <c r="F22" i="11"/>
  <c r="H22" i="11" a="1"/>
  <c r="H22" i="11"/>
  <c r="J22" i="11" a="1"/>
  <c r="J22" i="11"/>
  <c r="D23" i="11" a="1"/>
  <c r="D23" i="11"/>
  <c r="F23" i="11" a="1"/>
  <c r="F23" i="11"/>
  <c r="H23" i="11" a="1"/>
  <c r="H23" i="11"/>
  <c r="J23" i="11" a="1"/>
  <c r="J23" i="11"/>
  <c r="D24" i="11" a="1"/>
  <c r="D24" i="11"/>
  <c r="F24" i="11" a="1"/>
  <c r="F24" i="11"/>
  <c r="H24" i="11" a="1"/>
  <c r="H24" i="11"/>
  <c r="J24" i="11" a="1"/>
  <c r="J24" i="11"/>
  <c r="D25" i="11" a="1"/>
  <c r="D25" i="11"/>
  <c r="F25" i="11" a="1"/>
  <c r="F25" i="11"/>
  <c r="H25" i="11" a="1"/>
  <c r="H25" i="11"/>
  <c r="J25" i="11" a="1"/>
  <c r="J25" i="11"/>
  <c r="D26" i="11" a="1"/>
  <c r="D26" i="11"/>
  <c r="F26" i="11" a="1"/>
  <c r="F26" i="11"/>
  <c r="H26" i="11" a="1"/>
  <c r="H26" i="11"/>
  <c r="J26" i="11" a="1"/>
  <c r="J26" i="11"/>
  <c r="D27" i="11" a="1"/>
  <c r="D27" i="11"/>
  <c r="F27" i="11" a="1"/>
  <c r="F27" i="11"/>
  <c r="L27" i="11"/>
  <c r="H27" i="11" a="1"/>
  <c r="H27" i="11"/>
  <c r="J27" i="11" a="1"/>
  <c r="J27" i="11"/>
  <c r="D28" i="11" a="1"/>
  <c r="D28" i="11"/>
  <c r="F28" i="11" a="1"/>
  <c r="F28" i="11"/>
  <c r="H28" i="11" a="1"/>
  <c r="H28" i="11"/>
  <c r="L28" i="11"/>
  <c r="J28" i="11" a="1"/>
  <c r="J28" i="11"/>
  <c r="D29" i="11" a="1"/>
  <c r="D29" i="11"/>
  <c r="F29" i="11" a="1"/>
  <c r="F29" i="11"/>
  <c r="H29" i="11" a="1"/>
  <c r="H29" i="11"/>
  <c r="J29" i="11" a="1"/>
  <c r="J29" i="11"/>
  <c r="D30" i="11" a="1"/>
  <c r="D30" i="11"/>
  <c r="F30" i="11" a="1"/>
  <c r="F30" i="11"/>
  <c r="H30" i="11" a="1"/>
  <c r="H30" i="11"/>
  <c r="L30" i="11"/>
  <c r="J30" i="11" a="1"/>
  <c r="J30" i="11"/>
  <c r="D31" i="11" a="1"/>
  <c r="D31" i="11"/>
  <c r="F31" i="11" a="1"/>
  <c r="F31" i="11"/>
  <c r="H31" i="11" a="1"/>
  <c r="H31" i="11"/>
  <c r="J31" i="11" a="1"/>
  <c r="J31" i="11"/>
  <c r="L31" i="11"/>
  <c r="D32" i="11" a="1"/>
  <c r="D32" i="11"/>
  <c r="F32" i="11" a="1"/>
  <c r="F32" i="11"/>
  <c r="H32" i="11" a="1"/>
  <c r="H32" i="11"/>
  <c r="J32" i="11" a="1"/>
  <c r="J32" i="11"/>
  <c r="D33" i="11" a="1"/>
  <c r="D33" i="11"/>
  <c r="F33" i="11" a="1"/>
  <c r="F33" i="11"/>
  <c r="H33" i="11" a="1"/>
  <c r="H33" i="11"/>
  <c r="J33" i="11" a="1"/>
  <c r="J33" i="11"/>
  <c r="D34" i="11" a="1"/>
  <c r="D34" i="11"/>
  <c r="F34" i="11" a="1"/>
  <c r="F34" i="11"/>
  <c r="L34" i="11"/>
  <c r="H34" i="11" a="1"/>
  <c r="H34" i="11"/>
  <c r="J34" i="11" a="1"/>
  <c r="J34" i="11"/>
  <c r="D35" i="11" a="1"/>
  <c r="D35" i="11"/>
  <c r="F35" i="11" a="1"/>
  <c r="F35" i="11"/>
  <c r="L35" i="11"/>
  <c r="H35" i="11" a="1"/>
  <c r="H35" i="11"/>
  <c r="J35" i="11" a="1"/>
  <c r="J35" i="11"/>
  <c r="D36" i="11" a="1"/>
  <c r="D36" i="11"/>
  <c r="F36" i="11" a="1"/>
  <c r="F36" i="11"/>
  <c r="L36" i="11"/>
  <c r="H36" i="11" a="1"/>
  <c r="H36" i="11"/>
  <c r="J36" i="11" a="1"/>
  <c r="J36" i="11"/>
  <c r="D37" i="11" a="1"/>
  <c r="D37" i="11"/>
  <c r="F37" i="11" a="1"/>
  <c r="F37" i="11"/>
  <c r="L37" i="11"/>
  <c r="H37" i="11" a="1"/>
  <c r="H37" i="11"/>
  <c r="J37" i="11" a="1"/>
  <c r="J37" i="11"/>
  <c r="D38" i="11" a="1"/>
  <c r="D38" i="11"/>
  <c r="F38" i="11" a="1"/>
  <c r="F38" i="11"/>
  <c r="L38" i="11"/>
  <c r="H38" i="11" a="1"/>
  <c r="H38" i="11"/>
  <c r="J38" i="11" a="1"/>
  <c r="J38" i="11"/>
  <c r="D39" i="11" a="1"/>
  <c r="D39" i="11"/>
  <c r="F39" i="11" a="1"/>
  <c r="F39" i="11"/>
  <c r="L39" i="11"/>
  <c r="H39" i="11" a="1"/>
  <c r="H39" i="11"/>
  <c r="J39" i="11" a="1"/>
  <c r="J39" i="11"/>
  <c r="D40" i="11" a="1"/>
  <c r="D40" i="11"/>
  <c r="F40" i="11" a="1"/>
  <c r="F40" i="11"/>
  <c r="L40" i="11"/>
  <c r="H40" i="11" a="1"/>
  <c r="H40" i="11"/>
  <c r="J40" i="11" a="1"/>
  <c r="J40" i="11"/>
  <c r="D41" i="11" a="1"/>
  <c r="D41" i="11"/>
  <c r="F41" i="11" a="1"/>
  <c r="F41" i="11"/>
  <c r="L41" i="11"/>
  <c r="H41" i="11" a="1"/>
  <c r="H41" i="11"/>
  <c r="J41" i="11" a="1"/>
  <c r="J41" i="11"/>
  <c r="D42" i="11" a="1"/>
  <c r="D42" i="11"/>
  <c r="F42" i="11" a="1"/>
  <c r="F42" i="11"/>
  <c r="L42" i="11"/>
  <c r="H42" i="11" a="1"/>
  <c r="H42" i="11"/>
  <c r="J42" i="11" a="1"/>
  <c r="J42" i="11"/>
  <c r="D43" i="11" a="1"/>
  <c r="D43" i="11"/>
  <c r="F43" i="11" a="1"/>
  <c r="F43" i="11"/>
  <c r="L43" i="11"/>
  <c r="H43" i="11" a="1"/>
  <c r="H43" i="11"/>
  <c r="J43" i="11" a="1"/>
  <c r="J43" i="11"/>
  <c r="D44" i="11" a="1"/>
  <c r="D44" i="11"/>
  <c r="F44" i="11" a="1"/>
  <c r="F44" i="11"/>
  <c r="L44" i="11"/>
  <c r="H44" i="11" a="1"/>
  <c r="H44" i="11"/>
  <c r="J44" i="11" a="1"/>
  <c r="J44" i="11"/>
  <c r="D45" i="11" a="1"/>
  <c r="D45" i="11"/>
  <c r="F45" i="11" a="1"/>
  <c r="F45" i="11"/>
  <c r="L45" i="11"/>
  <c r="H45" i="11" a="1"/>
  <c r="H45" i="11"/>
  <c r="J45" i="11" a="1"/>
  <c r="J45" i="11"/>
  <c r="D46" i="11" a="1"/>
  <c r="D46" i="11"/>
  <c r="F46" i="11" a="1"/>
  <c r="F46" i="11"/>
  <c r="L46" i="11"/>
  <c r="H46" i="11" a="1"/>
  <c r="H46" i="11"/>
  <c r="J46" i="11" a="1"/>
  <c r="J46" i="11"/>
  <c r="D47" i="11" a="1"/>
  <c r="D47" i="11"/>
  <c r="F47" i="11" a="1"/>
  <c r="F47" i="11"/>
  <c r="L47" i="11"/>
  <c r="H47" i="11" a="1"/>
  <c r="H47" i="11"/>
  <c r="J47" i="11" a="1"/>
  <c r="J47" i="11"/>
  <c r="D48" i="11" a="1"/>
  <c r="D48" i="11"/>
  <c r="F48" i="11" a="1"/>
  <c r="F48" i="11"/>
  <c r="L48" i="11"/>
  <c r="H48" i="11" a="1"/>
  <c r="H48" i="11"/>
  <c r="J48" i="11" a="1"/>
  <c r="J48" i="11"/>
  <c r="D49" i="11" a="1"/>
  <c r="D49" i="11"/>
  <c r="F49" i="11" a="1"/>
  <c r="F49" i="11"/>
  <c r="L49" i="11"/>
  <c r="H49" i="11" a="1"/>
  <c r="H49" i="11"/>
  <c r="J49" i="11" a="1"/>
  <c r="J49" i="11"/>
  <c r="D50" i="11" a="1"/>
  <c r="D50" i="11"/>
  <c r="F50" i="11" a="1"/>
  <c r="F50" i="11"/>
  <c r="L50" i="11"/>
  <c r="H50" i="11" a="1"/>
  <c r="H50" i="11"/>
  <c r="J50" i="11" a="1"/>
  <c r="J50" i="11"/>
  <c r="L24" i="11"/>
  <c r="L32" i="11"/>
  <c r="L20" i="11"/>
  <c r="L16" i="11"/>
  <c r="L14" i="11"/>
  <c r="L29" i="11"/>
  <c r="L22" i="11"/>
  <c r="L15" i="11"/>
  <c r="L13" i="11"/>
  <c r="L11" i="11"/>
  <c r="L26" i="11"/>
  <c r="L23" i="11"/>
  <c r="L21" i="11"/>
  <c r="L9" i="11"/>
  <c r="G34" i="71"/>
  <c r="G35" i="71"/>
  <c r="G36" i="71"/>
  <c r="G37" i="71"/>
  <c r="G33" i="71"/>
  <c r="D58" i="11" a="1"/>
  <c r="D58" i="11"/>
  <c r="D8" i="11" a="1"/>
  <c r="D8" i="11"/>
  <c r="H21" i="71"/>
  <c r="G21" i="71"/>
  <c r="D21" i="71"/>
  <c r="D22" i="71"/>
  <c r="H11" i="71"/>
  <c r="G11" i="71"/>
  <c r="D11" i="71"/>
  <c r="H10" i="71"/>
  <c r="D10" i="71"/>
  <c r="D12" i="71"/>
  <c r="D8" i="71"/>
  <c r="D7" i="71"/>
  <c r="G7" i="71"/>
  <c r="C45" i="71"/>
  <c r="C2" i="71"/>
  <c r="H28" i="71"/>
  <c r="H41" i="71"/>
  <c r="H24" i="71"/>
  <c r="K15" i="71"/>
  <c r="J15" i="71"/>
  <c r="I15" i="71"/>
  <c r="K14" i="71"/>
  <c r="J14" i="71"/>
  <c r="I14" i="71"/>
  <c r="K12" i="71"/>
  <c r="J12" i="71"/>
  <c r="I12" i="71"/>
  <c r="H15" i="71" a="1"/>
  <c r="H15" i="71"/>
  <c r="G8" i="71"/>
  <c r="G10" i="71"/>
  <c r="G20" i="71"/>
  <c r="H14" i="71"/>
  <c r="D94" i="12"/>
  <c r="U70" i="26" a="1"/>
  <c r="U70" i="26"/>
  <c r="D41" i="26"/>
  <c r="E41" i="26"/>
  <c r="D42" i="26"/>
  <c r="E42" i="26"/>
  <c r="E43" i="26"/>
  <c r="D44" i="26"/>
  <c r="D45" i="26"/>
  <c r="E45" i="26"/>
  <c r="D46" i="26"/>
  <c r="F46" i="26" s="1"/>
  <c r="E46" i="26"/>
  <c r="L76" i="12"/>
  <c r="H14" i="48"/>
  <c r="I14" i="48"/>
  <c r="I25" i="48"/>
  <c r="J14" i="48"/>
  <c r="K14" i="48"/>
  <c r="L14" i="48"/>
  <c r="G15" i="48"/>
  <c r="G14" i="48"/>
  <c r="H17" i="48"/>
  <c r="H25" i="48"/>
  <c r="H27" i="48"/>
  <c r="I17" i="48"/>
  <c r="J17" i="48"/>
  <c r="K17" i="48"/>
  <c r="K25" i="48"/>
  <c r="L17" i="48"/>
  <c r="G18" i="48"/>
  <c r="G19" i="48"/>
  <c r="G17" i="48"/>
  <c r="H21" i="48"/>
  <c r="I21" i="48"/>
  <c r="J21" i="48"/>
  <c r="K21" i="48"/>
  <c r="L21" i="48"/>
  <c r="G22" i="48"/>
  <c r="G21" i="48"/>
  <c r="H14" i="47"/>
  <c r="H18" i="47"/>
  <c r="H20" i="47"/>
  <c r="I14" i="47"/>
  <c r="I18" i="47"/>
  <c r="J14" i="47"/>
  <c r="J18" i="47"/>
  <c r="K14" i="47"/>
  <c r="K18" i="47"/>
  <c r="L14" i="47"/>
  <c r="G15" i="47"/>
  <c r="G14" i="47"/>
  <c r="G18" i="47"/>
  <c r="L18" i="47"/>
  <c r="H11" i="43"/>
  <c r="H12" i="43"/>
  <c r="H13" i="43"/>
  <c r="H14" i="43"/>
  <c r="H15" i="43"/>
  <c r="D17" i="43"/>
  <c r="F17" i="43"/>
  <c r="F13" i="42"/>
  <c r="H13" i="42"/>
  <c r="E8" i="34"/>
  <c r="E7" i="34"/>
  <c r="E9" i="34"/>
  <c r="D11" i="34"/>
  <c r="E14" i="34"/>
  <c r="E19" i="34"/>
  <c r="E27" i="34"/>
  <c r="E38" i="34"/>
  <c r="E33" i="34"/>
  <c r="F7" i="33"/>
  <c r="F11" i="33"/>
  <c r="F8" i="33"/>
  <c r="C11" i="33"/>
  <c r="D11" i="33"/>
  <c r="E11" i="33"/>
  <c r="G10" i="17"/>
  <c r="G11" i="17"/>
  <c r="G12" i="17"/>
  <c r="H14" i="17"/>
  <c r="H16" i="17"/>
  <c r="I14" i="17"/>
  <c r="J14" i="17"/>
  <c r="K14" i="17"/>
  <c r="L14" i="17"/>
  <c r="G21" i="17"/>
  <c r="G23" i="17"/>
  <c r="H23" i="17"/>
  <c r="H25" i="17"/>
  <c r="I23" i="17"/>
  <c r="J23" i="17"/>
  <c r="K23" i="17"/>
  <c r="L23" i="17"/>
  <c r="G30" i="17"/>
  <c r="G32" i="17"/>
  <c r="H32" i="17"/>
  <c r="H34" i="17"/>
  <c r="I32" i="17"/>
  <c r="I34" i="17"/>
  <c r="J32" i="17"/>
  <c r="K32" i="17"/>
  <c r="L32" i="17"/>
  <c r="C2" i="26"/>
  <c r="D39" i="26"/>
  <c r="E39" i="26"/>
  <c r="D40" i="26"/>
  <c r="E40" i="26"/>
  <c r="D86" i="26"/>
  <c r="B90" i="26"/>
  <c r="H10" i="12"/>
  <c r="I10" i="12"/>
  <c r="J10" i="12"/>
  <c r="K10" i="12"/>
  <c r="L10" i="12"/>
  <c r="G79" i="12"/>
  <c r="H79" i="12"/>
  <c r="I79" i="12"/>
  <c r="J79" i="12"/>
  <c r="K79" i="12"/>
  <c r="L79" i="12"/>
  <c r="Q2" i="50" a="1"/>
  <c r="Q2" i="50"/>
  <c r="Q3" i="50" a="1"/>
  <c r="Q3" i="50"/>
  <c r="Q4" i="50" a="1"/>
  <c r="Q4" i="50"/>
  <c r="Q5" i="50" a="1"/>
  <c r="Q5" i="50"/>
  <c r="Q6" i="50" a="1"/>
  <c r="Q6" i="50"/>
  <c r="Q7" i="50" a="1"/>
  <c r="Q7" i="50"/>
  <c r="Q8" i="50"/>
  <c r="Q8" i="50" a="1"/>
  <c r="Q9" i="50" a="1"/>
  <c r="Q9" i="50"/>
  <c r="Q10" i="50" a="1"/>
  <c r="Q10" i="50"/>
  <c r="Q11" i="50" a="1"/>
  <c r="Q11" i="50"/>
  <c r="Q12" i="50" a="1"/>
  <c r="Q12" i="50"/>
  <c r="Q13" i="50" a="1"/>
  <c r="Q13" i="50"/>
  <c r="Q14" i="50" a="1"/>
  <c r="Q14" i="50"/>
  <c r="Q15" i="50" a="1"/>
  <c r="Q15" i="50"/>
  <c r="Q16" i="50" a="1"/>
  <c r="Q16" i="50"/>
  <c r="Q17" i="50" a="1"/>
  <c r="Q17" i="50"/>
  <c r="Q18" i="50" a="1"/>
  <c r="Q18" i="50"/>
  <c r="Q19" i="50" a="1"/>
  <c r="Q19" i="50"/>
  <c r="Q20" i="50" a="1"/>
  <c r="Q20" i="50"/>
  <c r="Q21" i="50" a="1"/>
  <c r="Q21" i="50"/>
  <c r="Q22" i="50" a="1"/>
  <c r="Q22" i="50"/>
  <c r="Q23" i="50" a="1"/>
  <c r="Q23" i="50"/>
  <c r="Q24" i="50" a="1"/>
  <c r="Q24" i="50"/>
  <c r="Q25" i="50" a="1"/>
  <c r="Q25" i="50"/>
  <c r="Q26" i="50" a="1"/>
  <c r="Q26" i="50"/>
  <c r="Q27" i="50" a="1"/>
  <c r="Q27" i="50"/>
  <c r="Q28" i="50" a="1"/>
  <c r="Q28" i="50"/>
  <c r="Q29" i="50" a="1"/>
  <c r="Q29" i="50"/>
  <c r="Q30" i="50" a="1"/>
  <c r="Q30" i="50"/>
  <c r="Q31" i="50" a="1"/>
  <c r="Q31" i="50"/>
  <c r="Q32" i="50" a="1"/>
  <c r="Q32" i="50"/>
  <c r="Q33" i="50" a="1"/>
  <c r="Q33" i="50"/>
  <c r="Q34" i="50" a="1"/>
  <c r="Q34" i="50"/>
  <c r="Q35" i="50" a="1"/>
  <c r="Q35" i="50"/>
  <c r="Q36" i="50" a="1"/>
  <c r="Q36" i="50"/>
  <c r="Q37" i="50" a="1"/>
  <c r="Q37" i="50"/>
  <c r="Q38" i="50" a="1"/>
  <c r="Q38" i="50"/>
  <c r="Q39" i="50" a="1"/>
  <c r="Q39" i="50"/>
  <c r="Q40" i="50" a="1"/>
  <c r="Q40" i="50"/>
  <c r="Q41" i="50" a="1"/>
  <c r="Q41" i="50"/>
  <c r="Q42" i="50" a="1"/>
  <c r="Q42" i="50"/>
  <c r="Q43" i="50" a="1"/>
  <c r="Q43" i="50"/>
  <c r="Q44" i="50" a="1"/>
  <c r="Q44" i="50"/>
  <c r="Q45" i="50" a="1"/>
  <c r="Q45" i="50"/>
  <c r="Q46" i="50" a="1"/>
  <c r="Q46" i="50"/>
  <c r="Q47" i="50" a="1"/>
  <c r="Q47" i="50"/>
  <c r="Q48" i="50" a="1"/>
  <c r="Q48" i="50"/>
  <c r="Q49" i="50" a="1"/>
  <c r="Q49" i="50"/>
  <c r="Q50" i="50" a="1"/>
  <c r="Q50" i="50"/>
  <c r="Q51" i="50" a="1"/>
  <c r="Q51" i="50"/>
  <c r="Q52" i="50" a="1"/>
  <c r="Q52" i="50"/>
  <c r="Q53" i="50" a="1"/>
  <c r="Q53" i="50"/>
  <c r="Q54" i="50" a="1"/>
  <c r="Q54" i="50"/>
  <c r="Q55" i="50" a="1"/>
  <c r="Q55" i="50"/>
  <c r="Q56" i="50" a="1"/>
  <c r="Q56" i="50"/>
  <c r="Q57" i="50" a="1"/>
  <c r="Q57" i="50"/>
  <c r="Q58" i="50" a="1"/>
  <c r="Q58" i="50"/>
  <c r="Q59" i="50" a="1"/>
  <c r="Q59" i="50"/>
  <c r="Q60" i="50" a="1"/>
  <c r="Q60" i="50"/>
  <c r="Q61" i="50" a="1"/>
  <c r="Q61" i="50"/>
  <c r="Q62" i="50" a="1"/>
  <c r="Q62" i="50"/>
  <c r="Q63" i="50" a="1"/>
  <c r="Q63" i="50"/>
  <c r="Q64" i="50" a="1"/>
  <c r="Q64" i="50"/>
  <c r="Q65" i="50" a="1"/>
  <c r="Q65" i="50"/>
  <c r="Q66" i="50" a="1"/>
  <c r="Q66" i="50"/>
  <c r="Q67" i="50" a="1"/>
  <c r="Q67" i="50"/>
  <c r="Q68" i="50" a="1"/>
  <c r="Q68" i="50"/>
  <c r="Q69" i="50" a="1"/>
  <c r="Q69" i="50"/>
  <c r="Q70" i="50" a="1"/>
  <c r="Q70" i="50"/>
  <c r="Q71" i="50" a="1"/>
  <c r="Q71" i="50"/>
  <c r="Q72" i="50" a="1"/>
  <c r="Q72" i="50"/>
  <c r="Q73" i="50" a="1"/>
  <c r="Q73" i="50"/>
  <c r="Q74" i="50" a="1"/>
  <c r="Q74" i="50"/>
  <c r="Q75" i="50" a="1"/>
  <c r="Q75" i="50"/>
  <c r="Q76" i="50" a="1"/>
  <c r="Q76" i="50"/>
  <c r="Q77" i="50" a="1"/>
  <c r="Q77" i="50"/>
  <c r="Q78" i="50" a="1"/>
  <c r="Q78" i="50"/>
  <c r="Q79" i="50" a="1"/>
  <c r="Q79" i="50"/>
  <c r="Q80" i="50" a="1"/>
  <c r="Q80" i="50"/>
  <c r="Q81" i="50" a="1"/>
  <c r="Q81" i="50"/>
  <c r="Q82" i="50" a="1"/>
  <c r="Q82" i="50"/>
  <c r="Q83" i="50" a="1"/>
  <c r="Q83" i="50"/>
  <c r="Q84" i="50" a="1"/>
  <c r="Q84" i="50"/>
  <c r="Q85" i="50" a="1"/>
  <c r="Q85" i="50"/>
  <c r="Q86" i="50" a="1"/>
  <c r="Q86" i="50"/>
  <c r="Q87" i="50" a="1"/>
  <c r="Q87" i="50"/>
  <c r="Q88" i="50" a="1"/>
  <c r="Q88" i="50"/>
  <c r="Q89" i="50" a="1"/>
  <c r="Q89" i="50"/>
  <c r="Q90" i="50" a="1"/>
  <c r="Q90" i="50"/>
  <c r="Q91" i="50" a="1"/>
  <c r="Q91" i="50"/>
  <c r="Q92" i="50" a="1"/>
  <c r="Q92" i="50"/>
  <c r="Q93" i="50" a="1"/>
  <c r="Q93" i="50"/>
  <c r="Q94" i="50" a="1"/>
  <c r="Q94" i="50"/>
  <c r="Q95" i="50" a="1"/>
  <c r="Q95" i="50"/>
  <c r="Q96" i="50" a="1"/>
  <c r="Q96" i="50"/>
  <c r="Q97" i="50" a="1"/>
  <c r="Q97" i="50"/>
  <c r="Q98" i="50" a="1"/>
  <c r="Q98" i="50"/>
  <c r="Q99" i="50" a="1"/>
  <c r="Q99" i="50"/>
  <c r="Q100" i="50" a="1"/>
  <c r="Q100" i="50"/>
  <c r="Q101" i="50" a="1"/>
  <c r="Q101" i="50"/>
  <c r="Q102" i="50" a="1"/>
  <c r="Q102" i="50"/>
  <c r="Q103" i="50" a="1"/>
  <c r="Q103" i="50"/>
  <c r="Q104" i="50" a="1"/>
  <c r="Q104" i="50"/>
  <c r="Q105" i="50" a="1"/>
  <c r="Q105" i="50"/>
  <c r="Q106" i="50" a="1"/>
  <c r="Q106" i="50"/>
  <c r="Q107" i="50" a="1"/>
  <c r="Q107" i="50"/>
  <c r="D7" i="32" a="1"/>
  <c r="D7" i="32"/>
  <c r="H7" i="32" a="1"/>
  <c r="H7" i="32"/>
  <c r="I7" i="32"/>
  <c r="J7" i="32" a="1"/>
  <c r="J7" i="32"/>
  <c r="D8" i="32" a="1"/>
  <c r="D8" i="32"/>
  <c r="H8" i="32" a="1"/>
  <c r="H8" i="32"/>
  <c r="G8" i="32"/>
  <c r="J8" i="32" a="1"/>
  <c r="J8" i="32"/>
  <c r="D9" i="32" a="1"/>
  <c r="D9" i="32"/>
  <c r="H9" i="32" a="1"/>
  <c r="H9" i="32"/>
  <c r="I9" i="32"/>
  <c r="J9" i="32" a="1"/>
  <c r="J9" i="32"/>
  <c r="D10" i="32" a="1"/>
  <c r="D10" i="32"/>
  <c r="H10" i="32" a="1"/>
  <c r="H10" i="32"/>
  <c r="J10" i="32" a="1"/>
  <c r="J10" i="32"/>
  <c r="D11" i="32" a="1"/>
  <c r="D11" i="32"/>
  <c r="H11" i="32" a="1"/>
  <c r="H11" i="32"/>
  <c r="I11" i="32"/>
  <c r="J11" i="32" a="1"/>
  <c r="J11" i="32"/>
  <c r="D12" i="32" a="1"/>
  <c r="D12" i="32"/>
  <c r="H12" i="32" a="1"/>
  <c r="H12" i="32"/>
  <c r="J12" i="32" a="1"/>
  <c r="J12" i="32"/>
  <c r="D13" i="32" a="1"/>
  <c r="D13" i="32"/>
  <c r="H13" i="32" a="1"/>
  <c r="H13" i="32"/>
  <c r="I13" i="32"/>
  <c r="J13" i="32" a="1"/>
  <c r="J13" i="32"/>
  <c r="D14" i="32" a="1"/>
  <c r="D14" i="32"/>
  <c r="H14" i="32" a="1"/>
  <c r="H14" i="32"/>
  <c r="J14" i="32" a="1"/>
  <c r="J14" i="32"/>
  <c r="D15" i="32" a="1"/>
  <c r="D15" i="32"/>
  <c r="H15" i="32" a="1"/>
  <c r="H15" i="32"/>
  <c r="I15" i="32"/>
  <c r="J15" i="32" a="1"/>
  <c r="J15" i="32"/>
  <c r="D7" i="58"/>
  <c r="G7" i="58"/>
  <c r="D8" i="58"/>
  <c r="G8" i="58"/>
  <c r="D9" i="58"/>
  <c r="G9" i="58"/>
  <c r="D10" i="58"/>
  <c r="H10" i="58"/>
  <c r="D11" i="58"/>
  <c r="G11" i="58"/>
  <c r="D12" i="58"/>
  <c r="G12" i="58"/>
  <c r="G13" i="58"/>
  <c r="D14" i="58"/>
  <c r="G14" i="58"/>
  <c r="I15" i="58"/>
  <c r="J15" i="58"/>
  <c r="K15" i="58"/>
  <c r="I17" i="58"/>
  <c r="J17" i="58"/>
  <c r="K17" i="58"/>
  <c r="I18" i="58"/>
  <c r="J18" i="58"/>
  <c r="K18" i="58"/>
  <c r="D23" i="58"/>
  <c r="D24" i="58"/>
  <c r="D31" i="58"/>
  <c r="H26" i="58"/>
  <c r="H30" i="58"/>
  <c r="H33" i="58"/>
  <c r="G9" i="62"/>
  <c r="G10" i="62"/>
  <c r="G11" i="62"/>
  <c r="G12" i="62"/>
  <c r="G13" i="62"/>
  <c r="G14" i="62"/>
  <c r="D15" i="62"/>
  <c r="I15" i="62"/>
  <c r="J15" i="62"/>
  <c r="K15" i="62"/>
  <c r="H17" i="62"/>
  <c r="I17" i="62"/>
  <c r="J17" i="62"/>
  <c r="K17" i="62"/>
  <c r="H18" i="62" a="1"/>
  <c r="H18" i="62"/>
  <c r="I18" i="62"/>
  <c r="J18" i="62"/>
  <c r="K18" i="62"/>
  <c r="H25" i="62"/>
  <c r="H26" i="62"/>
  <c r="H27" i="62"/>
  <c r="H28" i="62"/>
  <c r="H29" i="62"/>
  <c r="H30" i="62"/>
  <c r="H31" i="62"/>
  <c r="D32" i="62"/>
  <c r="J8" i="37"/>
  <c r="J9" i="37"/>
  <c r="J10" i="37"/>
  <c r="J11" i="37"/>
  <c r="J12" i="37"/>
  <c r="J13" i="37"/>
  <c r="J14" i="37"/>
  <c r="J15" i="37"/>
  <c r="J16" i="37"/>
  <c r="J17" i="37"/>
  <c r="D19" i="37"/>
  <c r="E19" i="37"/>
  <c r="H20" i="37"/>
  <c r="I20" i="37"/>
  <c r="H21" i="37"/>
  <c r="I21" i="37"/>
  <c r="G103" i="37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D37" i="35"/>
  <c r="E37" i="35"/>
  <c r="H38" i="35"/>
  <c r="I38" i="35"/>
  <c r="H39" i="35"/>
  <c r="I39" i="35"/>
  <c r="K97" i="35"/>
  <c r="F2" i="31"/>
  <c r="G2" i="31"/>
  <c r="J2" i="31"/>
  <c r="D7" i="30"/>
  <c r="F7" i="30" a="1"/>
  <c r="F7" i="30"/>
  <c r="H7" i="30" a="1"/>
  <c r="H7" i="30"/>
  <c r="J7" i="30" a="1"/>
  <c r="J7" i="30"/>
  <c r="D8" i="30"/>
  <c r="F8" i="30" a="1"/>
  <c r="F8" i="30"/>
  <c r="H8" i="30" a="1"/>
  <c r="H8" i="30"/>
  <c r="J8" i="30" a="1"/>
  <c r="J8" i="30"/>
  <c r="D9" i="30"/>
  <c r="F9" i="30" a="1"/>
  <c r="F9" i="30"/>
  <c r="H9" i="30" a="1"/>
  <c r="H9" i="30"/>
  <c r="J9" i="30" a="1"/>
  <c r="J9" i="30"/>
  <c r="D10" i="30"/>
  <c r="F10" i="30" a="1"/>
  <c r="F10" i="30"/>
  <c r="H10" i="30" a="1"/>
  <c r="H10" i="30"/>
  <c r="J10" i="30" a="1"/>
  <c r="J10" i="30"/>
  <c r="D11" i="30"/>
  <c r="F11" i="30" a="1"/>
  <c r="F11" i="30"/>
  <c r="H11" i="30" a="1"/>
  <c r="H11" i="30"/>
  <c r="J11" i="30" a="1"/>
  <c r="J11" i="30"/>
  <c r="D12" i="30"/>
  <c r="F12" i="30" a="1"/>
  <c r="F12" i="30"/>
  <c r="H12" i="30" a="1"/>
  <c r="H12" i="30"/>
  <c r="J12" i="30" a="1"/>
  <c r="J12" i="30"/>
  <c r="D13" i="30"/>
  <c r="F13" i="30" a="1"/>
  <c r="F13" i="30"/>
  <c r="H13" i="30" a="1"/>
  <c r="H13" i="30"/>
  <c r="J13" i="30" a="1"/>
  <c r="J13" i="30"/>
  <c r="D14" i="30"/>
  <c r="F14" i="30" a="1"/>
  <c r="F14" i="30"/>
  <c r="H14" i="30" a="1"/>
  <c r="H14" i="30"/>
  <c r="J14" i="30" a="1"/>
  <c r="J14" i="30"/>
  <c r="D15" i="30"/>
  <c r="F15" i="30" a="1"/>
  <c r="F15" i="30"/>
  <c r="H15" i="30" a="1"/>
  <c r="H15" i="30"/>
  <c r="J15" i="30" a="1"/>
  <c r="J15" i="30"/>
  <c r="D16" i="30"/>
  <c r="F16" i="30"/>
  <c r="F16" i="30" a="1"/>
  <c r="H16" i="30" a="1"/>
  <c r="H16" i="30"/>
  <c r="J16" i="30" a="1"/>
  <c r="J16" i="30"/>
  <c r="D17" i="30"/>
  <c r="F17" i="30" a="1"/>
  <c r="F17" i="30"/>
  <c r="H17" i="30" a="1"/>
  <c r="H17" i="30"/>
  <c r="J17" i="30" a="1"/>
  <c r="J17" i="30"/>
  <c r="D18" i="30"/>
  <c r="F18" i="30" a="1"/>
  <c r="F18" i="30"/>
  <c r="H18" i="30" a="1"/>
  <c r="H18" i="30"/>
  <c r="J18" i="30" a="1"/>
  <c r="J18" i="30"/>
  <c r="D19" i="30"/>
  <c r="F19" i="30" a="1"/>
  <c r="F19" i="30"/>
  <c r="L19" i="30"/>
  <c r="H19" i="30" a="1"/>
  <c r="H19" i="30"/>
  <c r="J19" i="30" a="1"/>
  <c r="J19" i="30"/>
  <c r="D20" i="30"/>
  <c r="F20" i="30" a="1"/>
  <c r="F20" i="30"/>
  <c r="H20" i="30" a="1"/>
  <c r="H20" i="30"/>
  <c r="J20" i="30" a="1"/>
  <c r="J20" i="30"/>
  <c r="D21" i="30"/>
  <c r="F21" i="30" a="1"/>
  <c r="F21" i="30"/>
  <c r="H21" i="30" a="1"/>
  <c r="H21" i="30"/>
  <c r="J21" i="30" a="1"/>
  <c r="J21" i="30"/>
  <c r="D22" i="30"/>
  <c r="F22" i="30" a="1"/>
  <c r="F22" i="30"/>
  <c r="H22" i="30" a="1"/>
  <c r="H22" i="30"/>
  <c r="L22" i="30"/>
  <c r="J22" i="30" a="1"/>
  <c r="J22" i="30"/>
  <c r="D23" i="30"/>
  <c r="F23" i="30" a="1"/>
  <c r="F23" i="30"/>
  <c r="H23" i="30" a="1"/>
  <c r="H23" i="30"/>
  <c r="J23" i="30" a="1"/>
  <c r="J23" i="30"/>
  <c r="L23" i="30" a="1"/>
  <c r="L23" i="30"/>
  <c r="D24" i="30"/>
  <c r="F24" i="30" a="1"/>
  <c r="F24" i="30"/>
  <c r="H24" i="30" a="1"/>
  <c r="H24" i="30"/>
  <c r="L24" i="30"/>
  <c r="J24" i="30" a="1"/>
  <c r="J24" i="30"/>
  <c r="D25" i="30"/>
  <c r="F25" i="30" a="1"/>
  <c r="F25" i="30"/>
  <c r="H25" i="30" a="1"/>
  <c r="H25" i="30"/>
  <c r="J25" i="30" a="1"/>
  <c r="J25" i="30"/>
  <c r="D26" i="30"/>
  <c r="F26" i="30" a="1"/>
  <c r="F26" i="30"/>
  <c r="H26" i="30" a="1"/>
  <c r="H26" i="30"/>
  <c r="J26" i="30" a="1"/>
  <c r="J26" i="30"/>
  <c r="D27" i="30"/>
  <c r="F27" i="30" a="1"/>
  <c r="F27" i="30"/>
  <c r="H27" i="30" a="1"/>
  <c r="H27" i="30"/>
  <c r="J27" i="30" a="1"/>
  <c r="J27" i="30"/>
  <c r="D28" i="30"/>
  <c r="F28" i="30" a="1"/>
  <c r="F28" i="30"/>
  <c r="H28" i="30" a="1"/>
  <c r="H28" i="30"/>
  <c r="J28" i="30" a="1"/>
  <c r="J28" i="30"/>
  <c r="D29" i="30"/>
  <c r="F29" i="30" a="1"/>
  <c r="F29" i="30"/>
  <c r="H29" i="30" a="1"/>
  <c r="H29" i="30"/>
  <c r="L29" i="30"/>
  <c r="J29" i="30" a="1"/>
  <c r="J29" i="30"/>
  <c r="D30" i="30"/>
  <c r="F30" i="30" a="1"/>
  <c r="F30" i="30"/>
  <c r="H30" i="30" a="1"/>
  <c r="H30" i="30"/>
  <c r="J30" i="30" a="1"/>
  <c r="J30" i="30"/>
  <c r="D31" i="30"/>
  <c r="F31" i="30" a="1"/>
  <c r="F31" i="30"/>
  <c r="H31" i="30" a="1"/>
  <c r="H31" i="30"/>
  <c r="J31" i="30" a="1"/>
  <c r="J31" i="30"/>
  <c r="D32" i="30"/>
  <c r="F32" i="30" a="1"/>
  <c r="F32" i="30"/>
  <c r="H32" i="30" a="1"/>
  <c r="H32" i="30"/>
  <c r="J32" i="30" a="1"/>
  <c r="J32" i="30"/>
  <c r="D33" i="30"/>
  <c r="F33" i="30" a="1"/>
  <c r="F33" i="30"/>
  <c r="H33" i="30" a="1"/>
  <c r="H33" i="30"/>
  <c r="J33" i="30" a="1"/>
  <c r="J33" i="30"/>
  <c r="D34" i="30"/>
  <c r="F34" i="30" a="1"/>
  <c r="F34" i="30"/>
  <c r="H34" i="30" a="1"/>
  <c r="H34" i="30"/>
  <c r="J34" i="30" a="1"/>
  <c r="J34" i="30"/>
  <c r="D35" i="30"/>
  <c r="F35" i="30" a="1"/>
  <c r="F35" i="30"/>
  <c r="L35" i="30"/>
  <c r="H35" i="30" a="1"/>
  <c r="H35" i="30"/>
  <c r="J35" i="30" a="1"/>
  <c r="J35" i="30"/>
  <c r="D36" i="30"/>
  <c r="F36" i="30" a="1"/>
  <c r="F36" i="30"/>
  <c r="H36" i="30" a="1"/>
  <c r="H36" i="30"/>
  <c r="J36" i="30" a="1"/>
  <c r="J36" i="30"/>
  <c r="D37" i="30"/>
  <c r="F37" i="30" a="1"/>
  <c r="F37" i="30"/>
  <c r="H37" i="30" a="1"/>
  <c r="H37" i="30"/>
  <c r="J37" i="30" a="1"/>
  <c r="J37" i="30"/>
  <c r="D38" i="30"/>
  <c r="F38" i="30" a="1"/>
  <c r="F38" i="30"/>
  <c r="H38" i="30" a="1"/>
  <c r="H38" i="30"/>
  <c r="J38" i="30" a="1"/>
  <c r="J38" i="30"/>
  <c r="D46" i="30" a="1"/>
  <c r="D46" i="30"/>
  <c r="F46" i="30" a="1"/>
  <c r="F46" i="30"/>
  <c r="H46" i="30" a="1"/>
  <c r="H46" i="30"/>
  <c r="J46" i="30" a="1"/>
  <c r="J46" i="30"/>
  <c r="D47" i="30"/>
  <c r="F47" i="30" a="1"/>
  <c r="F47" i="30"/>
  <c r="H47" i="30" a="1"/>
  <c r="H47" i="30"/>
  <c r="H56" i="30"/>
  <c r="J47" i="30" a="1"/>
  <c r="J47" i="30"/>
  <c r="D48" i="30"/>
  <c r="F48" i="30" a="1"/>
  <c r="F48" i="30"/>
  <c r="H48" i="30" a="1"/>
  <c r="H48" i="30"/>
  <c r="J48" i="30" a="1"/>
  <c r="J48" i="30"/>
  <c r="D49" i="30"/>
  <c r="F49" i="30" a="1"/>
  <c r="F49" i="30"/>
  <c r="H49" i="30" a="1"/>
  <c r="H49" i="30"/>
  <c r="J49" i="30" a="1"/>
  <c r="J49" i="30"/>
  <c r="D50" i="30"/>
  <c r="F50" i="30" a="1"/>
  <c r="F50" i="30"/>
  <c r="H50" i="30" a="1"/>
  <c r="H50" i="30"/>
  <c r="J50" i="30" a="1"/>
  <c r="J50" i="30"/>
  <c r="D51" i="30"/>
  <c r="F51" i="30" a="1"/>
  <c r="F51" i="30"/>
  <c r="H51" i="30" a="1"/>
  <c r="H51" i="30"/>
  <c r="J51" i="30" a="1"/>
  <c r="J51" i="30"/>
  <c r="D52" i="30"/>
  <c r="F52" i="30" a="1"/>
  <c r="F52" i="30"/>
  <c r="H52" i="30" a="1"/>
  <c r="H52" i="30"/>
  <c r="J52" i="30" a="1"/>
  <c r="J52" i="30"/>
  <c r="D53" i="30"/>
  <c r="F53" i="30" a="1"/>
  <c r="F53" i="30"/>
  <c r="L53" i="30"/>
  <c r="H53" i="30" a="1"/>
  <c r="H53" i="30"/>
  <c r="J53" i="30" a="1"/>
  <c r="J53" i="30"/>
  <c r="D54" i="30"/>
  <c r="F54" i="30" a="1"/>
  <c r="F54" i="30"/>
  <c r="H54" i="30" a="1"/>
  <c r="H54" i="30"/>
  <c r="J54" i="30" a="1"/>
  <c r="J54" i="30"/>
  <c r="D7" i="39"/>
  <c r="F7" i="39" a="1"/>
  <c r="F7" i="39"/>
  <c r="H7" i="39" a="1"/>
  <c r="H7" i="39"/>
  <c r="J7" i="39" a="1"/>
  <c r="J7" i="39"/>
  <c r="D8" i="39"/>
  <c r="F8" i="39" a="1"/>
  <c r="F8" i="39"/>
  <c r="H8" i="39" a="1"/>
  <c r="H8" i="39"/>
  <c r="J8" i="39" a="1"/>
  <c r="J8" i="39"/>
  <c r="D9" i="39"/>
  <c r="F9" i="39" a="1"/>
  <c r="F9" i="39"/>
  <c r="H9" i="39" a="1"/>
  <c r="H9" i="39"/>
  <c r="J9" i="39" a="1"/>
  <c r="J9" i="39"/>
  <c r="D10" i="39"/>
  <c r="F10" i="39" a="1"/>
  <c r="F10" i="39"/>
  <c r="H10" i="39" a="1"/>
  <c r="H10" i="39"/>
  <c r="J10" i="39" a="1"/>
  <c r="J10" i="39"/>
  <c r="D11" i="39"/>
  <c r="F11" i="39" a="1"/>
  <c r="F11" i="39"/>
  <c r="H11" i="39" a="1"/>
  <c r="H11" i="39"/>
  <c r="J11" i="39" a="1"/>
  <c r="J11" i="39"/>
  <c r="D12" i="39"/>
  <c r="F12" i="39" a="1"/>
  <c r="F12" i="39"/>
  <c r="H12" i="39" a="1"/>
  <c r="H12" i="39"/>
  <c r="J12" i="39" a="1"/>
  <c r="J12" i="39"/>
  <c r="D13" i="39"/>
  <c r="F13" i="39" a="1"/>
  <c r="F13" i="39"/>
  <c r="H13" i="39" a="1"/>
  <c r="H13" i="39"/>
  <c r="J13" i="39" a="1"/>
  <c r="J13" i="39"/>
  <c r="D14" i="39"/>
  <c r="F14" i="39" a="1"/>
  <c r="F14" i="39"/>
  <c r="H14" i="39" a="1"/>
  <c r="H14" i="39"/>
  <c r="J14" i="39" a="1"/>
  <c r="J14" i="39"/>
  <c r="D15" i="39"/>
  <c r="F15" i="39" a="1"/>
  <c r="F15" i="39"/>
  <c r="H15" i="39" a="1"/>
  <c r="H15" i="39"/>
  <c r="J15" i="39" a="1"/>
  <c r="J15" i="39"/>
  <c r="D16" i="39"/>
  <c r="F16" i="39" a="1"/>
  <c r="F16" i="39"/>
  <c r="H16" i="39" a="1"/>
  <c r="H16" i="39"/>
  <c r="L16" i="39"/>
  <c r="J16" i="39" a="1"/>
  <c r="J16" i="39"/>
  <c r="D17" i="39"/>
  <c r="F17" i="39" a="1"/>
  <c r="F17" i="39"/>
  <c r="L17" i="39"/>
  <c r="H17" i="39" a="1"/>
  <c r="H17" i="39"/>
  <c r="J17" i="39" a="1"/>
  <c r="J17" i="39"/>
  <c r="D18" i="39"/>
  <c r="F18" i="39" a="1"/>
  <c r="F18" i="39"/>
  <c r="H18" i="39" a="1"/>
  <c r="H18" i="39"/>
  <c r="J18" i="39" a="1"/>
  <c r="J18" i="39"/>
  <c r="D19" i="39"/>
  <c r="F19" i="39" a="1"/>
  <c r="F19" i="39"/>
  <c r="L19" i="39"/>
  <c r="H19" i="39" a="1"/>
  <c r="H19" i="39"/>
  <c r="J19" i="39" a="1"/>
  <c r="J19" i="39"/>
  <c r="D20" i="39"/>
  <c r="F20" i="39" a="1"/>
  <c r="F20" i="39"/>
  <c r="H20" i="39" a="1"/>
  <c r="H20" i="39"/>
  <c r="J20" i="39" a="1"/>
  <c r="J20" i="39"/>
  <c r="D21" i="39"/>
  <c r="F21" i="39" a="1"/>
  <c r="F21" i="39"/>
  <c r="H21" i="39" a="1"/>
  <c r="H21" i="39"/>
  <c r="J21" i="39" a="1"/>
  <c r="J21" i="39"/>
  <c r="D22" i="39"/>
  <c r="F22" i="39" a="1"/>
  <c r="F22" i="39"/>
  <c r="H22" i="39" a="1"/>
  <c r="H22" i="39"/>
  <c r="J22" i="39" a="1"/>
  <c r="J22" i="39"/>
  <c r="D30" i="39"/>
  <c r="F30" i="39" a="1"/>
  <c r="F30" i="39"/>
  <c r="H30" i="39" a="1"/>
  <c r="H30" i="39"/>
  <c r="J30" i="39" a="1"/>
  <c r="J30" i="39"/>
  <c r="D31" i="39"/>
  <c r="F31" i="39" a="1"/>
  <c r="F31" i="39"/>
  <c r="H31" i="39" a="1"/>
  <c r="H31" i="39"/>
  <c r="J31" i="39" a="1"/>
  <c r="J31" i="39"/>
  <c r="D32" i="39"/>
  <c r="F32" i="39" a="1"/>
  <c r="F32" i="39"/>
  <c r="H32" i="39" a="1"/>
  <c r="H32" i="39"/>
  <c r="J32" i="39" a="1"/>
  <c r="J32" i="39"/>
  <c r="D33" i="39"/>
  <c r="F33" i="39" a="1"/>
  <c r="F33" i="39"/>
  <c r="H33" i="39" a="1"/>
  <c r="H33" i="39"/>
  <c r="J33" i="39" a="1"/>
  <c r="J33" i="39"/>
  <c r="L33" i="39"/>
  <c r="D34" i="39"/>
  <c r="F34" i="39" a="1"/>
  <c r="F34" i="39"/>
  <c r="H34" i="39" a="1"/>
  <c r="H34" i="39"/>
  <c r="J34" i="39" a="1"/>
  <c r="J34" i="39"/>
  <c r="D35" i="39"/>
  <c r="F35" i="39" a="1"/>
  <c r="F35" i="39"/>
  <c r="H35" i="39" a="1"/>
  <c r="H35" i="39"/>
  <c r="J35" i="39" a="1"/>
  <c r="J35" i="39"/>
  <c r="D36" i="39"/>
  <c r="F36" i="39" a="1"/>
  <c r="F36" i="39"/>
  <c r="H36" i="39" a="1"/>
  <c r="H36" i="39"/>
  <c r="J36" i="39" a="1"/>
  <c r="J36" i="39"/>
  <c r="D37" i="39"/>
  <c r="F37" i="39" a="1"/>
  <c r="F37" i="39"/>
  <c r="H37" i="39" a="1"/>
  <c r="H37" i="39"/>
  <c r="J37" i="39" a="1"/>
  <c r="J37" i="39"/>
  <c r="D10" i="67" a="1"/>
  <c r="D10" i="67"/>
  <c r="F10" i="67" a="1"/>
  <c r="F10" i="67"/>
  <c r="H10" i="67" a="1"/>
  <c r="H10" i="67"/>
  <c r="J10" i="67" a="1"/>
  <c r="J10" i="67"/>
  <c r="L10" i="67" a="1"/>
  <c r="L10" i="67"/>
  <c r="N10" i="67"/>
  <c r="D11" i="67" a="1"/>
  <c r="D11" i="67"/>
  <c r="F11" i="67" a="1"/>
  <c r="F11" i="67"/>
  <c r="H11" i="67" a="1"/>
  <c r="H11" i="67"/>
  <c r="J11" i="67" a="1"/>
  <c r="J11" i="67"/>
  <c r="L11" i="67" a="1"/>
  <c r="L11" i="67"/>
  <c r="D12" i="67" a="1"/>
  <c r="D12" i="67"/>
  <c r="F12" i="67" a="1"/>
  <c r="F12" i="67"/>
  <c r="H12" i="67" a="1"/>
  <c r="H12" i="67"/>
  <c r="J12" i="67" a="1"/>
  <c r="J12" i="67"/>
  <c r="L12" i="67" a="1"/>
  <c r="L12" i="67"/>
  <c r="D13" i="67" a="1"/>
  <c r="D13" i="67"/>
  <c r="F13" i="67" a="1"/>
  <c r="F13" i="67"/>
  <c r="H13" i="67" a="1"/>
  <c r="H13" i="67"/>
  <c r="J13" i="67" a="1"/>
  <c r="J13" i="67"/>
  <c r="L13" i="67" a="1"/>
  <c r="L13" i="67"/>
  <c r="D14" i="67" a="1"/>
  <c r="D14" i="67"/>
  <c r="F14" i="67" a="1"/>
  <c r="F14" i="67"/>
  <c r="H14" i="67" a="1"/>
  <c r="H14" i="67"/>
  <c r="J14" i="67" a="1"/>
  <c r="J14" i="67"/>
  <c r="L14" i="67" a="1"/>
  <c r="L14" i="67"/>
  <c r="D15" i="67"/>
  <c r="D15" i="67" a="1"/>
  <c r="F15" i="67" a="1"/>
  <c r="F15" i="67"/>
  <c r="N15" i="67"/>
  <c r="H15" i="67" a="1"/>
  <c r="H15" i="67"/>
  <c r="J15" i="67" a="1"/>
  <c r="J15" i="67"/>
  <c r="L15" i="67" a="1"/>
  <c r="L15" i="67"/>
  <c r="D16" i="67" a="1"/>
  <c r="D16" i="67"/>
  <c r="F16" i="67" a="1"/>
  <c r="F16" i="67"/>
  <c r="H16" i="67" a="1"/>
  <c r="H16" i="67"/>
  <c r="N16" i="67"/>
  <c r="J16" i="67" a="1"/>
  <c r="J16" i="67"/>
  <c r="L16" i="67" a="1"/>
  <c r="L16" i="67"/>
  <c r="D24" i="67" a="1"/>
  <c r="D24" i="67"/>
  <c r="F24" i="67" a="1"/>
  <c r="F24" i="67"/>
  <c r="H24" i="67" a="1"/>
  <c r="H24" i="67"/>
  <c r="J24" i="67" a="1"/>
  <c r="J24" i="67"/>
  <c r="L24" i="67" a="1"/>
  <c r="L24" i="67"/>
  <c r="D25" i="67" a="1"/>
  <c r="D25" i="67"/>
  <c r="F25" i="67" a="1"/>
  <c r="F25" i="67"/>
  <c r="H25" i="67" a="1"/>
  <c r="H25" i="67"/>
  <c r="J25" i="67" a="1"/>
  <c r="J25" i="67"/>
  <c r="L25" i="67" a="1"/>
  <c r="L25" i="67"/>
  <c r="D26" i="67" a="1"/>
  <c r="D26" i="67"/>
  <c r="F26" i="67" a="1"/>
  <c r="F26" i="67"/>
  <c r="H26" i="67" a="1"/>
  <c r="H26" i="67"/>
  <c r="J26" i="67" a="1"/>
  <c r="J26" i="67"/>
  <c r="L26" i="67" a="1"/>
  <c r="L26" i="67"/>
  <c r="D27" i="67" a="1"/>
  <c r="D27" i="67"/>
  <c r="F27" i="67" a="1"/>
  <c r="F27" i="67"/>
  <c r="N27" i="67" a="1"/>
  <c r="N27" i="67"/>
  <c r="H27" i="67" a="1"/>
  <c r="H27" i="67"/>
  <c r="J27" i="67" a="1"/>
  <c r="J27" i="67"/>
  <c r="L27" i="67" a="1"/>
  <c r="L27" i="67"/>
  <c r="D28" i="67" a="1"/>
  <c r="D28" i="67"/>
  <c r="F28" i="67" a="1"/>
  <c r="F28" i="67"/>
  <c r="H28" i="67" a="1"/>
  <c r="H28" i="67"/>
  <c r="N28" i="67" a="1"/>
  <c r="J28" i="67" a="1"/>
  <c r="J28" i="67"/>
  <c r="L28" i="67" a="1"/>
  <c r="L28" i="67"/>
  <c r="D29" i="67" a="1"/>
  <c r="D29" i="67"/>
  <c r="F29" i="67"/>
  <c r="F29" i="67" a="1"/>
  <c r="H29" i="67" a="1"/>
  <c r="H29" i="67"/>
  <c r="J29" i="67" a="1"/>
  <c r="J29" i="67"/>
  <c r="L29" i="67" a="1"/>
  <c r="L29" i="67"/>
  <c r="D30" i="67" a="1"/>
  <c r="D30" i="67"/>
  <c r="F30" i="67" a="1"/>
  <c r="F30" i="67"/>
  <c r="H30" i="67" a="1"/>
  <c r="H30" i="67"/>
  <c r="J30" i="67" a="1"/>
  <c r="J30" i="67"/>
  <c r="L30" i="67" a="1"/>
  <c r="L30" i="67"/>
  <c r="L33" i="67"/>
  <c r="D31" i="67"/>
  <c r="D31" i="67" a="1"/>
  <c r="F31" i="67" a="1"/>
  <c r="F31" i="67"/>
  <c r="H31" i="67" a="1"/>
  <c r="H31" i="67"/>
  <c r="N31" i="67" a="1"/>
  <c r="N31" i="67"/>
  <c r="J31" i="67" a="1"/>
  <c r="J31" i="67"/>
  <c r="L31" i="67" a="1"/>
  <c r="L31" i="67"/>
  <c r="D32" i="67" a="1"/>
  <c r="D32" i="67"/>
  <c r="F32" i="67" a="1"/>
  <c r="F32" i="67"/>
  <c r="H32" i="67" a="1"/>
  <c r="H32" i="67"/>
  <c r="J32" i="67" a="1"/>
  <c r="J32" i="67"/>
  <c r="L32" i="67" a="1"/>
  <c r="L32" i="67"/>
  <c r="B40" i="67"/>
  <c r="L11" i="22"/>
  <c r="L12" i="22"/>
  <c r="L13" i="22"/>
  <c r="L14" i="22"/>
  <c r="L15" i="22"/>
  <c r="L16" i="22"/>
  <c r="L17" i="22"/>
  <c r="L18" i="22"/>
  <c r="L19" i="22"/>
  <c r="L20" i="22"/>
  <c r="N20" i="22"/>
  <c r="L21" i="22"/>
  <c r="L22" i="22"/>
  <c r="L23" i="22"/>
  <c r="L24" i="22"/>
  <c r="L25" i="22"/>
  <c r="L26" i="22"/>
  <c r="L27" i="22"/>
  <c r="L28" i="22"/>
  <c r="N28" i="22"/>
  <c r="L29" i="22"/>
  <c r="L30" i="22"/>
  <c r="L31" i="22"/>
  <c r="L32" i="22"/>
  <c r="N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D53" i="22"/>
  <c r="F53" i="22"/>
  <c r="H53" i="22"/>
  <c r="J53" i="22"/>
  <c r="L59" i="22"/>
  <c r="L69" i="22"/>
  <c r="N69" i="22"/>
  <c r="L60" i="22"/>
  <c r="L61" i="22"/>
  <c r="L62" i="22"/>
  <c r="L63" i="22"/>
  <c r="L64" i="22"/>
  <c r="H65" i="22"/>
  <c r="L65" i="22"/>
  <c r="L66" i="22"/>
  <c r="L67" i="22"/>
  <c r="D69" i="22"/>
  <c r="F69" i="22"/>
  <c r="J69" i="22"/>
  <c r="D71" i="22"/>
  <c r="D51" i="24"/>
  <c r="F51" i="24"/>
  <c r="H51" i="24"/>
  <c r="J51" i="24"/>
  <c r="J52" i="24"/>
  <c r="L51" i="24"/>
  <c r="F52" i="24"/>
  <c r="D67" i="24"/>
  <c r="F67" i="24"/>
  <c r="H67" i="24"/>
  <c r="J67" i="24"/>
  <c r="L67" i="24"/>
  <c r="N64" i="24"/>
  <c r="D69" i="24"/>
  <c r="D7" i="11" a="1"/>
  <c r="D7" i="11"/>
  <c r="F7" i="11" a="1"/>
  <c r="F7" i="11"/>
  <c r="H7" i="11" a="1"/>
  <c r="H7" i="11"/>
  <c r="J7" i="11" a="1"/>
  <c r="J7" i="11"/>
  <c r="J52" i="11"/>
  <c r="F8" i="11" a="1"/>
  <c r="F8" i="11"/>
  <c r="H8" i="11" a="1"/>
  <c r="H8" i="11"/>
  <c r="J8" i="11" a="1"/>
  <c r="J8" i="11"/>
  <c r="F58" i="11" a="1"/>
  <c r="F58" i="11"/>
  <c r="H58" i="11" a="1"/>
  <c r="H58" i="11"/>
  <c r="J58" i="11" a="1"/>
  <c r="J58" i="11"/>
  <c r="D59" i="11" a="1"/>
  <c r="D59" i="11"/>
  <c r="F59" i="11" a="1"/>
  <c r="F59" i="11"/>
  <c r="L59" i="11"/>
  <c r="H59" i="11" a="1"/>
  <c r="H59" i="11"/>
  <c r="J59" i="11" a="1"/>
  <c r="J59" i="11"/>
  <c r="D60" i="11" a="1"/>
  <c r="D60" i="11"/>
  <c r="F60" i="11" a="1"/>
  <c r="F60" i="11"/>
  <c r="H60" i="11" a="1"/>
  <c r="H60" i="11"/>
  <c r="J60" i="11" a="1"/>
  <c r="J60" i="11"/>
  <c r="D61" i="11" a="1"/>
  <c r="D61" i="11"/>
  <c r="F61" i="11" a="1"/>
  <c r="F61" i="11"/>
  <c r="L61" i="11"/>
  <c r="H61" i="11" a="1"/>
  <c r="H61" i="11"/>
  <c r="J61" i="11" a="1"/>
  <c r="J61" i="11"/>
  <c r="D62" i="11" a="1"/>
  <c r="D62" i="11"/>
  <c r="F62" i="11" a="1"/>
  <c r="F62" i="11"/>
  <c r="H62" i="11" a="1"/>
  <c r="H62" i="11"/>
  <c r="J62" i="11" a="1"/>
  <c r="J62" i="11"/>
  <c r="D63" i="11" a="1"/>
  <c r="D63" i="11"/>
  <c r="F63" i="11" a="1"/>
  <c r="F63" i="11"/>
  <c r="L63" i="11"/>
  <c r="H63" i="11" a="1"/>
  <c r="H63" i="11"/>
  <c r="J63" i="11" a="1"/>
  <c r="J63" i="11"/>
  <c r="D64" i="11" a="1"/>
  <c r="D64" i="11"/>
  <c r="F64" i="11" a="1"/>
  <c r="F64" i="11"/>
  <c r="H64" i="11" a="1"/>
  <c r="H64" i="11"/>
  <c r="J64" i="11" a="1"/>
  <c r="J64" i="11"/>
  <c r="D65" i="11" a="1"/>
  <c r="D65" i="11"/>
  <c r="F65" i="11" a="1"/>
  <c r="F65" i="11"/>
  <c r="H65" i="11" a="1"/>
  <c r="H65" i="11"/>
  <c r="J65" i="11" a="1"/>
  <c r="J65" i="11"/>
  <c r="D66" i="11" a="1"/>
  <c r="D66" i="11"/>
  <c r="F66" i="11" a="1"/>
  <c r="F66" i="11"/>
  <c r="H66" i="11" a="1"/>
  <c r="H66" i="11"/>
  <c r="J66" i="11" a="1"/>
  <c r="J66" i="11"/>
  <c r="D67" i="11" a="1"/>
  <c r="D67" i="11"/>
  <c r="F67" i="11" a="1"/>
  <c r="F67" i="11"/>
  <c r="L67" i="11"/>
  <c r="H67" i="11" a="1"/>
  <c r="H67" i="11"/>
  <c r="J67" i="11" a="1"/>
  <c r="J67" i="11"/>
  <c r="C71" i="11"/>
  <c r="Q10" i="21"/>
  <c r="G18" i="21"/>
  <c r="G21" i="21"/>
  <c r="E21" i="21"/>
  <c r="I21" i="21"/>
  <c r="K21" i="21"/>
  <c r="M21" i="21"/>
  <c r="O21" i="21"/>
  <c r="Q21" i="21"/>
  <c r="O22" i="21"/>
  <c r="M22" i="21"/>
  <c r="K22" i="21"/>
  <c r="I22" i="21"/>
  <c r="G22" i="21"/>
  <c r="E22" i="21"/>
  <c r="G29" i="21"/>
  <c r="K29" i="21"/>
  <c r="K33" i="21"/>
  <c r="Q29" i="21"/>
  <c r="Q33" i="21"/>
  <c r="O34" i="21"/>
  <c r="M34" i="21"/>
  <c r="K34" i="21"/>
  <c r="I34" i="21"/>
  <c r="G34" i="21"/>
  <c r="E34" i="21"/>
  <c r="G30" i="21"/>
  <c r="E33" i="21"/>
  <c r="I33" i="21"/>
  <c r="M33" i="21"/>
  <c r="O33" i="21"/>
  <c r="G46" i="21"/>
  <c r="G49" i="21"/>
  <c r="G58" i="21"/>
  <c r="G68" i="21"/>
  <c r="E60" i="21"/>
  <c r="E68" i="21"/>
  <c r="E61" i="21"/>
  <c r="K64" i="21"/>
  <c r="E66" i="21"/>
  <c r="I68" i="21"/>
  <c r="M68" i="21"/>
  <c r="E72" i="21"/>
  <c r="D9" i="66"/>
  <c r="F9" i="66"/>
  <c r="J9" i="66"/>
  <c r="P9" i="66"/>
  <c r="B15" i="66"/>
  <c r="D15" i="66"/>
  <c r="F15" i="66"/>
  <c r="J15" i="66"/>
  <c r="H15" i="66"/>
  <c r="F21" i="66"/>
  <c r="J21" i="66"/>
  <c r="P21" i="66"/>
  <c r="F27" i="66"/>
  <c r="J27" i="66"/>
  <c r="P27" i="66"/>
  <c r="D33" i="66"/>
  <c r="F33" i="66"/>
  <c r="J33" i="66"/>
  <c r="J53" i="66"/>
  <c r="H33" i="66"/>
  <c r="P33" i="66"/>
  <c r="F45" i="66"/>
  <c r="J45" i="66"/>
  <c r="P45" i="66"/>
  <c r="F51" i="66"/>
  <c r="J51" i="66"/>
  <c r="D9" i="36"/>
  <c r="F9" i="36"/>
  <c r="J9" i="36"/>
  <c r="N9" i="36"/>
  <c r="P9" i="36"/>
  <c r="B15" i="36"/>
  <c r="D15" i="36"/>
  <c r="H15" i="36"/>
  <c r="B21" i="36"/>
  <c r="D21" i="36"/>
  <c r="H21" i="36"/>
  <c r="J21" i="36"/>
  <c r="B27" i="36"/>
  <c r="F27" i="36"/>
  <c r="J27" i="36"/>
  <c r="P27" i="36"/>
  <c r="B33" i="36"/>
  <c r="P33" i="36"/>
  <c r="H33" i="36"/>
  <c r="B39" i="36"/>
  <c r="D39" i="36"/>
  <c r="H39" i="36"/>
  <c r="F45" i="36"/>
  <c r="J45" i="36"/>
  <c r="N45" i="36"/>
  <c r="P45" i="36"/>
  <c r="F51" i="36"/>
  <c r="J51" i="36"/>
  <c r="H37" i="65"/>
  <c r="D9" i="61"/>
  <c r="J9" i="61"/>
  <c r="P9" i="61"/>
  <c r="B15" i="61"/>
  <c r="D15" i="61"/>
  <c r="J15" i="61"/>
  <c r="F21" i="61"/>
  <c r="J21" i="61"/>
  <c r="N21" i="61"/>
  <c r="F27" i="61"/>
  <c r="J27" i="61"/>
  <c r="N27" i="61"/>
  <c r="J33" i="61"/>
  <c r="P33" i="61"/>
  <c r="P42" i="61"/>
  <c r="F39" i="61"/>
  <c r="J39" i="61"/>
  <c r="N39" i="61"/>
  <c r="F8" i="28"/>
  <c r="J8" i="28"/>
  <c r="P8" i="28"/>
  <c r="F14" i="28"/>
  <c r="J14" i="28"/>
  <c r="F20" i="28"/>
  <c r="J20" i="28"/>
  <c r="J34" i="28"/>
  <c r="J36" i="28"/>
  <c r="L36" i="28"/>
  <c r="P20" i="28"/>
  <c r="F26" i="28"/>
  <c r="J26" i="28"/>
  <c r="P26" i="28"/>
  <c r="P34" i="28"/>
  <c r="F8" i="29"/>
  <c r="J8" i="29"/>
  <c r="J34" i="29"/>
  <c r="J36" i="29"/>
  <c r="L36" i="29"/>
  <c r="P8" i="29"/>
  <c r="F14" i="29"/>
  <c r="J14" i="29"/>
  <c r="F20" i="29"/>
  <c r="J20" i="29"/>
  <c r="P20" i="29"/>
  <c r="F26" i="29"/>
  <c r="J26" i="29"/>
  <c r="P26" i="29"/>
  <c r="P34" i="29"/>
  <c r="D8" i="41"/>
  <c r="F8" i="41"/>
  <c r="I8" i="41"/>
  <c r="D14" i="41"/>
  <c r="F14" i="41"/>
  <c r="D20" i="41"/>
  <c r="F20" i="41"/>
  <c r="F34" i="41"/>
  <c r="F36" i="41"/>
  <c r="G36" i="41"/>
  <c r="I20" i="41"/>
  <c r="D26" i="41"/>
  <c r="F26" i="41"/>
  <c r="I26" i="41"/>
  <c r="H37" i="5"/>
  <c r="D43" i="5"/>
  <c r="G34" i="4"/>
  <c r="B40" i="4"/>
  <c r="H37" i="3"/>
  <c r="I32" i="20"/>
  <c r="I33" i="20"/>
  <c r="K32" i="20"/>
  <c r="M32" i="20"/>
  <c r="M33" i="20"/>
  <c r="O32" i="20"/>
  <c r="K33" i="20"/>
  <c r="C36" i="20"/>
  <c r="C32" i="2"/>
  <c r="C34" i="1"/>
  <c r="C34" i="68"/>
  <c r="D3" i="19"/>
  <c r="H10" i="20"/>
  <c r="H32" i="20"/>
  <c r="H33" i="20"/>
  <c r="H3" i="19"/>
  <c r="K3" i="19"/>
  <c r="Q3" i="19"/>
  <c r="G12" i="20"/>
  <c r="T3" i="19"/>
  <c r="G18" i="20"/>
  <c r="U3" i="19"/>
  <c r="V3" i="19"/>
  <c r="G22" i="20"/>
  <c r="W3" i="19"/>
  <c r="G24" i="20"/>
  <c r="F6" i="19"/>
  <c r="F3" i="19"/>
  <c r="H6" i="19"/>
  <c r="P6" i="19"/>
  <c r="P3" i="19"/>
  <c r="S6" i="19"/>
  <c r="Y6" i="19"/>
  <c r="AA6" i="19"/>
  <c r="AB6" i="19"/>
  <c r="AC6" i="19"/>
  <c r="AE6" i="19"/>
  <c r="AF6" i="19"/>
  <c r="AF3" i="19"/>
  <c r="AG6" i="19"/>
  <c r="AH6" i="19"/>
  <c r="AH3" i="19"/>
  <c r="F22" i="20"/>
  <c r="AI6" i="19"/>
  <c r="AJ6" i="19"/>
  <c r="AJ3" i="19"/>
  <c r="AK6" i="19"/>
  <c r="AL6" i="19"/>
  <c r="AM6" i="19"/>
  <c r="AN6" i="19"/>
  <c r="AO6" i="19"/>
  <c r="AP6" i="19"/>
  <c r="AQ6" i="19"/>
  <c r="AR6" i="19"/>
  <c r="AS6" i="19"/>
  <c r="AS3" i="19"/>
  <c r="AT6" i="19"/>
  <c r="AU6" i="19"/>
  <c r="AU3" i="19"/>
  <c r="AV6" i="19"/>
  <c r="AW6" i="19"/>
  <c r="AX6" i="19"/>
  <c r="AY6" i="19"/>
  <c r="AZ6" i="19"/>
  <c r="AZ3" i="19"/>
  <c r="BA6" i="19"/>
  <c r="BB6" i="19"/>
  <c r="BC7" i="19"/>
  <c r="Y8" i="19"/>
  <c r="Z8" i="19"/>
  <c r="Z3" i="19"/>
  <c r="G30" i="20"/>
  <c r="AA8" i="19"/>
  <c r="AB8" i="19"/>
  <c r="AC8" i="19"/>
  <c r="AD8" i="19"/>
  <c r="AD3" i="19"/>
  <c r="AE8" i="19"/>
  <c r="AF8" i="19"/>
  <c r="AG8" i="19"/>
  <c r="AG3" i="19"/>
  <c r="AH8" i="19"/>
  <c r="AI8" i="19"/>
  <c r="AI3" i="19"/>
  <c r="AJ8" i="19"/>
  <c r="AK8" i="19"/>
  <c r="AL8" i="19"/>
  <c r="AM8" i="19"/>
  <c r="AN8" i="19"/>
  <c r="AO8" i="19"/>
  <c r="AP8" i="19"/>
  <c r="AP3" i="19"/>
  <c r="AQ8" i="19"/>
  <c r="AR8" i="19"/>
  <c r="AS8" i="19"/>
  <c r="AT8" i="19"/>
  <c r="AT3" i="19"/>
  <c r="AU8" i="19"/>
  <c r="AV8" i="19"/>
  <c r="AW8" i="19"/>
  <c r="AW3" i="19"/>
  <c r="E28" i="20"/>
  <c r="E19" i="1"/>
  <c r="AX8" i="19"/>
  <c r="AX3" i="19"/>
  <c r="E30" i="20"/>
  <c r="E21" i="1"/>
  <c r="AY8" i="19"/>
  <c r="AZ8" i="19"/>
  <c r="BA8" i="19"/>
  <c r="BB8" i="19"/>
  <c r="BB3" i="19"/>
  <c r="BC9" i="19"/>
  <c r="I10" i="19"/>
  <c r="M10" i="19"/>
  <c r="N10" i="19"/>
  <c r="O10" i="19"/>
  <c r="O3" i="19"/>
  <c r="P10" i="19"/>
  <c r="S10" i="19"/>
  <c r="S3" i="19"/>
  <c r="G16" i="20"/>
  <c r="X10" i="19"/>
  <c r="Y10" i="19"/>
  <c r="Y3" i="19"/>
  <c r="AA10" i="19"/>
  <c r="AB10" i="19"/>
  <c r="AB3" i="19"/>
  <c r="AC10" i="19"/>
  <c r="AD10" i="19"/>
  <c r="AE10" i="19"/>
  <c r="AF10" i="19"/>
  <c r="AG10" i="19"/>
  <c r="AH10" i="19"/>
  <c r="AI10" i="19"/>
  <c r="AJ10" i="19"/>
  <c r="AK10" i="19"/>
  <c r="AL10" i="19"/>
  <c r="AM10" i="19"/>
  <c r="AM3" i="19"/>
  <c r="AN10" i="19"/>
  <c r="AO10" i="19"/>
  <c r="AP10" i="19"/>
  <c r="AQ10" i="19"/>
  <c r="BC10" i="19"/>
  <c r="AR10" i="19"/>
  <c r="AS10" i="19"/>
  <c r="AT10" i="19"/>
  <c r="AU10" i="19"/>
  <c r="AV10" i="19"/>
  <c r="AW10" i="19"/>
  <c r="AX10" i="19"/>
  <c r="AY10" i="19"/>
  <c r="AZ10" i="19"/>
  <c r="BA10" i="19"/>
  <c r="BB10" i="19"/>
  <c r="BC11" i="19"/>
  <c r="R12" i="19"/>
  <c r="R3" i="19"/>
  <c r="X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AN12" i="19"/>
  <c r="AO12" i="19"/>
  <c r="AP12" i="19"/>
  <c r="AQ12" i="19"/>
  <c r="AR12" i="19"/>
  <c r="AT12" i="19"/>
  <c r="AU12" i="19"/>
  <c r="AV12" i="19"/>
  <c r="AV3" i="19"/>
  <c r="E26" i="20"/>
  <c r="E17" i="1"/>
  <c r="AW12" i="19"/>
  <c r="AX12" i="19"/>
  <c r="AY12" i="19"/>
  <c r="BA12" i="19"/>
  <c r="BB12" i="19"/>
  <c r="BC13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R14" i="19"/>
  <c r="BC14" i="19"/>
  <c r="AS14" i="19"/>
  <c r="AT14" i="19"/>
  <c r="AU14" i="19"/>
  <c r="AV14" i="19"/>
  <c r="AW14" i="19"/>
  <c r="AX14" i="19"/>
  <c r="AY14" i="19"/>
  <c r="AZ14" i="19"/>
  <c r="BA14" i="19"/>
  <c r="BC15" i="19"/>
  <c r="AB16" i="19"/>
  <c r="AJ16" i="19"/>
  <c r="AK16" i="19"/>
  <c r="AL16" i="19"/>
  <c r="AM16" i="19"/>
  <c r="BC16" i="19"/>
  <c r="BC17" i="19"/>
  <c r="Y18" i="19"/>
  <c r="AG18" i="19"/>
  <c r="AH18" i="19"/>
  <c r="AI18" i="19"/>
  <c r="AK18" i="19"/>
  <c r="AL18" i="19"/>
  <c r="BC18" i="19"/>
  <c r="E19" i="2"/>
  <c r="BC19" i="19"/>
  <c r="AA20" i="19"/>
  <c r="AD20" i="19"/>
  <c r="AE20" i="19"/>
  <c r="AF20" i="19"/>
  <c r="AG20" i="19"/>
  <c r="AH20" i="19"/>
  <c r="AI20" i="19"/>
  <c r="AJ20" i="19"/>
  <c r="AK20" i="19"/>
  <c r="AL20" i="19"/>
  <c r="AM20" i="19"/>
  <c r="AN20" i="19"/>
  <c r="AV20" i="19"/>
  <c r="BC20" i="19"/>
  <c r="AW20" i="19"/>
  <c r="AX20" i="19"/>
  <c r="AZ20" i="19"/>
  <c r="BA20" i="19"/>
  <c r="BC21" i="19"/>
  <c r="AM22" i="19"/>
  <c r="AO22" i="19"/>
  <c r="AQ22" i="19"/>
  <c r="AR22" i="19"/>
  <c r="AV22" i="19"/>
  <c r="BC22" i="19"/>
  <c r="E23" i="2"/>
  <c r="AX22" i="19"/>
  <c r="AZ22" i="19"/>
  <c r="BC23" i="19"/>
  <c r="AO24" i="19"/>
  <c r="AR24" i="19"/>
  <c r="BC24" i="19"/>
  <c r="E25" i="2"/>
  <c r="AV24" i="19"/>
  <c r="AX24" i="19"/>
  <c r="AY24" i="19"/>
  <c r="AZ24" i="19"/>
  <c r="BA24" i="19"/>
  <c r="BC25" i="19"/>
  <c r="C26" i="19"/>
  <c r="C3" i="19"/>
  <c r="E26" i="19"/>
  <c r="E3" i="19"/>
  <c r="F26" i="19"/>
  <c r="G26" i="19"/>
  <c r="G3" i="19"/>
  <c r="I26" i="19"/>
  <c r="J26" i="19"/>
  <c r="J3" i="19"/>
  <c r="L26" i="19"/>
  <c r="L3" i="19"/>
  <c r="M26" i="19"/>
  <c r="M3" i="19"/>
  <c r="N26" i="19"/>
  <c r="X26" i="19"/>
  <c r="Y26" i="19"/>
  <c r="AA26" i="19"/>
  <c r="AB26" i="19"/>
  <c r="AC26" i="19"/>
  <c r="AD26" i="19"/>
  <c r="AE26" i="19"/>
  <c r="AF26" i="19"/>
  <c r="AG26" i="19"/>
  <c r="AH26" i="19"/>
  <c r="AI26" i="19"/>
  <c r="AJ26" i="19"/>
  <c r="AK26" i="19"/>
  <c r="AL26" i="19"/>
  <c r="AM26" i="19"/>
  <c r="AN26" i="19"/>
  <c r="AO26" i="19"/>
  <c r="AP26" i="19"/>
  <c r="AR26" i="19"/>
  <c r="AS26" i="19"/>
  <c r="AT26" i="19"/>
  <c r="AU26" i="19"/>
  <c r="AV26" i="19"/>
  <c r="AW26" i="19"/>
  <c r="AX26" i="19"/>
  <c r="AZ26" i="19"/>
  <c r="BA26" i="19"/>
  <c r="BB26" i="19"/>
  <c r="BG18" i="19"/>
  <c r="N32" i="67" a="1"/>
  <c r="N32" i="67"/>
  <c r="L52" i="24"/>
  <c r="N51" i="24"/>
  <c r="N47" i="24"/>
  <c r="N43" i="24"/>
  <c r="N39" i="24"/>
  <c r="N35" i="24"/>
  <c r="N29" i="24"/>
  <c r="N24" i="24"/>
  <c r="N19" i="24"/>
  <c r="F18" i="67"/>
  <c r="L37" i="39"/>
  <c r="L35" i="39"/>
  <c r="L14" i="39"/>
  <c r="J24" i="39"/>
  <c r="L46" i="30"/>
  <c r="L38" i="30"/>
  <c r="L30" i="30"/>
  <c r="N14" i="24"/>
  <c r="N18" i="24"/>
  <c r="N22" i="24"/>
  <c r="N26" i="24"/>
  <c r="N30" i="24"/>
  <c r="N34" i="24"/>
  <c r="N46" i="24"/>
  <c r="N42" i="24"/>
  <c r="N38" i="24"/>
  <c r="N33" i="24"/>
  <c r="N28" i="24"/>
  <c r="N23" i="24"/>
  <c r="N17" i="24"/>
  <c r="N12" i="24"/>
  <c r="N25" i="67" a="1"/>
  <c r="N25" i="67"/>
  <c r="H24" i="39"/>
  <c r="L7" i="30"/>
  <c r="H40" i="30"/>
  <c r="N62" i="24"/>
  <c r="N58" i="24"/>
  <c r="H52" i="24"/>
  <c r="N49" i="24"/>
  <c r="N45" i="24"/>
  <c r="N41" i="24"/>
  <c r="N37" i="24"/>
  <c r="N32" i="24"/>
  <c r="N27" i="24"/>
  <c r="N21" i="24"/>
  <c r="N16" i="24"/>
  <c r="N11" i="24"/>
  <c r="H69" i="22"/>
  <c r="J39" i="39"/>
  <c r="L22" i="39"/>
  <c r="L8" i="39"/>
  <c r="L52" i="30"/>
  <c r="J56" i="30"/>
  <c r="L34" i="30"/>
  <c r="L21" i="30"/>
  <c r="F40" i="30"/>
  <c r="L8" i="30"/>
  <c r="N65" i="24"/>
  <c r="N61" i="24"/>
  <c r="N48" i="24"/>
  <c r="N44" i="24"/>
  <c r="N40" i="24"/>
  <c r="N36" i="24"/>
  <c r="N31" i="24"/>
  <c r="N25" i="24"/>
  <c r="N20" i="24"/>
  <c r="N15" i="24"/>
  <c r="L31" i="39"/>
  <c r="F39" i="39"/>
  <c r="L12" i="39"/>
  <c r="L36" i="30"/>
  <c r="L28" i="30"/>
  <c r="L16" i="30"/>
  <c r="G20" i="32"/>
  <c r="J17" i="32"/>
  <c r="G14" i="32"/>
  <c r="G12" i="32"/>
  <c r="H19" i="62"/>
  <c r="D15" i="58"/>
  <c r="I14" i="32"/>
  <c r="K13" i="32" a="1"/>
  <c r="K13" i="32"/>
  <c r="G13" i="32"/>
  <c r="I12" i="32"/>
  <c r="K11" i="32" a="1"/>
  <c r="K11" i="32"/>
  <c r="G11" i="32"/>
  <c r="I10" i="32"/>
  <c r="K9" i="32" a="1"/>
  <c r="K9" i="32"/>
  <c r="G9" i="32"/>
  <c r="I8" i="32"/>
  <c r="G7" i="32"/>
  <c r="I19" i="32"/>
  <c r="H19" i="32"/>
  <c r="H17" i="43"/>
  <c r="J25" i="48"/>
  <c r="G10" i="12"/>
  <c r="F33" i="36"/>
  <c r="J33" i="36"/>
  <c r="G20" i="20"/>
  <c r="J33" i="67"/>
  <c r="D33" i="67"/>
  <c r="N59" i="24"/>
  <c r="N28" i="67"/>
  <c r="N24" i="67" a="1"/>
  <c r="N24" i="67"/>
  <c r="L15" i="39"/>
  <c r="L11" i="39"/>
  <c r="L50" i="30"/>
  <c r="L33" i="30"/>
  <c r="L27" i="30"/>
  <c r="L18" i="30"/>
  <c r="L15" i="30"/>
  <c r="K14" i="32" a="1"/>
  <c r="K14" i="32"/>
  <c r="K15" i="32" a="1"/>
  <c r="K15" i="32"/>
  <c r="K7" i="32" a="1"/>
  <c r="K7" i="32"/>
  <c r="K20" i="32"/>
  <c r="K8" i="32" a="1"/>
  <c r="K8" i="32"/>
  <c r="K10" i="32" a="1"/>
  <c r="K10" i="32"/>
  <c r="K12" i="32" a="1"/>
  <c r="K12" i="32"/>
  <c r="N67" i="24"/>
  <c r="N63" i="24"/>
  <c r="L12" i="30"/>
  <c r="L11" i="30"/>
  <c r="N57" i="24"/>
  <c r="L20" i="39"/>
  <c r="L9" i="39"/>
  <c r="L31" i="30"/>
  <c r="D40" i="30"/>
  <c r="J20" i="32"/>
  <c r="G15" i="32"/>
  <c r="G19" i="32"/>
  <c r="J37" i="35"/>
  <c r="J19" i="37"/>
  <c r="I20" i="32"/>
  <c r="H20" i="32"/>
  <c r="D17" i="32"/>
  <c r="BA3" i="19"/>
  <c r="E11" i="68"/>
  <c r="AR3" i="19"/>
  <c r="E18" i="20"/>
  <c r="AN3" i="19"/>
  <c r="E10" i="20"/>
  <c r="P21" i="36"/>
  <c r="AC3" i="19"/>
  <c r="F12" i="20"/>
  <c r="F33" i="67"/>
  <c r="L51" i="30"/>
  <c r="F56" i="30"/>
  <c r="L53" i="22"/>
  <c r="N42" i="22"/>
  <c r="F24" i="39"/>
  <c r="L34" i="39"/>
  <c r="L14" i="30"/>
  <c r="L13" i="30"/>
  <c r="L10" i="30"/>
  <c r="L49" i="30"/>
  <c r="L25" i="30"/>
  <c r="L17" i="30"/>
  <c r="N13" i="67"/>
  <c r="L48" i="30"/>
  <c r="D56" i="30"/>
  <c r="L37" i="30"/>
  <c r="L9" i="30"/>
  <c r="G10" i="58"/>
  <c r="H17" i="58"/>
  <c r="H19" i="58"/>
  <c r="H18" i="58" a="1"/>
  <c r="H18" i="58"/>
  <c r="J19" i="32"/>
  <c r="H34" i="62"/>
  <c r="G25" i="48"/>
  <c r="D12" i="20"/>
  <c r="E27" i="1"/>
  <c r="N67" i="22"/>
  <c r="N34" i="22"/>
  <c r="N41" i="22"/>
  <c r="N38" i="22"/>
  <c r="N44" i="22"/>
  <c r="N66" i="22"/>
  <c r="N13" i="22"/>
  <c r="N29" i="22"/>
  <c r="N53" i="22"/>
  <c r="N18" i="22"/>
  <c r="N59" i="22"/>
  <c r="N14" i="22"/>
  <c r="N16" i="22"/>
  <c r="N39" i="22"/>
  <c r="F54" i="22"/>
  <c r="G14" i="17"/>
  <c r="G36" i="17"/>
  <c r="H36" i="17"/>
  <c r="V70" i="26" a="1"/>
  <c r="V70" i="26"/>
  <c r="G63" i="12"/>
  <c r="C46" i="26"/>
  <c r="N49" i="22"/>
  <c r="N40" i="22"/>
  <c r="N21" i="22"/>
  <c r="N50" i="22"/>
  <c r="N63" i="22"/>
  <c r="N61" i="22"/>
  <c r="L54" i="22"/>
  <c r="N62" i="22"/>
  <c r="N46" i="22"/>
  <c r="N12" i="22"/>
  <c r="X3" i="19"/>
  <c r="N15" i="22"/>
  <c r="N27" i="22"/>
  <c r="N36" i="22"/>
  <c r="N30" i="22"/>
  <c r="N11" i="22"/>
  <c r="N65" i="22"/>
  <c r="N35" i="22"/>
  <c r="G8" i="20"/>
  <c r="BC8" i="19"/>
  <c r="BG8" i="19"/>
  <c r="AL3" i="19"/>
  <c r="F30" i="20"/>
  <c r="E64" i="21"/>
  <c r="K68" i="21"/>
  <c r="G33" i="21"/>
  <c r="N24" i="22"/>
  <c r="N17" i="22"/>
  <c r="H54" i="22"/>
  <c r="J54" i="22"/>
  <c r="N23" i="22"/>
  <c r="N48" i="22"/>
  <c r="N19" i="22"/>
  <c r="N45" i="22"/>
  <c r="N22" i="22"/>
  <c r="BC26" i="19"/>
  <c r="BG26" i="19"/>
  <c r="AK3" i="19"/>
  <c r="F28" i="20"/>
  <c r="BC12" i="19"/>
  <c r="BG12" i="19"/>
  <c r="I34" i="41"/>
  <c r="F15" i="36"/>
  <c r="J15" i="36"/>
  <c r="N13" i="24"/>
  <c r="N11" i="67"/>
  <c r="H39" i="39"/>
  <c r="D24" i="39"/>
  <c r="L30" i="39"/>
  <c r="D39" i="39"/>
  <c r="L13" i="39"/>
  <c r="L10" i="39"/>
  <c r="L20" i="30"/>
  <c r="D18" i="67"/>
  <c r="L7" i="39"/>
  <c r="L47" i="30"/>
  <c r="G23" i="58"/>
  <c r="I20" i="47"/>
  <c r="G10" i="32"/>
  <c r="F30" i="17"/>
  <c r="V69" i="26" a="1"/>
  <c r="V69" i="26"/>
  <c r="T69" i="26" a="1"/>
  <c r="T69" i="26"/>
  <c r="T70" i="26" a="1"/>
  <c r="T70" i="26"/>
  <c r="U69" i="26" a="1"/>
  <c r="U69" i="26"/>
  <c r="R69" i="26" a="1"/>
  <c r="R69" i="26"/>
  <c r="E27" i="2"/>
  <c r="R70" i="26" a="1"/>
  <c r="R70" i="26"/>
  <c r="S69" i="26" a="1"/>
  <c r="S69" i="26"/>
  <c r="S70" i="26" a="1"/>
  <c r="S70" i="26"/>
  <c r="F52" i="11"/>
  <c r="L8" i="11"/>
  <c r="L7" i="11"/>
  <c r="D69" i="11"/>
  <c r="D52" i="11"/>
  <c r="L66" i="11"/>
  <c r="L65" i="11"/>
  <c r="H52" i="11"/>
  <c r="L58" i="11"/>
  <c r="F69" i="11"/>
  <c r="H45" i="12"/>
  <c r="H16" i="71"/>
  <c r="I45" i="12"/>
  <c r="I88" i="12"/>
  <c r="I90" i="12" s="1"/>
  <c r="J62" i="12"/>
  <c r="H58" i="12"/>
  <c r="I76" i="12"/>
  <c r="H51" i="12"/>
  <c r="I36" i="12"/>
  <c r="E8" i="26" a="1"/>
  <c r="E8" i="26"/>
  <c r="L58" i="12"/>
  <c r="H31" i="12"/>
  <c r="H34" i="12" s="1"/>
  <c r="E55" i="26" s="1"/>
  <c r="G32" i="12"/>
  <c r="E19" i="26" s="1"/>
  <c r="E21" i="26" s="1"/>
  <c r="G67" i="12"/>
  <c r="C44" i="26" s="1"/>
  <c r="I66" i="12"/>
  <c r="G64" i="12"/>
  <c r="G49" i="12"/>
  <c r="G48" i="12" s="1"/>
  <c r="G71" i="12"/>
  <c r="I82" i="12"/>
  <c r="G62" i="12"/>
  <c r="C39" i="26"/>
  <c r="F39" i="26" s="1"/>
  <c r="H22" i="12"/>
  <c r="G22" i="12"/>
  <c r="D8" i="26" a="1"/>
  <c r="G83" i="12"/>
  <c r="G82" i="12" s="1"/>
  <c r="J36" i="12"/>
  <c r="E9" i="26" a="1"/>
  <c r="E9" i="26"/>
  <c r="G74" i="12"/>
  <c r="G73" i="12" s="1"/>
  <c r="H73" i="12"/>
  <c r="G52" i="12"/>
  <c r="C41" i="26" s="1"/>
  <c r="F41" i="26" s="1"/>
  <c r="J66" i="12"/>
  <c r="G77" i="12"/>
  <c r="G76" i="12"/>
  <c r="H13" i="12"/>
  <c r="H25" i="12" s="1"/>
  <c r="H27" i="12" s="1"/>
  <c r="G43" i="12"/>
  <c r="K66" i="12"/>
  <c r="G86" i="12"/>
  <c r="G85" i="12"/>
  <c r="C42" i="26"/>
  <c r="F42" i="26"/>
  <c r="D7" i="26"/>
  <c r="G28" i="20"/>
  <c r="F20" i="20"/>
  <c r="E20" i="20"/>
  <c r="E11" i="1"/>
  <c r="G10" i="20"/>
  <c r="Z2" i="19"/>
  <c r="H69" i="11"/>
  <c r="J69" i="11"/>
  <c r="H36" i="12"/>
  <c r="E7" i="26" s="1"/>
  <c r="E11" i="26" s="1"/>
  <c r="E61" i="26"/>
  <c r="E9" i="68"/>
  <c r="D10" i="20"/>
  <c r="E25" i="1"/>
  <c r="F26" i="20"/>
  <c r="F18" i="20"/>
  <c r="L64" i="11"/>
  <c r="L62" i="11"/>
  <c r="L60" i="11"/>
  <c r="C8" i="26"/>
  <c r="E15" i="2"/>
  <c r="BG14" i="19"/>
  <c r="F10" i="20"/>
  <c r="D14" i="20"/>
  <c r="E29" i="1"/>
  <c r="E13" i="68"/>
  <c r="F24" i="20"/>
  <c r="E15" i="1"/>
  <c r="E24" i="20"/>
  <c r="BG20" i="19"/>
  <c r="E21" i="2"/>
  <c r="E11" i="2"/>
  <c r="BG10" i="19"/>
  <c r="E8" i="20"/>
  <c r="E22" i="20"/>
  <c r="E13" i="1"/>
  <c r="E14" i="20"/>
  <c r="F14" i="20"/>
  <c r="L69" i="11"/>
  <c r="N69" i="11"/>
  <c r="E13" i="2"/>
  <c r="N64" i="22"/>
  <c r="K17" i="32"/>
  <c r="N47" i="22"/>
  <c r="N26" i="22"/>
  <c r="N25" i="22"/>
  <c r="N37" i="22"/>
  <c r="N51" i="22"/>
  <c r="N60" i="22"/>
  <c r="N43" i="22"/>
  <c r="N33" i="22"/>
  <c r="N31" i="22"/>
  <c r="W2" i="19"/>
  <c r="N30" i="67" a="1"/>
  <c r="N30" i="67"/>
  <c r="N26" i="67" a="1"/>
  <c r="N26" i="67"/>
  <c r="J18" i="67"/>
  <c r="L32" i="30"/>
  <c r="N3" i="19"/>
  <c r="AY3" i="19"/>
  <c r="BC6" i="19"/>
  <c r="AB2" i="19"/>
  <c r="E9" i="2"/>
  <c r="AQ3" i="19"/>
  <c r="K19" i="32"/>
  <c r="G14" i="20"/>
  <c r="G32" i="20"/>
  <c r="G33" i="20"/>
  <c r="E17" i="2"/>
  <c r="BG16" i="19"/>
  <c r="I3" i="19"/>
  <c r="T2" i="19"/>
  <c r="AE3" i="19"/>
  <c r="AM2" i="19"/>
  <c r="AO3" i="19"/>
  <c r="AQ2" i="19"/>
  <c r="AA3" i="19"/>
  <c r="AE2" i="19"/>
  <c r="S2" i="19"/>
  <c r="F39" i="36"/>
  <c r="J39" i="36"/>
  <c r="J53" i="36"/>
  <c r="J55" i="36"/>
  <c r="L55" i="36"/>
  <c r="P39" i="36"/>
  <c r="P53" i="36"/>
  <c r="L18" i="67"/>
  <c r="N12" i="67"/>
  <c r="H18" i="67"/>
  <c r="E9" i="1"/>
  <c r="H33" i="67"/>
  <c r="J42" i="61"/>
  <c r="J44" i="61"/>
  <c r="L44" i="61"/>
  <c r="P53" i="66"/>
  <c r="J55" i="66"/>
  <c r="L55" i="66"/>
  <c r="N14" i="67"/>
  <c r="L32" i="39"/>
  <c r="L21" i="39"/>
  <c r="L18" i="39"/>
  <c r="L24" i="39"/>
  <c r="L54" i="30"/>
  <c r="L26" i="30"/>
  <c r="L40" i="30"/>
  <c r="J40" i="30"/>
  <c r="N29" i="67" a="1"/>
  <c r="N29" i="67"/>
  <c r="L36" i="39"/>
  <c r="I17" i="32"/>
  <c r="N60" i="24"/>
  <c r="L33" i="11"/>
  <c r="I16" i="17"/>
  <c r="L25" i="11"/>
  <c r="I25" i="17"/>
  <c r="L25" i="48"/>
  <c r="I27" i="48"/>
  <c r="E24" i="34"/>
  <c r="G70" i="12"/>
  <c r="G59" i="12"/>
  <c r="K58" i="12"/>
  <c r="G46" i="12"/>
  <c r="N31" i="30"/>
  <c r="N33" i="30"/>
  <c r="N19" i="30"/>
  <c r="N38" i="30"/>
  <c r="N30" i="30"/>
  <c r="L41" i="30"/>
  <c r="N24" i="30"/>
  <c r="N9" i="30"/>
  <c r="N22" i="30"/>
  <c r="N13" i="30"/>
  <c r="N34" i="30"/>
  <c r="N20" i="30"/>
  <c r="N23" i="30"/>
  <c r="N40" i="30"/>
  <c r="N35" i="30"/>
  <c r="N15" i="30"/>
  <c r="N28" i="30"/>
  <c r="N11" i="30"/>
  <c r="N12" i="30"/>
  <c r="N29" i="30"/>
  <c r="N7" i="30"/>
  <c r="N36" i="30"/>
  <c r="N17" i="30"/>
  <c r="F41" i="30"/>
  <c r="N18" i="30"/>
  <c r="N21" i="30"/>
  <c r="N37" i="30"/>
  <c r="N27" i="30"/>
  <c r="N25" i="30"/>
  <c r="H41" i="30"/>
  <c r="N16" i="30"/>
  <c r="N14" i="30"/>
  <c r="N8" i="30"/>
  <c r="N10" i="30"/>
  <c r="N12" i="39"/>
  <c r="N24" i="39"/>
  <c r="N19" i="39"/>
  <c r="N22" i="39"/>
  <c r="N20" i="39"/>
  <c r="N16" i="39"/>
  <c r="N15" i="39"/>
  <c r="N10" i="39"/>
  <c r="J25" i="39"/>
  <c r="H25" i="39"/>
  <c r="N14" i="39"/>
  <c r="N8" i="39"/>
  <c r="N11" i="39"/>
  <c r="N17" i="39"/>
  <c r="L25" i="39"/>
  <c r="N7" i="39"/>
  <c r="F25" i="39"/>
  <c r="N13" i="39"/>
  <c r="N9" i="39"/>
  <c r="J41" i="30"/>
  <c r="N21" i="39"/>
  <c r="E7" i="68"/>
  <c r="E31" i="68"/>
  <c r="D8" i="20"/>
  <c r="AD2" i="19"/>
  <c r="AN2" i="19"/>
  <c r="AV2" i="19"/>
  <c r="R2" i="19"/>
  <c r="AC2" i="19"/>
  <c r="D9" i="26" a="1"/>
  <c r="N62" i="11"/>
  <c r="N26" i="30"/>
  <c r="L39" i="39"/>
  <c r="N32" i="39"/>
  <c r="AL2" i="19"/>
  <c r="F8" i="20"/>
  <c r="AK2" i="19"/>
  <c r="BB2" i="19"/>
  <c r="E7" i="1"/>
  <c r="E16" i="20"/>
  <c r="V2" i="19"/>
  <c r="Y2" i="19"/>
  <c r="N33" i="67"/>
  <c r="N61" i="11"/>
  <c r="AO2" i="19"/>
  <c r="Q2" i="19"/>
  <c r="N58" i="11"/>
  <c r="N64" i="11"/>
  <c r="N2" i="19"/>
  <c r="N66" i="11"/>
  <c r="AI2" i="19"/>
  <c r="L52" i="11"/>
  <c r="D11" i="26" a="1"/>
  <c r="I36" i="17"/>
  <c r="N36" i="39"/>
  <c r="L56" i="30"/>
  <c r="E12" i="20"/>
  <c r="E32" i="20"/>
  <c r="AZ2" i="19"/>
  <c r="N32" i="30"/>
  <c r="AS2" i="19"/>
  <c r="N63" i="11"/>
  <c r="BA2" i="19"/>
  <c r="AW2" i="19"/>
  <c r="P2" i="19"/>
  <c r="AF2" i="19"/>
  <c r="AU2" i="19"/>
  <c r="AA2" i="19"/>
  <c r="AG2" i="19"/>
  <c r="AJ2" i="19"/>
  <c r="N65" i="11"/>
  <c r="G45" i="12"/>
  <c r="N33" i="11"/>
  <c r="P29" i="67"/>
  <c r="N18" i="39"/>
  <c r="AP2" i="19"/>
  <c r="F16" i="20"/>
  <c r="AY2" i="19"/>
  <c r="E7" i="2"/>
  <c r="E29" i="2"/>
  <c r="BC3" i="19"/>
  <c r="BG6" i="19"/>
  <c r="N59" i="11"/>
  <c r="AX2" i="19"/>
  <c r="O2" i="19"/>
  <c r="AT2" i="19"/>
  <c r="X2" i="19"/>
  <c r="N60" i="11"/>
  <c r="N18" i="67"/>
  <c r="N67" i="11"/>
  <c r="AR2" i="19"/>
  <c r="AH2" i="19"/>
  <c r="U2" i="19"/>
  <c r="P10" i="67" a="1"/>
  <c r="P10" i="67"/>
  <c r="F19" i="67"/>
  <c r="P11" i="67" a="1"/>
  <c r="P11" i="67"/>
  <c r="P15" i="67" a="1"/>
  <c r="P15" i="67"/>
  <c r="P18" i="67"/>
  <c r="N19" i="67"/>
  <c r="P13" i="67" a="1"/>
  <c r="P13" i="67"/>
  <c r="P16" i="67" a="1"/>
  <c r="P16" i="67"/>
  <c r="P14" i="67" a="1"/>
  <c r="P14" i="67"/>
  <c r="N27" i="11"/>
  <c r="N22" i="11"/>
  <c r="N19" i="11"/>
  <c r="N42" i="11"/>
  <c r="N18" i="11"/>
  <c r="N12" i="11"/>
  <c r="N47" i="11"/>
  <c r="N31" i="11"/>
  <c r="N24" i="11"/>
  <c r="N21" i="11"/>
  <c r="N9" i="11"/>
  <c r="F53" i="11"/>
  <c r="N16" i="11"/>
  <c r="N11" i="11"/>
  <c r="N17" i="11"/>
  <c r="N14" i="11"/>
  <c r="N48" i="11"/>
  <c r="N41" i="11"/>
  <c r="N36" i="11"/>
  <c r="N28" i="11"/>
  <c r="N13" i="11"/>
  <c r="N52" i="11"/>
  <c r="N34" i="11"/>
  <c r="N45" i="11"/>
  <c r="N35" i="11"/>
  <c r="N29" i="11"/>
  <c r="N39" i="11"/>
  <c r="N20" i="11"/>
  <c r="N23" i="11"/>
  <c r="N49" i="11"/>
  <c r="N46" i="11"/>
  <c r="N10" i="11"/>
  <c r="N40" i="11"/>
  <c r="N26" i="11"/>
  <c r="N32" i="11"/>
  <c r="N30" i="11"/>
  <c r="N15" i="11"/>
  <c r="N37" i="11"/>
  <c r="L53" i="11"/>
  <c r="N44" i="11"/>
  <c r="N50" i="11"/>
  <c r="N38" i="11"/>
  <c r="N43" i="11"/>
  <c r="H53" i="11"/>
  <c r="J53" i="11"/>
  <c r="N7" i="11"/>
  <c r="N8" i="11"/>
  <c r="L19" i="67"/>
  <c r="N25" i="11"/>
  <c r="E23" i="1"/>
  <c r="D32" i="20"/>
  <c r="D33" i="20"/>
  <c r="H19" i="67"/>
  <c r="N48" i="30"/>
  <c r="N53" i="30"/>
  <c r="N49" i="30"/>
  <c r="N47" i="30"/>
  <c r="N46" i="30"/>
  <c r="N51" i="30"/>
  <c r="N50" i="30"/>
  <c r="N52" i="30"/>
  <c r="N54" i="30"/>
  <c r="P28" i="67"/>
  <c r="P33" i="67"/>
  <c r="P31" i="67"/>
  <c r="P25" i="67"/>
  <c r="P27" i="67"/>
  <c r="P32" i="67"/>
  <c r="P24" i="67"/>
  <c r="F32" i="20"/>
  <c r="F33" i="20"/>
  <c r="N31" i="39"/>
  <c r="N30" i="39"/>
  <c r="N35" i="39"/>
  <c r="N39" i="39"/>
  <c r="N34" i="39"/>
  <c r="N33" i="39"/>
  <c r="N37" i="39"/>
  <c r="P12" i="67" a="1"/>
  <c r="P12" i="67"/>
  <c r="C9" i="26" a="1"/>
  <c r="P30" i="67"/>
  <c r="E31" i="1"/>
  <c r="P26" i="67"/>
  <c r="N56" i="30"/>
  <c r="E33" i="20"/>
  <c r="G14" i="12" l="1"/>
  <c r="C57" i="26"/>
  <c r="F57" i="26" s="1"/>
  <c r="I16" i="12"/>
  <c r="I25" i="12" s="1"/>
  <c r="G17" i="12"/>
  <c r="G16" i="12" s="1"/>
  <c r="H88" i="12"/>
  <c r="D57" i="26"/>
  <c r="G42" i="12"/>
  <c r="C18" i="26"/>
  <c r="K25" i="12"/>
  <c r="D58" i="26" s="1"/>
  <c r="G69" i="12"/>
  <c r="H66" i="12"/>
  <c r="G51" i="12"/>
  <c r="G31" i="12"/>
  <c r="G34" i="12" s="1"/>
  <c r="G66" i="12"/>
  <c r="E44" i="26"/>
  <c r="E48" i="26" s="1"/>
  <c r="C56" i="26"/>
  <c r="G20" i="12"/>
  <c r="G19" i="12" s="1"/>
  <c r="K88" i="12"/>
  <c r="C58" i="26" s="1"/>
  <c r="F58" i="26" s="1"/>
  <c r="L66" i="12"/>
  <c r="L88" i="12" s="1"/>
  <c r="C59" i="26" s="1"/>
  <c r="F59" i="26" s="1"/>
  <c r="C40" i="26"/>
  <c r="F40" i="26" s="1"/>
  <c r="D55" i="26"/>
  <c r="G60" i="12"/>
  <c r="G56" i="12"/>
  <c r="G55" i="12" s="1"/>
  <c r="D56" i="26" l="1"/>
  <c r="I27" i="12"/>
  <c r="H90" i="12"/>
  <c r="H92" i="12" s="1"/>
  <c r="C7" i="26"/>
  <c r="C55" i="26"/>
  <c r="F56" i="26"/>
  <c r="G88" i="12"/>
  <c r="G92" i="12" s="1"/>
  <c r="G13" i="12"/>
  <c r="G25" i="12" s="1"/>
  <c r="D18" i="26" s="1"/>
  <c r="D21" i="26" s="1"/>
  <c r="D43" i="26"/>
  <c r="D48" i="26" s="1"/>
  <c r="C45" i="26"/>
  <c r="F45" i="26" s="1"/>
  <c r="G58" i="12"/>
  <c r="C43" i="26"/>
  <c r="F43" i="26" s="1"/>
  <c r="J27" i="12"/>
  <c r="D9" i="26" s="1"/>
  <c r="F44" i="26"/>
  <c r="D61" i="26"/>
  <c r="L25" i="26"/>
  <c r="L26" i="26" s="1"/>
  <c r="J90" i="12"/>
  <c r="F18" i="26"/>
  <c r="C19" i="26"/>
  <c r="F19" i="26" s="1"/>
  <c r="C21" i="26" l="1"/>
  <c r="F55" i="26"/>
  <c r="C61" i="26"/>
  <c r="F21" i="26"/>
  <c r="G21" i="26" s="1"/>
  <c r="C11" i="26"/>
  <c r="F7" i="26"/>
  <c r="I92" i="12"/>
  <c r="D8" i="26"/>
  <c r="K26" i="26"/>
  <c r="J92" i="12"/>
  <c r="C9" i="26"/>
  <c r="F9" i="26" s="1"/>
  <c r="C48" i="26"/>
  <c r="F48" i="26"/>
  <c r="G45" i="26" s="1"/>
  <c r="G44" i="26" l="1"/>
  <c r="G48" i="26"/>
  <c r="G41" i="26"/>
  <c r="G46" i="26"/>
  <c r="G42" i="26"/>
  <c r="G39" i="26"/>
  <c r="G40" i="26"/>
  <c r="D11" i="26"/>
  <c r="F8" i="26"/>
  <c r="G18" i="26"/>
  <c r="F61" i="26"/>
  <c r="G55" i="26"/>
  <c r="F11" i="26"/>
  <c r="G11" i="26" s="1"/>
  <c r="G43" i="26"/>
  <c r="G19" i="26"/>
  <c r="G61" i="26" l="1"/>
  <c r="G59" i="26"/>
  <c r="G57" i="26"/>
  <c r="G58" i="26"/>
  <c r="G56" i="26"/>
  <c r="G9" i="26"/>
  <c r="G7" i="26"/>
  <c r="G8" i="26"/>
</calcChain>
</file>

<file path=xl/connections.xml><?xml version="1.0" encoding="utf-8"?>
<connections xmlns="http://schemas.openxmlformats.org/spreadsheetml/2006/main">
  <connection id="1" odcFile="C:\Users\escritorio\Documents\Minhas fontes de dados\(padrão) GM_CONTAS_RECEBER_ABERTOS.odc" keepAlive="1" name="(padrão) GM_CONTAS_RECEBER_ABERTOS" type="5" refreshedVersion="4" savePassword="1" onlyUseConnectionFile="1" background="1" saveData="1">
    <dbPr connection="Provider=MSDAORA.1;Password=0000d121c554;User ID=agricola;Data Source=192.168.4.3/agricola" command="&quot;AGRICOLA&quot;.&quot;GM_CONTAS_RECEBER_ABERTOS&quot;" commandType="3"/>
  </connection>
  <connection id="2" odcFile="C:\Users\escritorio\Documents\Minhas fontes de dados\192.168.4.3_agricola (padrão) GM_CONTRATOS_ALGODAO.odc" keepAlive="1" name="192.168.4.3_agricola (padrão) GM_CONTRATOS_ALGODAO" type="5" refreshedVersion="4" savePassword="1" onlyUseConnectionFile="1" background="1" saveData="1">
    <dbPr connection="Provider=MSDAORA.1;Password=0000d121c554;User ID=agricola;Data Source=192.168.4.3/agricola" command="&quot;AGRICOLA&quot;.&quot;GM_CONTRATOS_ALGODAO&quot;" commandType="3"/>
  </connection>
  <connection id="3" odcFile="C:\Users\escritorio\Documents\Minhas fontes de dados\192.168.4.3_agricola (padrão) GM_CONTRATOS_GRAOS_1415.odc" keepAlive="1" name="192.168.4.3_agricola (padrão) GM_CONTRATOS_GRAOS_1415" type="5" refreshedVersion="4" savePassword="1" onlyUseConnectionFile="1" background="1" saveData="1">
    <dbPr connection="Provider=MSDAORA.1;Password=0000d121c554;User ID=agricola;Data Source=192.168.4.3/agricola" command="&quot;AGRICOLA&quot;.&quot;GM_CONTRATOS_GRAOS_1415&quot;" commandType="3"/>
  </connection>
  <connection id="4" odcFile="C:\Users\MARCIO\Documents\Minhas fontes de dados\192.168.4.3_agricola (padrão) GM_PAT_CONSOLIDADO.odc" keepAlive="1" name="192.168.4.3_agricola (padrão) GM_PAT_CONSOLIDADO" type="5" refreshedVersion="4" background="1" saveData="1">
    <dbPr connection="Provider=MSDAORA.1;User ID=agricola;Data Source=192.168.4.3/agricola" command="&quot;AGRICOLA&quot;.&quot;GM_PAT_CONSOLIDADO&quot;" commandType="3"/>
  </connection>
</connections>
</file>

<file path=xl/sharedStrings.xml><?xml version="1.0" encoding="utf-8"?>
<sst xmlns="http://schemas.openxmlformats.org/spreadsheetml/2006/main" count="33109" uniqueCount="8158">
  <si>
    <t>Claides Lazaretti Masutti e Outros</t>
  </si>
  <si>
    <t>Mês / Ano</t>
  </si>
  <si>
    <t>Valor</t>
  </si>
  <si>
    <t>Julho.2013</t>
  </si>
  <si>
    <t>Agosto.2013</t>
  </si>
  <si>
    <t>Setembro.2013</t>
  </si>
  <si>
    <t>Vilhena-RO.,</t>
  </si>
  <si>
    <t>Produto</t>
  </si>
  <si>
    <t>Soja</t>
  </si>
  <si>
    <t>Milho</t>
  </si>
  <si>
    <t>Algodão em pluma</t>
  </si>
  <si>
    <t>Caroço de algodão</t>
  </si>
  <si>
    <t>Fibrilha</t>
  </si>
  <si>
    <t>Silagem</t>
  </si>
  <si>
    <t>Parceria rural</t>
  </si>
  <si>
    <t>Bovinos</t>
  </si>
  <si>
    <t>Agropecuária Masutti Ltda.</t>
  </si>
  <si>
    <t>CNPJ 26.595.181/0001-30</t>
  </si>
  <si>
    <t>Realeza Agricultura e Pecuária Ltda</t>
  </si>
  <si>
    <t>CNPJ 14.309.206/0001-02</t>
  </si>
  <si>
    <t>Qtde</t>
  </si>
  <si>
    <t>Total</t>
  </si>
  <si>
    <t>US$</t>
  </si>
  <si>
    <t>Filial</t>
  </si>
  <si>
    <t>Moeda</t>
  </si>
  <si>
    <t>R$</t>
  </si>
  <si>
    <t>Quadro 11 - Patrimônio Consolidado</t>
  </si>
  <si>
    <t>Descrição</t>
  </si>
  <si>
    <t>Agropecuária</t>
  </si>
  <si>
    <t>Realeza</t>
  </si>
  <si>
    <t>%</t>
  </si>
  <si>
    <t>AERONAVES</t>
  </si>
  <si>
    <t>ALOJAMENTOS E DORMITORIOS</t>
  </si>
  <si>
    <t>ARMAZENS GRANELEIROS</t>
  </si>
  <si>
    <t>BARRACAO/GALPAO</t>
  </si>
  <si>
    <t>BENEFICIADORA SEMENTES</t>
  </si>
  <si>
    <t>BENFEITORIA FIXAS DIVERSAS</t>
  </si>
  <si>
    <t>CAMINHOES E MUKS</t>
  </si>
  <si>
    <t>CANTINAS E REFEITORIOS</t>
  </si>
  <si>
    <t>CARRETAS - REBOQUES - CACAMBAS</t>
  </si>
  <si>
    <t>CASAS E RESIDENCIAS</t>
  </si>
  <si>
    <t>COLHEITADEIRAS DE ALGODAO</t>
  </si>
  <si>
    <t>COLHEITADEIRAS DE GRAOS</t>
  </si>
  <si>
    <t>COMPUTADORES E PERIFERICOS</t>
  </si>
  <si>
    <t>CONFINAMENTO DE GADO</t>
  </si>
  <si>
    <t>EQUIPAMENTOS P/ALGODOEIRA</t>
  </si>
  <si>
    <t>GRADES AGRICOLAS</t>
  </si>
  <si>
    <t>IMOVEIS RURAIS</t>
  </si>
  <si>
    <t>IMOVEIS URBANOS</t>
  </si>
  <si>
    <t>IMPLEMENTOS AGRICOLAS - OUTROS</t>
  </si>
  <si>
    <t>MAQUINAS E EQUIP CONFINAMENTO</t>
  </si>
  <si>
    <t>MAQUINAS E EQUIPAMENTOS</t>
  </si>
  <si>
    <t>MOTOCICLETAS</t>
  </si>
  <si>
    <t>MOVEIS EQUIP. CANTINA</t>
  </si>
  <si>
    <t>MOVEIS UTENSILIOS - ESCRITORIO</t>
  </si>
  <si>
    <t>MOVEIS UTENSILIOS - FAZENDAS</t>
  </si>
  <si>
    <t>PAS CARREGADEIRAS E RETROESCAV</t>
  </si>
  <si>
    <t>PATROLAS</t>
  </si>
  <si>
    <t>PLANTADEIRAS AGRICOLAS</t>
  </si>
  <si>
    <t>PLATAFORMAS</t>
  </si>
  <si>
    <t>POÇOS ARTESIANOS</t>
  </si>
  <si>
    <t>PRENSAS</t>
  </si>
  <si>
    <t>PULVERIZADORES AGRICOLAS</t>
  </si>
  <si>
    <t>SEMEADEIRAS AGRICOLAS</t>
  </si>
  <si>
    <t>SOFTWARES</t>
  </si>
  <si>
    <t>TORRES DE TRANSMISSÃO</t>
  </si>
  <si>
    <t>TRATORES AGRICOLAS</t>
  </si>
  <si>
    <t>TRATORES DE ESTEIRA</t>
  </si>
  <si>
    <t>VEIC TRANSP COLETIVO (ONIBUS-K</t>
  </si>
  <si>
    <t>VEICULOS LEVES E UTILITARIOS</t>
  </si>
  <si>
    <t># Desmenbramento por Unidade</t>
  </si>
  <si>
    <t>09-ESCRITORIO</t>
  </si>
  <si>
    <t>01-FAZENDA SAUDADES</t>
  </si>
  <si>
    <t>03-FAZENDA JAQUELINE</t>
  </si>
  <si>
    <t>02-FAZENDA JK</t>
  </si>
  <si>
    <t>04-FAZENDA PANTANAL</t>
  </si>
  <si>
    <t>13-FAZENDA TRIUNFO</t>
  </si>
  <si>
    <t>Instituição financeira  e 
Operação</t>
  </si>
  <si>
    <t>Encargos financeiro (média)</t>
  </si>
  <si>
    <t>Inicio</t>
  </si>
  <si>
    <t>Vencimento
final</t>
  </si>
  <si>
    <t>Circulante</t>
  </si>
  <si>
    <t>Não Circulante</t>
  </si>
  <si>
    <t>2016</t>
  </si>
  <si>
    <t>2017</t>
  </si>
  <si>
    <t>2018 a 2025</t>
  </si>
  <si>
    <t>Banco De Lage Landen Brasil S/A</t>
  </si>
  <si>
    <t>Finame</t>
  </si>
  <si>
    <t>Caterpillar Financial  S/A</t>
  </si>
  <si>
    <t>Banco Volvo S/A</t>
  </si>
  <si>
    <t>Banco Bradesco S/A</t>
  </si>
  <si>
    <t>Total por ano, em R$</t>
  </si>
  <si>
    <t>Totais, R$</t>
  </si>
  <si>
    <t>Claides Lazareti Masutti e Outros</t>
  </si>
  <si>
    <t>Banco Rabobank International Brasil S/A</t>
  </si>
  <si>
    <t>Custeio</t>
  </si>
  <si>
    <t>CCE</t>
  </si>
  <si>
    <t>Metropolitan Life Insurance Company</t>
  </si>
  <si>
    <t>Giro</t>
  </si>
  <si>
    <t>Banco Fibra S/A</t>
  </si>
  <si>
    <t>Banco Cargill S/A</t>
  </si>
  <si>
    <t>Banco do Brasil S/A</t>
  </si>
  <si>
    <t>Securitização</t>
  </si>
  <si>
    <t>Banco CNH Capital S/A</t>
  </si>
  <si>
    <t>Banco John Deere S/A</t>
  </si>
  <si>
    <t>Consolidado, R$</t>
  </si>
  <si>
    <t>Empresa</t>
  </si>
  <si>
    <t>AVIÃO PR-ENZ</t>
  </si>
  <si>
    <t>AVIAO CESSNA GRAND CARAVAN C208 PR-BBM</t>
  </si>
  <si>
    <t>AVIAO CESSNA AIRCRAF 182S-PT-WYM</t>
  </si>
  <si>
    <t>CAMINHÃO MB 4X2 2318</t>
  </si>
  <si>
    <t xml:space="preserve">CAMINHAO VOLVO VM 310 4X2 </t>
  </si>
  <si>
    <t>CAMINHÃO VW 15.180</t>
  </si>
  <si>
    <t>CAMINHÃO MB 1313 - MUCK</t>
  </si>
  <si>
    <t xml:space="preserve">CAMINHAO MB L1620 </t>
  </si>
  <si>
    <t>CAMINHÃO VOLVO EDC NL12</t>
  </si>
  <si>
    <t>CAMINHÃO MELOSA  MB 1418</t>
  </si>
  <si>
    <t>CAMINHÃO VOLVO N10</t>
  </si>
  <si>
    <t xml:space="preserve">CAMINHAO VOLVO VM 260 6X2R - NPP0635 </t>
  </si>
  <si>
    <t>CAMINHÃO VOLVO VM 310</t>
  </si>
  <si>
    <t xml:space="preserve">CAMINHAO VOLVO VM 310 </t>
  </si>
  <si>
    <t xml:space="preserve">CAMINHÃO VOLKSWAGEM 11,140 </t>
  </si>
  <si>
    <t xml:space="preserve">CAMINHÃO MB L 1620 </t>
  </si>
  <si>
    <t xml:space="preserve">CAMINHAO VW 15180 </t>
  </si>
  <si>
    <t>CAMINHAO VOLVO VM 310 4X2T - NUF9168</t>
  </si>
  <si>
    <t>CAMINHÃO TRANSMODULO FORD CARGO 1618</t>
  </si>
  <si>
    <t>CAMINHAO SCANIA T 112 H</t>
  </si>
  <si>
    <t>CAMINHAO VOLKSWAGEM</t>
  </si>
  <si>
    <t>CAMINHAO VOLVO FH 460 6X4T 6CIL. CABINE LEITO ALTA</t>
  </si>
  <si>
    <t xml:space="preserve">CAMINHAO TRATOR VOLVO FH 540 6X4T </t>
  </si>
  <si>
    <t>CAMINHAO VM 330 6X4</t>
  </si>
  <si>
    <t>CAMINHAO VOLVO VM 220</t>
  </si>
  <si>
    <t>CARRETA DE TRANSBORDO - BASSBOY</t>
  </si>
  <si>
    <t>CARRETA DE TRANSBORDO - BIGBOY</t>
  </si>
  <si>
    <t>CARRETA DE TRANSBORDO ¿ BIGBOY</t>
  </si>
  <si>
    <t>CARRETA BASS BOY RIOMAQ CTBB</t>
  </si>
  <si>
    <t>CARRETA REFEITÓRIO</t>
  </si>
  <si>
    <t>SEMI-REBOQUE - BOIADEIRO</t>
  </si>
  <si>
    <t>SEMI-REBOQUE  BOIADEIRO</t>
  </si>
  <si>
    <t>CARRETA - SEMI-REBOQUE - TANQUE DE AGUA</t>
  </si>
  <si>
    <t>CARRETA DE TRANSBORDO ¿ BASSBOY</t>
  </si>
  <si>
    <t>REBOQUE PRANCHA</t>
  </si>
  <si>
    <t xml:space="preserve">CARRETA - SEMI-REBOQUE - TANQUE DE AGUA </t>
  </si>
  <si>
    <t>CARROCERIA - BOIADEIRO</t>
  </si>
  <si>
    <t>SEMI-REBOQUE - BASCULANTE GRANELEIRO</t>
  </si>
  <si>
    <t xml:space="preserve">LIMPA FOSSA REBOQUE 5000LTS </t>
  </si>
  <si>
    <t>REBOQUE TANQUE</t>
  </si>
  <si>
    <t>SEMI-REBOQUE - PRANCHA</t>
  </si>
  <si>
    <t xml:space="preserve">CARRETA CAÇAMBA BASCULANTE 25M </t>
  </si>
  <si>
    <t>BASCULANTE GRANELEIRO</t>
  </si>
  <si>
    <t>REBOQUE REBOCAR GOLD LINE 05T</t>
  </si>
  <si>
    <t>CARROCERIA PARA TOYOTA</t>
  </si>
  <si>
    <t>DOLE</t>
  </si>
  <si>
    <t xml:space="preserve">CARRETA TRANSP. PLATAFORMA 2 EIXO 40C/RODAS 16" </t>
  </si>
  <si>
    <t xml:space="preserve">REBOQUE STARA FIL </t>
  </si>
  <si>
    <t>CARRETA TANQUE 35000LTS</t>
  </si>
  <si>
    <t>CARRETA REFEITORIO</t>
  </si>
  <si>
    <t xml:space="preserve">CARRETA REFEITORIO  </t>
  </si>
  <si>
    <t>CARRETA GRANELEIRA 33000 LTS GTS</t>
  </si>
  <si>
    <t>COLHEITADEIRA ALGODAO 7760 6L30" JOHN DEERE</t>
  </si>
  <si>
    <t>COLHEITADEIRA ALGODÃO JD 9965</t>
  </si>
  <si>
    <t>COLHEITADEIRA ALGODÃO</t>
  </si>
  <si>
    <t>COLHEITADEIRA ALGODÃO CASE 2555</t>
  </si>
  <si>
    <t>COLHEITADEIRA DE ALGODÃO</t>
  </si>
  <si>
    <t xml:space="preserve">COLHEITADEIRA ALGODÃO </t>
  </si>
  <si>
    <t>COLHEITADEIRA ALGODÃO JD 9970</t>
  </si>
  <si>
    <t>COLHEITADEIRA DE GRÃOS</t>
  </si>
  <si>
    <t>COLHEITADEIRA 9770 STS-CORN</t>
  </si>
  <si>
    <t>COLHEITADEIRA GRAOS AXIAL-FLOW 8120</t>
  </si>
  <si>
    <t>COLHEITADEIRA DE GRÃOS  TC-59</t>
  </si>
  <si>
    <t>COLHEITADEIRA GRAOS JOHN DEERE 9770 STS</t>
  </si>
  <si>
    <t>COLHEITADEIRA 9470 STS</t>
  </si>
  <si>
    <t>COLHEITADEIRA DE GRÃOS TC-59</t>
  </si>
  <si>
    <t>COLHEITADEIRA JOHN DEERE 9770 STS</t>
  </si>
  <si>
    <t>GRADE NIVELADORA</t>
  </si>
  <si>
    <t>GRADE SUPER DESTORROADORA DOBRÁVEL</t>
  </si>
  <si>
    <t>GRADE DESTORROADORA</t>
  </si>
  <si>
    <t>GRADE NIVELADORA GNCF 56</t>
  </si>
  <si>
    <t>GRADE NIVELADORA SGIC 28 R</t>
  </si>
  <si>
    <t>GRADE ARADORA INTERMEDIÁRIA</t>
  </si>
  <si>
    <t>GRADE ARADORA</t>
  </si>
  <si>
    <t xml:space="preserve">GRADE ARADORA </t>
  </si>
  <si>
    <t>GRADE ARADORA PESADA C/ RODAS</t>
  </si>
  <si>
    <t xml:space="preserve">GRADE DESTORROADORA GNFC 56 </t>
  </si>
  <si>
    <t>JMBAD-13 ARADO SUBSOLADOR JUMBO MATIC BUSTER</t>
  </si>
  <si>
    <t>GRADE TERRACIADORA</t>
  </si>
  <si>
    <t>GRADE DESTORROADORA GNFC 56</t>
  </si>
  <si>
    <t>MOTO</t>
  </si>
  <si>
    <t>MOTO TITAN 125</t>
  </si>
  <si>
    <t>MOTO HONDA NXR 150</t>
  </si>
  <si>
    <t>MOTO NXR 125</t>
  </si>
  <si>
    <t>MOTO NXR BROS 125</t>
  </si>
  <si>
    <t>MOTO NXRBROS 150 ESD</t>
  </si>
  <si>
    <t>MOTO BROZ 150 ESD</t>
  </si>
  <si>
    <t>MOTO HONDA NXR</t>
  </si>
  <si>
    <t>MOTO NXR BROS 125 KS</t>
  </si>
  <si>
    <t>CG 125 FAN KS</t>
  </si>
  <si>
    <t>NXR 150 BROS ES</t>
  </si>
  <si>
    <t>VEICULO AQUATICO YAMAHA 1812CC GX 1800 4 TEMPOS</t>
  </si>
  <si>
    <t>NXR150BROS KS</t>
  </si>
  <si>
    <t>MOTO NXR BROS 150</t>
  </si>
  <si>
    <t>TRATOR PÁ CARREGADEIRA</t>
  </si>
  <si>
    <t>PA CARREGADEIRA W20E</t>
  </si>
  <si>
    <t>PA CARREGADEIRA TIANGONGZL30HC/CAB.FECH.CUMMINS6BT</t>
  </si>
  <si>
    <t>PA CARREGADEIRA TIANGONGZL30HC/CAB.FECH.CUMMINS6BT COMPLEMENTO DE VALOR</t>
  </si>
  <si>
    <t>PA CARREGADEIRA DEGONG DG938</t>
  </si>
  <si>
    <t>PA CARREGADEIRA  W20 E</t>
  </si>
  <si>
    <t>PA CARREGADEIRA TIANGONGZL30HC/CAB.FECH.CUMMINS6BT COMPLEMENTO VALOR</t>
  </si>
  <si>
    <t>ESCAVADEIRA HIDRÁULICA</t>
  </si>
  <si>
    <t>ESCAVADEIRA HIDRAULICA EMISSIONADA CAT. 320D</t>
  </si>
  <si>
    <t xml:space="preserve">PLANTADEIRA </t>
  </si>
  <si>
    <t>PLANTADEIRA</t>
  </si>
  <si>
    <t>PLANTADEIRA JOHN DEERE SERIE 2100</t>
  </si>
  <si>
    <t>PLANTADEIRA JOHN DEERE  DBAUER 74' 45 L</t>
  </si>
  <si>
    <t>PLANTADEIRA JOHN DEERE SERIE 2100 DE 13 LINHAS</t>
  </si>
  <si>
    <t>PLANTADEIRA JOHN DEERE 2100</t>
  </si>
  <si>
    <t>PLANTADEIRA JOHN DEERE 2126 26 LINHAS</t>
  </si>
  <si>
    <t>PLANTADEIRA 2113 13 LINHAS</t>
  </si>
  <si>
    <t>PLANTADEIRA SEMEATO</t>
  </si>
  <si>
    <t>PLATAFORMA COLHEDORA DE MILHO</t>
  </si>
  <si>
    <t>PLATAFORMA COLHEDORA DE SOJA</t>
  </si>
  <si>
    <t>PLATAFORMA COLHEDORA DE ALGODÃO ADENSADO</t>
  </si>
  <si>
    <t>PLATAFORMA DE SOJA JOHN DEERE 35 PES</t>
  </si>
  <si>
    <t>PLATAFORMA DE CORTE JD 35 PES</t>
  </si>
  <si>
    <t>PLATAFORMA DE MILHO JOHN DEERE 894-8 LINHAS</t>
  </si>
  <si>
    <t>PLATAFORMA DE SOJA JOHN DEERE 630 HIDROLFEX</t>
  </si>
  <si>
    <t>PLATAFORMA CEIFADEIRAS DE GRAOS DRAPER 40 2162DK</t>
  </si>
  <si>
    <t>PLATAFORMA DE CORTE JD 635 FLEX DRAPER</t>
  </si>
  <si>
    <t>PLATAFORMA DE SOJA NH SUPERFLEX 23</t>
  </si>
  <si>
    <t>PLATAFORMA DE MILHO X10 24LINHAS 45CM 2445 GTS</t>
  </si>
  <si>
    <t>PLATAFORMA DE SOJA NH SUPERFLEX 23 F</t>
  </si>
  <si>
    <t xml:space="preserve">PLATAFORMA DE MILHO VENCE TUDO 10 LINHAS </t>
  </si>
  <si>
    <t>PLATAFORMA DE CORTE 625 JOHN DEERE</t>
  </si>
  <si>
    <t>PLATAFORMA DE MILHO VENCE TUDO PM 5 LINHAS</t>
  </si>
  <si>
    <t>PLATAFORMA DE MILHO VENCE TUDO 10 LINHAS</t>
  </si>
  <si>
    <t>PRENSA COMPACT 12</t>
  </si>
  <si>
    <t>PRENSA EB 11T</t>
  </si>
  <si>
    <t>PRENSA ENFARDADEIRA DE ALGODÃO</t>
  </si>
  <si>
    <t>PULVERIZADOR AGRÍCOLA AUTOPROPELIDO</t>
  </si>
  <si>
    <t>PULVERIZADOR JATO DIRIGIDO</t>
  </si>
  <si>
    <t>PULVERIZADOR JOHN DEERE</t>
  </si>
  <si>
    <t>PULVERIZADOR AGRÍCOLA DE ARRASTO</t>
  </si>
  <si>
    <t>PULVERIZADOR JOHN DEERE 4730</t>
  </si>
  <si>
    <t>PULVERIZADOR PARRUDA MA 3027HS</t>
  </si>
  <si>
    <t>PULVERIZADOR JOHN DEERE PV 4730</t>
  </si>
  <si>
    <t>PULVERIZADOR JD 4730</t>
  </si>
  <si>
    <t>PULVERIZADOR JOHN DEERE 4630</t>
  </si>
  <si>
    <t>DISTRIBUIDOR DE CALCÁRIO</t>
  </si>
  <si>
    <t>SEMEADORA ADUBADORA AUTOPROPELIDA H 5.0</t>
  </si>
  <si>
    <t>DISTRIBUIDOR DE ADUBO E FERTILIZANTE</t>
  </si>
  <si>
    <t>SEMEADORA ADUBADORA REBOCADA</t>
  </si>
  <si>
    <t>DISTRIBUIDOR DE CALCARIO</t>
  </si>
  <si>
    <t>SEMEADORA ADUBADORA AUTOPROP HERCULES</t>
  </si>
  <si>
    <t>SEMEADORA ADUBADORA STARA AMAZONE L-3000</t>
  </si>
  <si>
    <t>CALCALHADEIRA HERCULES 10000</t>
  </si>
  <si>
    <t>SEMEADORA HERCULES 10000</t>
  </si>
  <si>
    <t>SEMEADORA ADUBADORA HERCULES 10000</t>
  </si>
  <si>
    <t>SEMEADORA ADUBADORA AUTOPROPELIDA HERCULES HYDRO</t>
  </si>
  <si>
    <t>SEMEADORA  HERCULES MOD 24000C</t>
  </si>
  <si>
    <t>TRATOR CASE MXM 180</t>
  </si>
  <si>
    <t>TRATOR JOHN DEERE 8320 DUAL</t>
  </si>
  <si>
    <t xml:space="preserve">TRATOR </t>
  </si>
  <si>
    <t xml:space="preserve">TRATOR EMPILHADEIRA EMPIMAC </t>
  </si>
  <si>
    <t xml:space="preserve">TRATOR VALTRA </t>
  </si>
  <si>
    <t xml:space="preserve">TRATOR MULLER TM 31 </t>
  </si>
  <si>
    <t>TRATOR NEW HOLLAND</t>
  </si>
  <si>
    <t>TRATOR JHON DEERE 7505 4X4</t>
  </si>
  <si>
    <t>TRATOR FORD 6610</t>
  </si>
  <si>
    <t>TRATOR VALTRA BH 180</t>
  </si>
  <si>
    <t>TRATOR VALTRA BH 185</t>
  </si>
  <si>
    <t>TRATOR JOHN DEERE 8320R</t>
  </si>
  <si>
    <t xml:space="preserve">TRATOR AGRICOLA JD 8320R </t>
  </si>
  <si>
    <t>TRATOR FORD 7610</t>
  </si>
  <si>
    <t>TRATOR AGRICOLA JOHN DEERE</t>
  </si>
  <si>
    <t>TRATOR CASE MX 220</t>
  </si>
  <si>
    <t>TRATOR MASSEY FERGUSON 235MF</t>
  </si>
  <si>
    <t>TRATOR NEW HOLAND 8830</t>
  </si>
  <si>
    <t>TRATOR AGRICOLA JD 8320 DUAL</t>
  </si>
  <si>
    <t>TRATOR CASE MX 270</t>
  </si>
  <si>
    <t>TRATOR JOHN DEERE 6145 J</t>
  </si>
  <si>
    <t>TRATOR 8335 JD ROD.DUPLO</t>
  </si>
  <si>
    <t>TRATOR MASSEY MF-290</t>
  </si>
  <si>
    <t>TRATOR MASSEY MF-283</t>
  </si>
  <si>
    <t>TRATOR 8320R</t>
  </si>
  <si>
    <t>TRATOR 7515</t>
  </si>
  <si>
    <t>TRATOR AGRICOLA JD  8320 DUAL</t>
  </si>
  <si>
    <t>TRATOR JOHN DEERE 7815</t>
  </si>
  <si>
    <t>TRATOR VALTRA BH 180 4X4</t>
  </si>
  <si>
    <t>TRATOR JHON DEERE 7515</t>
  </si>
  <si>
    <t>TRATOR VALTRA BH 185I</t>
  </si>
  <si>
    <t>TRATOR AGRICOLA JD 8320</t>
  </si>
  <si>
    <t>TRATOR NEW HOLAND 6610</t>
  </si>
  <si>
    <t>TRATOR MX220</t>
  </si>
  <si>
    <t>TRATOR MASSEY FERGUSON 283</t>
  </si>
  <si>
    <t>TRATOR ESTEIRA</t>
  </si>
  <si>
    <t>TRATOR ESTEIRA D8K</t>
  </si>
  <si>
    <t>MICRO ONIBUS - KOMBI</t>
  </si>
  <si>
    <t>ONIBUS FORD 1518</t>
  </si>
  <si>
    <t>ONIBUS MB 1315</t>
  </si>
  <si>
    <t>ONIBUS MB 1315 - ICU1559</t>
  </si>
  <si>
    <t>PAS/ONIBUS VW 15190 NEOBUS SPEC</t>
  </si>
  <si>
    <t>ONIBUS VW 15190 NEOBUS SPEC</t>
  </si>
  <si>
    <t>MICRO ONIBUS VW BUSSCAR MICRUSS</t>
  </si>
  <si>
    <t>MICRO ONIBUS GRABMICRO VW</t>
  </si>
  <si>
    <t>MICRO ONIBUS GRANMICRO AGRALE</t>
  </si>
  <si>
    <t xml:space="preserve">KOMBI VW  LOTACAO 14 </t>
  </si>
  <si>
    <t>CAMINHONETE F-4000</t>
  </si>
  <si>
    <t>CABINE SUPLEMENTAR P/ TRANSP. DE PASSAGEIROS 4 LUG</t>
  </si>
  <si>
    <t>FIAT STRADA FIRE FLEX</t>
  </si>
  <si>
    <t>CAMIONETE FORD F-4000G</t>
  </si>
  <si>
    <t>CAMINHONETE FORD F-4000</t>
  </si>
  <si>
    <t>UNO MILLE WAY ECON 4 PORT</t>
  </si>
  <si>
    <t>CAMINHONETE TOYOTA HILLUX CD 4X2 - AGD6444</t>
  </si>
  <si>
    <t>AUTOMÓVEL FIAT FIORINO</t>
  </si>
  <si>
    <t>UNO MILLE WAY ECON</t>
  </si>
  <si>
    <t>FIAT STRADA WORKING</t>
  </si>
  <si>
    <t>DOBLO AMBULANCIA</t>
  </si>
  <si>
    <t xml:space="preserve">TOYOTA BANDEIRANTE </t>
  </si>
  <si>
    <t>FORD F-4000G</t>
  </si>
  <si>
    <t>GATOR XUV 850 4X4</t>
  </si>
  <si>
    <t>HILUX CD 4X4</t>
  </si>
  <si>
    <t>CAMINHONETE S10 LS FS2</t>
  </si>
  <si>
    <t xml:space="preserve">HILUX CD 4X4 SRV </t>
  </si>
  <si>
    <t xml:space="preserve">CAMINHONETE TOYOTA PRADO 3.0 </t>
  </si>
  <si>
    <t>AUT. UNO MILLE WAY ECON 4P COR BRANCO</t>
  </si>
  <si>
    <t>Quadro 17 - Endividamento ref aquisição áreas rurais</t>
  </si>
  <si>
    <t>Empresa / Credor</t>
  </si>
  <si>
    <t>Unidade</t>
  </si>
  <si>
    <t>Faz Saudades</t>
  </si>
  <si>
    <t>Faz Triunfo</t>
  </si>
  <si>
    <t>Faz Capivara</t>
  </si>
  <si>
    <t>Descricao</t>
  </si>
  <si>
    <t>Num Pat</t>
  </si>
  <si>
    <t>Valor Aquisição</t>
  </si>
  <si>
    <t>Valor Atual</t>
  </si>
  <si>
    <t>Identificacao</t>
  </si>
  <si>
    <t>FAZ SAUDADES</t>
  </si>
  <si>
    <t>SUBSOLADOR PE DE PATO JMBAD-13</t>
  </si>
  <si>
    <t>FORRAGEIRA SEGADORA CONDICIONADORA</t>
  </si>
  <si>
    <t>SUBSOLADOR PE DE PATO STAC 13L</t>
  </si>
  <si>
    <t xml:space="preserve">SUBSOLADOR </t>
  </si>
  <si>
    <t>VAGÃO FORRAGEIRO</t>
  </si>
  <si>
    <t>TRANSMÓDULO</t>
  </si>
  <si>
    <t>MISTURADOR DE RAÇÃO</t>
  </si>
  <si>
    <t xml:space="preserve">EMPILHADEIRA HISTER </t>
  </si>
  <si>
    <t>PLAINA AGRÍCOLA DIANTEIRA</t>
  </si>
  <si>
    <t>ARRANCADOR  DE SOQUEIRAS JM DSA</t>
  </si>
  <si>
    <t>DESTRUIDOR DE SOQUEIRAS DE ALGODÃO</t>
  </si>
  <si>
    <t>PRENSA DE MAGUEIRAS</t>
  </si>
  <si>
    <t>COLHEDORA DE FORRAGEM</t>
  </si>
  <si>
    <t>TRITURADOR DE RESTOS DE CULTURA ¿ TRITON</t>
  </si>
  <si>
    <t>FAZ SUDADES</t>
  </si>
  <si>
    <t>CULTIVADOR AGRÍCOLA</t>
  </si>
  <si>
    <t>DALA TRANSPORTADORA</t>
  </si>
  <si>
    <t>PICADOR DE RESTOS DE CULTURA</t>
  </si>
  <si>
    <t>GUINCHO HIDRÁULICO TRASEIRO</t>
  </si>
  <si>
    <t>SEMEADORA ADUBADORA</t>
  </si>
  <si>
    <t>DISTRIBUIDOR DE ADUBO ORGANICO LIQUIDO</t>
  </si>
  <si>
    <t>DISTRIBUIDOR DE ADUBO ORGÂNICO LÍQUIDO</t>
  </si>
  <si>
    <t>CONJUNTO DE LUBRIFICAÇÃO E ABASTECIMENTO</t>
  </si>
  <si>
    <t>FAZ SOUDADES</t>
  </si>
  <si>
    <t>ESPALHADOR DE ESTERCO VERTICAL</t>
  </si>
  <si>
    <t>ESPALHADOR ESTERCO VERTICAL SPR KUHN</t>
  </si>
  <si>
    <t>VAGÃO FORRAGEIRO JM 10000</t>
  </si>
  <si>
    <t>FAZ. SAUDADE</t>
  </si>
  <si>
    <t>FORRAGEIRA AUTOPROPELIDA</t>
  </si>
  <si>
    <t>PLATAFORMA DE SILAGE DE MILHO</t>
  </si>
  <si>
    <t>MISTURADOR RACAO C/ BALANCA PROG.EIXO TANDEM PNEUS</t>
  </si>
  <si>
    <t>TANQUE DE COMBUSTÍVEL</t>
  </si>
  <si>
    <t>COMPRESSOR DE AR</t>
  </si>
  <si>
    <t>MAQUINA DE LAVAR</t>
  </si>
  <si>
    <t xml:space="preserve">TRANSMODULO DE PLUMA </t>
  </si>
  <si>
    <t>FAZ  SAUDADES</t>
  </si>
  <si>
    <t>FAZ. SAUDADES</t>
  </si>
  <si>
    <t>TORRE DE COMUNICAÇÃO</t>
  </si>
  <si>
    <t>COMPRESSOR AR 250 LTS</t>
  </si>
  <si>
    <t>DALLA ABASTECIMENTO DE ADUBO</t>
  </si>
  <si>
    <t xml:space="preserve">GIRAFA MUK 2T </t>
  </si>
  <si>
    <t>TORNO NARDINI NDT 650</t>
  </si>
  <si>
    <t>COMPRESSOR AR 250LTS</t>
  </si>
  <si>
    <t>MAQUINA DE COSTURA</t>
  </si>
  <si>
    <t>PRENSA HIDRAULICA 100T</t>
  </si>
  <si>
    <t>COMPRESSOR AR 460LTS</t>
  </si>
  <si>
    <t>FURADEIRA COLUNA FSC 25</t>
  </si>
  <si>
    <t>TORNO NARDINI ND 325</t>
  </si>
  <si>
    <t xml:space="preserve">SERRA DE MESA ELETRICA </t>
  </si>
  <si>
    <t>PLAINA FERRO 250 F</t>
  </si>
  <si>
    <t>TORNO MECANICO HORIZ CLEVER</t>
  </si>
  <si>
    <t>MAQUINA SOLDA LAB 475</t>
  </si>
  <si>
    <t>MAQUINA SOLDA MIGUI 44R</t>
  </si>
  <si>
    <t>TANQUE COMBUSTIVEL</t>
  </si>
  <si>
    <t>TRONCO PNEUMÁTICO</t>
  </si>
  <si>
    <t>TRONCO UNIVERSAL - MOD. 3.70 U PNEUMATICO</t>
  </si>
  <si>
    <t>COMPRESSOR PRESSURE 20PCM ALTA PRESSAO TRIF ONIX 5</t>
  </si>
  <si>
    <t>FAZ  SAUD</t>
  </si>
  <si>
    <t>COMPRESSOR DE AR COM SUPORTE</t>
  </si>
  <si>
    <t>SAUDADES</t>
  </si>
  <si>
    <t>MAQUINA SOLDA 400</t>
  </si>
  <si>
    <t>FAZ JK</t>
  </si>
  <si>
    <t>GRUPO GERADOR DE ENERGIA</t>
  </si>
  <si>
    <t>RESFRIADOR DE GRÃOS</t>
  </si>
  <si>
    <t>RESFRIADOR DE GRÃOS E SEMENTES</t>
  </si>
  <si>
    <t>RESFRIADOR DE GRÃO E SEMENTE</t>
  </si>
  <si>
    <t xml:space="preserve">SUBSOLADOR PE DE PATO STAC 9L </t>
  </si>
  <si>
    <t>SUBSOLADOR PE DE PATO STAC 7L</t>
  </si>
  <si>
    <t xml:space="preserve">ROÇADEIRA AGRICOLA </t>
  </si>
  <si>
    <t>TRITON ROÇADEIRA 4600</t>
  </si>
  <si>
    <t>MISTURADOR SEMENTE INOCULADORA</t>
  </si>
  <si>
    <t>PICADOR DE RESTO DE CULTURA</t>
  </si>
  <si>
    <t>GUINCHO INRODA FLEX 1.2 TG</t>
  </si>
  <si>
    <t>MOTOR E GERADOR ENERGIA</t>
  </si>
  <si>
    <t>FAZ. JK</t>
  </si>
  <si>
    <t>FAZ SAUDADES.</t>
  </si>
  <si>
    <t>MELOSA 3000LTS</t>
  </si>
  <si>
    <t>MISTURADOR DEFENSIVOS 600 LTS</t>
  </si>
  <si>
    <t>FAZ JAQUELINE</t>
  </si>
  <si>
    <t>FAZ. SAUDAD</t>
  </si>
  <si>
    <t>MAQUINA SOLDA</t>
  </si>
  <si>
    <t>MAQUINA DE SOLDA</t>
  </si>
  <si>
    <t>PRENSA HIDRÁULICA</t>
  </si>
  <si>
    <t>FURADEIRA DE COLUNA</t>
  </si>
  <si>
    <t>TORNO NARDINI ND325</t>
  </si>
  <si>
    <t>INOCULADOR DE SEMENTES</t>
  </si>
  <si>
    <t>ROÇADEIRA BALDAN RD 1700</t>
  </si>
  <si>
    <t>FAZ. JAQUELINE</t>
  </si>
  <si>
    <t>COMPRESSOR AR 130LTS</t>
  </si>
  <si>
    <t>TANQUE DE ÁGUA</t>
  </si>
  <si>
    <t>FURADEIRA COLUNA</t>
  </si>
  <si>
    <t>PRENSA MORSA HIDRAULICA</t>
  </si>
  <si>
    <t>GUINCHO HIDRÁULICO</t>
  </si>
  <si>
    <t>FAZ PANTANAL</t>
  </si>
  <si>
    <t>CABEÇALHO TANDEM</t>
  </si>
  <si>
    <t>ROÇADEIRA AGRÍCOLA</t>
  </si>
  <si>
    <t>FAZ  PANTANAL</t>
  </si>
  <si>
    <t>PLAINA NIVELADORA ROBUST 540</t>
  </si>
  <si>
    <t>FAZ. PANTANAL.</t>
  </si>
  <si>
    <t>GERADOR 100KVA E MOTOR MWM 229-4</t>
  </si>
  <si>
    <t>PLAINA NIVELADORA</t>
  </si>
  <si>
    <t>ESC. VILHENA</t>
  </si>
  <si>
    <t xml:space="preserve">CARREGADOR BATERIAS </t>
  </si>
  <si>
    <t>PRENSA MANGUEIRA HIDRAULICA</t>
  </si>
  <si>
    <t>PRENSA MANGUEIRA HIDRAULICA MRT 60 EB</t>
  </si>
  <si>
    <t>ESCRITORIO</t>
  </si>
  <si>
    <t>TRATOR DE JARDIM LA-175</t>
  </si>
  <si>
    <t xml:space="preserve">INOCULADORA DE SEMENTES </t>
  </si>
  <si>
    <t>ESCRITÓRIO</t>
  </si>
  <si>
    <t>COMODORO</t>
  </si>
  <si>
    <t>FAZ.SAUDADES</t>
  </si>
  <si>
    <t>LAVADORA ALTA PRESSAO 6200 220V JACTO</t>
  </si>
  <si>
    <t>PRENSA HIDRAULICA VERTICAL ENFARDADEIRA</t>
  </si>
  <si>
    <t>SAPEZAL</t>
  </si>
  <si>
    <t>TANQUE MISTURADOR ACOINOX304#16ENTR E SAIDA3"2000L</t>
  </si>
  <si>
    <t>JK</t>
  </si>
  <si>
    <t xml:space="preserve">SOPRADOR COSTAL BR 600 MAGNUM </t>
  </si>
  <si>
    <t>ROCADEIRA STHIL FS280 DM 300-3 39CC 1,9 KWA</t>
  </si>
  <si>
    <t>JUCA</t>
  </si>
  <si>
    <t>MAQUINA DE SOLDA TRR 425DC 220/380/440V COMPLETA</t>
  </si>
  <si>
    <t>JAQUELINE</t>
  </si>
  <si>
    <t>VENTANIA</t>
  </si>
  <si>
    <t>TANQUE AEREO HORIZ CAP 12.000L C/ BERCO METALICO</t>
  </si>
  <si>
    <t>PANTANAL</t>
  </si>
  <si>
    <t>BEBEDOURO INDUST ACO INOX 100LT 220V</t>
  </si>
  <si>
    <t>LAVA JATO PRESSURE SEMI PROFS.C/MOTOR LAV4000 220V</t>
  </si>
  <si>
    <t>SOPRADOR COSTAL BR 420 STHIL</t>
  </si>
  <si>
    <t>KIT SILO RESFRIADOR MOD SRF 10 TON METALICA</t>
  </si>
  <si>
    <t>PCS 60 EQUIPAMENTOS DE AERACAO COND. MOVEL</t>
  </si>
  <si>
    <t>ROCADEIRA KA85 C/ HT MOTOPODA</t>
  </si>
  <si>
    <t xml:space="preserve">CARRINHO TRANSPALETE 2,0T </t>
  </si>
  <si>
    <t>TRATADOR DE SEMENTE</t>
  </si>
  <si>
    <t>MOTOR TRIF.1800RPM 15CV ALTO REND WEG</t>
  </si>
  <si>
    <t>MOTOR TRIF.1800RPM 25CV ALTO REND.WEG</t>
  </si>
  <si>
    <t>MTR AR 7,5CV 4P 220A 760V 60HZ</t>
  </si>
  <si>
    <t>MOTOBOMBA DIESEL 4" 10,0HP P MANUAL MATSUYAMA</t>
  </si>
  <si>
    <t>TRANSFORMADOR 225KVA 36,2KV 3F 380/220V 36200V</t>
  </si>
  <si>
    <t>CONFINAMENTO</t>
  </si>
  <si>
    <t>MOTOBOMBA DIESEL 3" 7 HP P MANUAL MATSUYAMA</t>
  </si>
  <si>
    <t>GUINCHO HIDRAULICO AGRICOLA GHAR 1600</t>
  </si>
  <si>
    <t>ESC_COMODORO</t>
  </si>
  <si>
    <t>FONTE EXTERNA PCN 28-600 POWER</t>
  </si>
  <si>
    <t>CALDEIRAO GAS AUTOGERADOR AMERICANO 300 LITROS</t>
  </si>
  <si>
    <t>BOMBA JP-75 JACTO</t>
  </si>
  <si>
    <t>BETONEIRA M-400 C/ POLIA P MOTOR - PLUS C/ MOTOR</t>
  </si>
  <si>
    <t>FAZ_JAQUELINE</t>
  </si>
  <si>
    <t>CONJUNTO HIDRAULICO 6" VHSP 6307 EST</t>
  </si>
  <si>
    <t>BOMBA SUBMERSA 6"VBSP62 05EST13,0HP TRI 220/380V60</t>
  </si>
  <si>
    <t>PT-WYM- ESC</t>
  </si>
  <si>
    <t>NIVELADORA BALDAN 84 DISCO</t>
  </si>
  <si>
    <t>DESCONTAMINADOR DE AGROTOXICOS DA6-1000I</t>
  </si>
  <si>
    <t>TORRE TUBULAR ESTAIADA C/ PARA RAIOS E ATERRAMENTO</t>
  </si>
  <si>
    <t>JANKER MAGNU 25000 INOX CASSI SOLDADO TUBO MULTIUS</t>
  </si>
  <si>
    <t>SAUDADES000743</t>
  </si>
  <si>
    <t>SAUDADES000744</t>
  </si>
  <si>
    <t>LAVADORA FIXA 3HP COMPLETA 127/220V CHIAPERINI</t>
  </si>
  <si>
    <t>CONF. MASUTTI</t>
  </si>
  <si>
    <t>BOMBA SUB.4"C/QCVBU 46 15EST 5,0HP TRI 220V60HZ</t>
  </si>
  <si>
    <t>CJ RADIADOR DE AGUA 20UNID</t>
  </si>
  <si>
    <t>CJ VENTILADOR ACOPLADO C/ MOTOR 5CV 10UNID</t>
  </si>
  <si>
    <t>CHAMINE DE CALDEIRA</t>
  </si>
  <si>
    <t>CJ ENCANAMENTO DE AGUA DIVERSOS</t>
  </si>
  <si>
    <t>CJ QUADRO ELETRICO 3 UNID</t>
  </si>
  <si>
    <t>GERADOR DE VAPOR RM 2.5</t>
  </si>
  <si>
    <t>MOTOR MWM D2293CIL C/BOMBA 2 ESTAG ENT. 4" SAI. 3"</t>
  </si>
  <si>
    <t>PULVERIZADOR MASTER ADVANCE CENTRAL 5 LINHAS</t>
  </si>
  <si>
    <t>BARRAS DE CARGA XHD 10000</t>
  </si>
  <si>
    <t>CONF_MASUTTI</t>
  </si>
  <si>
    <t>TRONCO ELETRO HIDRAULICO</t>
  </si>
  <si>
    <t>BOMBA VANBRO 5HP 4" 220V TRIF</t>
  </si>
  <si>
    <t>LAZARETTI</t>
  </si>
  <si>
    <t>VENTILADOR VRS 710 25.00CV</t>
  </si>
  <si>
    <t>SILO VENTILAVEL SVR 6066 (2325 SACAS)</t>
  </si>
  <si>
    <t>SECADOR INTERMITENTE SSI 1500C/MOTOREDUTOR</t>
  </si>
  <si>
    <t>ELEVADOR DE SEMENTES ES 120 T/H 28,55 M C/ MOTORED</t>
  </si>
  <si>
    <t>CONF. SAUDADES</t>
  </si>
  <si>
    <t xml:space="preserve">LAVADORA JACTO MEDIA PRESSAO J4800 TRIF.STD </t>
  </si>
  <si>
    <t>TRAFO MONOFASICO 10KVA CLASSE 34.5KV</t>
  </si>
  <si>
    <t>MOTOR AGRALE M790 PART.ELET. GERADO BAMBOSSI 15KVA</t>
  </si>
  <si>
    <t>BALANCA CAPACIDADE 1000 KG</t>
  </si>
  <si>
    <t>SEMENTEIRA</t>
  </si>
  <si>
    <t>SAUDADES 000796</t>
  </si>
  <si>
    <t>ESC_CENTRAL</t>
  </si>
  <si>
    <t>SAUDADES801</t>
  </si>
  <si>
    <t>SAUDADES802</t>
  </si>
  <si>
    <t>SAUDADES803</t>
  </si>
  <si>
    <t>VENTILADOR CENTRIFUGO 50"</t>
  </si>
  <si>
    <t>EQUIPAMENTO DE AERACAO CONDIC. PCS 120 DE 363,636</t>
  </si>
  <si>
    <t>SILO RESFRIADOR COOL SEED METALICO 26,2 E 19,65TON</t>
  </si>
  <si>
    <t>ROCADEIRA DE ALGODAO TRIMAX</t>
  </si>
  <si>
    <t>ROTOR 10 PALETA D 900MM EIX 2.1/4 P/VENTILADOR 50"</t>
  </si>
  <si>
    <t>ALGODOEIRA</t>
  </si>
  <si>
    <t>CONJUNTO MOVEL P/ ABASTECIMENTO E LUBRIFICACAO</t>
  </si>
  <si>
    <t>GUINDASTE H43.000</t>
  </si>
  <si>
    <t>COMPRESSOR PRESSURE 10PCM 150LTS C/MOTOR MONO.</t>
  </si>
  <si>
    <t>MAQUINA DE SOLDA ELETROMEG 325 AMP MONO</t>
  </si>
  <si>
    <t>CONF.MASUTTI</t>
  </si>
  <si>
    <t>VISOR DR500 MODULO INDICADOR COAGULAR 8540</t>
  </si>
  <si>
    <t>BALANCA JK</t>
  </si>
  <si>
    <t>MICRO COMPUTADOR LENOVOPENTIUM D.COREE5400 COMP.</t>
  </si>
  <si>
    <t>MICRO COMPUTADOR</t>
  </si>
  <si>
    <t>MESA ESCRITÓRIO</t>
  </si>
  <si>
    <t>CADEIRA SIMPLES BELLO</t>
  </si>
  <si>
    <t>CADEIRA GIRATORIA DIRETOR C/ BRACO CORSA TECIDO</t>
  </si>
  <si>
    <t>CADEIRA DIRETOR</t>
  </si>
  <si>
    <t>CONDICIONADOR DE AR 12.000 BTU</t>
  </si>
  <si>
    <t>MESA DE ESCRITORIO</t>
  </si>
  <si>
    <t>IMPRESSORA BROTHER</t>
  </si>
  <si>
    <t>NOTBOOK ACER ASPIRE/INTEL AZUL</t>
  </si>
  <si>
    <t>MESA DE COMPUTADOR</t>
  </si>
  <si>
    <t>CONDICIONADOR DE AR</t>
  </si>
  <si>
    <t>RELOGIO DE PONTO</t>
  </si>
  <si>
    <t>ARMARIO MADEIRA 2 PORTAS</t>
  </si>
  <si>
    <t>ARMARIO AÇO 2 PORTAS</t>
  </si>
  <si>
    <t>ARMARIO DE MADEIRA</t>
  </si>
  <si>
    <t>COZINHA COMPACTA</t>
  </si>
  <si>
    <t>NETBOOK ACER INTEL</t>
  </si>
  <si>
    <t>IMPRESSORA ELGIN BTP 142</t>
  </si>
  <si>
    <t>SWITCH D-LINK</t>
  </si>
  <si>
    <t>ARMARIO MADEIRA 10 PORTAS</t>
  </si>
  <si>
    <t>FREEZER CONSUL</t>
  </si>
  <si>
    <t>IMPRESSORA HP</t>
  </si>
  <si>
    <t>REFRIGERADOR COMERCIAL</t>
  </si>
  <si>
    <t>CAMARA FRIA DE CARNE</t>
  </si>
  <si>
    <t>MESA DE INOX</t>
  </si>
  <si>
    <t>MULTIPROCESSADOR DE ALIMENTOS</t>
  </si>
  <si>
    <t>FORNO RPB 900S/KG</t>
  </si>
  <si>
    <t>FOGÃO INDUSTRIAL</t>
  </si>
  <si>
    <t>DESCASCADOR DE BATATAS</t>
  </si>
  <si>
    <t xml:space="preserve">RELÓGIO DE PONTO </t>
  </si>
  <si>
    <t>AR CONDICIONADO ELETROLUX 7.500 BTUS</t>
  </si>
  <si>
    <t>ARQUIVO DE AÇO</t>
  </si>
  <si>
    <t>ARMARIO DE AÇO</t>
  </si>
  <si>
    <t>BANCO EM MADEIRA 3M</t>
  </si>
  <si>
    <t>BEBEDOURO INOX 100 LT</t>
  </si>
  <si>
    <t>AR CONDICIONADO ELETROLUX 10.000 BTU</t>
  </si>
  <si>
    <t>MESA DE ESCRITÓRIO</t>
  </si>
  <si>
    <t>REFRIGERADOR</t>
  </si>
  <si>
    <t>ESTUFA DE PÃO</t>
  </si>
  <si>
    <t>MODELADORA MPS 350</t>
  </si>
  <si>
    <t>DIVISORA DE PÃO</t>
  </si>
  <si>
    <t>MISTURADORA RAPIDA MR25 MONOF</t>
  </si>
  <si>
    <t>FORNO TURBO LENHA</t>
  </si>
  <si>
    <t>FREEZER HORIZONTAL ELETROLUX 500 LTS</t>
  </si>
  <si>
    <t>FREEZER ESMALTEC</t>
  </si>
  <si>
    <t>FREEZER ELECTROLUX</t>
  </si>
  <si>
    <t>MISTURADEIRA MR 15 RAP 15KG</t>
  </si>
  <si>
    <t>CORTADOR DE FRIOS</t>
  </si>
  <si>
    <t>BALANÇA PLATAFORMA 150KG</t>
  </si>
  <si>
    <t>FOGÃO</t>
  </si>
  <si>
    <t>CHAPA DE COZINHA</t>
  </si>
  <si>
    <t>CAMA MADEIRA</t>
  </si>
  <si>
    <t>CADEIRA</t>
  </si>
  <si>
    <t>IMPRESSORA HP LASERJET 1132 MFP</t>
  </si>
  <si>
    <t xml:space="preserve">ARMARIO DE MADEIRA </t>
  </si>
  <si>
    <t>BEBEDOURO 100 LTS</t>
  </si>
  <si>
    <t>BEBEDOURO 50 LTS</t>
  </si>
  <si>
    <t xml:space="preserve">CAMA MADEIRA </t>
  </si>
  <si>
    <t xml:space="preserve">BEBEDOURO </t>
  </si>
  <si>
    <t>CAMAMADEIRA</t>
  </si>
  <si>
    <t>BALCAO BERTOLINI 120ST TOP 4053 BRANCO</t>
  </si>
  <si>
    <t>ESCRIVANIA PANDIN 150 2GAV MX150 AZUL CINZA</t>
  </si>
  <si>
    <t>BEBEDOURO</t>
  </si>
  <si>
    <t>GERMINADOR DE SEMENTES</t>
  </si>
  <si>
    <t>ESTUFA ENCUBADORA B.O.D</t>
  </si>
  <si>
    <t>AR CONDICIONADO SPLIT 12.000 BTUS</t>
  </si>
  <si>
    <t xml:space="preserve">NOBREAK </t>
  </si>
  <si>
    <t xml:space="preserve">FAZ SAUDADES	</t>
  </si>
  <si>
    <t>ESTANTE DE MADEIRA</t>
  </si>
  <si>
    <t>BANCO MADEIRA</t>
  </si>
  <si>
    <t>MESA DE REFEITÓRIO</t>
  </si>
  <si>
    <t>TELEVISOR</t>
  </si>
  <si>
    <t xml:space="preserve">GUARDA ROUPA </t>
  </si>
  <si>
    <t>MICRO-ONDAS</t>
  </si>
  <si>
    <t>FORNO</t>
  </si>
  <si>
    <t>ARMÁRIO BALCÃO</t>
  </si>
  <si>
    <t xml:space="preserve">FREEZER </t>
  </si>
  <si>
    <t xml:space="preserve">MOEDOR DE CARNE </t>
  </si>
  <si>
    <t xml:space="preserve">SERRA FITA </t>
  </si>
  <si>
    <t>ENSACADEIRA</t>
  </si>
  <si>
    <t>CORTINA DE AR</t>
  </si>
  <si>
    <t>NOTEBOOK</t>
  </si>
  <si>
    <t>LEITOR DE CÓDIGO DE BARRA</t>
  </si>
  <si>
    <t>COMPUTADOR</t>
  </si>
  <si>
    <t>BALANÇA RODOVIÁRIA</t>
  </si>
  <si>
    <t xml:space="preserve">IMPRESSORA </t>
  </si>
  <si>
    <t>IMPRESSORA</t>
  </si>
  <si>
    <t xml:space="preserve">SAPEZAL	</t>
  </si>
  <si>
    <t>ROTEADOR</t>
  </si>
  <si>
    <t>MESA DE REUNIÃO</t>
  </si>
  <si>
    <t xml:space="preserve">TELEVISOR </t>
  </si>
  <si>
    <t>FRIGOBAR</t>
  </si>
  <si>
    <t>SCANNNER</t>
  </si>
  <si>
    <t>SWITCH</t>
  </si>
  <si>
    <t>BALCÃO DE COZINHA</t>
  </si>
  <si>
    <t>MEDIDOR DE UMIDADE</t>
  </si>
  <si>
    <t>BALANÇA</t>
  </si>
  <si>
    <t>CALADOR DE GRÃOS</t>
  </si>
  <si>
    <t xml:space="preserve">CADEIRA </t>
  </si>
  <si>
    <t>CADEIRA SIMPLES S/BRACO</t>
  </si>
  <si>
    <t>SOFÁ</t>
  </si>
  <si>
    <t xml:space="preserve">GAVETEIRO </t>
  </si>
  <si>
    <t>CONDICIONADOR DE AR 12.000 BTUS</t>
  </si>
  <si>
    <t xml:space="preserve">ARMARIO MADEIRA </t>
  </si>
  <si>
    <t xml:space="preserve">IMPRESSORA HP </t>
  </si>
  <si>
    <t>CONDICIONADOR DE AR 7.500 BTUS</t>
  </si>
  <si>
    <t xml:space="preserve">ARMARIO DE AÇO </t>
  </si>
  <si>
    <t>CAMA MADEIRA '</t>
  </si>
  <si>
    <t xml:space="preserve">FAZ JK	</t>
  </si>
  <si>
    <t xml:space="preserve">ARMARIO DE  AÇO </t>
  </si>
  <si>
    <t>CONDICIONADOR DE AR 9.000 BTUS</t>
  </si>
  <si>
    <t>CONDICIONADOR DE AR SPLIT 12.000 BTUS</t>
  </si>
  <si>
    <t>SERVIDOR</t>
  </si>
  <si>
    <t>MESA MADEIRA</t>
  </si>
  <si>
    <t xml:space="preserve">FAZ JK </t>
  </si>
  <si>
    <t>FREEZER</t>
  </si>
  <si>
    <t>MODELADORA DE PÃO</t>
  </si>
  <si>
    <t>CILINDRO PARA MASSAS</t>
  </si>
  <si>
    <t xml:space="preserve">FORNO  </t>
  </si>
  <si>
    <t xml:space="preserve">AMASSADEIRA RAPIDA </t>
  </si>
  <si>
    <t>FRITADEIRA ELÉTRICA</t>
  </si>
  <si>
    <t>CAMA SOLTEIRO</t>
  </si>
  <si>
    <t xml:space="preserve">MESA SIMPLES COMPUTADOR </t>
  </si>
  <si>
    <t xml:space="preserve">ARMARIO EM AÇO 02 PORTAS </t>
  </si>
  <si>
    <t>IMPRESSORA MULTIFUNCIONAL LASER M1132</t>
  </si>
  <si>
    <t>MESA 1.20 COM GAVETEIRO FIXO C2 GAV</t>
  </si>
  <si>
    <t>FREEZER METALFRIO</t>
  </si>
  <si>
    <t>FORNO  PROGAS</t>
  </si>
  <si>
    <t>NESA MADEIRA</t>
  </si>
  <si>
    <t>ARMARIO BALCÃO</t>
  </si>
  <si>
    <t>BEBEDOURO ESMALTEC COLUNA GARRAFAO EGC35B B 110V</t>
  </si>
  <si>
    <t>FOGAO 4B MULLER MODERATTO 54011601054011 BRANCO</t>
  </si>
  <si>
    <t>FAZ. PANTANAL</t>
  </si>
  <si>
    <t xml:space="preserve">FAZ PANTANAL	</t>
  </si>
  <si>
    <t>FAZ VENTANIA</t>
  </si>
  <si>
    <t xml:space="preserve">FAZ VENTANIA	</t>
  </si>
  <si>
    <t xml:space="preserve">MONITOR </t>
  </si>
  <si>
    <t>ARMARIO DE COZINHA</t>
  </si>
  <si>
    <t xml:space="preserve">JOGO DE MESA </t>
  </si>
  <si>
    <t>ESTANTE DE AÇO</t>
  </si>
  <si>
    <t xml:space="preserve">COMODORO </t>
  </si>
  <si>
    <t>PABX</t>
  </si>
  <si>
    <t>SERVIDOR  FIREWALL</t>
  </si>
  <si>
    <t>RACK</t>
  </si>
  <si>
    <t xml:space="preserve">RACK </t>
  </si>
  <si>
    <t>NOTEBOOK DELL VOSTRO 3300</t>
  </si>
  <si>
    <t>CADEIRA SEC INJ S/SAN FIXA 4 PES S/ BRACO TEC</t>
  </si>
  <si>
    <t>POLTRONA PRESIDENTE GIR C/ BRACO CORSA TECIDO</t>
  </si>
  <si>
    <t>AR COND GREE SPLIT 9000BTUS 220V</t>
  </si>
  <si>
    <t>MESA</t>
  </si>
  <si>
    <t>ESCRIVANIA</t>
  </si>
  <si>
    <t>IMPRESSORA MULTIFUNCIONAL DESKJET 2050</t>
  </si>
  <si>
    <t>NOTEBOOK ACER AS5750-6697 I3</t>
  </si>
  <si>
    <t>FOGAO 40 6BC 3QD 3QS BP</t>
  </si>
  <si>
    <t>BALANCA</t>
  </si>
  <si>
    <t>IMPRESSORA HP LASER COLOR CP1025NW</t>
  </si>
  <si>
    <t>ESTANTE DE ACO W3 EDS 300</t>
  </si>
  <si>
    <t>ARMARIO ESCRITORIO PANDIN AP409SL 190X80X40</t>
  </si>
  <si>
    <t>GELADEIRA CONSUL 500 437L CRM50AB BP/FF #A 110V BR</t>
  </si>
  <si>
    <t>ESTACAO TRABALHO KAPPERSBERG 1170 I ITALIA</t>
  </si>
  <si>
    <t>COMPUTADOR INTEL DUAL CORE E2180</t>
  </si>
  <si>
    <t>FORNO MICRO ONDAS MIDEA 20L MM 35TB 110V BRANCO</t>
  </si>
  <si>
    <t>CONF.SAUDADES</t>
  </si>
  <si>
    <t>IMPRESSORA HP MULTIFUNCIONAL M1132 MP</t>
  </si>
  <si>
    <t>ARQUIVO AÇO PANDIN 4GAV CINZA</t>
  </si>
  <si>
    <t>ESCRIVANIA PANDIN 150 2GAV MX-150 CINZA</t>
  </si>
  <si>
    <t>DESCASCADOR  BATATA  06KG</t>
  </si>
  <si>
    <t>MULTIPROCESSADOR  IND  DE ALIMENTOS  6 DISCOS</t>
  </si>
  <si>
    <t>LIQUIDIFICADOR  IND  08 LT  BX ROT</t>
  </si>
  <si>
    <t>IMPRESSORA MATRICIAL EPSON LX300 II+</t>
  </si>
  <si>
    <t>BALANCA  PLATAFORMA  40 X 50  150 KG</t>
  </si>
  <si>
    <t>FREEZER HORIZONTAL 500LT 110V</t>
  </si>
  <si>
    <t>BUFFET 05  CUBA   QUENTE  2  CUBA  FRIO GELOX</t>
  </si>
  <si>
    <t>MONITOR LCD 15" AOC 511VWB PLUS WIBE</t>
  </si>
  <si>
    <t>ESTANTE ACO 06 PRATELEIRA REFORCADA 2000X550MM</t>
  </si>
  <si>
    <t>ARMARIO</t>
  </si>
  <si>
    <t>ULTRABOOK SONY VAIO SVT-13115FBS</t>
  </si>
  <si>
    <t>MONITOR RD 2400V</t>
  </si>
  <si>
    <t>COFINAMENTO</t>
  </si>
  <si>
    <t>ESC_COMPRAS SPZ</t>
  </si>
  <si>
    <t>MONITOR LED 18.5" E1941C LG</t>
  </si>
  <si>
    <t>COMPUTADOR CORE I3 4GB/500GB/ COMPLETO</t>
  </si>
  <si>
    <t>ESC_VILHENA</t>
  </si>
  <si>
    <t>MESA S/GAV CZA/CZA 150X64X75</t>
  </si>
  <si>
    <t xml:space="preserve">AR CONDICIONADO SPLIT 12000BTUS </t>
  </si>
  <si>
    <t>MESA RUSTICA PEQUI COM PES ANGELIM 2,5M COM BANCOS</t>
  </si>
  <si>
    <t>MICROCOMPUT.AIODELL 2320 I3-2120 4GB1TB23"TOU W7HP</t>
  </si>
  <si>
    <t>INSPIRON 15 NOTEBOOK (INSPIRON 5110)</t>
  </si>
  <si>
    <t>MONITOR BARRA DE LUZ FM 750</t>
  </si>
  <si>
    <t>ESC_SAPEZAL</t>
  </si>
  <si>
    <t>GAVETEIRO FIXO C/2 GAVETAS</t>
  </si>
  <si>
    <t>CLIMATIZADOR TOP400</t>
  </si>
  <si>
    <t>GELADEIRA CONSUL 280L 110V BRANCO</t>
  </si>
  <si>
    <t>CONFIN_SAUDADES</t>
  </si>
  <si>
    <t>IMPRESSORA MULTIFUNCIONAL HP M2727MFP</t>
  </si>
  <si>
    <t>NOTEBOOK DELL 14" I5 4GB 1TB W7HP</t>
  </si>
  <si>
    <t>ULTRABOOK 13" I5 4GB 128GB W7HP</t>
  </si>
  <si>
    <t>FOGAO INDUST. 4 BOCAS C/ FORNO DAKO</t>
  </si>
  <si>
    <t>CADEIRA ESCRIT VANDAFLEX PRESID INJ KIT0200 PRETO</t>
  </si>
  <si>
    <t>AR CONDICIONADO SPLIT LG 18000BTUS</t>
  </si>
  <si>
    <t>APPLE MACBOOK PRO RETINA MC975RETINA</t>
  </si>
  <si>
    <t>FAZ_SAUDADES</t>
  </si>
  <si>
    <t>BEBEDOURO TIPO GARRAFAO COLUNA STILLE</t>
  </si>
  <si>
    <t>BALCAO</t>
  </si>
  <si>
    <t>SCANNER HP SCANJET 5590 DIGITALS</t>
  </si>
  <si>
    <t>BANCO</t>
  </si>
  <si>
    <t>BALANCA 2098 300KG C/ COLUNA  INOX - TOLEDO</t>
  </si>
  <si>
    <t>AR CONDICIONADO SPLIT SPRINGER CARRIER 36000BTU220</t>
  </si>
  <si>
    <t>MONITOR LED 20" E2041S LG</t>
  </si>
  <si>
    <t>COMPUTADOR CORE I3 2GB/500GB/ COMPLETO</t>
  </si>
  <si>
    <t>CONF_SAUDADES</t>
  </si>
  <si>
    <t>ESCRIVANIA PANDIN 120 2GAV MX-120 CINZA</t>
  </si>
  <si>
    <t>GELADEIRA CONTINENTAL 480(458L) RCCT480 BP #A 110V</t>
  </si>
  <si>
    <t xml:space="preserve">BALCAO C/02 PORTAS </t>
  </si>
  <si>
    <t>GAVETEIRO VOLANTE C/ 3 GAVETAS</t>
  </si>
  <si>
    <t>GAVETEIRO VOLANTE C/ 4 GAVETAS</t>
  </si>
  <si>
    <t>TAMPO BERTOLINI BC 120MM ALICANTE</t>
  </si>
  <si>
    <t>ARMARIO AEREO BERTOLINI 120 ST-TOP 4034</t>
  </si>
  <si>
    <t>FOGAO MONACO 4BCS BRANCO</t>
  </si>
  <si>
    <t>MODULO BIOMETRICO 500 USUARIOS</t>
  </si>
  <si>
    <t>NOTEBOOK LG 14 LED CORE I3 4GB HD 320</t>
  </si>
  <si>
    <t>IMPRESSORA MULTIFUNCIONAL HP DESKEJT 2050</t>
  </si>
  <si>
    <t>ESC_C_DERLI</t>
  </si>
  <si>
    <t>MESA S/GAV 1520MM MX150</t>
  </si>
  <si>
    <t>RADIO RTK PARA VEICULOS COM AMS</t>
  </si>
  <si>
    <t>EXT ALTO GANHO</t>
  </si>
  <si>
    <t>CADEIRA DANNA BUSSINESS LIGHT DIR. CANTILEVER 8030</t>
  </si>
  <si>
    <t>CADEIRA DANNA LIGHT PRESIDENT GIRAT.8110</t>
  </si>
  <si>
    <t>CADEIRA DANNA BYSSUNESS DIR. GIR.8120</t>
  </si>
  <si>
    <t>MESA REUNIÃO</t>
  </si>
  <si>
    <t>NOBREAK 1500 VA</t>
  </si>
  <si>
    <t>PAINEL COM PRATELEIRA EM EMBUIA</t>
  </si>
  <si>
    <t>PAINEL PARA PAREDE EM SUCUPIRA COM NICHO</t>
  </si>
  <si>
    <t>PORTA DE CORRER EM LACA BRANCA</t>
  </si>
  <si>
    <t>MESA SECRETARIA MX1,20 CINZA PANDIN</t>
  </si>
  <si>
    <t>BANCO ESFERA VANDAFLEX 3 LUG. INJ PRETO</t>
  </si>
  <si>
    <t>ESTANTE ACO PANDIN EP-5AR 5 PRAT</t>
  </si>
  <si>
    <t>BELICHE</t>
  </si>
  <si>
    <t>FREEZER HORIZONTAL 404L 110V 87,8CHB42C</t>
  </si>
  <si>
    <t>POLTRONA GIRATORIA</t>
  </si>
  <si>
    <t>SOFA</t>
  </si>
  <si>
    <t>MAQUINA DE LAVAR ROUPA MUELLER FIBRA PLUS 110V</t>
  </si>
  <si>
    <t>AR CONDICIONADO LG SPLIT 9000 BTUS 220V</t>
  </si>
  <si>
    <t>CONGELADOR ELECTROLUX 500 (477L) H500 2T 110</t>
  </si>
  <si>
    <t>REFRIGERADOR 462L ELETROLUX 2P CYCLE DEFROST 110V</t>
  </si>
  <si>
    <t>TV LED 55" FULL HD 3D KDL-55HX755 BIVOLT SONY</t>
  </si>
  <si>
    <t>CONG. CONSUL 310 (305L) CHA31C 1T #A 110V</t>
  </si>
  <si>
    <t>LIC. SOFT CONTATION TELEFONISTA ISION</t>
  </si>
  <si>
    <t>LIC. SOFT RAMAL IP ISION</t>
  </si>
  <si>
    <t>PLACA 30 TD DUAL 30TDCAS-1-R</t>
  </si>
  <si>
    <t>CENTRAL PABX ISION IP 2000R</t>
  </si>
  <si>
    <t>PLACA 8RA 8TA CP-1-R</t>
  </si>
  <si>
    <t>PLACA VOIP (MG) 16 CANAIS</t>
  </si>
  <si>
    <t>LIC. SOFT TARITRONFLEX 100 RAMAIS</t>
  </si>
  <si>
    <t>CJ IRIS MESA 1,50 C/ 6 CADEIRAS</t>
  </si>
  <si>
    <t>CADEIRA OFFICE BUSINESS W36 PRETA</t>
  </si>
  <si>
    <t>ESCRIVANINHA/ 4 BAIAS AREA DE TRABALHO</t>
  </si>
  <si>
    <t>ESCRIVANINHA/ 2 BAIAS AREA DE TRABALHO</t>
  </si>
  <si>
    <t>ESCRIVANINHA/ 6 BAIAS AREA DE TRABALHO</t>
  </si>
  <si>
    <t>ARMARIO PANDIN 1.60X750X400 AP408SL</t>
  </si>
  <si>
    <t>IMPRESSORA HP DESKJET MULTFUNCIONAL 4625WDUCZ284</t>
  </si>
  <si>
    <t>FORNO REFRATARIO EXTRA 95X95 R9030</t>
  </si>
  <si>
    <t xml:space="preserve">IMPRESSORA MULTIFUNCIONAL OFFICEJET E-AIO 7500 A3 </t>
  </si>
  <si>
    <t>CADEIRA PRESIDENTE CONCHA C/ BRACO</t>
  </si>
  <si>
    <t>IMPRESSORA MULTIFUNCIONAL BROTHER MONO DCP8085DN</t>
  </si>
  <si>
    <t>MONITOR LED 18,5" E950SW/ID BLACK PIANO</t>
  </si>
  <si>
    <t>NOTEBOOK SONY VAIO I5 4GB 640GB 14" LED W7HP PRETO</t>
  </si>
  <si>
    <t>CANTINA</t>
  </si>
  <si>
    <t>CHAPA BIFETEIRA IND. GAS 160CM PR 1600G</t>
  </si>
  <si>
    <t>GELADEIRA INDUSTRIAL PARA ACOUGUE 2P 220VT</t>
  </si>
  <si>
    <t>LIQUIDIFICADOR INDUSTRIAL</t>
  </si>
  <si>
    <t>SELADORA DE MARMITEX</t>
  </si>
  <si>
    <t>RACK PISO 24U X 800MM</t>
  </si>
  <si>
    <t xml:space="preserve">FAZ JAQUELINE </t>
  </si>
  <si>
    <t>MONITOR 18.5" AOC</t>
  </si>
  <si>
    <t>CONJUNTO NO-BREAK EXTERNO PRINTPOINT</t>
  </si>
  <si>
    <t>MONITOR LED 18,5" PHILIPS 196V3L</t>
  </si>
  <si>
    <t xml:space="preserve">FORNO PRP - 1500AT VAPOR AUT.220V </t>
  </si>
  <si>
    <t>IMPRESSORA ARGOX OS214TT PLUS TERMICA</t>
  </si>
  <si>
    <t>SAUDADES/EPI</t>
  </si>
  <si>
    <t>SAUDADES/SEMENT</t>
  </si>
  <si>
    <t>SWITCH 24 PORTAS 10/100 HPN V1410-24 J9663A</t>
  </si>
  <si>
    <t>SAUDADES/TORRE</t>
  </si>
  <si>
    <t xml:space="preserve">TV LED 32P FULL HD  HDMI USB CLONING 32LT360C </t>
  </si>
  <si>
    <t>BANCO RUSTICO EM MADEIRA</t>
  </si>
  <si>
    <t>ULTRABOOK I3 4GB 320GB LED 11.6 WIN8 SVT11125CBS</t>
  </si>
  <si>
    <t>RH-ROGERIOGALIA</t>
  </si>
  <si>
    <t>RH-JOSE LUIZ</t>
  </si>
  <si>
    <t>INSTRUMENTO PORTABLE FLEX C/MEMORIA SD</t>
  </si>
  <si>
    <t>CONGELADOR CONSUL 310 (305L) CHA31C 1T#A 110V</t>
  </si>
  <si>
    <t xml:space="preserve">GELADEIRA  ELETROLUX 350 (260L) DC35 BP #A 110V </t>
  </si>
  <si>
    <t>HANGAR SAUDADES</t>
  </si>
  <si>
    <t>COMPUTADOR CORE I3 4GB/400GB/DVD-RW</t>
  </si>
  <si>
    <t>SAUDADESCANTINA</t>
  </si>
  <si>
    <t>CAIXA AMPLIFICADA USB 580FM</t>
  </si>
  <si>
    <t>SEDE PECUARIA</t>
  </si>
  <si>
    <t>MONITOR BENQ GAMER LDE 24 WIDESCREEN VGAHDMIFULLHD</t>
  </si>
  <si>
    <t>HANGAR</t>
  </si>
  <si>
    <t>Jan a Dez</t>
  </si>
  <si>
    <t>Fev a Jan</t>
  </si>
  <si>
    <t>Mar a Fev</t>
  </si>
  <si>
    <t>Abr a Mar</t>
  </si>
  <si>
    <t>Mai a Abr</t>
  </si>
  <si>
    <t>Jun a Mai</t>
  </si>
  <si>
    <t>Jul a Jun</t>
  </si>
  <si>
    <t>Ago a Jul</t>
  </si>
  <si>
    <t>Set a Ago</t>
  </si>
  <si>
    <t>Out a Set</t>
  </si>
  <si>
    <t>Algodão em Pluma</t>
  </si>
  <si>
    <t>Caroço de Algodão</t>
  </si>
  <si>
    <t>Outros Produtos</t>
  </si>
  <si>
    <t>Outubro.2013</t>
  </si>
  <si>
    <t>Novembro.2013</t>
  </si>
  <si>
    <t>Nov a Out</t>
  </si>
  <si>
    <t>Dez a Nov</t>
  </si>
  <si>
    <t>Dezembro.2013</t>
  </si>
  <si>
    <t>Janeiro</t>
  </si>
  <si>
    <t>Fevereiro</t>
  </si>
  <si>
    <t>Março</t>
  </si>
  <si>
    <t>Abril</t>
  </si>
  <si>
    <t>Maio</t>
  </si>
  <si>
    <t>Dezembro</t>
  </si>
  <si>
    <t>Novembro</t>
  </si>
  <si>
    <t>Outubro</t>
  </si>
  <si>
    <t>Junho</t>
  </si>
  <si>
    <t>Julho</t>
  </si>
  <si>
    <t>Agosto</t>
  </si>
  <si>
    <t>Setembro</t>
  </si>
  <si>
    <t/>
  </si>
  <si>
    <t>Vencimento Final</t>
  </si>
  <si>
    <t>SC Soja</t>
  </si>
  <si>
    <t>Indexador</t>
  </si>
  <si>
    <t>.Claides Lazaretti Masutti e Outros</t>
  </si>
  <si>
    <t>.Realeza Agricultura e Pecuária Ltda</t>
  </si>
  <si>
    <t>Mês</t>
  </si>
  <si>
    <t>CARRETA REBOQUE PRANCHA 2 EIXOS</t>
  </si>
  <si>
    <t>MOTONIVELADORA CATERPILLAR MOD 120H</t>
  </si>
  <si>
    <t>PA CARREGADEIRA VOLVO L90C</t>
  </si>
  <si>
    <t>TRIUNFO</t>
  </si>
  <si>
    <t>CARRETA P/ TRATOR COMPLETA COM EIXO DE CAMINHAO</t>
  </si>
  <si>
    <t xml:space="preserve">BASCULANTE GRANELEIRO SEMI REBOQUE RODOTREM </t>
  </si>
  <si>
    <t>DOLLY BALANCIN PARA RODOTREM</t>
  </si>
  <si>
    <t>BASCULANTE GRANEL.SEMI REBOQUE RODOTREM TRASEIRO</t>
  </si>
  <si>
    <t>DALA REABASTECEDORA</t>
  </si>
  <si>
    <t xml:space="preserve">HILUX SW4 4X4 SRV </t>
  </si>
  <si>
    <t>ROCADEIRA FS 290DM 300-3 STIHL</t>
  </si>
  <si>
    <t>TRANSFORMADOR TRIFASICO 500KVA</t>
  </si>
  <si>
    <t xml:space="preserve">SEMI REBOQUE BASCULANTE REBAIXADO 3 EIXOS 35M3 </t>
  </si>
  <si>
    <t>CAMINHÃO VOLVO FH 12 380</t>
  </si>
  <si>
    <t>CAMINHÃO TANQUE MB</t>
  </si>
  <si>
    <t>KIT DE ESTEIRA PARA COLHEITADEIRA ST1000S</t>
  </si>
  <si>
    <t xml:space="preserve">LAVADORA JACTO S/ MOTOR P/ 3CV LAV500 TRIF. </t>
  </si>
  <si>
    <t>LAVA JATO HIDROMAR BH 6100 COMPLETO</t>
  </si>
  <si>
    <t>TRUNFO</t>
  </si>
  <si>
    <t>COMPRESSOR MOTOMIL 20PES 200LTS 175LBS 5,0HP TRIF.</t>
  </si>
  <si>
    <t>PLAINA NIVELADORA AGRICOLA MULTILAMINAS ROBUST</t>
  </si>
  <si>
    <t>TANQUE AEREO HORIZ.12.000LTS C/ BERCO METALICO</t>
  </si>
  <si>
    <t>PA CARREGADEIRA SINIMACHZL30HC/CAB.FECH.CUMMINS6BT</t>
  </si>
  <si>
    <t>PLATAFORMA DE CORTE 622 JOHN DEERE</t>
  </si>
  <si>
    <t>AERONAVE AGRICOLA AIR TRACTOR AT502B 2013502B-2940</t>
  </si>
  <si>
    <t xml:space="preserve">SEMI REBOQUE BASCULANTE REBAIXADO 3 EIXOS 30M3 </t>
  </si>
  <si>
    <t>TRATOR JOHN DEERE 6180J</t>
  </si>
  <si>
    <t>PLATAFORMA DE MILHO X10 COM 20 LINHAS DE 50CM</t>
  </si>
  <si>
    <t>ALISADOR DE CONCRETO C/MOTOR HONDA 5.5HP 36" DIAME</t>
  </si>
  <si>
    <t>CAMINHAO MB ACCELO 1016/44 COM CABINE</t>
  </si>
  <si>
    <t>ELEVADOR 30/10 3 EM 1 (USADO)</t>
  </si>
  <si>
    <t>ELEVADOR PAGÉ 30/10 SIMPLES (USADO)</t>
  </si>
  <si>
    <t>ELEVADOR PAGÉ 20/10 (USADO)</t>
  </si>
  <si>
    <t>KIT PARABOLICA CENTURY C/ RECEPTOR</t>
  </si>
  <si>
    <t>AR CONDICIONADO 12000BTUS SAMSUNG M.PLUS</t>
  </si>
  <si>
    <t>COMPRAS</t>
  </si>
  <si>
    <t>BALANÇA SAUDADE</t>
  </si>
  <si>
    <t>BALANCA SAUDADE</t>
  </si>
  <si>
    <t>AR CONDICIONADO LG SPLIT 12000 BTUS</t>
  </si>
  <si>
    <t>TELEVISÃO SEMP TOSHIBA 32 DL3270W LED C/DTV</t>
  </si>
  <si>
    <t>TELEVISAO SEMP TOSHIBA 21 TV 2134 ULTRA SLIM</t>
  </si>
  <si>
    <t>AMBULATORIO</t>
  </si>
  <si>
    <t>COMPUTADOR COMPLETO CORE I5 4GB 1600GB</t>
  </si>
  <si>
    <t>SIDINEI</t>
  </si>
  <si>
    <t>MONITOR LED 18.5" LS19C300 SAMSUNG</t>
  </si>
  <si>
    <t>SCHEILA</t>
  </si>
  <si>
    <t>SAUDADES - EPI</t>
  </si>
  <si>
    <t>SAUDADES-UBS</t>
  </si>
  <si>
    <t>CADEIRA GIRATORIA SECRETARIA INJETADA</t>
  </si>
  <si>
    <t>SAUDADES-IBS</t>
  </si>
  <si>
    <t xml:space="preserve">GUARDA ROUPA CARRARO MULTIUSO 424 2PTS </t>
  </si>
  <si>
    <t>REFRIGERADOR 417L CONSUL 2P CLASSE A 110VOLTS</t>
  </si>
  <si>
    <t>LAVADORA MUELLER 3KG SUPER POP 22001 BRANCA 110</t>
  </si>
  <si>
    <t>SAUDADES-CANTIN</t>
  </si>
  <si>
    <t>ULTRABOOK DELL CORE I7</t>
  </si>
  <si>
    <t>JONILSON</t>
  </si>
  <si>
    <t>NOTEBOOK DELL CORE I3</t>
  </si>
  <si>
    <t>JOAO NIZER</t>
  </si>
  <si>
    <t>FREEZER 305L CONSUL 110VOLTS</t>
  </si>
  <si>
    <t>ARIQUEMES</t>
  </si>
  <si>
    <t>CAMA BOX GRAND LUX COMPLETA</t>
  </si>
  <si>
    <t>MAQUINA DE LAVAR ROUPA 12 KG ELECTROLUX</t>
  </si>
  <si>
    <t>MESA PLASTICA</t>
  </si>
  <si>
    <t>RACK ARTELY ROYAL CINZA PRETO</t>
  </si>
  <si>
    <t>RECEPTOR DE SINAL DE TV VIA SATELIT</t>
  </si>
  <si>
    <t>TELEVISAO 32" LG LED</t>
  </si>
  <si>
    <t>PROJETOR DELL M115</t>
  </si>
  <si>
    <t>TV MONITOR 24" LG CONV. DIGITAL</t>
  </si>
  <si>
    <t>SERRA FITA JUNIIOR 1/2CV 1,87M C/ PICADOR BOCA 8</t>
  </si>
  <si>
    <t>SALA TI</t>
  </si>
  <si>
    <t>COMPRAS VHA</t>
  </si>
  <si>
    <t>TV 21" SUPER SLIM PANA</t>
  </si>
  <si>
    <t>DESUMIDIFICADOR MENNO 1500 127V BEGE</t>
  </si>
  <si>
    <t>COMERCIAL</t>
  </si>
  <si>
    <t>FINANCEIRO</t>
  </si>
  <si>
    <t>FRAGMENTADORA AURORA 127V</t>
  </si>
  <si>
    <t>TV 32" SAMSUNG LED HD USB HDMI UN32FH4003</t>
  </si>
  <si>
    <t xml:space="preserve">REFRIGERADOR 239L CONSUL 1P CLASSE A </t>
  </si>
  <si>
    <t>PICADOR DE CARNE INOX PSEE 10N SIEMSEN</t>
  </si>
  <si>
    <t xml:space="preserve">NOTEBOOK DELL CORE I5 </t>
  </si>
  <si>
    <t>CADEIRA PLASTICA</t>
  </si>
  <si>
    <t>CAMA BOX CASAL</t>
  </si>
  <si>
    <t>CAMA BOX SOLTEIRO</t>
  </si>
  <si>
    <t>ESTOFADO 2 LUGARES DIVERSOS</t>
  </si>
  <si>
    <t>ESTOFADO 3 LUGARES DIVERSOS</t>
  </si>
  <si>
    <t>REFRIGERADOR CONSUL 332 LTS</t>
  </si>
  <si>
    <t>FREEZER 519L CONSUL 110V</t>
  </si>
  <si>
    <t>FOGAO INSDUSTRIAL GAS 4 BOCAS PMSD 402</t>
  </si>
  <si>
    <t>FORNO GAS SEMI INDUSTRIAL FSI-500</t>
  </si>
  <si>
    <t>AR CONDICIONADO SPLIT LG 24.000BTUS 220V</t>
  </si>
  <si>
    <t>GELADEIRA BRASTEMP 439L 2P FF 110V INOX</t>
  </si>
  <si>
    <t>RACK PROVINCIA</t>
  </si>
  <si>
    <t>FORNO IND. GAS PRP-900</t>
  </si>
  <si>
    <t>08-CONF SAUDADES</t>
  </si>
  <si>
    <t>GALPAO ESTRUTURA METALICA 15 50 X 10 95 MTS</t>
  </si>
  <si>
    <t xml:space="preserve">GALPAO ESTRUTURA METALICA 45 15 X9 70 MTS </t>
  </si>
  <si>
    <t>11-FAZENDA MARABA</t>
  </si>
  <si>
    <t>MARABA</t>
  </si>
  <si>
    <t>06-FAZENDA CAPIVARA</t>
  </si>
  <si>
    <t>Unidades produtivas</t>
  </si>
  <si>
    <t>Até 2009</t>
  </si>
  <si>
    <t>Aquisições por ano</t>
  </si>
  <si>
    <t>Acumulado por ano</t>
  </si>
  <si>
    <t>Proprietário</t>
  </si>
  <si>
    <t>Agropecuária Masutti Ltda</t>
  </si>
  <si>
    <t>Saudades</t>
  </si>
  <si>
    <t>Realeza Agric e Pec Ltda</t>
  </si>
  <si>
    <t>Unidade Produtiva</t>
  </si>
  <si>
    <t>Localização</t>
  </si>
  <si>
    <t>Área</t>
  </si>
  <si>
    <t>Vigência</t>
  </si>
  <si>
    <t>Custo/ha</t>
  </si>
  <si>
    <t>09 sacas</t>
  </si>
  <si>
    <t>02 sacas</t>
  </si>
  <si>
    <t>12 sacas</t>
  </si>
  <si>
    <t>Abr.2016</t>
  </si>
  <si>
    <t>Jun.2018</t>
  </si>
  <si>
    <t>Comodoro-MT</t>
  </si>
  <si>
    <t>Cpos Júlio-MT</t>
  </si>
  <si>
    <t>Totais, em hectares</t>
  </si>
  <si>
    <t># Imóveis próprios</t>
  </si>
  <si>
    <t># Imóveis arrendados</t>
  </si>
  <si>
    <t># Utilização das áreas</t>
  </si>
  <si>
    <t>Em abertura</t>
  </si>
  <si>
    <t>Outras</t>
  </si>
  <si>
    <t>Pastagens</t>
  </si>
  <si>
    <t>Produtiva</t>
  </si>
  <si>
    <t>Unidade Produtiva/Localização</t>
  </si>
  <si>
    <t>Saudades, Cpos Júlio-MT</t>
  </si>
  <si>
    <t>JK, Comodoro-MT</t>
  </si>
  <si>
    <t>Jaqueline, Vilhena-RO</t>
  </si>
  <si>
    <t>Ventania, Cerejeiras-RO</t>
  </si>
  <si>
    <t>Pantanal, Pimenteiras do Oeste-RO</t>
  </si>
  <si>
    <t>Triunfo, Candeias do Jamari-RO</t>
  </si>
  <si>
    <t>Cedrobom, Colniza-MT</t>
  </si>
  <si>
    <t>Capivara, Cerejeiras-RO</t>
  </si>
  <si>
    <t>Assunção</t>
  </si>
  <si>
    <t>6,17% a.a</t>
  </si>
  <si>
    <t>Banco da Amazônia S/A</t>
  </si>
  <si>
    <t>Quadro 16 - Endividamento bancário</t>
  </si>
  <si>
    <t>05- FAZENDA VENTANIA</t>
  </si>
  <si>
    <t>Tipo</t>
  </si>
  <si>
    <t>Dt. Aquisicao</t>
  </si>
  <si>
    <t>Qtde Ha</t>
  </si>
  <si>
    <t>AERONAVES AGRICOLAS</t>
  </si>
  <si>
    <t>PA CARREGADEIRA W20 TURBO</t>
  </si>
  <si>
    <t>AERONAVES PASSAGEIROS</t>
  </si>
  <si>
    <t>DESP. IMPORTAÇÃO - AIR TRACTOR 502B</t>
  </si>
  <si>
    <t>CONFINS - AIR TRACTOR 502B</t>
  </si>
  <si>
    <t>SERVIDOR X3550</t>
  </si>
  <si>
    <t>RACK TI</t>
  </si>
  <si>
    <t>STORAGE V3700</t>
  </si>
  <si>
    <t>PASTAGENS PECUÁRIA</t>
  </si>
  <si>
    <t>Quadro 13 - CAPEX 2013 (01jan a 31dez)</t>
  </si>
  <si>
    <t>Quadro 12 - CAPEX 2012 (01jul a 31dez)</t>
  </si>
  <si>
    <t>Patrimonio - Consulta Valor Imoveis/Frota (hac)</t>
  </si>
  <si>
    <t>TANQUE MISTURADOR AÇOINOX 304 CAP 1.600L ENT/SAI 3</t>
  </si>
  <si>
    <t>CAIXA DE AGUA 22.000L</t>
  </si>
  <si>
    <t>PLATAFORMA DE CORTE JOHN DEERE 635 35 PES</t>
  </si>
  <si>
    <t>AR CONDICIONADO 7500 BTUS 220V CONSUL</t>
  </si>
  <si>
    <t>MESA COMPUTADOR</t>
  </si>
  <si>
    <t>AR CONDICIONADO 9000  220V SPRINGER</t>
  </si>
  <si>
    <t>Jk</t>
  </si>
  <si>
    <t>Jaqueline</t>
  </si>
  <si>
    <t>Ventania</t>
  </si>
  <si>
    <t>Capivara</t>
  </si>
  <si>
    <t>Pantanal</t>
  </si>
  <si>
    <t>Triunfo</t>
  </si>
  <si>
    <t>Cedrobom</t>
  </si>
  <si>
    <t>Janeiro.2014</t>
  </si>
  <si>
    <t>Fevereiro.2014</t>
  </si>
  <si>
    <t>Março.2014</t>
  </si>
  <si>
    <t>Total, em R$</t>
  </si>
  <si>
    <t xml:space="preserve">Fev a Jan </t>
  </si>
  <si>
    <t>PA CARREGADEIRA CATERPILLAR 924K</t>
  </si>
  <si>
    <t>PRE MISTURADOR 1.600L EM AÇO INOX E VALVULA DUPLA</t>
  </si>
  <si>
    <t>SEMEADORA ADUBADORA HERCULES 10.000 INOX</t>
  </si>
  <si>
    <t>TANQUE MISTURADOR AÇO INOX 430 1000LT ENT/SAI 3POL</t>
  </si>
  <si>
    <t>ASPIRADOR INDUSTRIAL SMART TURBO 20 CV II TRIFASIC</t>
  </si>
  <si>
    <t>DETERMINADOR UMIDADE MOTOMCO</t>
  </si>
  <si>
    <t>BARCO AMAZONAS 600SL SOLDADO</t>
  </si>
  <si>
    <t>MOTOR DE POPA 15 FMHS</t>
  </si>
  <si>
    <t>VENTILADOR 45/50</t>
  </si>
  <si>
    <t>HILUX CD 4X4 SRV</t>
  </si>
  <si>
    <t>TV 29P LED</t>
  </si>
  <si>
    <t>FREEZER 477L H500 2 TAMPA</t>
  </si>
  <si>
    <t>TELA RETRATIL ELETR TENSIONADA FORM.4X3 C/MOLDURA</t>
  </si>
  <si>
    <t>LICENCA SOFTWARE</t>
  </si>
  <si>
    <t>MICRO COMPUTADOR I3 4GB</t>
  </si>
  <si>
    <t>MULTIFUNCIONAL BROTHER</t>
  </si>
  <si>
    <t>ESC. CENTRAL</t>
  </si>
  <si>
    <t>LAVADORA STIHL</t>
  </si>
  <si>
    <t>SAUDADES POSTO</t>
  </si>
  <si>
    <t>CONF MASUTTI</t>
  </si>
  <si>
    <t>CONF SAUDADES</t>
  </si>
  <si>
    <t>NOBREAK 700 VA BIVOLT 1 BAT SMS</t>
  </si>
  <si>
    <t>NOBREAK NHS MINI III</t>
  </si>
  <si>
    <t>FAZENDA CHARRUA - ADITIVO</t>
  </si>
  <si>
    <t>FAZENDA SORANSO - ADITIVO</t>
  </si>
  <si>
    <t>FAZENDA OURO VERDE - ADITIVO</t>
  </si>
  <si>
    <t>FAZENDA MARIOTTI - ADITIVO</t>
  </si>
  <si>
    <t>5.30% a.a</t>
  </si>
  <si>
    <t>Caixa Econômica Federal</t>
  </si>
  <si>
    <t>Quadro 16.1 - Perfil endividamento</t>
  </si>
  <si>
    <t>Ciclo</t>
  </si>
  <si>
    <t>Agopecuária</t>
  </si>
  <si>
    <t>Natureza</t>
  </si>
  <si>
    <t>Ano</t>
  </si>
  <si>
    <t>Algodão</t>
  </si>
  <si>
    <t>Area plantada/há</t>
  </si>
  <si>
    <t>Produção @/há</t>
  </si>
  <si>
    <t>Total @</t>
  </si>
  <si>
    <t>Preço médio (US$)</t>
  </si>
  <si>
    <t>Receita projetada (US$)</t>
  </si>
  <si>
    <t>Nota</t>
  </si>
  <si>
    <t>Custo estimado/há</t>
  </si>
  <si>
    <t>Custo Total Projetdo/há</t>
  </si>
  <si>
    <t>Safra</t>
  </si>
  <si>
    <t>Produção kg/há</t>
  </si>
  <si>
    <t>Total kg</t>
  </si>
  <si>
    <t>Preço médio (R$)</t>
  </si>
  <si>
    <t>Receita projetada (R$)</t>
  </si>
  <si>
    <t>Produção sc/há</t>
  </si>
  <si>
    <t>Total sc</t>
  </si>
  <si>
    <t>Safrinha</t>
  </si>
  <si>
    <t>Pecuária</t>
  </si>
  <si>
    <t>Atividade</t>
  </si>
  <si>
    <t>Total (cbç)</t>
  </si>
  <si>
    <t>Custo estimado</t>
  </si>
  <si>
    <t>Custo Total Projetdo</t>
  </si>
  <si>
    <t>Aluguel Confinamento</t>
  </si>
  <si>
    <t>PTAX</t>
  </si>
  <si>
    <t>Soma:</t>
  </si>
  <si>
    <t>Lucro Bruto:</t>
  </si>
  <si>
    <t>Grupo Masutti</t>
  </si>
  <si>
    <t>Junho.2014</t>
  </si>
  <si>
    <t>Maio.2014</t>
  </si>
  <si>
    <t>Abril.2014</t>
  </si>
  <si>
    <t>Quadro 06 - Faturamento últimos 12 meses</t>
  </si>
  <si>
    <t>MOTONIVELADORA CAT 120K</t>
  </si>
  <si>
    <t>NB FHILCO NETBOOK 2GB/320GB/10 LINOX</t>
  </si>
  <si>
    <t>CAIXA D AGUA ACO CARBONO SAE1020 CH 4,0MM</t>
  </si>
  <si>
    <t xml:space="preserve">MOTORREDUTOR GS51 1X15 EIXO SAIDA VAZADO G201V </t>
  </si>
  <si>
    <t>GERADOR BD 8000 E - 110V</t>
  </si>
  <si>
    <t>LAGOA JK</t>
  </si>
  <si>
    <t>SEMI REBOQUE BITREM DIANT GRANELEIRO 03 EIXOS</t>
  </si>
  <si>
    <t>SEMI REBOQUE BITREM TRAS GRANELEIRO 03 EIXOS</t>
  </si>
  <si>
    <t>AERAÇÃO CONDICIONADA MOVEL PCS 20 COOL SEED</t>
  </si>
  <si>
    <t>MOTORREDUTOR GD70 1X18,65 EX SAIDA VAZ DF2V515 20C</t>
  </si>
  <si>
    <t>SECADOR - JK</t>
  </si>
  <si>
    <t>CARROCERIA ABERTA</t>
  </si>
  <si>
    <t>SAUDADES-MUCK</t>
  </si>
  <si>
    <t>TANQUE RODOVIARIO 3500 LITROS</t>
  </si>
  <si>
    <t>AVIAÇÃO-CAMINHA</t>
  </si>
  <si>
    <t>GRUPO GERADOR BFD PE 5CV 2500 BUFFALO-D1</t>
  </si>
  <si>
    <t>GRUPO GERADOR LINTEC G1200 110V PARTIDA CORDA</t>
  </si>
  <si>
    <t>EMPILHADEIRA HYSTER H55</t>
  </si>
  <si>
    <t>TANQUE ACO INOX AISI 304 CHAPA 14 15000 LT</t>
  </si>
  <si>
    <t>AVIAÇÃO - JK</t>
  </si>
  <si>
    <t>TRANSFORMADOR 750KVA 36,2 KV 3F 380/220V</t>
  </si>
  <si>
    <t>LAVADORA HYDRONLUBZ COMPLETA</t>
  </si>
  <si>
    <t>AVIAÇÃO - MOVEL</t>
  </si>
  <si>
    <t>PA CARREGADEIRA W20 E</t>
  </si>
  <si>
    <t>PROJETOR DELL 1210S</t>
  </si>
  <si>
    <t>TV 32 LED</t>
  </si>
  <si>
    <t>MESA "U"</t>
  </si>
  <si>
    <t>MESA 2,75M</t>
  </si>
  <si>
    <t>AR CONDICIONADO SPLIT 9000 BTU 220V</t>
  </si>
  <si>
    <t>SALA NUTRICIONI</t>
  </si>
  <si>
    <t>AR CONDICIONADO SPLIT 18.000 BTUS</t>
  </si>
  <si>
    <t>CLASSIFICAÇÃO</t>
  </si>
  <si>
    <t>CLAISSIFICAÇÃO</t>
  </si>
  <si>
    <t xml:space="preserve">ALMOXERIFADO </t>
  </si>
  <si>
    <t>ARMARIO DUAS PORTAS 1,98X90X40CH26</t>
  </si>
  <si>
    <t>ALMOXERIFADO</t>
  </si>
  <si>
    <t>ARMARIO DUAS PORTAS 198X90X40CH26</t>
  </si>
  <si>
    <t>APARELHO P/COL. DADOS MOD. PRINTPOINT</t>
  </si>
  <si>
    <t>CADASTRADOR BIOMETRICO SAGEM</t>
  </si>
  <si>
    <t>NOBREAK NHS EXPERT LINE 10000VA C/20</t>
  </si>
  <si>
    <t>SAUDADES - RH</t>
  </si>
  <si>
    <t>BEBEDOURO IBBL COLUNA BRANCO 127V GFN2000</t>
  </si>
  <si>
    <t xml:space="preserve">GELADEIRA  ELETROLUX 350 (260L/328L) DC35 110V </t>
  </si>
  <si>
    <t>LAVADORA ELECTROLUX BLUE TOUCH ULTRA CLEAN 15 KG</t>
  </si>
  <si>
    <t>TV LG 42" 3D LED LCD SMART TV/FULL HD</t>
  </si>
  <si>
    <t xml:space="preserve">CONJ CONDICIONADOR DE AR LG </t>
  </si>
  <si>
    <t>CASA DO RIO</t>
  </si>
  <si>
    <t>REALEZA</t>
  </si>
  <si>
    <t>FAZENDA TRIUNFO 7 - BAIXO CANDEIAS</t>
  </si>
  <si>
    <t>FAZENDA TRIUNFO 8 - RIO DOCE COMPL</t>
  </si>
  <si>
    <t>FAZENDA TRIUNFO 8 - RIO DOCE</t>
  </si>
  <si>
    <t>FAZENDA TRIUNFO 9 - RIO DOCE</t>
  </si>
  <si>
    <t>FAZENDA TRIUNFO 10 - SUL DA MATA</t>
  </si>
  <si>
    <t>FAZENDA TRIUNFO 11 - ESPIRITO SANTO</t>
  </si>
  <si>
    <t>Totais, em R$</t>
  </si>
  <si>
    <t>Em 30 de junho de 2014, em R$</t>
  </si>
  <si>
    <t>Cerejeiras-RO</t>
  </si>
  <si>
    <t>Abr.2017</t>
  </si>
  <si>
    <t>40 mil</t>
  </si>
  <si>
    <t>Out.2018</t>
  </si>
  <si>
    <t>06 sacas</t>
  </si>
  <si>
    <t>Pessoa Física</t>
  </si>
  <si>
    <t>Banco Original S/A</t>
  </si>
  <si>
    <t>Banco CNH Industrial Capital S/A</t>
  </si>
  <si>
    <t>Masutti LLC</t>
  </si>
  <si>
    <t>.Agropecuária Masutti Ltda</t>
  </si>
  <si>
    <t>Mar-2020</t>
  </si>
  <si>
    <t>Abr-2017</t>
  </si>
  <si>
    <t>Nov-2019</t>
  </si>
  <si>
    <t>Mar-2017</t>
  </si>
  <si>
    <t>CAPIVARA</t>
  </si>
  <si>
    <t>BARRACAO/GALPÃO C/527,58 M2</t>
  </si>
  <si>
    <t>CASA EM ALVENARIA C/150M2</t>
  </si>
  <si>
    <t>BARRACÃO TANQUE DE COMBUSTIVEL</t>
  </si>
  <si>
    <t>CASA EM MADEIRA C/76.5 M2</t>
  </si>
  <si>
    <t>CASA EM MADEIRA MIXTA C/168 M2</t>
  </si>
  <si>
    <t xml:space="preserve">Filtros: Aquisicao &gt;= 01/01/2014, Aquisicao &lt;= 30/06/2014 </t>
  </si>
  <si>
    <t>Insumos</t>
  </si>
  <si>
    <t>Uso e consumo</t>
  </si>
  <si>
    <t>Quadro 18 - Endividamento fornecedores</t>
  </si>
  <si>
    <t>Quadro 20 - Estoques</t>
  </si>
  <si>
    <t>RS (unit)</t>
  </si>
  <si>
    <t xml:space="preserve"> Milho em grãos – em sacas</t>
  </si>
  <si>
    <t xml:space="preserve"> Soja em grãos – em sacas</t>
  </si>
  <si>
    <t>Produtos agrícolas</t>
  </si>
  <si>
    <t xml:space="preserve"> Ajuste a valor presente</t>
  </si>
  <si>
    <t xml:space="preserve"> Adubos e fertilizantes</t>
  </si>
  <si>
    <t>Defensivos</t>
  </si>
  <si>
    <t>Sementes</t>
  </si>
  <si>
    <t>Outros</t>
  </si>
  <si>
    <t>Lavoura em formação</t>
  </si>
  <si>
    <t>Ativo biológico, em R$</t>
  </si>
  <si>
    <t>Gado corte</t>
  </si>
  <si>
    <t>Outros (tropa e ovinos)</t>
  </si>
  <si>
    <t>Em poder de terceiros</t>
  </si>
  <si>
    <t>Almoxarifado</t>
  </si>
  <si>
    <t>Silagem milho – em toneladas</t>
  </si>
  <si>
    <t>Estoques, em R$</t>
  </si>
  <si>
    <t>Em 30 de setembro de 2014, por mês, em R$</t>
  </si>
  <si>
    <t>Cliente</t>
  </si>
  <si>
    <t>Quantidade</t>
  </si>
  <si>
    <t>Valor Total</t>
  </si>
  <si>
    <t>Valor (R$)</t>
  </si>
  <si>
    <t>kg</t>
  </si>
  <si>
    <t>2014/Set 2015</t>
  </si>
  <si>
    <t>Out/Dez 2015</t>
  </si>
  <si>
    <t>7.96% a.a. + VC</t>
  </si>
  <si>
    <t>Sc 60kg</t>
  </si>
  <si>
    <t>Valor (unit)</t>
  </si>
  <si>
    <t>Quadro 15 - Contratos Algodão Safra 13/14</t>
  </si>
  <si>
    <t>lb</t>
  </si>
  <si>
    <t>Valor Unit (lb)</t>
  </si>
  <si>
    <t>Soma, contratos fixados</t>
  </si>
  <si>
    <t>Mercado</t>
  </si>
  <si>
    <t>ME</t>
  </si>
  <si>
    <t>MI</t>
  </si>
  <si>
    <t>Valor Unit (@)</t>
  </si>
  <si>
    <t>Total em US$</t>
  </si>
  <si>
    <t>Total em R$</t>
  </si>
  <si>
    <t>CLAIDES LAZARETTI MASUTTI E OUTROS</t>
  </si>
  <si>
    <t>AGROPECUARIA MASUTTI LTDA</t>
  </si>
  <si>
    <t>05/03/2014</t>
  </si>
  <si>
    <t>AVIAO - KIKO</t>
  </si>
  <si>
    <t>08/01/2014</t>
  </si>
  <si>
    <t>21/01/2014</t>
  </si>
  <si>
    <t>31/01/2014</t>
  </si>
  <si>
    <t>05/02/2014</t>
  </si>
  <si>
    <t>24/02/2014</t>
  </si>
  <si>
    <t>14/02/2014</t>
  </si>
  <si>
    <t>26/02/2014</t>
  </si>
  <si>
    <t>27/02/2014</t>
  </si>
  <si>
    <t>10/03/2014</t>
  </si>
  <si>
    <t>14/03/2014</t>
  </si>
  <si>
    <t>17/02/2014</t>
  </si>
  <si>
    <t>17/03/2014</t>
  </si>
  <si>
    <t>27/03/2014</t>
  </si>
  <si>
    <t>28/03/2014</t>
  </si>
  <si>
    <t>31/03/2014</t>
  </si>
  <si>
    <t>16/04/2014</t>
  </si>
  <si>
    <t>17/04/2014</t>
  </si>
  <si>
    <t>22/04/2014</t>
  </si>
  <si>
    <t>08/04/2014</t>
  </si>
  <si>
    <t>20/06/2014</t>
  </si>
  <si>
    <t>12/05/2014</t>
  </si>
  <si>
    <t>16/06/2014</t>
  </si>
  <si>
    <t>16/05/2014</t>
  </si>
  <si>
    <t>02/06/2014</t>
  </si>
  <si>
    <t>05/05/2014</t>
  </si>
  <si>
    <t>30/05/2014</t>
  </si>
  <si>
    <t>21/05/2014</t>
  </si>
  <si>
    <t>10/06/2014</t>
  </si>
  <si>
    <t>29/05/2014</t>
  </si>
  <si>
    <t>27/05/2014</t>
  </si>
  <si>
    <t>13/05/2014</t>
  </si>
  <si>
    <t>07/07/2014</t>
  </si>
  <si>
    <t>30/06/2014</t>
  </si>
  <si>
    <t>SISTEMA DE IRRIGAÇÃO JAQ</t>
  </si>
  <si>
    <t>SISTEMA DE IRRIGACAO PIVOT CENTRAL</t>
  </si>
  <si>
    <t>09/07/2014</t>
  </si>
  <si>
    <t>18/07/2014</t>
  </si>
  <si>
    <t>29/07/2014</t>
  </si>
  <si>
    <t>BOMBA MEDIDORA COMBUSTIVEL INDUSTRIAL</t>
  </si>
  <si>
    <t xml:space="preserve">CAMARA FRIA COMPLETA </t>
  </si>
  <si>
    <t>30/07/2014</t>
  </si>
  <si>
    <t>21/07/2014</t>
  </si>
  <si>
    <t>17/07/2014</t>
  </si>
  <si>
    <t>16/07/2014</t>
  </si>
  <si>
    <t>COLHEITADEIRA DE GRAOS S550</t>
  </si>
  <si>
    <t>04/08/2014</t>
  </si>
  <si>
    <t>13/08/2014</t>
  </si>
  <si>
    <t>18/08/2014</t>
  </si>
  <si>
    <t>12/08/2014</t>
  </si>
  <si>
    <t>BUNDLE DIVISOR DE LINHAS PV JD 4730</t>
  </si>
  <si>
    <t>FIAT PALIO FIRE WAY 1.0</t>
  </si>
  <si>
    <t>SOPRADOR  BRANCO  B2T  27J</t>
  </si>
  <si>
    <t xml:space="preserve">REBOCADOR AERONAVE AIRTUG-3HP G360" 16.000 LIBRAS </t>
  </si>
  <si>
    <t>27/08/2014</t>
  </si>
  <si>
    <t>19/08/2014</t>
  </si>
  <si>
    <t>26/08/2014</t>
  </si>
  <si>
    <t>MARTELO DEMOLIDOR HEX 28MM 1340W 220V</t>
  </si>
  <si>
    <t>28/08/2014</t>
  </si>
  <si>
    <t>ARMAZEM CEREJEI</t>
  </si>
  <si>
    <t>GRUPO GERADOR FCI 72C470A0-63A6-40B3-8590</t>
  </si>
  <si>
    <t>04/09/2014</t>
  </si>
  <si>
    <t>MOTORREDUTOR GK02 1X104.80 EIXO MACICO MOTOR 1/2CV</t>
  </si>
  <si>
    <t>15/09/2014</t>
  </si>
  <si>
    <t>BOMBA DE PISTAO A2F107R2.P.3</t>
  </si>
  <si>
    <t>23/09/2014</t>
  </si>
  <si>
    <t>MOINHO MARTELO C/BICA ENTRADA PLACA MAGNETICA MOEG</t>
  </si>
  <si>
    <t>CARRETINHA PARA MOTO</t>
  </si>
  <si>
    <t>11/09/2014</t>
  </si>
  <si>
    <t>TANQUE ESTACIONARIO 30.000 LTS</t>
  </si>
  <si>
    <t>10/09/2014</t>
  </si>
  <si>
    <t>CONJUNTO DE EQUIP. UBS</t>
  </si>
  <si>
    <t>UBS</t>
  </si>
  <si>
    <t>01/07/2014</t>
  </si>
  <si>
    <t>EMPILHADEIRA 3000 KG MOTOR CHINES COM CLAMP DE ALG</t>
  </si>
  <si>
    <t>22/09/2014</t>
  </si>
  <si>
    <t>01/09/2014</t>
  </si>
  <si>
    <t>TANQUE  AEREO HORIZ. 30.000LTS PLENO C/ BERÇO META</t>
  </si>
  <si>
    <t>12/09/2014</t>
  </si>
  <si>
    <t>TANQUE  AEREO HORIZ. 12.000LTS PLENO C/ BERÇO META</t>
  </si>
  <si>
    <t>MOTOBOMBA TRIF7,5CV THSI-18 VERM THEBE 116.00.1481</t>
  </si>
  <si>
    <t>24/10/2014</t>
  </si>
  <si>
    <t>TRANSFORMADOR 112,5KVA 13,8KV 3F 380/220V</t>
  </si>
  <si>
    <t>23/10/2014</t>
  </si>
  <si>
    <t>NXR 125 BROS KS</t>
  </si>
  <si>
    <t>20/10/2014</t>
  </si>
  <si>
    <t>MOTO BOMBA BRANCO DIESEL BD 710CF 2" 5.0CV</t>
  </si>
  <si>
    <t>14/10/2014</t>
  </si>
  <si>
    <t>BOMBA SUBMERSA 6"C/QC VBUP6504 EST5,5HPMONO 254V60</t>
  </si>
  <si>
    <t>PASTAGEM</t>
  </si>
  <si>
    <t>13/10/2014</t>
  </si>
  <si>
    <t>SEMEADORA ADUBADORA JUMIL JM5027 PD SA 27/27 LINHA</t>
  </si>
  <si>
    <t>07/10/2014</t>
  </si>
  <si>
    <t>TANQUE MISTURADOR ACO INOX 304 CH 1000 LITROS</t>
  </si>
  <si>
    <t>08/10/2014</t>
  </si>
  <si>
    <t>01/10/2014</t>
  </si>
  <si>
    <t>MAQUINA TRATAR SEMENTE MTS-60 POLIET LIQ/PO/LIQ 60</t>
  </si>
  <si>
    <t>09/10/2014</t>
  </si>
  <si>
    <t xml:space="preserve">MAQUINA DE SOLDA INVERSORA LHN220I PLUS 220V </t>
  </si>
  <si>
    <t>24/11/2014</t>
  </si>
  <si>
    <t>COMPRESSOR DE AR 60 PCM</t>
  </si>
  <si>
    <t>12/11/2014</t>
  </si>
  <si>
    <t>TRANSFORMADOR 75KVA 15KV 3F 220/127V</t>
  </si>
  <si>
    <t>03/11/2014</t>
  </si>
  <si>
    <t>KIT BALANCA MODELO 900I CAPACIDADE 120T PLATAFORMA</t>
  </si>
  <si>
    <t>SECADOR CEREJEI</t>
  </si>
  <si>
    <t>19/12/2014</t>
  </si>
  <si>
    <t>13/01/2014</t>
  </si>
  <si>
    <t>14/01/2014</t>
  </si>
  <si>
    <t>22/01/2014</t>
  </si>
  <si>
    <t>27/01/2014</t>
  </si>
  <si>
    <t>04/02/2014</t>
  </si>
  <si>
    <t>25/02/2014</t>
  </si>
  <si>
    <t>28/02/2014</t>
  </si>
  <si>
    <t>21/02/2014</t>
  </si>
  <si>
    <t>25/03/2014</t>
  </si>
  <si>
    <t>21/02/2014 10:08:12</t>
  </si>
  <si>
    <t>09/04/2014</t>
  </si>
  <si>
    <t>04/04/2014</t>
  </si>
  <si>
    <t>24/04/2014</t>
  </si>
  <si>
    <t>03/04/2014</t>
  </si>
  <si>
    <t>02/04/2014</t>
  </si>
  <si>
    <t>12/06/2014</t>
  </si>
  <si>
    <t>24/06/2014</t>
  </si>
  <si>
    <t>11/06/2014</t>
  </si>
  <si>
    <t>03/07/2014</t>
  </si>
  <si>
    <t>AR CONDICIONADO SPLIT 30000 BTUS T130F</t>
  </si>
  <si>
    <t>COZINHA-SAUDADE</t>
  </si>
  <si>
    <t>10/07/2014</t>
  </si>
  <si>
    <t>28/07/2014</t>
  </si>
  <si>
    <t>ESC_CENTRAL RH</t>
  </si>
  <si>
    <t>ESC_DIRETORIA</t>
  </si>
  <si>
    <t>FISCAL</t>
  </si>
  <si>
    <t>RECEPÇÃO</t>
  </si>
  <si>
    <t>CONTABILIDADE</t>
  </si>
  <si>
    <t>INFORMATICA</t>
  </si>
  <si>
    <t>MARKETING</t>
  </si>
  <si>
    <t>RH</t>
  </si>
  <si>
    <t>DIRETORIA</t>
  </si>
  <si>
    <t>LAGO JK</t>
  </si>
  <si>
    <t>CARLINHOS - SDS</t>
  </si>
  <si>
    <t>ARMARIO MADEIRA</t>
  </si>
  <si>
    <t>SALA VOLNEI</t>
  </si>
  <si>
    <t>SALA REUNIÃO</t>
  </si>
  <si>
    <t>CONTABIL/FISCAL</t>
  </si>
  <si>
    <t>COMPRAS-ESC_CEN</t>
  </si>
  <si>
    <t>ALMOXERIFADO EC</t>
  </si>
  <si>
    <t>DETERMINADOR UMIDADE ALGODAO</t>
  </si>
  <si>
    <t xml:space="preserve">MESA REDONDA </t>
  </si>
  <si>
    <t>MESA DE SOM 6 CANAIS PHONIC AM-85</t>
  </si>
  <si>
    <t>05/09/2014</t>
  </si>
  <si>
    <t>AMPLIFICADOR NCA COMPACTO AB-100 R4 100W</t>
  </si>
  <si>
    <t>COIFA INOX PAREDE</t>
  </si>
  <si>
    <t>JK- CANTINA</t>
  </si>
  <si>
    <t>PORTA DE CORRER 1.50M</t>
  </si>
  <si>
    <t>AUDITORIO</t>
  </si>
  <si>
    <t>ARMARIO PIA COZINHA</t>
  </si>
  <si>
    <t>COZINHA-ESC_CEN</t>
  </si>
  <si>
    <t>PORTA DE CORRER COM PAINEL</t>
  </si>
  <si>
    <t>REUNIÃO 1</t>
  </si>
  <si>
    <t>REUNIÃO 2</t>
  </si>
  <si>
    <t>TANQUE ACO INOX 430CHAPA 1MM 1200X800X600</t>
  </si>
  <si>
    <t>CANTINA JK</t>
  </si>
  <si>
    <t>REFRIGERADOR ELECTROLUX 120 LT</t>
  </si>
  <si>
    <t>IMPRESSORA MULTIFUNCIONAL HP</t>
  </si>
  <si>
    <t>ARVORE DECORACAO COM VASO</t>
  </si>
  <si>
    <t>02/10/2014</t>
  </si>
  <si>
    <t>PAINEL TV</t>
  </si>
  <si>
    <t>POLTRONA BARCELONA PRETA</t>
  </si>
  <si>
    <t>FAZ. PARAISO</t>
  </si>
  <si>
    <t>BEBEDOURO ACO INOX 100LTS</t>
  </si>
  <si>
    <t>FOGAO 3 BOCAS IDL BAIXA PRESAO</t>
  </si>
  <si>
    <t>REALEZA AGRICULTURA E PECUARIA LTDA</t>
  </si>
  <si>
    <t>GUARITA EM ALVENARIA E PORTÃO</t>
  </si>
  <si>
    <t>30/09/2014</t>
  </si>
  <si>
    <t>BANHEIRO EM ALVENARIA</t>
  </si>
  <si>
    <t>AMPLIAÇÃO BARRACAO DE SEMENTES</t>
  </si>
  <si>
    <t>AMPLIAÇÃO E REFORMA CANTINA</t>
  </si>
  <si>
    <t>11/03/2014</t>
  </si>
  <si>
    <t>06/02/2014</t>
  </si>
  <si>
    <t>FORMAÇÃO DE PASTAGENS 1 SEM 2014</t>
  </si>
  <si>
    <t>23/01/2014</t>
  </si>
  <si>
    <t>132,59</t>
  </si>
  <si>
    <t>133,36</t>
  </si>
  <si>
    <t>16/02/2014</t>
  </si>
  <si>
    <t>FAZENDA TRIUNFO 12 MUSTANG I</t>
  </si>
  <si>
    <t>02/01/2014</t>
  </si>
  <si>
    <t>FAZENDA TRIUNFO 13 MUSTANG II</t>
  </si>
  <si>
    <t>FAZENDA TRIUNFO 14 MUSTANG III</t>
  </si>
  <si>
    <t>FAZENDA TRIUNFO 15 MUSTANG IV</t>
  </si>
  <si>
    <t>FAZENDA TRIUNFO 16 ALEGRIA E ALTO RIO PRETO</t>
  </si>
  <si>
    <t>122,54</t>
  </si>
  <si>
    <t>CANTINA EM ALVENARIA C/288M2</t>
  </si>
  <si>
    <t>ABRIGO EM MADEIRA LAGOA JK 79 M2</t>
  </si>
  <si>
    <t>CASA EM MADEIRA  C/69M2</t>
  </si>
  <si>
    <t>HANGAR PARA AVIÃO</t>
  </si>
  <si>
    <t>ABRIGO P/ABASTECIMENTO COMBUSTIVEL (02)</t>
  </si>
  <si>
    <t>SILOS METALICOS</t>
  </si>
  <si>
    <t>SILO METALICO P/GRÃOS (EM CONSTRUÇÃO)</t>
  </si>
  <si>
    <t>30/04/2014</t>
  </si>
  <si>
    <t>ABRIGO P/TANQUE DE ABASTIMENTO DE COMBUSTIVEIS</t>
  </si>
  <si>
    <t>ALOJAMENTO FAZ CAPIVARA</t>
  </si>
  <si>
    <t>ALOJAMENTO FAZ TRIUNFO (EM CONSTRUÇÃO)</t>
  </si>
  <si>
    <t>ABRIGO P/TANQUE DE ABASTECIMENTO (EM CONSTRUÇÃO)</t>
  </si>
  <si>
    <t>CASA DE MAQUINAS (EM ANDAMETNO)</t>
  </si>
  <si>
    <t>FAZ. JAMARI - PARAISO</t>
  </si>
  <si>
    <t>28/10/2014</t>
  </si>
  <si>
    <t>FAZENDA CAROLLINE - PARAISO</t>
  </si>
  <si>
    <t>FAZENDA ERICA - PARAISO</t>
  </si>
  <si>
    <t>FAZENDA PARAISO I</t>
  </si>
  <si>
    <t>PARAISO I</t>
  </si>
  <si>
    <t>12/12/2014</t>
  </si>
  <si>
    <t>Quadro 14 - CAPEX 2014 (01jan a 31dez)</t>
  </si>
  <si>
    <t>Res 2770/00</t>
  </si>
  <si>
    <t>Total, em sacas e em R$</t>
  </si>
  <si>
    <t>Kilos</t>
  </si>
  <si>
    <t>Quadro 15.1 - Contratos Algodão Safra 14/15</t>
  </si>
  <si>
    <t>Total por ano</t>
  </si>
  <si>
    <t>Nota - Para os contratos indexados em commodities, a soja foi cotada a R$ 50,71 por saca com 60kg</t>
  </si>
  <si>
    <t>Modesto Golin</t>
  </si>
  <si>
    <t>Contador - CRC/PR 011138/05-7</t>
  </si>
  <si>
    <t>CPF 028.665.799-68</t>
  </si>
  <si>
    <t>Quadro 14.1 - CAPEX 2015 (01jan a 31dez)</t>
  </si>
  <si>
    <t>Paraiso</t>
  </si>
  <si>
    <t>Paraiso, Itapuã do Oeste-RO</t>
  </si>
  <si>
    <t>Quadro 20 - Adiantamento de clientes</t>
  </si>
  <si>
    <t>Contas</t>
  </si>
  <si>
    <t>Bunge Alimentos</t>
  </si>
  <si>
    <t>toneladas</t>
  </si>
  <si>
    <t>Soja em Graos</t>
  </si>
  <si>
    <t>Quadro 22 - Saldos Bancarios</t>
  </si>
  <si>
    <t>Conta Corrente</t>
  </si>
  <si>
    <t>Aplicaçoes</t>
  </si>
  <si>
    <t>Faz Pontal</t>
  </si>
  <si>
    <t>Em 10 de março de 2015, em R$ mil</t>
  </si>
  <si>
    <t>COOPERSERV COOPERATIVA AGRICOLA NACIONAL</t>
  </si>
  <si>
    <t>PLEXUS COTTON LIMITED</t>
  </si>
  <si>
    <t>COOPERGLOBAL - COOPERATIVA DOS PRODUTORES DE ALGOD</t>
  </si>
  <si>
    <t>COOPERCOUSIN COOPERATIVA AGRICOLA PRIMAVERA</t>
  </si>
  <si>
    <t>COOPERBRAC COOPERATIVA AGRICOLA DO BRASIL CENTRAL</t>
  </si>
  <si>
    <t>AGROGRAIN SUCURSAL URUGUAY</t>
  </si>
  <si>
    <t>PAUL REINHART AG</t>
  </si>
  <si>
    <t>CARGILL AGRICOLA S.A. TURKS AND CAICOS</t>
  </si>
  <si>
    <t>MIDAS COMERCIO DE PRODUTOS AGRICOLAS LTDA</t>
  </si>
  <si>
    <t>CDI - SOCIETE COTONNIERE DE DISTRIBUTION S.A.</t>
  </si>
  <si>
    <t>GLENCORE GRAIN B.V</t>
  </si>
  <si>
    <t>BTG PACTUAL COMMODITIES (SINGAPORE) PTE.LTD.</t>
  </si>
  <si>
    <t>Uni</t>
  </si>
  <si>
    <t>AFG BRASIL S/A</t>
  </si>
  <si>
    <t>Quadro 19 - Contratos Soja Em Graos Safra 14/15</t>
  </si>
  <si>
    <t>Em 10 de março de 2014, em R$ mil</t>
  </si>
  <si>
    <t>Soja Semente</t>
  </si>
  <si>
    <t xml:space="preserve">Arroz </t>
  </si>
  <si>
    <t>A00EMPRESA</t>
  </si>
  <si>
    <t>A00FILIAL</t>
  </si>
  <si>
    <t>A00TIPO</t>
  </si>
  <si>
    <t>A00DESC_PATRIMONIO</t>
  </si>
  <si>
    <t>A00NUMERO_PAT</t>
  </si>
  <si>
    <t>A00VALOR_AQUISICAO</t>
  </si>
  <si>
    <t>A00VALOR_ATUAL</t>
  </si>
  <si>
    <t>A00IDENTIFICACAO</t>
  </si>
  <si>
    <t>A00DATA_AQUISICAO</t>
  </si>
  <si>
    <t>A00QTDE_HA</t>
  </si>
  <si>
    <t>000001</t>
  </si>
  <si>
    <t>01025</t>
  </si>
  <si>
    <t>000002</t>
  </si>
  <si>
    <t>01026</t>
  </si>
  <si>
    <t>000003</t>
  </si>
  <si>
    <t>01027</t>
  </si>
  <si>
    <t>000004</t>
  </si>
  <si>
    <t>01028</t>
  </si>
  <si>
    <t>000005</t>
  </si>
  <si>
    <t>01024</t>
  </si>
  <si>
    <t>000007</t>
  </si>
  <si>
    <t>03512</t>
  </si>
  <si>
    <t>000008</t>
  </si>
  <si>
    <t>01013</t>
  </si>
  <si>
    <t>000009</t>
  </si>
  <si>
    <t>02417</t>
  </si>
  <si>
    <t>000011</t>
  </si>
  <si>
    <t>02401</t>
  </si>
  <si>
    <t>000012</t>
  </si>
  <si>
    <t>01020</t>
  </si>
  <si>
    <t>000013</t>
  </si>
  <si>
    <t>01012</t>
  </si>
  <si>
    <t>000014</t>
  </si>
  <si>
    <t>03651</t>
  </si>
  <si>
    <t>000016</t>
  </si>
  <si>
    <t>03662</t>
  </si>
  <si>
    <t>000017</t>
  </si>
  <si>
    <t>03656</t>
  </si>
  <si>
    <t>000018</t>
  </si>
  <si>
    <t>01001</t>
  </si>
  <si>
    <t>000019</t>
  </si>
  <si>
    <t>01000</t>
  </si>
  <si>
    <t>000020</t>
  </si>
  <si>
    <t>00053</t>
  </si>
  <si>
    <t>000021</t>
  </si>
  <si>
    <t>01021</t>
  </si>
  <si>
    <t>000022</t>
  </si>
  <si>
    <t>01002</t>
  </si>
  <si>
    <t>000023</t>
  </si>
  <si>
    <t>000028</t>
  </si>
  <si>
    <t>00566</t>
  </si>
  <si>
    <t>000031</t>
  </si>
  <si>
    <t>00563</t>
  </si>
  <si>
    <t>000032</t>
  </si>
  <si>
    <t>00559</t>
  </si>
  <si>
    <t>000033</t>
  </si>
  <si>
    <t>00564</t>
  </si>
  <si>
    <t>000034</t>
  </si>
  <si>
    <t>00565</t>
  </si>
  <si>
    <t>000035</t>
  </si>
  <si>
    <t>00568</t>
  </si>
  <si>
    <t>000036</t>
  </si>
  <si>
    <t>00567</t>
  </si>
  <si>
    <t>000037</t>
  </si>
  <si>
    <t>00569</t>
  </si>
  <si>
    <t>000038</t>
  </si>
  <si>
    <t>00561</t>
  </si>
  <si>
    <t>000039</t>
  </si>
  <si>
    <t>00562</t>
  </si>
  <si>
    <t>000042</t>
  </si>
  <si>
    <t>00106</t>
  </si>
  <si>
    <t>000043</t>
  </si>
  <si>
    <t>04100</t>
  </si>
  <si>
    <t>000044</t>
  </si>
  <si>
    <t>02650</t>
  </si>
  <si>
    <t>000045</t>
  </si>
  <si>
    <t>02653</t>
  </si>
  <si>
    <t>000046</t>
  </si>
  <si>
    <t>02651</t>
  </si>
  <si>
    <t>000047</t>
  </si>
  <si>
    <t>02646</t>
  </si>
  <si>
    <t>000048</t>
  </si>
  <si>
    <t>00094</t>
  </si>
  <si>
    <t>000050</t>
  </si>
  <si>
    <t>02659</t>
  </si>
  <si>
    <t>000051</t>
  </si>
  <si>
    <t>02660</t>
  </si>
  <si>
    <t>000052</t>
  </si>
  <si>
    <t>02656</t>
  </si>
  <si>
    <t>000053</t>
  </si>
  <si>
    <t>02657</t>
  </si>
  <si>
    <t>000054</t>
  </si>
  <si>
    <t>000055</t>
  </si>
  <si>
    <t>02649</t>
  </si>
  <si>
    <t>000056</t>
  </si>
  <si>
    <t>02647</t>
  </si>
  <si>
    <t>000057</t>
  </si>
  <si>
    <t>02648</t>
  </si>
  <si>
    <t>000058</t>
  </si>
  <si>
    <t>00075</t>
  </si>
  <si>
    <t>000059</t>
  </si>
  <si>
    <t>00560</t>
  </si>
  <si>
    <t>000060</t>
  </si>
  <si>
    <t>01219</t>
  </si>
  <si>
    <t>000062</t>
  </si>
  <si>
    <t>01231</t>
  </si>
  <si>
    <t>000063</t>
  </si>
  <si>
    <t>01214</t>
  </si>
  <si>
    <t>000065</t>
  </si>
  <si>
    <t>01226</t>
  </si>
  <si>
    <t>000066</t>
  </si>
  <si>
    <t>01210</t>
  </si>
  <si>
    <t>000067</t>
  </si>
  <si>
    <t>000068</t>
  </si>
  <si>
    <t>03701</t>
  </si>
  <si>
    <t>000069</t>
  </si>
  <si>
    <t>00520</t>
  </si>
  <si>
    <t>000070</t>
  </si>
  <si>
    <t>000072</t>
  </si>
  <si>
    <t>01232</t>
  </si>
  <si>
    <t>000076</t>
  </si>
  <si>
    <t>03657</t>
  </si>
  <si>
    <t>000077</t>
  </si>
  <si>
    <t>03659</t>
  </si>
  <si>
    <t>000078</t>
  </si>
  <si>
    <t>03652</t>
  </si>
  <si>
    <t>000079</t>
  </si>
  <si>
    <t>03653</t>
  </si>
  <si>
    <t>000080</t>
  </si>
  <si>
    <t>03654</t>
  </si>
  <si>
    <t>000081</t>
  </si>
  <si>
    <t>03511</t>
  </si>
  <si>
    <t>000082</t>
  </si>
  <si>
    <t>04103</t>
  </si>
  <si>
    <t>000083</t>
  </si>
  <si>
    <t>4102</t>
  </si>
  <si>
    <t>000084</t>
  </si>
  <si>
    <t>03510</t>
  </si>
  <si>
    <t>000085</t>
  </si>
  <si>
    <t>03509</t>
  </si>
  <si>
    <t>000086</t>
  </si>
  <si>
    <t>000087</t>
  </si>
  <si>
    <t>03517</t>
  </si>
  <si>
    <t>000088</t>
  </si>
  <si>
    <t>03661</t>
  </si>
  <si>
    <t>000089</t>
  </si>
  <si>
    <t>03660</t>
  </si>
  <si>
    <t>000090</t>
  </si>
  <si>
    <t>03658</t>
  </si>
  <si>
    <t>000093</t>
  </si>
  <si>
    <t>03515</t>
  </si>
  <si>
    <t>000096</t>
  </si>
  <si>
    <t>01011</t>
  </si>
  <si>
    <t>000097</t>
  </si>
  <si>
    <t>01007</t>
  </si>
  <si>
    <t>000098</t>
  </si>
  <si>
    <t>01019</t>
  </si>
  <si>
    <t>000099</t>
  </si>
  <si>
    <t>01022</t>
  </si>
  <si>
    <t>000100</t>
  </si>
  <si>
    <t>01023</t>
  </si>
  <si>
    <t>000101</t>
  </si>
  <si>
    <t>02501</t>
  </si>
  <si>
    <t>000102</t>
  </si>
  <si>
    <t>02508</t>
  </si>
  <si>
    <t>000104</t>
  </si>
  <si>
    <t>02505</t>
  </si>
  <si>
    <t>000105</t>
  </si>
  <si>
    <t>02507</t>
  </si>
  <si>
    <t>000106</t>
  </si>
  <si>
    <t>02502</t>
  </si>
  <si>
    <t>000107</t>
  </si>
  <si>
    <t>02512</t>
  </si>
  <si>
    <t>000108</t>
  </si>
  <si>
    <t>02506</t>
  </si>
  <si>
    <t>000109</t>
  </si>
  <si>
    <t>02509</t>
  </si>
  <si>
    <t>000111</t>
  </si>
  <si>
    <t>03520</t>
  </si>
  <si>
    <t>000112</t>
  </si>
  <si>
    <t>00072</t>
  </si>
  <si>
    <t>000113</t>
  </si>
  <si>
    <t>01008</t>
  </si>
  <si>
    <t>000114</t>
  </si>
  <si>
    <t>00058</t>
  </si>
  <si>
    <t>000115</t>
  </si>
  <si>
    <t>02928</t>
  </si>
  <si>
    <t>000116</t>
  </si>
  <si>
    <t>00062</t>
  </si>
  <si>
    <t>000118</t>
  </si>
  <si>
    <t>01902</t>
  </si>
  <si>
    <t>000119</t>
  </si>
  <si>
    <t>00076</t>
  </si>
  <si>
    <t>000120</t>
  </si>
  <si>
    <t>02926</t>
  </si>
  <si>
    <t>000121</t>
  </si>
  <si>
    <t>01005</t>
  </si>
  <si>
    <t>000122</t>
  </si>
  <si>
    <t>01925</t>
  </si>
  <si>
    <t>000123</t>
  </si>
  <si>
    <t>00558</t>
  </si>
  <si>
    <t>000124</t>
  </si>
  <si>
    <t>01014</t>
  </si>
  <si>
    <t>000125</t>
  </si>
  <si>
    <t>00069</t>
  </si>
  <si>
    <t>000127</t>
  </si>
  <si>
    <t>00038</t>
  </si>
  <si>
    <t>000128</t>
  </si>
  <si>
    <t>01918</t>
  </si>
  <si>
    <t>000129</t>
  </si>
  <si>
    <t>000132</t>
  </si>
  <si>
    <t>01600</t>
  </si>
  <si>
    <t>000133</t>
  </si>
  <si>
    <t>01734</t>
  </si>
  <si>
    <t>000136</t>
  </si>
  <si>
    <t>02114</t>
  </si>
  <si>
    <t>000137</t>
  </si>
  <si>
    <t>01602</t>
  </si>
  <si>
    <t>000138</t>
  </si>
  <si>
    <t>01901</t>
  </si>
  <si>
    <t>000140</t>
  </si>
  <si>
    <t>01927</t>
  </si>
  <si>
    <t>000141</t>
  </si>
  <si>
    <t>000142</t>
  </si>
  <si>
    <t>01308</t>
  </si>
  <si>
    <t>000143</t>
  </si>
  <si>
    <t>01907</t>
  </si>
  <si>
    <t>000145</t>
  </si>
  <si>
    <t>03514</t>
  </si>
  <si>
    <t>000146</t>
  </si>
  <si>
    <t>000147</t>
  </si>
  <si>
    <t>000149</t>
  </si>
  <si>
    <t>04009</t>
  </si>
  <si>
    <t>000150</t>
  </si>
  <si>
    <t>02932</t>
  </si>
  <si>
    <t>000151</t>
  </si>
  <si>
    <t>02931</t>
  </si>
  <si>
    <t>000152</t>
  </si>
  <si>
    <t>01223</t>
  </si>
  <si>
    <t>000153</t>
  </si>
  <si>
    <t>01225</t>
  </si>
  <si>
    <t>000154</t>
  </si>
  <si>
    <t>03400</t>
  </si>
  <si>
    <t>000156</t>
  </si>
  <si>
    <t>03417</t>
  </si>
  <si>
    <t>000157</t>
  </si>
  <si>
    <t>00057</t>
  </si>
  <si>
    <t>000158</t>
  </si>
  <si>
    <t>000160</t>
  </si>
  <si>
    <t>02900</t>
  </si>
  <si>
    <t>000162</t>
  </si>
  <si>
    <t>01229</t>
  </si>
  <si>
    <t>000164</t>
  </si>
  <si>
    <t>000165</t>
  </si>
  <si>
    <t>003425</t>
  </si>
  <si>
    <t>000166</t>
  </si>
  <si>
    <t>02403</t>
  </si>
  <si>
    <t>000167</t>
  </si>
  <si>
    <t>02404</t>
  </si>
  <si>
    <t>000168</t>
  </si>
  <si>
    <t>02402</t>
  </si>
  <si>
    <t>000169</t>
  </si>
  <si>
    <t>02400</t>
  </si>
  <si>
    <t>000170</t>
  </si>
  <si>
    <t>02406</t>
  </si>
  <si>
    <t>000171</t>
  </si>
  <si>
    <t>02500</t>
  </si>
  <si>
    <t>000172</t>
  </si>
  <si>
    <t>02405</t>
  </si>
  <si>
    <t>000173</t>
  </si>
  <si>
    <t>02415</t>
  </si>
  <si>
    <t>000174</t>
  </si>
  <si>
    <t>02412</t>
  </si>
  <si>
    <t>000175</t>
  </si>
  <si>
    <t>000177</t>
  </si>
  <si>
    <t>02418</t>
  </si>
  <si>
    <t>000178</t>
  </si>
  <si>
    <t>02420</t>
  </si>
  <si>
    <t>000179</t>
  </si>
  <si>
    <t>02411</t>
  </si>
  <si>
    <t>000180</t>
  </si>
  <si>
    <t>01222</t>
  </si>
  <si>
    <t>000181</t>
  </si>
  <si>
    <t>1801</t>
  </si>
  <si>
    <t>000182</t>
  </si>
  <si>
    <t>000183</t>
  </si>
  <si>
    <t>000184</t>
  </si>
  <si>
    <t>000185</t>
  </si>
  <si>
    <t>000186</t>
  </si>
  <si>
    <t>02906</t>
  </si>
  <si>
    <t>000187</t>
  </si>
  <si>
    <t>02901</t>
  </si>
  <si>
    <t>000188</t>
  </si>
  <si>
    <t>02936</t>
  </si>
  <si>
    <t>000189</t>
  </si>
  <si>
    <t>000190</t>
  </si>
  <si>
    <t>02410</t>
  </si>
  <si>
    <t>000191</t>
  </si>
  <si>
    <t>000195</t>
  </si>
  <si>
    <t>02607</t>
  </si>
  <si>
    <t>000196</t>
  </si>
  <si>
    <t>03403</t>
  </si>
  <si>
    <t>000197</t>
  </si>
  <si>
    <t>03418</t>
  </si>
  <si>
    <t>000198</t>
  </si>
  <si>
    <t>03423</t>
  </si>
  <si>
    <t>000199</t>
  </si>
  <si>
    <t>03404</t>
  </si>
  <si>
    <t>000200</t>
  </si>
  <si>
    <t>03416</t>
  </si>
  <si>
    <t>000201</t>
  </si>
  <si>
    <t>03901</t>
  </si>
  <si>
    <t>000202</t>
  </si>
  <si>
    <t>03900</t>
  </si>
  <si>
    <t>000203</t>
  </si>
  <si>
    <t>04014</t>
  </si>
  <si>
    <t>000204</t>
  </si>
  <si>
    <t>04012</t>
  </si>
  <si>
    <t>000205</t>
  </si>
  <si>
    <t>04013</t>
  </si>
  <si>
    <t>000210</t>
  </si>
  <si>
    <t>000212</t>
  </si>
  <si>
    <t>04002</t>
  </si>
  <si>
    <t>000213</t>
  </si>
  <si>
    <t>02634</t>
  </si>
  <si>
    <t>000215</t>
  </si>
  <si>
    <t>01811</t>
  </si>
  <si>
    <t>000217</t>
  </si>
  <si>
    <t>02000</t>
  </si>
  <si>
    <t>000218</t>
  </si>
  <si>
    <t>002001</t>
  </si>
  <si>
    <t>000219</t>
  </si>
  <si>
    <t>02002</t>
  </si>
  <si>
    <t>000220</t>
  </si>
  <si>
    <t>04003</t>
  </si>
  <si>
    <t>000221</t>
  </si>
  <si>
    <t>04001</t>
  </si>
  <si>
    <t>000222</t>
  </si>
  <si>
    <t>04000</t>
  </si>
  <si>
    <t>000224</t>
  </si>
  <si>
    <t>01224</t>
  </si>
  <si>
    <t>000225</t>
  </si>
  <si>
    <t>00096</t>
  </si>
  <si>
    <t>000226</t>
  </si>
  <si>
    <t>02915</t>
  </si>
  <si>
    <t>000230</t>
  </si>
  <si>
    <t>02130</t>
  </si>
  <si>
    <t>000231</t>
  </si>
  <si>
    <t>000232</t>
  </si>
  <si>
    <t>02902</t>
  </si>
  <si>
    <t>000233</t>
  </si>
  <si>
    <t>03702</t>
  </si>
  <si>
    <t>000234</t>
  </si>
  <si>
    <t>00063</t>
  </si>
  <si>
    <t>000235</t>
  </si>
  <si>
    <t>000236</t>
  </si>
  <si>
    <t>02904</t>
  </si>
  <si>
    <t>000237</t>
  </si>
  <si>
    <t>000238</t>
  </si>
  <si>
    <t>01903</t>
  </si>
  <si>
    <t>000241</t>
  </si>
  <si>
    <t>01739</t>
  </si>
  <si>
    <t>000242</t>
  </si>
  <si>
    <t>01733</t>
  </si>
  <si>
    <t>000244</t>
  </si>
  <si>
    <t>01221</t>
  </si>
  <si>
    <t>000245</t>
  </si>
  <si>
    <t>01218</t>
  </si>
  <si>
    <t>000246</t>
  </si>
  <si>
    <t>01504</t>
  </si>
  <si>
    <t>000250</t>
  </si>
  <si>
    <t>01010</t>
  </si>
  <si>
    <t>000252</t>
  </si>
  <si>
    <t>01018</t>
  </si>
  <si>
    <t>000254</t>
  </si>
  <si>
    <t>02934</t>
  </si>
  <si>
    <t>000255</t>
  </si>
  <si>
    <t>01801</t>
  </si>
  <si>
    <t>000256</t>
  </si>
  <si>
    <t>01908</t>
  </si>
  <si>
    <t>000257</t>
  </si>
  <si>
    <t>02905</t>
  </si>
  <si>
    <t>000258</t>
  </si>
  <si>
    <t>000259</t>
  </si>
  <si>
    <t>00092</t>
  </si>
  <si>
    <t>000260</t>
  </si>
  <si>
    <t>000261</t>
  </si>
  <si>
    <t>01310</t>
  </si>
  <si>
    <t>000262</t>
  </si>
  <si>
    <t>00091</t>
  </si>
  <si>
    <t>000263</t>
  </si>
  <si>
    <t>000264</t>
  </si>
  <si>
    <t>01923</t>
  </si>
  <si>
    <t>000265</t>
  </si>
  <si>
    <t>01806</t>
  </si>
  <si>
    <t>000266</t>
  </si>
  <si>
    <t>00085</t>
  </si>
  <si>
    <t>000267</t>
  </si>
  <si>
    <t>01802</t>
  </si>
  <si>
    <t>000268</t>
  </si>
  <si>
    <t>03405</t>
  </si>
  <si>
    <t>000270</t>
  </si>
  <si>
    <t>03424</t>
  </si>
  <si>
    <t>000271</t>
  </si>
  <si>
    <t>000273</t>
  </si>
  <si>
    <t>02929</t>
  </si>
  <si>
    <t>000274</t>
  </si>
  <si>
    <t>01921</t>
  </si>
  <si>
    <t>000275</t>
  </si>
  <si>
    <t>03721</t>
  </si>
  <si>
    <t>000276</t>
  </si>
  <si>
    <t>00093</t>
  </si>
  <si>
    <t>000277</t>
  </si>
  <si>
    <t>03402</t>
  </si>
  <si>
    <t>000278</t>
  </si>
  <si>
    <t>01922</t>
  </si>
  <si>
    <t>000279</t>
  </si>
  <si>
    <t>000280</t>
  </si>
  <si>
    <t>000281</t>
  </si>
  <si>
    <t>01900</t>
  </si>
  <si>
    <t>000282</t>
  </si>
  <si>
    <t>000283</t>
  </si>
  <si>
    <t>00099</t>
  </si>
  <si>
    <t>000284</t>
  </si>
  <si>
    <t>03415</t>
  </si>
  <si>
    <t>000285</t>
  </si>
  <si>
    <t>00105</t>
  </si>
  <si>
    <t>000286</t>
  </si>
  <si>
    <t>03412.</t>
  </si>
  <si>
    <t>000287</t>
  </si>
  <si>
    <t>00097</t>
  </si>
  <si>
    <t>000288</t>
  </si>
  <si>
    <t>03421</t>
  </si>
  <si>
    <t>000289</t>
  </si>
  <si>
    <t>00104</t>
  </si>
  <si>
    <t>000290</t>
  </si>
  <si>
    <t>03422</t>
  </si>
  <si>
    <t>000291</t>
  </si>
  <si>
    <t>00009</t>
  </si>
  <si>
    <t>000292</t>
  </si>
  <si>
    <t>000294</t>
  </si>
  <si>
    <t>000295</t>
  </si>
  <si>
    <t>000296</t>
  </si>
  <si>
    <t>01910</t>
  </si>
  <si>
    <t>000297</t>
  </si>
  <si>
    <t>02128</t>
  </si>
  <si>
    <t>000298</t>
  </si>
  <si>
    <t>02116</t>
  </si>
  <si>
    <t>000299</t>
  </si>
  <si>
    <t>01916</t>
  </si>
  <si>
    <t>000300</t>
  </si>
  <si>
    <t>01820</t>
  </si>
  <si>
    <t>000301</t>
  </si>
  <si>
    <t>00107</t>
  </si>
  <si>
    <t>000302</t>
  </si>
  <si>
    <t>000303</t>
  </si>
  <si>
    <t>01917</t>
  </si>
  <si>
    <t>000304</t>
  </si>
  <si>
    <t>01807</t>
  </si>
  <si>
    <t>000305</t>
  </si>
  <si>
    <t>01311</t>
  </si>
  <si>
    <t>000307</t>
  </si>
  <si>
    <t>01307</t>
  </si>
  <si>
    <t>000308</t>
  </si>
  <si>
    <t>02311</t>
  </si>
  <si>
    <t>000309</t>
  </si>
  <si>
    <t>00059</t>
  </si>
  <si>
    <t>000310</t>
  </si>
  <si>
    <t>01402</t>
  </si>
  <si>
    <t>000311</t>
  </si>
  <si>
    <t>02304</t>
  </si>
  <si>
    <t>000312</t>
  </si>
  <si>
    <t>01309</t>
  </si>
  <si>
    <t>000314</t>
  </si>
  <si>
    <t>01913</t>
  </si>
  <si>
    <t>000316</t>
  </si>
  <si>
    <t>01729</t>
  </si>
  <si>
    <t>000318</t>
  </si>
  <si>
    <t>02310</t>
  </si>
  <si>
    <t>000319</t>
  </si>
  <si>
    <t>02307</t>
  </si>
  <si>
    <t>000321</t>
  </si>
  <si>
    <t>01919</t>
  </si>
  <si>
    <t>000322</t>
  </si>
  <si>
    <t>000323</t>
  </si>
  <si>
    <t>02705</t>
  </si>
  <si>
    <t>000325</t>
  </si>
  <si>
    <t>000326</t>
  </si>
  <si>
    <t>00090</t>
  </si>
  <si>
    <t>000327</t>
  </si>
  <si>
    <t>000328</t>
  </si>
  <si>
    <t>000330</t>
  </si>
  <si>
    <t>01924</t>
  </si>
  <si>
    <t>000331</t>
  </si>
  <si>
    <t>02910</t>
  </si>
  <si>
    <t>000333</t>
  </si>
  <si>
    <t>02300</t>
  </si>
  <si>
    <t>000334</t>
  </si>
  <si>
    <t>01911</t>
  </si>
  <si>
    <t>000335</t>
  </si>
  <si>
    <t>000336</t>
  </si>
  <si>
    <t>000337</t>
  </si>
  <si>
    <t>000338</t>
  </si>
  <si>
    <t>000339</t>
  </si>
  <si>
    <t>000340</t>
  </si>
  <si>
    <t>000341</t>
  </si>
  <si>
    <t>02314</t>
  </si>
  <si>
    <t>000342</t>
  </si>
  <si>
    <t>000343</t>
  </si>
  <si>
    <t>00052</t>
  </si>
  <si>
    <t>000344</t>
  </si>
  <si>
    <t>02309</t>
  </si>
  <si>
    <t>000345</t>
  </si>
  <si>
    <t>02907</t>
  </si>
  <si>
    <t>000346</t>
  </si>
  <si>
    <t>01912</t>
  </si>
  <si>
    <t>000347</t>
  </si>
  <si>
    <t>02312</t>
  </si>
  <si>
    <t>000348</t>
  </si>
  <si>
    <t>000351</t>
  </si>
  <si>
    <t>00026</t>
  </si>
  <si>
    <t>000360</t>
  </si>
  <si>
    <t>00006</t>
  </si>
  <si>
    <t>000361</t>
  </si>
  <si>
    <t>000362</t>
  </si>
  <si>
    <t>03902</t>
  </si>
  <si>
    <t>000363</t>
  </si>
  <si>
    <t>01926</t>
  </si>
  <si>
    <t>000366</t>
  </si>
  <si>
    <t>000367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</si>
  <si>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</si>
  <si>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</si>
  <si>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</si>
  <si>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</si>
  <si>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</si>
  <si>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</si>
  <si>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</si>
  <si>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</si>
  <si>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</si>
  <si>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</si>
  <si>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</si>
  <si>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000382</t>
  </si>
  <si>
    <t>02913</t>
  </si>
  <si>
    <t>000387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</si>
  <si>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</si>
  <si>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</si>
  <si>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</si>
  <si>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</si>
  <si>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</si>
  <si>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</si>
  <si>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</si>
  <si>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</si>
  <si>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00070</t>
  </si>
  <si>
    <t>000401</t>
  </si>
  <si>
    <t>000402</t>
  </si>
  <si>
    <t>000403</t>
  </si>
  <si>
    <t>000404</t>
  </si>
  <si>
    <t>000405</t>
  </si>
  <si>
    <t>000407</t>
  </si>
  <si>
    <t>000408</t>
  </si>
  <si>
    <t>000409</t>
  </si>
  <si>
    <t>000410</t>
  </si>
  <si>
    <t>000412</t>
  </si>
  <si>
    <t>01015</t>
  </si>
  <si>
    <t>000414</t>
  </si>
  <si>
    <t>00005</t>
  </si>
  <si>
    <t>000415</t>
  </si>
  <si>
    <t>00079</t>
  </si>
  <si>
    <t>000416</t>
  </si>
  <si>
    <t>01009</t>
  </si>
  <si>
    <t>000417</t>
  </si>
  <si>
    <t>000418</t>
  </si>
  <si>
    <t>04102</t>
  </si>
  <si>
    <t>000420</t>
  </si>
  <si>
    <t>04101</t>
  </si>
  <si>
    <t>000421</t>
  </si>
  <si>
    <t>01302</t>
  </si>
  <si>
    <t>000422</t>
  </si>
  <si>
    <t>00002</t>
  </si>
  <si>
    <t>000423</t>
  </si>
  <si>
    <t>01211</t>
  </si>
  <si>
    <t>000424</t>
  </si>
  <si>
    <t>02511</t>
  </si>
  <si>
    <t>000425</t>
  </si>
  <si>
    <t>02658</t>
  </si>
  <si>
    <t>000426</t>
  </si>
  <si>
    <t>01217</t>
  </si>
  <si>
    <t>000427</t>
  </si>
  <si>
    <t>00011</t>
  </si>
  <si>
    <t>000428</t>
  </si>
  <si>
    <t>000429</t>
  </si>
  <si>
    <t>000430</t>
  </si>
  <si>
    <t>000431</t>
  </si>
  <si>
    <t>000433</t>
  </si>
  <si>
    <t>000436</t>
  </si>
  <si>
    <t>03802</t>
  </si>
  <si>
    <t>000437</t>
  </si>
  <si>
    <t>02413</t>
  </si>
  <si>
    <t>000438</t>
  </si>
  <si>
    <t>03707</t>
  </si>
  <si>
    <t>000439</t>
  </si>
  <si>
    <t>00043</t>
  </si>
  <si>
    <t>000441</t>
  </si>
  <si>
    <t>000442</t>
  </si>
  <si>
    <t>03655</t>
  </si>
  <si>
    <t>000444</t>
  </si>
  <si>
    <t>02416</t>
  </si>
  <si>
    <t>000446</t>
  </si>
  <si>
    <t>000448</t>
  </si>
  <si>
    <t>02510</t>
  </si>
  <si>
    <t>000451</t>
  </si>
  <si>
    <t>01220</t>
  </si>
  <si>
    <t>000452</t>
  </si>
  <si>
    <t>03710</t>
  </si>
  <si>
    <t>000453</t>
  </si>
  <si>
    <t>00102</t>
  </si>
  <si>
    <t>000454</t>
  </si>
  <si>
    <t>000455</t>
  </si>
  <si>
    <t>000458</t>
  </si>
  <si>
    <t>03628</t>
  </si>
  <si>
    <t>000459</t>
  </si>
  <si>
    <t>000461</t>
  </si>
  <si>
    <t>02655</t>
  </si>
  <si>
    <t>000462</t>
  </si>
  <si>
    <t>02654</t>
  </si>
  <si>
    <t>000464</t>
  </si>
  <si>
    <t>000465</t>
  </si>
  <si>
    <t>00557</t>
  </si>
  <si>
    <t>000466</t>
  </si>
  <si>
    <t>03513</t>
  </si>
  <si>
    <t>000467</t>
  </si>
  <si>
    <t>00135</t>
  </si>
  <si>
    <t>000468</t>
  </si>
  <si>
    <t>02917</t>
  </si>
  <si>
    <t>000470</t>
  </si>
  <si>
    <t>03506</t>
  </si>
  <si>
    <t>000472</t>
  </si>
  <si>
    <t>000473</t>
  </si>
  <si>
    <t>000474</t>
  </si>
  <si>
    <t>000475</t>
  </si>
  <si>
    <t>02126</t>
  </si>
  <si>
    <t>000476</t>
  </si>
  <si>
    <t>00101</t>
  </si>
  <si>
    <t>000477</t>
  </si>
  <si>
    <t>03429.</t>
  </si>
  <si>
    <t>000478</t>
  </si>
  <si>
    <t>00041</t>
  </si>
  <si>
    <t>000479</t>
  </si>
  <si>
    <t>03407</t>
  </si>
  <si>
    <t>000480</t>
  </si>
  <si>
    <t>000481</t>
  </si>
  <si>
    <t>00080</t>
  </si>
  <si>
    <t>000482</t>
  </si>
  <si>
    <t>03426</t>
  </si>
  <si>
    <t>000483</t>
  </si>
  <si>
    <t>00042</t>
  </si>
  <si>
    <t>000484</t>
  </si>
  <si>
    <t>000486</t>
  </si>
  <si>
    <t>000487</t>
  </si>
  <si>
    <t>000489</t>
  </si>
  <si>
    <t>000490</t>
  </si>
  <si>
    <t>000491</t>
  </si>
  <si>
    <t>000493</t>
  </si>
  <si>
    <t>000494</t>
  </si>
  <si>
    <t>000495</t>
  </si>
  <si>
    <t>000496</t>
  </si>
  <si>
    <t>000497</t>
  </si>
  <si>
    <t>000498</t>
  </si>
  <si>
    <t>000499</t>
  </si>
  <si>
    <t>01755</t>
  </si>
  <si>
    <t>000501</t>
  </si>
  <si>
    <t>01228</t>
  </si>
  <si>
    <t>000502</t>
  </si>
  <si>
    <t>00083</t>
  </si>
  <si>
    <t>000503</t>
  </si>
  <si>
    <t>03508</t>
  </si>
  <si>
    <t>000504</t>
  </si>
  <si>
    <t>03502</t>
  </si>
  <si>
    <t>000505</t>
  </si>
  <si>
    <t>00540</t>
  </si>
  <si>
    <t>000507</t>
  </si>
  <si>
    <t>03507</t>
  </si>
  <si>
    <t>000510</t>
  </si>
  <si>
    <t>03503</t>
  </si>
  <si>
    <t>000514</t>
  </si>
  <si>
    <t>02645</t>
  </si>
  <si>
    <t>000515</t>
  </si>
  <si>
    <t>00077</t>
  </si>
  <si>
    <t>000516</t>
  </si>
  <si>
    <t>000517</t>
  </si>
  <si>
    <t>02652</t>
  </si>
  <si>
    <t>000519</t>
  </si>
  <si>
    <t>01304</t>
  </si>
  <si>
    <t>000521</t>
  </si>
  <si>
    <t>03401</t>
  </si>
  <si>
    <t>000523</t>
  </si>
  <si>
    <t>000524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</si>
  <si>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</si>
  <si>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</si>
  <si>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</si>
  <si>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</si>
  <si>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</si>
  <si>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</si>
  <si>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</si>
  <si>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</si>
  <si>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03430</t>
  </si>
  <si>
    <t>000534</t>
  </si>
  <si>
    <t>00012</t>
  </si>
  <si>
    <t>000535</t>
  </si>
  <si>
    <t>000536</t>
  </si>
  <si>
    <t>01313</t>
  </si>
  <si>
    <t>000537</t>
  </si>
  <si>
    <t>00040</t>
  </si>
  <si>
    <t>000540</t>
  </si>
  <si>
    <t>00100</t>
  </si>
  <si>
    <t>000541</t>
  </si>
  <si>
    <t>00048</t>
  </si>
  <si>
    <t>000542</t>
  </si>
  <si>
    <t>00036</t>
  </si>
  <si>
    <t>000544</t>
  </si>
  <si>
    <t>01227</t>
  </si>
  <si>
    <t>000545</t>
  </si>
  <si>
    <t>00073</t>
  </si>
  <si>
    <t>000547</t>
  </si>
  <si>
    <t>02669</t>
  </si>
  <si>
    <t>000548</t>
  </si>
  <si>
    <t>000549</t>
  </si>
  <si>
    <t>000550</t>
  </si>
  <si>
    <t>000551</t>
  </si>
  <si>
    <t>000552</t>
  </si>
  <si>
    <t>00074</t>
  </si>
  <si>
    <t>000555</t>
  </si>
  <si>
    <t>000556</t>
  </si>
  <si>
    <t>000557</t>
  </si>
  <si>
    <t>03435</t>
  </si>
  <si>
    <t>000558</t>
  </si>
  <si>
    <t>000559</t>
  </si>
  <si>
    <t>000561</t>
  </si>
  <si>
    <t>000563</t>
  </si>
  <si>
    <t>000564</t>
  </si>
  <si>
    <t>03412</t>
  </si>
  <si>
    <t>000565</t>
  </si>
  <si>
    <t>000566</t>
  </si>
  <si>
    <t>000568</t>
  </si>
  <si>
    <t>000570</t>
  </si>
  <si>
    <t>000571</t>
  </si>
  <si>
    <t>01502</t>
  </si>
  <si>
    <t>000572</t>
  </si>
  <si>
    <t>03700</t>
  </si>
  <si>
    <t>000573</t>
  </si>
  <si>
    <t>00008</t>
  </si>
  <si>
    <t>000574</t>
  </si>
  <si>
    <t>01306</t>
  </si>
  <si>
    <t>000575</t>
  </si>
  <si>
    <t>00098</t>
  </si>
  <si>
    <t>000576</t>
  </si>
  <si>
    <t>000578</t>
  </si>
  <si>
    <t>000579</t>
  </si>
  <si>
    <t>00035</t>
  </si>
  <si>
    <t>000580</t>
  </si>
  <si>
    <t>03413</t>
  </si>
  <si>
    <t>000581</t>
  </si>
  <si>
    <t>01404</t>
  </si>
  <si>
    <t>000582</t>
  </si>
  <si>
    <t>03409</t>
  </si>
  <si>
    <t>000583</t>
  </si>
  <si>
    <t>04104</t>
  </si>
  <si>
    <t>000584</t>
  </si>
  <si>
    <t>00050</t>
  </si>
  <si>
    <t>000585</t>
  </si>
  <si>
    <t>00134</t>
  </si>
  <si>
    <t>000587</t>
  </si>
  <si>
    <t>00086</t>
  </si>
  <si>
    <t>000588</t>
  </si>
  <si>
    <t>01741</t>
  </si>
  <si>
    <t>000589</t>
  </si>
  <si>
    <t>000590</t>
  </si>
  <si>
    <t>01503</t>
  </si>
  <si>
    <t>000591</t>
  </si>
  <si>
    <t>00095</t>
  </si>
  <si>
    <t>000592</t>
  </si>
  <si>
    <t>00103</t>
  </si>
  <si>
    <t>000593</t>
  </si>
  <si>
    <t>03429</t>
  </si>
  <si>
    <t>000594</t>
  </si>
  <si>
    <t>03408</t>
  </si>
  <si>
    <t>000595</t>
  </si>
  <si>
    <t>000597</t>
  </si>
  <si>
    <t>000599</t>
  </si>
  <si>
    <t>000601</t>
  </si>
  <si>
    <t>000602</t>
  </si>
  <si>
    <t>000604</t>
  </si>
  <si>
    <t>01405</t>
  </si>
  <si>
    <t>000605</t>
  </si>
  <si>
    <t>000606</t>
  </si>
  <si>
    <t>00046</t>
  </si>
  <si>
    <t>000607</t>
  </si>
  <si>
    <t>000608</t>
  </si>
  <si>
    <t>03223</t>
  </si>
  <si>
    <t>000609</t>
  </si>
  <si>
    <t>000610</t>
  </si>
  <si>
    <t>000613</t>
  </si>
  <si>
    <t>000614</t>
  </si>
  <si>
    <t>000617</t>
  </si>
  <si>
    <t>02115</t>
  </si>
  <si>
    <t>000618</t>
  </si>
  <si>
    <t>01312</t>
  </si>
  <si>
    <t>000620</t>
  </si>
  <si>
    <t>01928</t>
  </si>
  <si>
    <t>000621</t>
  </si>
  <si>
    <t>000622</t>
  </si>
  <si>
    <t>000623</t>
  </si>
  <si>
    <t>000624</t>
  </si>
  <si>
    <t>000628</t>
  </si>
  <si>
    <t>01718</t>
  </si>
  <si>
    <t>000631</t>
  </si>
  <si>
    <t>02127</t>
  </si>
  <si>
    <t>000633</t>
  </si>
  <si>
    <t>000634</t>
  </si>
  <si>
    <t>000635</t>
  </si>
  <si>
    <t>000636</t>
  </si>
  <si>
    <t>000637</t>
  </si>
  <si>
    <t>000638</t>
  </si>
  <si>
    <t>000640</t>
  </si>
  <si>
    <t>000641</t>
  </si>
  <si>
    <t>01314</t>
  </si>
  <si>
    <t>000642</t>
  </si>
  <si>
    <t>00109</t>
  </si>
  <si>
    <t>000643</t>
  </si>
  <si>
    <t>00108</t>
  </si>
  <si>
    <t>000644</t>
  </si>
  <si>
    <t>00111</t>
  </si>
  <si>
    <t>000645</t>
  </si>
  <si>
    <t>00110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</si>
  <si>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</si>
  <si>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</si>
  <si>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</si>
  <si>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</si>
  <si>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</si>
  <si>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</si>
  <si>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</si>
  <si>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</si>
  <si>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</si>
  <si>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</si>
  <si>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</si>
  <si>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01929</t>
  </si>
  <si>
    <t>000659</t>
  </si>
  <si>
    <t>000660</t>
  </si>
  <si>
    <t>00112</t>
  </si>
  <si>
    <t>000661</t>
  </si>
  <si>
    <t>000662</t>
  </si>
  <si>
    <t>000663</t>
  </si>
  <si>
    <t>000664</t>
  </si>
  <si>
    <t>000665</t>
  </si>
  <si>
    <t>000666</t>
  </si>
  <si>
    <t>02706</t>
  </si>
  <si>
    <t>000667</t>
  </si>
  <si>
    <t>000668</t>
  </si>
  <si>
    <t>00570</t>
  </si>
  <si>
    <t>000669</t>
  </si>
  <si>
    <t>00579</t>
  </si>
  <si>
    <t>000672</t>
  </si>
  <si>
    <t>00577</t>
  </si>
  <si>
    <t>000673</t>
  </si>
  <si>
    <t>00580</t>
  </si>
  <si>
    <t>000674</t>
  </si>
  <si>
    <t>00576</t>
  </si>
  <si>
    <t>000675</t>
  </si>
  <si>
    <t>00578</t>
  </si>
  <si>
    <t>000676</t>
  </si>
  <si>
    <t>03670</t>
  </si>
  <si>
    <t>000677</t>
  </si>
  <si>
    <t>03672</t>
  </si>
  <si>
    <t>000678</t>
  </si>
  <si>
    <t>03673</t>
  </si>
  <si>
    <t>000679</t>
  </si>
  <si>
    <t>000681</t>
  </si>
  <si>
    <t>03684</t>
  </si>
  <si>
    <t>000682</t>
  </si>
  <si>
    <t>000683</t>
  </si>
  <si>
    <t>000684</t>
  </si>
  <si>
    <t>000685</t>
  </si>
  <si>
    <t>000686</t>
  </si>
  <si>
    <t>000687</t>
  </si>
  <si>
    <t>01236</t>
  </si>
  <si>
    <t>000688</t>
  </si>
  <si>
    <t>00574</t>
  </si>
  <si>
    <t>000689</t>
  </si>
  <si>
    <t>00571</t>
  </si>
  <si>
    <t>000690</t>
  </si>
  <si>
    <t>00572</t>
  </si>
  <si>
    <t>000691</t>
  </si>
  <si>
    <t>00573</t>
  </si>
  <si>
    <t>000692</t>
  </si>
  <si>
    <t>001234</t>
  </si>
  <si>
    <t>000693</t>
  </si>
  <si>
    <t>01233</t>
  </si>
  <si>
    <t>000694</t>
  </si>
  <si>
    <t>01235</t>
  </si>
  <si>
    <t>000695</t>
  </si>
  <si>
    <t>03664</t>
  </si>
  <si>
    <t>000696</t>
  </si>
  <si>
    <t>03669</t>
  </si>
  <si>
    <t>000697</t>
  </si>
  <si>
    <t>03365</t>
  </si>
  <si>
    <t>000698</t>
  </si>
  <si>
    <t>03666</t>
  </si>
  <si>
    <t>000699</t>
  </si>
  <si>
    <t>03680</t>
  </si>
  <si>
    <t>000700</t>
  </si>
  <si>
    <t>03681</t>
  </si>
  <si>
    <t>000701</t>
  </si>
  <si>
    <t>02134</t>
  </si>
  <si>
    <t>000704</t>
  </si>
  <si>
    <t>03667</t>
  </si>
  <si>
    <t>000705</t>
  </si>
  <si>
    <t>00575</t>
  </si>
  <si>
    <t>000706</t>
  </si>
  <si>
    <t>03668</t>
  </si>
  <si>
    <t>000707</t>
  </si>
  <si>
    <t>000708</t>
  </si>
  <si>
    <t>000709</t>
  </si>
  <si>
    <t>000710</t>
  </si>
  <si>
    <t>000711</t>
  </si>
  <si>
    <t>000712</t>
  </si>
  <si>
    <t>00554</t>
  </si>
  <si>
    <t>000714</t>
  </si>
  <si>
    <t>000715</t>
  </si>
  <si>
    <t>00582</t>
  </si>
  <si>
    <t>000716</t>
  </si>
  <si>
    <t>000717</t>
  </si>
  <si>
    <t>000718</t>
  </si>
  <si>
    <t>000719</t>
  </si>
  <si>
    <t>02135</t>
  </si>
  <si>
    <t>000720</t>
  </si>
  <si>
    <t>00583</t>
  </si>
  <si>
    <t>000722</t>
  </si>
  <si>
    <t>000723</t>
  </si>
  <si>
    <t>000724</t>
  </si>
  <si>
    <t>000725</t>
  </si>
  <si>
    <t>03675</t>
  </si>
  <si>
    <t>000726</t>
  </si>
  <si>
    <t>03677</t>
  </si>
  <si>
    <t>000727</t>
  </si>
  <si>
    <t>03671</t>
  </si>
  <si>
    <t>000728</t>
  </si>
  <si>
    <t>03686</t>
  </si>
  <si>
    <t>000729</t>
  </si>
  <si>
    <t>03676</t>
  </si>
  <si>
    <t>000730</t>
  </si>
  <si>
    <t>00584</t>
  </si>
  <si>
    <t>000731</t>
  </si>
  <si>
    <t>00587</t>
  </si>
  <si>
    <t>000732</t>
  </si>
  <si>
    <t>00586</t>
  </si>
  <si>
    <t>000733</t>
  </si>
  <si>
    <t>00585</t>
  </si>
  <si>
    <t>000734</t>
  </si>
  <si>
    <t>00588</t>
  </si>
  <si>
    <t>000735</t>
  </si>
  <si>
    <t>02136</t>
  </si>
  <si>
    <t>000736</t>
  </si>
  <si>
    <t>000737</t>
  </si>
  <si>
    <t>000738</t>
  </si>
  <si>
    <t>000739</t>
  </si>
  <si>
    <t>000742</t>
  </si>
  <si>
    <t>000743</t>
  </si>
  <si>
    <t>000744</t>
  </si>
  <si>
    <t>000745</t>
  </si>
  <si>
    <t>000746</t>
  </si>
  <si>
    <t>000747</t>
  </si>
  <si>
    <t>000748</t>
  </si>
  <si>
    <t>01939</t>
  </si>
  <si>
    <t>000749</t>
  </si>
  <si>
    <t>01938</t>
  </si>
  <si>
    <t>000750</t>
  </si>
  <si>
    <t>01940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</si>
  <si>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</si>
  <si>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</si>
  <si>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</si>
  <si>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</si>
  <si>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</si>
  <si>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</si>
  <si>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</si>
  <si>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</si>
  <si>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</si>
  <si>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</si>
  <si>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04016</t>
  </si>
  <si>
    <t>000762</t>
  </si>
  <si>
    <t>000763</t>
  </si>
  <si>
    <t>00113</t>
  </si>
  <si>
    <t>000764</t>
  </si>
  <si>
    <t>000765</t>
  </si>
  <si>
    <t>02667</t>
  </si>
  <si>
    <t>000766</t>
  </si>
  <si>
    <t>02666</t>
  </si>
  <si>
    <t>000767</t>
  </si>
  <si>
    <t>01237</t>
  </si>
  <si>
    <t>000768</t>
  </si>
  <si>
    <t>00590</t>
  </si>
  <si>
    <t>000769</t>
  </si>
  <si>
    <t>03679</t>
  </si>
  <si>
    <t>000770</t>
  </si>
  <si>
    <t>00589</t>
  </si>
  <si>
    <t>000772</t>
  </si>
  <si>
    <t>000773</t>
  </si>
  <si>
    <t>000774</t>
  </si>
  <si>
    <t>000775</t>
  </si>
  <si>
    <t>000776</t>
  </si>
  <si>
    <t>000777</t>
  </si>
  <si>
    <t>000778</t>
  </si>
  <si>
    <t>01239</t>
  </si>
  <si>
    <t>000779</t>
  </si>
  <si>
    <t>01240</t>
  </si>
  <si>
    <t>000780</t>
  </si>
  <si>
    <t>000781</t>
  </si>
  <si>
    <t>01933</t>
  </si>
  <si>
    <t>000782</t>
  </si>
  <si>
    <t>01932</t>
  </si>
  <si>
    <t>000783</t>
  </si>
  <si>
    <t>01935</t>
  </si>
  <si>
    <t>000784</t>
  </si>
  <si>
    <t>000785</t>
  </si>
  <si>
    <t>01934</t>
  </si>
  <si>
    <t>000786</t>
  </si>
  <si>
    <t>000787</t>
  </si>
  <si>
    <t>000788</t>
  </si>
  <si>
    <t>000789</t>
  </si>
  <si>
    <t>000790</t>
  </si>
  <si>
    <t>00119</t>
  </si>
  <si>
    <t>000791</t>
  </si>
  <si>
    <t>00120</t>
  </si>
  <si>
    <t>000792</t>
  </si>
  <si>
    <t>00121</t>
  </si>
  <si>
    <t>000793</t>
  </si>
  <si>
    <t>00122</t>
  </si>
  <si>
    <t>000794</t>
  </si>
  <si>
    <t>000795</t>
  </si>
  <si>
    <t>000796</t>
  </si>
  <si>
    <t>000798</t>
  </si>
  <si>
    <t>00123</t>
  </si>
  <si>
    <t>000799</t>
  </si>
  <si>
    <t>00124</t>
  </si>
  <si>
    <t>000800</t>
  </si>
  <si>
    <t>02139</t>
  </si>
  <si>
    <t>000801</t>
  </si>
  <si>
    <t>000802</t>
  </si>
  <si>
    <t>000803</t>
  </si>
  <si>
    <t>000804</t>
  </si>
  <si>
    <t>00127</t>
  </si>
  <si>
    <t>000805</t>
  </si>
  <si>
    <t>00126</t>
  </si>
  <si>
    <t>000806</t>
  </si>
  <si>
    <t>000807</t>
  </si>
  <si>
    <t>00125</t>
  </si>
  <si>
    <t>000808</t>
  </si>
  <si>
    <t>000809</t>
  </si>
  <si>
    <t>01931</t>
  </si>
  <si>
    <t>000810</t>
  </si>
  <si>
    <t>000811</t>
  </si>
  <si>
    <t>000812</t>
  </si>
  <si>
    <t>02140</t>
  </si>
  <si>
    <t>000813</t>
  </si>
  <si>
    <t>02147</t>
  </si>
  <si>
    <t>000815</t>
  </si>
  <si>
    <t>01930</t>
  </si>
  <si>
    <t>000816</t>
  </si>
  <si>
    <t>01936</t>
  </si>
  <si>
    <t>000817</t>
  </si>
  <si>
    <t>04015</t>
  </si>
  <si>
    <t>000818</t>
  </si>
  <si>
    <t>01317</t>
  </si>
  <si>
    <t>000819</t>
  </si>
  <si>
    <t>000820</t>
  </si>
  <si>
    <t>01747</t>
  </si>
  <si>
    <t>000821</t>
  </si>
  <si>
    <t>000822</t>
  </si>
  <si>
    <t>000823</t>
  </si>
  <si>
    <t>00116</t>
  </si>
  <si>
    <t>000824</t>
  </si>
  <si>
    <t>00115</t>
  </si>
  <si>
    <t>000825</t>
  </si>
  <si>
    <t>00114</t>
  </si>
  <si>
    <t>000826</t>
  </si>
  <si>
    <t>00128</t>
  </si>
  <si>
    <t>000827</t>
  </si>
  <si>
    <t>00129</t>
  </si>
  <si>
    <t>000828</t>
  </si>
  <si>
    <t>03682</t>
  </si>
  <si>
    <t>000829</t>
  </si>
  <si>
    <t>03683</t>
  </si>
  <si>
    <t>000830</t>
  </si>
  <si>
    <t>000831</t>
  </si>
  <si>
    <t>02938</t>
  </si>
  <si>
    <t>000832</t>
  </si>
  <si>
    <t>000833</t>
  </si>
  <si>
    <t>000834</t>
  </si>
  <si>
    <t>000835</t>
  </si>
  <si>
    <t>01318</t>
  </si>
  <si>
    <t>000836</t>
  </si>
  <si>
    <t>01937</t>
  </si>
  <si>
    <t>000837</t>
  </si>
  <si>
    <t>01749</t>
  </si>
  <si>
    <t>000838</t>
  </si>
  <si>
    <t>000839</t>
  </si>
  <si>
    <t>000840</t>
  </si>
  <si>
    <t>000841</t>
  </si>
  <si>
    <t>02144</t>
  </si>
  <si>
    <t>000842</t>
  </si>
  <si>
    <t>02145</t>
  </si>
  <si>
    <t>000844</t>
  </si>
  <si>
    <t>02142</t>
  </si>
  <si>
    <t>000845</t>
  </si>
  <si>
    <t>02143</t>
  </si>
  <si>
    <t>000846</t>
  </si>
  <si>
    <t>000847</t>
  </si>
  <si>
    <t>000848</t>
  </si>
  <si>
    <t>00061</t>
  </si>
  <si>
    <t>000849</t>
  </si>
  <si>
    <t>000850</t>
  </si>
  <si>
    <t>000851</t>
  </si>
  <si>
    <t>01319</t>
  </si>
  <si>
    <t>000852</t>
  </si>
  <si>
    <t>000854</t>
  </si>
  <si>
    <t>000855</t>
  </si>
  <si>
    <t>02942</t>
  </si>
  <si>
    <t>000856</t>
  </si>
  <si>
    <t>02944</t>
  </si>
  <si>
    <t>000857</t>
  </si>
  <si>
    <t>02943</t>
  </si>
  <si>
    <t>000858</t>
  </si>
  <si>
    <t>000859</t>
  </si>
  <si>
    <t>01753</t>
  </si>
  <si>
    <t>000860</t>
  </si>
  <si>
    <t>000861</t>
  </si>
  <si>
    <t>02945</t>
  </si>
  <si>
    <t>000862</t>
  </si>
  <si>
    <t>02946</t>
  </si>
  <si>
    <t>000863</t>
  </si>
  <si>
    <t>02947</t>
  </si>
  <si>
    <t>000864</t>
  </si>
  <si>
    <t>02948</t>
  </si>
  <si>
    <t>000865</t>
  </si>
  <si>
    <t>000866</t>
  </si>
  <si>
    <t>02950</t>
  </si>
  <si>
    <t>000867</t>
  </si>
  <si>
    <t>000868</t>
  </si>
  <si>
    <t>02951</t>
  </si>
  <si>
    <t>000869</t>
  </si>
  <si>
    <t>01905</t>
  </si>
  <si>
    <t>000870</t>
  </si>
  <si>
    <t>01915</t>
  </si>
  <si>
    <t>000871</t>
  </si>
  <si>
    <t>000872</t>
  </si>
  <si>
    <t>000873</t>
  </si>
  <si>
    <t>000874</t>
  </si>
  <si>
    <t>000876</t>
  </si>
  <si>
    <t>000877</t>
  </si>
  <si>
    <t>000878</t>
  </si>
  <si>
    <t>000879</t>
  </si>
  <si>
    <t>000880</t>
  </si>
  <si>
    <t>01320</t>
  </si>
  <si>
    <t>000881</t>
  </si>
  <si>
    <t>00592</t>
  </si>
  <si>
    <t>000882</t>
  </si>
  <si>
    <t>03688</t>
  </si>
  <si>
    <t>000883</t>
  </si>
  <si>
    <t>00591</t>
  </si>
  <si>
    <t>000884</t>
  </si>
  <si>
    <t>03689</t>
  </si>
  <si>
    <t>000885</t>
  </si>
  <si>
    <t>00594</t>
  </si>
  <si>
    <t>000886</t>
  </si>
  <si>
    <t>03690</t>
  </si>
  <si>
    <t>000887</t>
  </si>
  <si>
    <t>00593</t>
  </si>
  <si>
    <t>000888</t>
  </si>
  <si>
    <t>03691</t>
  </si>
  <si>
    <t>000889</t>
  </si>
  <si>
    <t>000890</t>
  </si>
  <si>
    <t>02952</t>
  </si>
  <si>
    <t>000891</t>
  </si>
  <si>
    <t>00132</t>
  </si>
  <si>
    <t>000892</t>
  </si>
  <si>
    <t>00131</t>
  </si>
  <si>
    <t>000893</t>
  </si>
  <si>
    <t>03685</t>
  </si>
  <si>
    <t>000894</t>
  </si>
  <si>
    <t>000895</t>
  </si>
  <si>
    <t>000896</t>
  </si>
  <si>
    <t>000897</t>
  </si>
  <si>
    <t>02155</t>
  </si>
  <si>
    <t>000898</t>
  </si>
  <si>
    <t>000899</t>
  </si>
  <si>
    <t>000900</t>
  </si>
  <si>
    <t>000901</t>
  </si>
  <si>
    <t>000902</t>
  </si>
  <si>
    <t>000903</t>
  </si>
  <si>
    <t>000904</t>
  </si>
  <si>
    <t>02149</t>
  </si>
  <si>
    <t>000905</t>
  </si>
  <si>
    <t>01750</t>
  </si>
  <si>
    <t>000906</t>
  </si>
  <si>
    <t>000907</t>
  </si>
  <si>
    <t>000908</t>
  </si>
  <si>
    <t>00604</t>
  </si>
  <si>
    <t>000909</t>
  </si>
  <si>
    <t>000910</t>
  </si>
  <si>
    <t>00605</t>
  </si>
  <si>
    <t>000911</t>
  </si>
  <si>
    <t>000912</t>
  </si>
  <si>
    <t>000914</t>
  </si>
  <si>
    <t>000915</t>
  </si>
  <si>
    <t>02671</t>
  </si>
  <si>
    <t>000916</t>
  </si>
  <si>
    <t>000917</t>
  </si>
  <si>
    <t>000918</t>
  </si>
  <si>
    <t>000919</t>
  </si>
  <si>
    <t>000920</t>
  </si>
  <si>
    <t>000921</t>
  </si>
  <si>
    <t>01242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</si>
  <si>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</si>
  <si>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</si>
  <si>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</si>
  <si>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</si>
  <si>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</si>
  <si>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</si>
  <si>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</si>
  <si>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</si>
  <si>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04018</t>
  </si>
  <si>
    <t>000931</t>
  </si>
  <si>
    <t>04017</t>
  </si>
  <si>
    <t>000932</t>
  </si>
  <si>
    <t>000934</t>
  </si>
  <si>
    <t>000935</t>
  </si>
  <si>
    <t>01754</t>
  </si>
  <si>
    <t>000936</t>
  </si>
  <si>
    <t>000937</t>
  </si>
  <si>
    <t>000938</t>
  </si>
  <si>
    <t>000939</t>
  </si>
  <si>
    <t>000940</t>
  </si>
  <si>
    <t>000941</t>
  </si>
  <si>
    <t>000942</t>
  </si>
  <si>
    <t>02953</t>
  </si>
  <si>
    <t>000943</t>
  </si>
  <si>
    <t>02954</t>
  </si>
  <si>
    <t>000944</t>
  </si>
  <si>
    <t>02955</t>
  </si>
  <si>
    <t>000945</t>
  </si>
  <si>
    <t>02956</t>
  </si>
  <si>
    <t>000946</t>
  </si>
  <si>
    <t>000947</t>
  </si>
  <si>
    <t>01752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</si>
  <si>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</si>
  <si>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</si>
  <si>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</si>
  <si>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</si>
  <si>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</si>
  <si>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</si>
  <si>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</si>
  <si>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</si>
  <si>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</si>
  <si>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</si>
  <si>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</si>
  <si>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</si>
  <si>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</si>
  <si>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</si>
  <si>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</si>
  <si>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</si>
  <si>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</si>
  <si>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01322</t>
  </si>
  <si>
    <t>000965</t>
  </si>
  <si>
    <t>01321</t>
  </si>
  <si>
    <t>000966</t>
  </si>
  <si>
    <t>01323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</si>
  <si>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</si>
  <si>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</si>
  <si>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</si>
  <si>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</si>
  <si>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</si>
  <si>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</si>
  <si>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</si>
  <si>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</si>
  <si>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</si>
  <si>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</si>
  <si>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02150</t>
  </si>
  <si>
    <t>000977</t>
  </si>
  <si>
    <t>02151</t>
  </si>
  <si>
    <t>000978</t>
  </si>
  <si>
    <t>02148</t>
  </si>
  <si>
    <t>000979</t>
  </si>
  <si>
    <t>02156</t>
  </si>
  <si>
    <t>000980</t>
  </si>
  <si>
    <t>02152</t>
  </si>
  <si>
    <t>000981</t>
  </si>
  <si>
    <t>02324</t>
  </si>
  <si>
    <t>00595</t>
  </si>
  <si>
    <t>00596</t>
  </si>
  <si>
    <t>00597</t>
  </si>
  <si>
    <t>000985</t>
  </si>
  <si>
    <t>00598</t>
  </si>
  <si>
    <t>000986</t>
  </si>
  <si>
    <t>00599</t>
  </si>
  <si>
    <t>000987</t>
  </si>
  <si>
    <t>00133</t>
  </si>
  <si>
    <t>02670</t>
  </si>
  <si>
    <t>000989</t>
  </si>
  <si>
    <t>01241</t>
  </si>
  <si>
    <t>03692</t>
  </si>
  <si>
    <t>03693</t>
  </si>
  <si>
    <t>03694</t>
  </si>
  <si>
    <t>000993</t>
  </si>
  <si>
    <t>03695</t>
  </si>
  <si>
    <t>000994</t>
  </si>
  <si>
    <t>000995</t>
  </si>
  <si>
    <t>000996</t>
  </si>
  <si>
    <t>000997</t>
  </si>
  <si>
    <t>000998</t>
  </si>
  <si>
    <t>000999</t>
  </si>
  <si>
    <t>02153</t>
  </si>
  <si>
    <t>001000</t>
  </si>
  <si>
    <t>001001</t>
  </si>
  <si>
    <t>001002</t>
  </si>
  <si>
    <t>00600</t>
  </si>
  <si>
    <t>001003</t>
  </si>
  <si>
    <t>03696</t>
  </si>
  <si>
    <t>001004</t>
  </si>
  <si>
    <t>00601</t>
  </si>
  <si>
    <t>001005</t>
  </si>
  <si>
    <t>03697</t>
  </si>
  <si>
    <t>001006</t>
  </si>
  <si>
    <t>00603</t>
  </si>
  <si>
    <t>001007</t>
  </si>
  <si>
    <t>03698</t>
  </si>
  <si>
    <t>001008</t>
  </si>
  <si>
    <t>00602</t>
  </si>
  <si>
    <t>001009</t>
  </si>
  <si>
    <t>03699</t>
  </si>
  <si>
    <t>001010</t>
  </si>
  <si>
    <t>00607</t>
  </si>
  <si>
    <t>001011</t>
  </si>
  <si>
    <t>04201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</si>
  <si>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</si>
  <si>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</si>
  <si>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</si>
  <si>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</si>
  <si>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</si>
  <si>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</si>
  <si>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</si>
  <si>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</si>
  <si>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</si>
  <si>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</si>
  <si>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</si>
  <si>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</si>
  <si>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</si>
  <si>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</si>
  <si>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</si>
  <si>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001028</t>
  </si>
  <si>
    <t>001029</t>
  </si>
  <si>
    <t>001031</t>
  </si>
  <si>
    <t>001032</t>
  </si>
  <si>
    <t>001033</t>
  </si>
  <si>
    <t>001034</t>
  </si>
  <si>
    <t>001035</t>
  </si>
  <si>
    <t>02327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</si>
  <si>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</si>
  <si>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</si>
  <si>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</si>
  <si>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</si>
  <si>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</si>
  <si>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</si>
  <si>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</si>
  <si>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</si>
  <si>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</si>
  <si>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</si>
  <si>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</si>
  <si>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</si>
  <si>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</si>
  <si>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</si>
  <si>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</si>
  <si>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</si>
  <si>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</si>
  <si>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</si>
  <si>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</si>
  <si>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 xml:space="preserve">COMPRESSOR 60 PCM COM EQUIPAMENTO </t>
  </si>
  <si>
    <t>001055</t>
  </si>
  <si>
    <t>LAVADORA JACTO ALTA P/ J 700 220V</t>
  </si>
  <si>
    <t>001056</t>
  </si>
  <si>
    <t>MAQUINA DE PRE-LIMPEZA MODELO</t>
  </si>
  <si>
    <t>001057</t>
  </si>
  <si>
    <t>SECADOR-CEREJEI</t>
  </si>
  <si>
    <t>TRATOR AGRICOLA VALTRA BH-180  G3 4X4</t>
  </si>
  <si>
    <t>001058</t>
  </si>
  <si>
    <t>001059</t>
  </si>
  <si>
    <t>HILLUX CS 4X4</t>
  </si>
  <si>
    <t>001060</t>
  </si>
  <si>
    <t>001061</t>
  </si>
  <si>
    <t>003001</t>
  </si>
  <si>
    <t>003002</t>
  </si>
  <si>
    <t>003006</t>
  </si>
  <si>
    <t>003009</t>
  </si>
  <si>
    <t>003010</t>
  </si>
  <si>
    <t>003011</t>
  </si>
  <si>
    <t>003013</t>
  </si>
  <si>
    <t>003014</t>
  </si>
  <si>
    <t>003022</t>
  </si>
  <si>
    <t>003023</t>
  </si>
  <si>
    <t>003024</t>
  </si>
  <si>
    <t>003025</t>
  </si>
  <si>
    <t>003026</t>
  </si>
  <si>
    <t>003027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</si>
  <si>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</si>
  <si>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</si>
  <si>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</si>
  <si>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</si>
  <si>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</si>
  <si>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</si>
  <si>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</si>
  <si>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</si>
  <si>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003038</t>
  </si>
  <si>
    <t>003039</t>
  </si>
  <si>
    <t>003040</t>
  </si>
  <si>
    <t>003041</t>
  </si>
  <si>
    <t>003043</t>
  </si>
  <si>
    <t>003044</t>
  </si>
  <si>
    <t>003045</t>
  </si>
  <si>
    <t>003046</t>
  </si>
  <si>
    <t>003048</t>
  </si>
  <si>
    <t>003051</t>
  </si>
  <si>
    <t>003052</t>
  </si>
  <si>
    <t>003054</t>
  </si>
  <si>
    <t>003055</t>
  </si>
  <si>
    <t>003056</t>
  </si>
  <si>
    <t>003058</t>
  </si>
  <si>
    <t>003059</t>
  </si>
  <si>
    <t>003062</t>
  </si>
  <si>
    <t>003063</t>
  </si>
  <si>
    <t>003065</t>
  </si>
  <si>
    <t>003066</t>
  </si>
  <si>
    <t>003069</t>
  </si>
  <si>
    <t>003080</t>
  </si>
  <si>
    <t>003081</t>
  </si>
  <si>
    <t>003082</t>
  </si>
  <si>
    <t>003083</t>
  </si>
  <si>
    <t>003084</t>
  </si>
  <si>
    <t>003087</t>
  </si>
  <si>
    <t>003099</t>
  </si>
  <si>
    <t>003103</t>
  </si>
  <si>
    <t>003104</t>
  </si>
  <si>
    <t>003105</t>
  </si>
  <si>
    <t>003106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</si>
  <si>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</si>
  <si>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</si>
  <si>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</si>
  <si>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</si>
  <si>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</si>
  <si>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</si>
  <si>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</si>
  <si>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</si>
  <si>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</si>
  <si>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</si>
  <si>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</si>
  <si>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</si>
  <si>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</si>
  <si>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003122</t>
  </si>
  <si>
    <t>003123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</si>
  <si>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</si>
  <si>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</si>
  <si>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</si>
  <si>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</si>
  <si>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</si>
  <si>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</si>
  <si>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</si>
  <si>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</si>
  <si>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</si>
  <si>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</si>
  <si>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</si>
  <si>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</si>
  <si>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</si>
  <si>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</si>
  <si>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</si>
  <si>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</si>
  <si>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</si>
  <si>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</si>
  <si>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</si>
  <si>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</si>
  <si>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</si>
  <si>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003154</t>
  </si>
  <si>
    <t>003156</t>
  </si>
  <si>
    <t>003157</t>
  </si>
  <si>
    <t>003158</t>
  </si>
  <si>
    <t>003159</t>
  </si>
  <si>
    <t>003160</t>
  </si>
  <si>
    <t>003162</t>
  </si>
  <si>
    <t>003163</t>
  </si>
  <si>
    <t>003165</t>
  </si>
  <si>
    <t>003168</t>
  </si>
  <si>
    <t>003169</t>
  </si>
  <si>
    <t>003170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</si>
  <si>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</si>
  <si>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</si>
  <si>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</si>
  <si>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</si>
  <si>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</si>
  <si>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</si>
  <si>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</si>
  <si>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</si>
  <si>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</si>
  <si>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</si>
  <si>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</si>
  <si>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</si>
  <si>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</si>
  <si>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</si>
  <si>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</si>
  <si>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</si>
  <si>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</si>
  <si>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</si>
  <si>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</si>
  <si>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</si>
  <si>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</si>
  <si>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</si>
  <si>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</si>
  <si>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</si>
  <si>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</si>
  <si>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</si>
  <si>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</si>
  <si>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</si>
  <si>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</si>
  <si>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</si>
  <si>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</si>
  <si>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</si>
  <si>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</si>
  <si>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</si>
  <si>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</si>
  <si>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</si>
  <si>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</si>
  <si>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</si>
  <si>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</si>
  <si>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</si>
  <si>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</si>
  <si>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</si>
  <si>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</si>
  <si>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</si>
  <si>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</si>
  <si>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</si>
  <si>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</si>
  <si>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</si>
  <si>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</si>
  <si>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</si>
  <si>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</si>
  <si>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</si>
  <si>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</si>
  <si>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</si>
  <si>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</si>
  <si>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</si>
  <si>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</si>
  <si>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</si>
  <si>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</si>
  <si>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</si>
  <si>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</si>
  <si>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</si>
  <si>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</si>
  <si>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</si>
  <si>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</si>
  <si>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</si>
  <si>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</si>
  <si>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</si>
  <si>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</si>
  <si>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</si>
  <si>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</si>
  <si>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</si>
  <si>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</si>
  <si>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</si>
  <si>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</si>
  <si>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</si>
  <si>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</si>
  <si>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</si>
  <si>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</si>
  <si>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</si>
  <si>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</si>
  <si>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</si>
  <si>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</si>
  <si>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</si>
  <si>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</si>
  <si>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</si>
  <si>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</si>
  <si>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</si>
  <si>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</si>
  <si>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</si>
  <si>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</si>
  <si>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</si>
  <si>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</si>
  <si>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</si>
  <si>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</si>
  <si>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</si>
  <si>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</si>
  <si>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</si>
  <si>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</si>
  <si>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</si>
  <si>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</si>
  <si>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</si>
  <si>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</si>
  <si>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</si>
  <si>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</si>
  <si>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</si>
  <si>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</si>
  <si>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</si>
  <si>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</si>
  <si>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</si>
  <si>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</si>
  <si>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</si>
  <si>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</si>
  <si>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</si>
  <si>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</si>
  <si>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</si>
  <si>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</si>
  <si>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</si>
  <si>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</si>
  <si>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</si>
  <si>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</si>
  <si>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</si>
  <si>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</si>
  <si>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</si>
  <si>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</si>
  <si>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</si>
  <si>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</si>
  <si>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</si>
  <si>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</si>
  <si>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</si>
  <si>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</si>
  <si>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</si>
  <si>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</si>
  <si>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</si>
  <si>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</si>
  <si>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</si>
  <si>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</si>
  <si>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</si>
  <si>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</si>
  <si>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</si>
  <si>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</si>
  <si>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</si>
  <si>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</si>
  <si>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</si>
  <si>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</si>
  <si>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</si>
  <si>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</si>
  <si>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</si>
  <si>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</si>
  <si>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</si>
  <si>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</si>
  <si>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</si>
  <si>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</si>
  <si>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</si>
  <si>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</si>
  <si>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</si>
  <si>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</si>
  <si>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</si>
  <si>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</si>
  <si>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</si>
  <si>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</si>
  <si>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</si>
  <si>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</si>
  <si>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</si>
  <si>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</si>
  <si>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</si>
  <si>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</si>
  <si>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</si>
  <si>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</si>
  <si>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</si>
  <si>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</si>
  <si>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</si>
  <si>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</si>
  <si>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</si>
  <si>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</si>
  <si>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</si>
  <si>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</si>
  <si>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</si>
  <si>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</si>
  <si>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</si>
  <si>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</si>
  <si>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</si>
  <si>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</si>
  <si>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</si>
  <si>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</si>
  <si>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</si>
  <si>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</si>
  <si>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</si>
  <si>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</si>
  <si>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</si>
  <si>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</si>
  <si>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</si>
  <si>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</si>
  <si>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</si>
  <si>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</si>
  <si>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</si>
  <si>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</si>
  <si>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</si>
  <si>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</si>
  <si>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003375</t>
  </si>
  <si>
    <t>003376</t>
  </si>
  <si>
    <t>003377</t>
  </si>
  <si>
    <t>003378</t>
  </si>
  <si>
    <t>003379</t>
  </si>
  <si>
    <t>003388</t>
  </si>
  <si>
    <t>003389</t>
  </si>
  <si>
    <t>003390</t>
  </si>
  <si>
    <t>003392</t>
  </si>
  <si>
    <t>003393</t>
  </si>
  <si>
    <t>003394</t>
  </si>
  <si>
    <t>003397</t>
  </si>
  <si>
    <t>003398</t>
  </si>
  <si>
    <t>003399</t>
  </si>
  <si>
    <t>003400</t>
  </si>
  <si>
    <t>003401</t>
  </si>
  <si>
    <t>003402</t>
  </si>
  <si>
    <t>003403</t>
  </si>
  <si>
    <t>003406</t>
  </si>
  <si>
    <t>003412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</si>
  <si>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</si>
  <si>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</si>
  <si>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</si>
  <si>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</si>
  <si>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</si>
  <si>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</si>
  <si>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</si>
  <si>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</si>
  <si>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</si>
  <si>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</si>
  <si>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</si>
  <si>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</si>
  <si>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</si>
  <si>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</si>
  <si>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</si>
  <si>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</si>
  <si>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</si>
  <si>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</si>
  <si>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</si>
  <si>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</si>
  <si>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</si>
  <si>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</si>
  <si>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</si>
  <si>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</si>
  <si>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</si>
  <si>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</si>
  <si>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</si>
  <si>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</si>
  <si>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</si>
  <si>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</si>
  <si>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</si>
  <si>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</si>
  <si>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</si>
  <si>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</si>
  <si>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</si>
  <si>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</si>
  <si>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</si>
  <si>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</si>
  <si>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</si>
  <si>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</si>
  <si>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</si>
  <si>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</si>
  <si>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</si>
  <si>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</si>
  <si>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</si>
  <si>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</si>
  <si>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</si>
  <si>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</si>
  <si>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</si>
  <si>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</si>
  <si>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</si>
  <si>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</si>
  <si>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</si>
  <si>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</si>
  <si>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</si>
  <si>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</si>
  <si>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</si>
  <si>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</si>
  <si>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</si>
  <si>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</si>
  <si>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</si>
  <si>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</si>
  <si>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</si>
  <si>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</si>
  <si>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</si>
  <si>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</si>
  <si>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</si>
  <si>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003491</t>
  </si>
  <si>
    <t>003492</t>
  </si>
  <si>
    <t>003493</t>
  </si>
  <si>
    <t>003494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</si>
  <si>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</si>
  <si>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</si>
  <si>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</si>
  <si>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</si>
  <si>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</si>
  <si>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</si>
  <si>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</si>
  <si>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</si>
  <si>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</si>
  <si>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003510</t>
  </si>
  <si>
    <t>003512</t>
  </si>
  <si>
    <t>003513</t>
  </si>
  <si>
    <t>003517</t>
  </si>
  <si>
    <t>003521</t>
  </si>
  <si>
    <t>003524</t>
  </si>
  <si>
    <t>003525</t>
  </si>
  <si>
    <t>003527</t>
  </si>
  <si>
    <t>003529</t>
  </si>
  <si>
    <t>003530</t>
  </si>
  <si>
    <t>003531</t>
  </si>
  <si>
    <t>003532</t>
  </si>
  <si>
    <t>003533</t>
  </si>
  <si>
    <t>003535</t>
  </si>
  <si>
    <t>003538</t>
  </si>
  <si>
    <t>003539</t>
  </si>
  <si>
    <t>003540</t>
  </si>
  <si>
    <t>003541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</si>
  <si>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</si>
  <si>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</si>
  <si>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</si>
  <si>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</si>
  <si>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</si>
  <si>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</si>
  <si>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</si>
  <si>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</si>
  <si>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003558</t>
  </si>
  <si>
    <t>003559</t>
  </si>
  <si>
    <t>003560</t>
  </si>
  <si>
    <t>003562</t>
  </si>
  <si>
    <t>003563</t>
  </si>
  <si>
    <t>003564</t>
  </si>
  <si>
    <t>003565</t>
  </si>
  <si>
    <t>003566</t>
  </si>
  <si>
    <t>003567</t>
  </si>
  <si>
    <t>003571</t>
  </si>
  <si>
    <t>003575</t>
  </si>
  <si>
    <t>003576</t>
  </si>
  <si>
    <t>003577</t>
  </si>
  <si>
    <t>003578</t>
  </si>
  <si>
    <t>003579</t>
  </si>
  <si>
    <t>003580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</si>
  <si>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</si>
  <si>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</si>
  <si>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</si>
  <si>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</si>
  <si>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</si>
  <si>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</si>
  <si>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</si>
  <si>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</si>
  <si>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</si>
  <si>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</si>
  <si>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</si>
  <si>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</si>
  <si>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</si>
  <si>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</si>
  <si>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</si>
  <si>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</si>
  <si>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</si>
  <si>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</si>
  <si>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</si>
  <si>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</si>
  <si>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</si>
  <si>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</si>
  <si>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003606</t>
  </si>
  <si>
    <t>003607</t>
  </si>
  <si>
    <t>003608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</si>
  <si>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</si>
  <si>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</si>
  <si>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</si>
  <si>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</si>
  <si>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</si>
  <si>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</si>
  <si>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</si>
  <si>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</si>
  <si>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</si>
  <si>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</si>
  <si>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</si>
  <si>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</si>
  <si>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003624</t>
  </si>
  <si>
    <t>003625</t>
  </si>
  <si>
    <t>003626</t>
  </si>
  <si>
    <t>003627</t>
  </si>
  <si>
    <t>003628</t>
  </si>
  <si>
    <t>003629</t>
  </si>
  <si>
    <t>003632</t>
  </si>
  <si>
    <t>003633</t>
  </si>
  <si>
    <t>003634</t>
  </si>
  <si>
    <t>003635</t>
  </si>
  <si>
    <t>003642</t>
  </si>
  <si>
    <t>003644</t>
  </si>
  <si>
    <t>003645</t>
  </si>
  <si>
    <t>003646</t>
  </si>
  <si>
    <t>003648</t>
  </si>
  <si>
    <t>003651</t>
  </si>
  <si>
    <t>003652</t>
  </si>
  <si>
    <t>003653</t>
  </si>
  <si>
    <t>003656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</si>
  <si>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</si>
  <si>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</si>
  <si>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</si>
  <si>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</si>
  <si>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</si>
  <si>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</si>
  <si>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</si>
  <si>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</si>
  <si>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</si>
  <si>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</si>
  <si>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</si>
  <si>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</si>
  <si>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</si>
  <si>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</si>
  <si>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</si>
  <si>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</si>
  <si>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</si>
  <si>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</si>
  <si>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</si>
  <si>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</si>
  <si>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</si>
  <si>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</si>
  <si>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</si>
  <si>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</si>
  <si>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</si>
  <si>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</si>
  <si>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</si>
  <si>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</si>
  <si>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</si>
  <si>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</si>
  <si>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</si>
  <si>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</si>
  <si>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</si>
  <si>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</si>
  <si>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</si>
  <si>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</si>
  <si>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</si>
  <si>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</si>
  <si>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</si>
  <si>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</si>
  <si>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</si>
  <si>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</si>
  <si>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</si>
  <si>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</si>
  <si>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</si>
  <si>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</si>
  <si>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</si>
  <si>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</si>
  <si>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</si>
  <si>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</si>
  <si>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</si>
  <si>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</si>
  <si>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</si>
  <si>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</si>
  <si>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</si>
  <si>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</si>
  <si>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</si>
  <si>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</si>
  <si>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</si>
  <si>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</si>
  <si>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</si>
  <si>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</si>
  <si>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</si>
  <si>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</si>
  <si>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</si>
  <si>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</si>
  <si>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</si>
  <si>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</si>
  <si>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</si>
  <si>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</si>
  <si>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</si>
  <si>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</si>
  <si>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</si>
  <si>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</si>
  <si>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</si>
  <si>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</si>
  <si>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</si>
  <si>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</si>
  <si>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</si>
  <si>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</si>
  <si>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</si>
  <si>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</si>
  <si>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</si>
  <si>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</si>
  <si>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</si>
  <si>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</si>
  <si>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</si>
  <si>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</si>
  <si>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</si>
  <si>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</si>
  <si>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</si>
  <si>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</si>
  <si>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</si>
  <si>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</si>
  <si>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</si>
  <si>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</si>
  <si>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</si>
  <si>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</si>
  <si>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</si>
  <si>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</si>
  <si>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</si>
  <si>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</si>
  <si>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</si>
  <si>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003767</t>
  </si>
  <si>
    <t>003768</t>
  </si>
  <si>
    <t>003769</t>
  </si>
  <si>
    <t>003772</t>
  </si>
  <si>
    <t>003774</t>
  </si>
  <si>
    <t>003775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</si>
  <si>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</si>
  <si>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</si>
  <si>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</si>
  <si>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</si>
  <si>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</si>
  <si>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</si>
  <si>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</si>
  <si>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</si>
  <si>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</si>
  <si>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</si>
  <si>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</si>
  <si>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</si>
  <si>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</si>
  <si>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</si>
  <si>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</si>
  <si>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</si>
  <si>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</si>
  <si>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</si>
  <si>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</si>
  <si>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</si>
  <si>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</si>
  <si>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</si>
  <si>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</si>
  <si>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</si>
  <si>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</si>
  <si>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</si>
  <si>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</si>
  <si>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</si>
  <si>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</si>
  <si>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</si>
  <si>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</si>
  <si>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</si>
  <si>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</si>
  <si>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</si>
  <si>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</si>
  <si>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</si>
  <si>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</si>
  <si>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</si>
  <si>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</si>
  <si>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</si>
  <si>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</si>
  <si>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</si>
  <si>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</si>
  <si>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</si>
  <si>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</si>
  <si>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</si>
  <si>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</si>
  <si>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</si>
  <si>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</si>
  <si>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</si>
  <si>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</si>
  <si>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</si>
  <si>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</si>
  <si>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</si>
  <si>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</si>
  <si>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</si>
  <si>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</si>
  <si>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</si>
  <si>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</si>
  <si>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</si>
  <si>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</si>
  <si>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</si>
  <si>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</si>
  <si>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</si>
  <si>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</si>
  <si>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</si>
  <si>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</si>
  <si>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</si>
  <si>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</si>
  <si>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</si>
  <si>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</si>
  <si>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</si>
  <si>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</si>
  <si>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</si>
  <si>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</si>
  <si>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</si>
  <si>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</si>
  <si>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</si>
  <si>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</si>
  <si>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</si>
  <si>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</si>
  <si>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</si>
  <si>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003869</t>
  </si>
  <si>
    <t>003871</t>
  </si>
  <si>
    <t>003872</t>
  </si>
  <si>
    <t>003873</t>
  </si>
  <si>
    <t>003874</t>
  </si>
  <si>
    <t>003875</t>
  </si>
  <si>
    <t>003876</t>
  </si>
  <si>
    <t>003878</t>
  </si>
  <si>
    <t>003879</t>
  </si>
  <si>
    <t>003880</t>
  </si>
  <si>
    <t>003881</t>
  </si>
  <si>
    <t>003882</t>
  </si>
  <si>
    <t>003883</t>
  </si>
  <si>
    <t>003884</t>
  </si>
  <si>
    <t>003889</t>
  </si>
  <si>
    <t>003890</t>
  </si>
  <si>
    <t>003891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</si>
  <si>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</si>
  <si>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</si>
  <si>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</si>
  <si>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</si>
  <si>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</si>
  <si>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</si>
  <si>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</si>
  <si>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</si>
  <si>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</si>
  <si>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</si>
  <si>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</si>
  <si>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</si>
  <si>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</si>
  <si>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</si>
  <si>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</si>
  <si>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</si>
  <si>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</si>
  <si>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</si>
  <si>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</si>
  <si>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</si>
  <si>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</si>
  <si>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</si>
  <si>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</si>
  <si>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</si>
  <si>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</si>
  <si>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</si>
  <si>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</si>
  <si>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</si>
  <si>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</si>
  <si>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</si>
  <si>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</si>
  <si>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</si>
  <si>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</si>
  <si>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</si>
  <si>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</si>
  <si>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</si>
  <si>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</si>
  <si>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</si>
  <si>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</si>
  <si>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</si>
  <si>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</si>
  <si>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</si>
  <si>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</si>
  <si>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</si>
  <si>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</si>
  <si>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</si>
  <si>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</si>
  <si>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003959</t>
  </si>
  <si>
    <t>003963</t>
  </si>
  <si>
    <t>003964</t>
  </si>
  <si>
    <t>003965</t>
  </si>
  <si>
    <t>003967</t>
  </si>
  <si>
    <t>003971</t>
  </si>
  <si>
    <t>003972</t>
  </si>
  <si>
    <t>003973</t>
  </si>
  <si>
    <t>003974</t>
  </si>
  <si>
    <t>003976</t>
  </si>
  <si>
    <t>003977</t>
  </si>
  <si>
    <t>003978</t>
  </si>
  <si>
    <t>003979</t>
  </si>
  <si>
    <t>003980</t>
  </si>
  <si>
    <t>003984</t>
  </si>
  <si>
    <t>003985</t>
  </si>
  <si>
    <t>003989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</si>
  <si>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</si>
  <si>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</si>
  <si>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</si>
  <si>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</si>
  <si>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</si>
  <si>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</si>
  <si>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</si>
  <si>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</si>
  <si>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</si>
  <si>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</si>
  <si>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</si>
  <si>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</si>
  <si>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</si>
  <si>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</si>
  <si>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</si>
  <si>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</si>
  <si>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</si>
  <si>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</si>
  <si>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004010</t>
  </si>
  <si>
    <t>004011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</si>
  <si>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</si>
  <si>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</si>
  <si>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</si>
  <si>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</si>
  <si>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</si>
  <si>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</si>
  <si>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</si>
  <si>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</si>
  <si>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</si>
  <si>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</si>
  <si>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</si>
  <si>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</si>
  <si>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</si>
  <si>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</si>
  <si>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</si>
  <si>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</si>
  <si>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</si>
  <si>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</si>
  <si>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</si>
  <si>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</si>
  <si>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</si>
  <si>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</si>
  <si>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</si>
  <si>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</si>
  <si>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</si>
  <si>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</si>
  <si>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</si>
  <si>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</si>
  <si>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</si>
  <si>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</si>
  <si>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</si>
  <si>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</si>
  <si>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</si>
  <si>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</si>
  <si>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</si>
  <si>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</si>
  <si>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</si>
  <si>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</si>
  <si>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</si>
  <si>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</si>
  <si>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</si>
  <si>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</si>
  <si>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</si>
  <si>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</si>
  <si>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</si>
  <si>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</si>
  <si>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</si>
  <si>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</si>
  <si>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</si>
  <si>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</si>
  <si>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</si>
  <si>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</si>
  <si>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</si>
  <si>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</si>
  <si>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</si>
  <si>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</si>
  <si>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</si>
  <si>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</si>
  <si>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</si>
  <si>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</si>
  <si>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</si>
  <si>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</si>
  <si>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</si>
  <si>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</si>
  <si>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</si>
  <si>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</si>
  <si>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</si>
  <si>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</si>
  <si>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</si>
  <si>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</si>
  <si>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</si>
  <si>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</si>
  <si>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</si>
  <si>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</si>
  <si>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</si>
  <si>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</si>
  <si>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</si>
  <si>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</si>
  <si>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</si>
  <si>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</si>
  <si>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</si>
  <si>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</si>
  <si>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</si>
  <si>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</si>
  <si>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</si>
  <si>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</si>
  <si>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</si>
  <si>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</si>
  <si>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004105</t>
  </si>
  <si>
    <t>004106</t>
  </si>
  <si>
    <t>004107</t>
  </si>
  <si>
    <t>004108</t>
  </si>
  <si>
    <t>004109</t>
  </si>
  <si>
    <t>004110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</si>
  <si>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</si>
  <si>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</si>
  <si>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</si>
  <si>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</si>
  <si>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</si>
  <si>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</si>
  <si>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</si>
  <si>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</si>
  <si>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</si>
  <si>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</si>
  <si>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</si>
  <si>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</si>
  <si>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</si>
  <si>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</si>
  <si>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</si>
  <si>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</si>
  <si>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</si>
  <si>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</si>
  <si>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</si>
  <si>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</si>
  <si>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</si>
  <si>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</si>
  <si>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</si>
  <si>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</si>
  <si>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</si>
  <si>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</si>
  <si>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</si>
  <si>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</si>
  <si>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</si>
  <si>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</si>
  <si>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</si>
  <si>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</si>
  <si>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</si>
  <si>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</si>
  <si>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</si>
  <si>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</si>
  <si>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</si>
  <si>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</si>
  <si>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</si>
  <si>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</si>
  <si>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</si>
  <si>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</si>
  <si>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</si>
  <si>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</si>
  <si>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</si>
  <si>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</si>
  <si>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</si>
  <si>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</si>
  <si>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</si>
  <si>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</si>
  <si>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</si>
  <si>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</si>
  <si>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</si>
  <si>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</si>
  <si>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</si>
  <si>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</si>
  <si>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</si>
  <si>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</si>
  <si>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</si>
  <si>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</si>
  <si>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</si>
  <si>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</si>
  <si>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</si>
  <si>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</si>
  <si>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</si>
  <si>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</si>
  <si>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</si>
  <si>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</si>
  <si>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</si>
  <si>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</si>
  <si>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</si>
  <si>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</si>
  <si>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</si>
  <si>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</si>
  <si>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</si>
  <si>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</si>
  <si>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</si>
  <si>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</si>
  <si>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</si>
  <si>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</si>
  <si>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</si>
  <si>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</si>
  <si>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</si>
  <si>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</si>
  <si>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</si>
  <si>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</si>
  <si>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</si>
  <si>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</si>
  <si>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</si>
  <si>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</si>
  <si>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</si>
  <si>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</si>
  <si>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</si>
  <si>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</si>
  <si>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</si>
  <si>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</si>
  <si>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</si>
  <si>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</si>
  <si>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</si>
  <si>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</si>
  <si>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</si>
  <si>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</si>
  <si>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</si>
  <si>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</si>
  <si>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</si>
  <si>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</si>
  <si>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</si>
  <si>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</si>
  <si>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</si>
  <si>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</si>
  <si>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</si>
  <si>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</si>
  <si>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</si>
  <si>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</si>
  <si>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</si>
  <si>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</si>
  <si>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</si>
  <si>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</si>
  <si>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</si>
  <si>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</si>
  <si>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</si>
  <si>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</si>
  <si>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</si>
  <si>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</si>
  <si>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</si>
  <si>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</si>
  <si>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</si>
  <si>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</si>
  <si>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</si>
  <si>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</si>
  <si>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</si>
  <si>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</si>
  <si>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</si>
  <si>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</si>
  <si>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</si>
  <si>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</si>
  <si>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</si>
  <si>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</si>
  <si>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</si>
  <si>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</si>
  <si>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</si>
  <si>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</si>
  <si>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</si>
  <si>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</si>
  <si>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</si>
  <si>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</si>
  <si>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</si>
  <si>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</si>
  <si>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</si>
  <si>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</si>
  <si>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</si>
  <si>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</si>
  <si>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</si>
  <si>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</si>
  <si>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</si>
  <si>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</si>
  <si>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</si>
  <si>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</si>
  <si>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</si>
  <si>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</si>
  <si>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</si>
  <si>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</si>
  <si>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</si>
  <si>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</si>
  <si>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</si>
  <si>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</si>
  <si>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</si>
  <si>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</si>
  <si>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</si>
  <si>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</si>
  <si>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</si>
  <si>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</si>
  <si>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</si>
  <si>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</si>
  <si>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</si>
  <si>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</si>
  <si>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</si>
  <si>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</si>
  <si>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</si>
  <si>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</si>
  <si>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</si>
  <si>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</si>
  <si>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</si>
  <si>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</si>
  <si>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</si>
  <si>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</si>
  <si>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</si>
  <si>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</si>
  <si>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</si>
  <si>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</si>
  <si>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</si>
  <si>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</si>
  <si>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</si>
  <si>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</si>
  <si>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</si>
  <si>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</si>
  <si>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</si>
  <si>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</si>
  <si>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</si>
  <si>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</si>
  <si>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</si>
  <si>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</si>
  <si>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</si>
  <si>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</si>
  <si>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</si>
  <si>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</si>
  <si>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</si>
  <si>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</si>
  <si>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</si>
  <si>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</si>
  <si>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</si>
  <si>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</si>
  <si>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</si>
  <si>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</si>
  <si>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</si>
  <si>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</si>
  <si>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</si>
  <si>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</si>
  <si>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</si>
  <si>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</si>
  <si>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</si>
  <si>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</si>
  <si>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</si>
  <si>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</si>
  <si>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</si>
  <si>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</si>
  <si>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</si>
  <si>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</si>
  <si>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</si>
  <si>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</si>
  <si>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</si>
  <si>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</si>
  <si>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</si>
  <si>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</si>
  <si>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</si>
  <si>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</si>
  <si>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</si>
  <si>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</si>
  <si>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</si>
  <si>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</si>
  <si>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</si>
  <si>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</si>
  <si>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</si>
  <si>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</si>
  <si>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</si>
  <si>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</si>
  <si>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</si>
  <si>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</si>
  <si>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</si>
  <si>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</si>
  <si>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</si>
  <si>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</si>
  <si>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</si>
  <si>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</si>
  <si>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</si>
  <si>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</si>
  <si>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</si>
  <si>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</si>
  <si>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</si>
  <si>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</si>
  <si>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</si>
  <si>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</si>
  <si>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</si>
  <si>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</si>
  <si>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</si>
  <si>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</si>
  <si>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</si>
  <si>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</si>
  <si>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</si>
  <si>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</si>
  <si>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</si>
  <si>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</si>
  <si>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</si>
  <si>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</si>
  <si>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</si>
  <si>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</si>
  <si>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</si>
  <si>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</si>
  <si>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</si>
  <si>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</si>
  <si>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</si>
  <si>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</si>
  <si>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</si>
  <si>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</si>
  <si>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</si>
  <si>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</si>
  <si>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</si>
  <si>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</si>
  <si>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</si>
  <si>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</si>
  <si>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</si>
  <si>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</si>
  <si>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</si>
  <si>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</si>
  <si>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</si>
  <si>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</si>
  <si>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</si>
  <si>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</si>
  <si>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</si>
  <si>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</si>
  <si>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</si>
  <si>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</si>
  <si>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</si>
  <si>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</si>
  <si>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</si>
  <si>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</si>
  <si>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</si>
  <si>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</si>
  <si>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</si>
  <si>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</si>
  <si>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</si>
  <si>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</si>
  <si>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</si>
  <si>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</si>
  <si>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</si>
  <si>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</si>
  <si>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</si>
  <si>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</si>
  <si>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</si>
  <si>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</si>
  <si>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</si>
  <si>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</si>
  <si>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</si>
  <si>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</si>
  <si>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</si>
  <si>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</si>
  <si>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</si>
  <si>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</si>
  <si>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</si>
  <si>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</si>
  <si>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</si>
  <si>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</si>
  <si>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</si>
  <si>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</si>
  <si>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</si>
  <si>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</si>
  <si>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</si>
  <si>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</si>
  <si>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</si>
  <si>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</si>
  <si>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</si>
  <si>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</si>
  <si>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</si>
  <si>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</si>
  <si>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</si>
  <si>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</si>
  <si>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</si>
  <si>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</si>
  <si>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</si>
  <si>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</si>
  <si>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</si>
  <si>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</si>
  <si>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</si>
  <si>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</si>
  <si>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</si>
  <si>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</si>
  <si>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</si>
  <si>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</si>
  <si>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</si>
  <si>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</si>
  <si>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</si>
  <si>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</si>
  <si>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</si>
  <si>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</si>
  <si>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</si>
  <si>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</si>
  <si>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</si>
  <si>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</si>
  <si>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</si>
  <si>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</si>
  <si>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</si>
  <si>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</si>
  <si>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</si>
  <si>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</si>
  <si>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</si>
  <si>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</si>
  <si>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</si>
  <si>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</si>
  <si>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</si>
  <si>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</si>
  <si>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</si>
  <si>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</si>
  <si>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</si>
  <si>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</si>
  <si>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</si>
  <si>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</si>
  <si>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</si>
  <si>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</si>
  <si>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</si>
  <si>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</si>
  <si>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</si>
  <si>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</si>
  <si>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</si>
  <si>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</si>
  <si>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</si>
  <si>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</si>
  <si>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</si>
  <si>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</si>
  <si>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</si>
  <si>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</si>
  <si>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</si>
  <si>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</si>
  <si>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</si>
  <si>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</si>
  <si>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</si>
  <si>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</si>
  <si>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</si>
  <si>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</si>
  <si>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</si>
  <si>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</si>
  <si>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</si>
  <si>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</si>
  <si>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</si>
  <si>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</si>
  <si>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</si>
  <si>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</si>
  <si>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</si>
  <si>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</si>
  <si>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</si>
  <si>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</si>
  <si>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</si>
  <si>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</si>
  <si>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</si>
  <si>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</si>
  <si>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</si>
  <si>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</si>
  <si>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</si>
  <si>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</si>
  <si>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</si>
  <si>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</si>
  <si>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</si>
  <si>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</si>
  <si>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</si>
  <si>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</si>
  <si>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</si>
  <si>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</si>
  <si>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</si>
  <si>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</si>
  <si>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</si>
  <si>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</si>
  <si>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</si>
  <si>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</si>
  <si>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</si>
  <si>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</si>
  <si>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</si>
  <si>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</si>
  <si>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</si>
  <si>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</si>
  <si>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</si>
  <si>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</si>
  <si>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</si>
  <si>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</si>
  <si>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</si>
  <si>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</si>
  <si>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</si>
  <si>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</si>
  <si>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</si>
  <si>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</si>
  <si>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</si>
  <si>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</si>
  <si>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</si>
  <si>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</si>
  <si>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</si>
  <si>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</si>
  <si>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</si>
  <si>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</si>
  <si>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</si>
  <si>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</si>
  <si>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</si>
  <si>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</si>
  <si>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</si>
  <si>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</si>
  <si>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</si>
  <si>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</si>
  <si>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</si>
  <si>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</si>
  <si>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</si>
  <si>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</si>
  <si>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</si>
  <si>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</si>
  <si>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</si>
  <si>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</si>
  <si>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</si>
  <si>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</si>
  <si>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</si>
  <si>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</si>
  <si>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</si>
  <si>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</si>
  <si>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</si>
  <si>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</si>
  <si>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</si>
  <si>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</si>
  <si>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</si>
  <si>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</si>
  <si>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</si>
  <si>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</si>
  <si>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</si>
  <si>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</si>
  <si>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</si>
  <si>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</si>
  <si>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</si>
  <si>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</si>
  <si>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</si>
  <si>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</si>
  <si>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</si>
  <si>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</si>
  <si>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</si>
  <si>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</si>
  <si>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</si>
  <si>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</si>
  <si>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</si>
  <si>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</si>
  <si>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</si>
  <si>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</si>
  <si>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</si>
  <si>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</si>
  <si>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</si>
  <si>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</si>
  <si>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</si>
  <si>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</si>
  <si>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</si>
  <si>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</si>
  <si>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</si>
  <si>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</si>
  <si>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</si>
  <si>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</si>
  <si>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</si>
  <si>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</si>
  <si>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</si>
  <si>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</si>
  <si>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</si>
  <si>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</si>
  <si>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</si>
  <si>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</si>
  <si>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</si>
  <si>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</si>
  <si>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</si>
  <si>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</si>
  <si>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</si>
  <si>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</si>
  <si>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</si>
  <si>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</si>
  <si>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</si>
  <si>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</si>
  <si>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</si>
  <si>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</si>
  <si>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</si>
  <si>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</si>
  <si>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</si>
  <si>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</si>
  <si>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</si>
  <si>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</si>
  <si>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</si>
  <si>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</si>
  <si>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</si>
  <si>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</si>
  <si>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</si>
  <si>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</si>
  <si>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</si>
  <si>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</si>
  <si>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</si>
  <si>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</si>
  <si>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</si>
  <si>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</si>
  <si>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</si>
  <si>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</si>
  <si>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</si>
  <si>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</si>
  <si>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</si>
  <si>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</si>
  <si>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</si>
  <si>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</si>
  <si>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</si>
  <si>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</si>
  <si>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</si>
  <si>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</si>
  <si>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</si>
  <si>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</si>
  <si>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</si>
  <si>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</si>
  <si>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</si>
  <si>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</si>
  <si>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</si>
  <si>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</si>
  <si>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</si>
  <si>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</si>
  <si>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</si>
  <si>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</si>
  <si>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</si>
  <si>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</si>
  <si>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</si>
  <si>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</si>
  <si>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</si>
  <si>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</si>
  <si>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</si>
  <si>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</si>
  <si>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</si>
  <si>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</si>
  <si>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</si>
  <si>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</si>
  <si>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</si>
  <si>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</si>
  <si>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</si>
  <si>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</si>
  <si>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</si>
  <si>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</si>
  <si>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</si>
  <si>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</si>
  <si>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</si>
  <si>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</si>
  <si>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</si>
  <si>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</si>
  <si>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</si>
  <si>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</si>
  <si>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</si>
  <si>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</si>
  <si>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</si>
  <si>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</si>
  <si>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</si>
  <si>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</si>
  <si>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</si>
  <si>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</si>
  <si>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</si>
  <si>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</si>
  <si>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</si>
  <si>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</si>
  <si>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</si>
  <si>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</si>
  <si>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</si>
  <si>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</si>
  <si>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</si>
  <si>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</si>
  <si>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</si>
  <si>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</si>
  <si>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</si>
  <si>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</si>
  <si>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</si>
  <si>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</si>
  <si>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</si>
  <si>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</si>
  <si>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</si>
  <si>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</si>
  <si>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</si>
  <si>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</si>
  <si>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</si>
  <si>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</si>
  <si>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</si>
  <si>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</si>
  <si>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</si>
  <si>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</si>
  <si>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</si>
  <si>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</si>
  <si>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</si>
  <si>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</si>
  <si>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</si>
  <si>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</si>
  <si>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</si>
  <si>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</si>
  <si>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</si>
  <si>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MICROCOMPUTADOR PORTATIL DELL INSPIRON COMPLETO</t>
  </si>
  <si>
    <t>004815</t>
  </si>
  <si>
    <t>MARCIA LISBOA</t>
  </si>
  <si>
    <t>MICROCOMPUTADOR PORTATIL DELL VOSTRO 5470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</si>
  <si>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</si>
  <si>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</si>
  <si>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</si>
  <si>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</si>
  <si>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</si>
  <si>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</si>
  <si>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</si>
  <si>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</si>
  <si>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</si>
  <si>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</si>
  <si>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</si>
  <si>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</si>
  <si>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</si>
  <si>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</si>
  <si>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FREEZER CONSUL HORIZ 220LTS BCO 127V CHA22DBANA</t>
  </si>
  <si>
    <t>004831</t>
  </si>
  <si>
    <t>004832</t>
  </si>
  <si>
    <t>004833</t>
  </si>
  <si>
    <t>MONITOR 19.5 LG  LED 20EN 33SS</t>
  </si>
  <si>
    <t>004834</t>
  </si>
  <si>
    <t xml:space="preserve">MICROCOMPUTADOR  DELL OPTIPLEX 3020 </t>
  </si>
  <si>
    <t>004901</t>
  </si>
  <si>
    <t>CASA VOLNEI</t>
  </si>
  <si>
    <t>004902</t>
  </si>
  <si>
    <t>15358</t>
  </si>
  <si>
    <t>15359</t>
  </si>
  <si>
    <t>BARRACÃO 3.000M2 ESTRUTURA METALICA</t>
  </si>
  <si>
    <t>15411</t>
  </si>
  <si>
    <t>JAQUELINE SEMEN</t>
  </si>
  <si>
    <t>FAZENDA TRIUNFO 17 PONTAL 1</t>
  </si>
  <si>
    <t>15412</t>
  </si>
  <si>
    <t>FAZENDA TRIUNFO 18 PONTAL 2</t>
  </si>
  <si>
    <t>15413</t>
  </si>
  <si>
    <t>FAZENDA TRIUNFO 19 OURO VERDE</t>
  </si>
  <si>
    <t>15414</t>
  </si>
  <si>
    <t>FAZENDA TRIUNFO 20 ST VIDA NOVA</t>
  </si>
  <si>
    <t>15415</t>
  </si>
  <si>
    <t>6,50% a.a</t>
  </si>
  <si>
    <t>Banco Itau BBA S/A</t>
  </si>
  <si>
    <t>Em 01 de abril de 2015, por mês, em R$ mil</t>
  </si>
  <si>
    <t>RODRIGO - 01758</t>
  </si>
  <si>
    <t>CHEVROLET/S10 CD</t>
  </si>
  <si>
    <t>001063</t>
  </si>
  <si>
    <t>TRANSFORMADOR TRIFASICO 300 KVA 13,8 KV 380/220V</t>
  </si>
  <si>
    <t>001064</t>
  </si>
  <si>
    <t>SECADOR CEREJER</t>
  </si>
  <si>
    <t>CARROCERIA PARA F4000G</t>
  </si>
  <si>
    <t>001065</t>
  </si>
  <si>
    <t>F4000 TRIUNFO</t>
  </si>
  <si>
    <t>AR COND. SPLIT SPRINGER CARRIER 12.000 BTU 220V</t>
  </si>
  <si>
    <t>004835</t>
  </si>
  <si>
    <t>004836</t>
  </si>
  <si>
    <t>004837</t>
  </si>
  <si>
    <t>004838</t>
  </si>
  <si>
    <t>004839</t>
  </si>
  <si>
    <t>004840</t>
  </si>
  <si>
    <t>CANTINAS</t>
  </si>
  <si>
    <t>004841</t>
  </si>
  <si>
    <t>004842</t>
  </si>
  <si>
    <t>004843</t>
  </si>
  <si>
    <t>PARAISO</t>
  </si>
  <si>
    <t>004844</t>
  </si>
  <si>
    <t>004845</t>
  </si>
  <si>
    <t>GOPRO HERO 4 BLACK EDITION CHDHX-401</t>
  </si>
  <si>
    <t>004846</t>
  </si>
  <si>
    <t>WENINSGTHON</t>
  </si>
  <si>
    <t>004847</t>
  </si>
  <si>
    <t>FREEZER 404 L CONSUL KWH/MES</t>
  </si>
  <si>
    <t>004848</t>
  </si>
  <si>
    <t>C:\Users\MARCIO\ownCloud\#Dossie para Bancos\[#Dossie para Bancos.xls]16.1-Perfil Divida</t>
  </si>
  <si>
    <t>Volnei Masutti</t>
  </si>
  <si>
    <t>5,30% a.a.</t>
  </si>
  <si>
    <t>Valdir Masutti Junior</t>
  </si>
  <si>
    <t>5,32% a.a. + VC</t>
  </si>
  <si>
    <t>4,50% a.a.</t>
  </si>
  <si>
    <t>CHEVROLET/S10 CS</t>
  </si>
  <si>
    <t>001062</t>
  </si>
  <si>
    <t>NOME_CLIENTE</t>
  </si>
  <si>
    <t>DESCRICAO_PRODUTO</t>
  </si>
  <si>
    <t>QUANTIDADE</t>
  </si>
  <si>
    <t>SIGLA_MOEDA</t>
  </si>
  <si>
    <t>Soma de VALOR_TOTAL</t>
  </si>
  <si>
    <t>ADELMO NUNES FERNANDES E OUTROS</t>
  </si>
  <si>
    <t>SOJA EM GRAOS</t>
  </si>
  <si>
    <t>SOJA CONVENCIONAL</t>
  </si>
  <si>
    <t>AMAGGI EXPORTACAO E IMPORTACAO LTDA</t>
  </si>
  <si>
    <t>BUNGE ALIMENTOS S/A</t>
  </si>
  <si>
    <t>CARGILL AGRICOLA S/A</t>
  </si>
  <si>
    <t>MILHO EM GRAOS</t>
  </si>
  <si>
    <t>ARROZ COM CASCA</t>
  </si>
  <si>
    <t>DEVANI TEREZINHA FASOLO MAZZUTTI</t>
  </si>
  <si>
    <t>INES LAZARETE</t>
  </si>
  <si>
    <t>NEODI CARLOS FRANCISCO DE OLIVEIRA</t>
  </si>
  <si>
    <t>NERY DELAZZERI</t>
  </si>
  <si>
    <t>NIDERA SEMENTES LTDA</t>
  </si>
  <si>
    <t xml:space="preserve">PORTAL S/A - IND. COM. DE PRODUTOS VEGETAIS </t>
  </si>
  <si>
    <t>Soma de QUANTIDADE</t>
  </si>
  <si>
    <t>Dados</t>
  </si>
  <si>
    <t>SEQ_PLA_PED_VENDA</t>
  </si>
  <si>
    <t>NR_CONTRATO</t>
  </si>
  <si>
    <t>FIXO</t>
  </si>
  <si>
    <t>CONTRATO</t>
  </si>
  <si>
    <t>DATA_CONTRATO</t>
  </si>
  <si>
    <t>SEQ_PLA_PRODUTO</t>
  </si>
  <si>
    <t>SEQ_PLA_MOEDA</t>
  </si>
  <si>
    <t>VALOR_TOTAL</t>
  </si>
  <si>
    <t>VALOR_UNITARIO</t>
  </si>
  <si>
    <t>QTD_FAT</t>
  </si>
  <si>
    <t>SALDO</t>
  </si>
  <si>
    <t>SIGLA_UNIDADE</t>
  </si>
  <si>
    <t xml:space="preserve"> 576915401</t>
  </si>
  <si>
    <t>SMT14/017</t>
  </si>
  <si>
    <t>N</t>
  </si>
  <si>
    <t xml:space="preserve">  31900001</t>
  </si>
  <si>
    <t xml:space="preserve">     75601</t>
  </si>
  <si>
    <t>KG</t>
  </si>
  <si>
    <t xml:space="preserve"> 630759101</t>
  </si>
  <si>
    <t>SMT15/01-SJ</t>
  </si>
  <si>
    <t xml:space="preserve"> 582088101</t>
  </si>
  <si>
    <t>SMT14/020</t>
  </si>
  <si>
    <t xml:space="preserve"> 636987601</t>
  </si>
  <si>
    <t>CM15/32-SJ</t>
  </si>
  <si>
    <t xml:space="preserve">  82071102</t>
  </si>
  <si>
    <t xml:space="preserve"> 636995101</t>
  </si>
  <si>
    <t>CM15/33-SJ</t>
  </si>
  <si>
    <t xml:space="preserve"> 582764001</t>
  </si>
  <si>
    <t>CM15/25-SJ</t>
  </si>
  <si>
    <t xml:space="preserve"> 550946801</t>
  </si>
  <si>
    <t>CM15/14-SJ</t>
  </si>
  <si>
    <t xml:space="preserve"> 633509401</t>
  </si>
  <si>
    <t>CM15/31-SJ</t>
  </si>
  <si>
    <t xml:space="preserve"> 574485901</t>
  </si>
  <si>
    <t>CM15/23-SJ</t>
  </si>
  <si>
    <t xml:space="preserve"> 573304701</t>
  </si>
  <si>
    <t>CM15/20-SJ</t>
  </si>
  <si>
    <t xml:space="preserve"> 574965201</t>
  </si>
  <si>
    <t>CM15/24-SJ</t>
  </si>
  <si>
    <t xml:space="preserve"> 574506501</t>
  </si>
  <si>
    <t>CM15/18-SJ</t>
  </si>
  <si>
    <t xml:space="preserve"> 574505401</t>
  </si>
  <si>
    <t>CM15/19-SJ</t>
  </si>
  <si>
    <t xml:space="preserve"> 594705801</t>
  </si>
  <si>
    <t>CM15/28-SJ</t>
  </si>
  <si>
    <t xml:space="preserve"> 318830701</t>
  </si>
  <si>
    <t>CM15/09-SJ</t>
  </si>
  <si>
    <t xml:space="preserve">      3501</t>
  </si>
  <si>
    <t xml:space="preserve"> 538828101</t>
  </si>
  <si>
    <t>CM15/07-SJ</t>
  </si>
  <si>
    <t xml:space="preserve"> 538824701</t>
  </si>
  <si>
    <t>CM15/04-SJ</t>
  </si>
  <si>
    <t xml:space="preserve"> 538826701</t>
  </si>
  <si>
    <t>CM15/06-SJ</t>
  </si>
  <si>
    <t xml:space="preserve"> 538821601</t>
  </si>
  <si>
    <t>CM15/03-SJ</t>
  </si>
  <si>
    <t xml:space="preserve"> 550948501</t>
  </si>
  <si>
    <t>CM15/12-SJ</t>
  </si>
  <si>
    <t xml:space="preserve"> 615093001</t>
  </si>
  <si>
    <t>CM15/01-ARZ</t>
  </si>
  <si>
    <t xml:space="preserve"> 304762302</t>
  </si>
  <si>
    <t xml:space="preserve"> 569840501</t>
  </si>
  <si>
    <t>CM15/16-SJ</t>
  </si>
  <si>
    <t xml:space="preserve"> 569841601</t>
  </si>
  <si>
    <t>CM15/17-SJ</t>
  </si>
  <si>
    <t xml:space="preserve"> 585544701</t>
  </si>
  <si>
    <t>CM15/27-SJ</t>
  </si>
  <si>
    <t xml:space="preserve"> 538830301</t>
  </si>
  <si>
    <t>CM15/08-SJ</t>
  </si>
  <si>
    <t xml:space="preserve"> 539171701</t>
  </si>
  <si>
    <t>CM15/10-SJ</t>
  </si>
  <si>
    <t xml:space="preserve"> 550951701</t>
  </si>
  <si>
    <t>CM15/15-SJ</t>
  </si>
  <si>
    <t xml:space="preserve"> 601640801</t>
  </si>
  <si>
    <t>CM15/29-SJ</t>
  </si>
  <si>
    <t xml:space="preserve"> 617069401</t>
  </si>
  <si>
    <t>CM15/30-SJ</t>
  </si>
  <si>
    <t xml:space="preserve"> 538817701</t>
  </si>
  <si>
    <t>CM15/01-SJ</t>
  </si>
  <si>
    <t xml:space="preserve"> 538819101</t>
  </si>
  <si>
    <t>CM15/02-SJ</t>
  </si>
  <si>
    <t xml:space="preserve"> 538825801</t>
  </si>
  <si>
    <t>CM15/05-SJ</t>
  </si>
  <si>
    <t xml:space="preserve"> 539025801</t>
  </si>
  <si>
    <t>CM15/11-SJ</t>
  </si>
  <si>
    <t xml:space="preserve"> 574462901</t>
  </si>
  <si>
    <t>CM15/21-SJ</t>
  </si>
  <si>
    <t xml:space="preserve"> 618148201</t>
  </si>
  <si>
    <t>CM15/04-MI</t>
  </si>
  <si>
    <t xml:space="preserve">  32001101</t>
  </si>
  <si>
    <t xml:space="preserve"> 550918801</t>
  </si>
  <si>
    <t>CM15/01-MI</t>
  </si>
  <si>
    <t>AURICELIA RODRIGUES GOMES CAIRES</t>
  </si>
  <si>
    <t>MOACIR ANTONIO BARLETTE</t>
  </si>
  <si>
    <t>WILSON FELLER</t>
  </si>
  <si>
    <t>OSMAR ANTONIO MARIANO</t>
  </si>
  <si>
    <t>31/09/2015</t>
  </si>
  <si>
    <t xml:space="preserve">Outros </t>
  </si>
  <si>
    <t>Em 31 de março de 2015, por mês, em R$</t>
  </si>
  <si>
    <t xml:space="preserve"> 639775101</t>
  </si>
  <si>
    <t>CM15/34-SJ</t>
  </si>
  <si>
    <t xml:space="preserve"> 643965601</t>
  </si>
  <si>
    <t>CM15/35-SJ</t>
  </si>
  <si>
    <t>NOME_EMPRESA</t>
  </si>
  <si>
    <t>DESCRICAO_FILIAL</t>
  </si>
  <si>
    <t>SEQ_PLA_RECEBER</t>
  </si>
  <si>
    <t>DATA_LCTO</t>
  </si>
  <si>
    <t>COD_CONTA</t>
  </si>
  <si>
    <t>DOCUMENTO</t>
  </si>
  <si>
    <t>DATA_VCTO</t>
  </si>
  <si>
    <t>VALOR_DOCUM</t>
  </si>
  <si>
    <t>VALOR_RECEBIDO</t>
  </si>
  <si>
    <t>SALDO_CONVERTIDO</t>
  </si>
  <si>
    <t>DESC_FIN_HIST</t>
  </si>
  <si>
    <t>OBSERVACOES</t>
  </si>
  <si>
    <t>HOJE</t>
  </si>
  <si>
    <t>VOLNEI MASUTTI</t>
  </si>
  <si>
    <t>RCTO - REF CONTRATO SOJA</t>
  </si>
  <si>
    <t>RCTO - REF CONTRATO ALGODAO</t>
  </si>
  <si>
    <t xml:space="preserve"> 233546901</t>
  </si>
  <si>
    <t>GOTARDO MAQUINAS AGRICOLAS LTDA</t>
  </si>
  <si>
    <t xml:space="preserve">    039/12</t>
  </si>
  <si>
    <t>RCTO - VENDA DE MAQUINAS E EQUIP USADOS</t>
  </si>
  <si>
    <t>JUROS REF CONTRATO VENDA DE MAQUINAS CFE CONTRATO 39/12.</t>
  </si>
  <si>
    <t xml:space="preserve"> 233547101</t>
  </si>
  <si>
    <t xml:space="preserve"> 229936601</t>
  </si>
  <si>
    <t xml:space="preserve">     23907</t>
  </si>
  <si>
    <t>VENDA DE MAQUINAS</t>
  </si>
  <si>
    <t xml:space="preserve"> 229940201</t>
  </si>
  <si>
    <t xml:space="preserve">     23908</t>
  </si>
  <si>
    <t>VENDA</t>
  </si>
  <si>
    <t xml:space="preserve"> 229942601</t>
  </si>
  <si>
    <t xml:space="preserve">     23909</t>
  </si>
  <si>
    <t xml:space="preserve"> ADT 09-14</t>
  </si>
  <si>
    <t>RCTO - ADIANTAMENTO DE VIAGENS</t>
  </si>
  <si>
    <t>DEVOLUCAO DE MERCADORIAS A FORNECEDORES</t>
  </si>
  <si>
    <t>ADIANTAMENTO A FORNECEDORES CREDITO</t>
  </si>
  <si>
    <t>ALESSANDRO MAZUTTI</t>
  </si>
  <si>
    <t xml:space="preserve"> 505492601</t>
  </si>
  <si>
    <t xml:space="preserve">   NTX3214</t>
  </si>
  <si>
    <t>RCTO - REF VENDA MAQ / VEICULOS USADOS</t>
  </si>
  <si>
    <t>VENDA DE VEICULO NTX 3214 - PATRIMONIO 000460</t>
  </si>
  <si>
    <t>ERNI BRESSAN</t>
  </si>
  <si>
    <t xml:space="preserve"> 503793001</t>
  </si>
  <si>
    <t>PLAST LONA COM DE EMBALAGENS LTDA ME</t>
  </si>
  <si>
    <t xml:space="preserve">       FIB</t>
  </si>
  <si>
    <t>RCTO - REF CONTRATO FIBRILHA DE ALGODAO</t>
  </si>
  <si>
    <t>MEDITERRANEAN LOGISTICA ADUANEIRA LTDA</t>
  </si>
  <si>
    <t>JOHN DEERE BRASIL LTDA</t>
  </si>
  <si>
    <t xml:space="preserve">  68523401</t>
  </si>
  <si>
    <t>JEAN PAULO SALVADOR</t>
  </si>
  <si>
    <t xml:space="preserve">   05/2011</t>
  </si>
  <si>
    <t>COLHEITADEIRA, NEW HOLAND, TC 59, PAT.0025, ANO 2002</t>
  </si>
  <si>
    <t>LUCAS PIRES DE ANDRADE</t>
  </si>
  <si>
    <t>CARGO CONTROL DO BRASIL TERMINAL DE CARGAS LTDA</t>
  </si>
  <si>
    <t>ARMANDO FERNANDO MATOS</t>
  </si>
  <si>
    <t xml:space="preserve">     29048</t>
  </si>
  <si>
    <t>REF. A 4.000 SCS DE MILHO</t>
  </si>
  <si>
    <t xml:space="preserve"> 596563501</t>
  </si>
  <si>
    <t xml:space="preserve">     29060</t>
  </si>
  <si>
    <t xml:space="preserve"> 596564101</t>
  </si>
  <si>
    <t xml:space="preserve"> 553355201</t>
  </si>
  <si>
    <t>GUSTAVO NAKAI DE MAGALHAES E RIBEIRO</t>
  </si>
  <si>
    <t xml:space="preserve"> ICMS09-10</t>
  </si>
  <si>
    <t>RCTO - REEMBOLSO ICMS</t>
  </si>
  <si>
    <t>REEMBOLSO DE ICMS CARREGAMENTO DE CAROÇO 2014</t>
  </si>
  <si>
    <t>RCTO - CLIENTES DIVERSOS</t>
  </si>
  <si>
    <t>FABIO DE CARLOS DIAS</t>
  </si>
  <si>
    <t xml:space="preserve">       CTR</t>
  </si>
  <si>
    <t>VENDA COLHEITADEIRA  JD PAT 000148 E PLATAFORMA JD PAT. Nº</t>
  </si>
  <si>
    <t xml:space="preserve"> 524436701</t>
  </si>
  <si>
    <t>BORRACHARIA E VULCANIZADORA CASCAVEL LTDA - ME</t>
  </si>
  <si>
    <t xml:space="preserve">  270 ADTO</t>
  </si>
  <si>
    <t>ADTO REF. A NF 270 CONFORME SOLICITAÇÃO DO SR. ALESSANDRO (WHATSAPP)</t>
  </si>
  <si>
    <t xml:space="preserve"> 433522801</t>
  </si>
  <si>
    <t>APARICIO DE FREITAS</t>
  </si>
  <si>
    <t>REC COMISS</t>
  </si>
  <si>
    <t>RECIBO NO VALOR DE R$ 15.000,00 POREM FOI AUT. PELO SOUZA APENAS 10.000,00  POIS O REST. JA FOI PAGO AO JOÃO SACOMORI</t>
  </si>
  <si>
    <t>CENTRAL AGRICOLA LTDA -EPP</t>
  </si>
  <si>
    <t>RCTO - REF CONTRATO ARROZ</t>
  </si>
  <si>
    <t>RCTO - REF CONTRATO MILHO</t>
  </si>
  <si>
    <t xml:space="preserve"> 229966601</t>
  </si>
  <si>
    <t xml:space="preserve">     23911</t>
  </si>
  <si>
    <t xml:space="preserve">     23912</t>
  </si>
  <si>
    <t xml:space="preserve"> 233546301</t>
  </si>
  <si>
    <t xml:space="preserve"> 233546501</t>
  </si>
  <si>
    <t xml:space="preserve"> 229942201</t>
  </si>
  <si>
    <t>RCTO - REF CONTRATO CAROCO</t>
  </si>
  <si>
    <t xml:space="preserve"> 501572101</t>
  </si>
  <si>
    <t xml:space="preserve">    PORTAS</t>
  </si>
  <si>
    <t>ADTO REF. A COMPRA DE PORTAS PARA ALOJAMENTOS - AGUARDANDO NF.</t>
  </si>
  <si>
    <t xml:space="preserve"> 505492201</t>
  </si>
  <si>
    <t>NELSON MEDEIROS JUNIOR</t>
  </si>
  <si>
    <t xml:space="preserve">   NVX9927</t>
  </si>
  <si>
    <t>VENDA DE VEICULO - UNO NVX 9927 PATRIMONIO 000616</t>
  </si>
  <si>
    <t xml:space="preserve"> 214937902</t>
  </si>
  <si>
    <t>FERNANDO LOPES DOMINGUES E CIA  LTDA ME</t>
  </si>
  <si>
    <t xml:space="preserve">     23033</t>
  </si>
  <si>
    <t>DEVOLUÇAO REFERENTE A NF 1023 DE 25/10/2012</t>
  </si>
  <si>
    <t>COMPLEMENTO DE CARGA</t>
  </si>
  <si>
    <t xml:space="preserve">ADELIR FERNANDES </t>
  </si>
  <si>
    <t>ADT 01-201</t>
  </si>
  <si>
    <t>VALMIR ANTONIO KURTZ</t>
  </si>
  <si>
    <t xml:space="preserve">   01/2012</t>
  </si>
  <si>
    <t>COLHEITADEIRA TC 59, PAT. 1283, FROTA 521</t>
  </si>
  <si>
    <t xml:space="preserve"> 116816401</t>
  </si>
  <si>
    <t xml:space="preserve">   02/2012</t>
  </si>
  <si>
    <t>PULVERIZADOR MA 2027, PAT. 333, FROTA 1212</t>
  </si>
  <si>
    <t>RCTO - VENDA SOJA (SMT)</t>
  </si>
  <si>
    <t xml:space="preserve"> 610777601</t>
  </si>
  <si>
    <t>ERIVELTON BENEDICTO NAVARRO</t>
  </si>
  <si>
    <t xml:space="preserve">      2015</t>
  </si>
  <si>
    <t>VENDA DE STS 9750 FROTA 00528 PATRIMONIO 000029 PLATAFORMA 630 FROTA 03641 PATRIMONIO 000086</t>
  </si>
  <si>
    <t xml:space="preserve"> 610777801</t>
  </si>
  <si>
    <t>JUAREZ RODRIGUES PEREIRA</t>
  </si>
  <si>
    <t xml:space="preserve"> 187445601</t>
  </si>
  <si>
    <t>EDUARDO CASTRIANI DE JESUS</t>
  </si>
  <si>
    <t xml:space="preserve">     13306</t>
  </si>
  <si>
    <t>VENDA DE COURO</t>
  </si>
  <si>
    <t xml:space="preserve"> 505006301</t>
  </si>
  <si>
    <t xml:space="preserve">MAURO FERNANDO SCHAEDLER </t>
  </si>
  <si>
    <t xml:space="preserve">  CM14/011</t>
  </si>
  <si>
    <t>VENDA DE SOJA PARA ACERTOS JUCA - SOUZA ESTA A PAR DA NEGOCIAÇÃO</t>
  </si>
  <si>
    <t>VIP CORRESPONDENTE FISCAL LTDA - ME</t>
  </si>
  <si>
    <t xml:space="preserve"> 616040401</t>
  </si>
  <si>
    <t>MERCADOPAGO.COM REPRESENTACOES LTDA</t>
  </si>
  <si>
    <t xml:space="preserve">      1365</t>
  </si>
  <si>
    <t>PGTO MAT FOTOS</t>
  </si>
  <si>
    <t xml:space="preserve"> 496003001</t>
  </si>
  <si>
    <t>RAIMUNDO PINHEIRO NUNES</t>
  </si>
  <si>
    <t xml:space="preserve">   01/2014</t>
  </si>
  <si>
    <t>RCTO - LOCAÇÃO DE BENS MOVEIS</t>
  </si>
  <si>
    <t>TRATOR PARA PAGAMENTO DE 05/2015 COM BEZERROS</t>
  </si>
  <si>
    <t>REGINALDO RICARTE DE SOUZA</t>
  </si>
  <si>
    <t>UNIPORT PATRIMONIO 000500 FROTA 0200 ANO 1999</t>
  </si>
  <si>
    <t xml:space="preserve"> 627957701</t>
  </si>
  <si>
    <t>AG14184/10</t>
  </si>
  <si>
    <t>AG14270/10</t>
  </si>
  <si>
    <t>CLAIDES LAZARETTI MASUTTI</t>
  </si>
  <si>
    <t>RCTO - P/CONTA CLAIDES L.MASUTTI E OUTRO</t>
  </si>
  <si>
    <t xml:space="preserve"> 229966401</t>
  </si>
  <si>
    <t xml:space="preserve"> 233546701</t>
  </si>
  <si>
    <t xml:space="preserve"> 229969501</t>
  </si>
  <si>
    <t xml:space="preserve"> 229961801</t>
  </si>
  <si>
    <t xml:space="preserve">     23910</t>
  </si>
  <si>
    <t xml:space="preserve"> 229962201</t>
  </si>
  <si>
    <t xml:space="preserve"> 583953601</t>
  </si>
  <si>
    <t>ADIANTAMENTO DE VIAGEM 01-2015 AUTORIZADO POR JOSE LUIZ</t>
  </si>
  <si>
    <t>ODELIR PEREGO</t>
  </si>
  <si>
    <t xml:space="preserve"> 596562501</t>
  </si>
  <si>
    <t xml:space="preserve"> 596562701</t>
  </si>
  <si>
    <t xml:space="preserve"> 596563901</t>
  </si>
  <si>
    <t xml:space="preserve">      2014</t>
  </si>
  <si>
    <t xml:space="preserve"> 576915901</t>
  </si>
  <si>
    <t xml:space="preserve"> SMT14/017</t>
  </si>
  <si>
    <t>269 SCS A R$ 100,00</t>
  </si>
  <si>
    <t>DARIO DE OLIVEIRA SILVA</t>
  </si>
  <si>
    <t xml:space="preserve"> 433284401</t>
  </si>
  <si>
    <t>JOAO CARLOS SACOMORI</t>
  </si>
  <si>
    <t>ADTO COMIS</t>
  </si>
  <si>
    <t>ADTO REF. COMISSÃO DA ÚLTIMA COMPRA DE TERRAS - CONFIRMAR VALORES E PASSAR PARA O JPNIZER</t>
  </si>
  <si>
    <t xml:space="preserve"> 274504401</t>
  </si>
  <si>
    <t>ADEMAR FALCAO</t>
  </si>
  <si>
    <t xml:space="preserve">   03/2013</t>
  </si>
  <si>
    <t>REF. PAGAMENTO EM DUPLICIDADE</t>
  </si>
  <si>
    <t xml:space="preserve"> 274503801</t>
  </si>
  <si>
    <t>GILSON ANTONIO LORENZZI</t>
  </si>
  <si>
    <t xml:space="preserve"> 259800801</t>
  </si>
  <si>
    <t>JOSE DERLI CAMERA DE VARGAS</t>
  </si>
  <si>
    <t xml:space="preserve">   04/2013</t>
  </si>
  <si>
    <t>VENDA DE COLHEITA PAT. 511, PLATAFORMA PAT. 456</t>
  </si>
  <si>
    <t xml:space="preserve"> 432532301</t>
  </si>
  <si>
    <t>FRANCIELI DOS SANTOS ZAMO NICOLODI</t>
  </si>
  <si>
    <t>CONT PULVE</t>
  </si>
  <si>
    <t>REF. ALUGUEL DE UM PULVERIZADOR PATRIM. 000061 FROTA 001209</t>
  </si>
  <si>
    <t xml:space="preserve"> 345304701</t>
  </si>
  <si>
    <t>JOCIMAR QUERINO DE SOUSA</t>
  </si>
  <si>
    <t xml:space="preserve">   09/2013</t>
  </si>
  <si>
    <t>ADIANTAMENTO DE DESP. DE VIAGEM A MEDICO</t>
  </si>
  <si>
    <t xml:space="preserve"> 633654901</t>
  </si>
  <si>
    <t xml:space="preserve">BCASH - INTERMEDIACAO DE NEGOCIOS LTDA. </t>
  </si>
  <si>
    <t xml:space="preserve">  92443971</t>
  </si>
  <si>
    <t>ADTO REF. BRINDES PARA SORTEIO NO SIPATR 2015</t>
  </si>
  <si>
    <t>NADIR RAZINI</t>
  </si>
  <si>
    <t>ADTO 04/15</t>
  </si>
  <si>
    <t xml:space="preserve"> 583441801</t>
  </si>
  <si>
    <t xml:space="preserve">REDMAIK SILVA NUNES </t>
  </si>
  <si>
    <t xml:space="preserve">  27221 NF</t>
  </si>
  <si>
    <t>RCTO - CHEQUES DEVOLVIDOS EM COBRANCA</t>
  </si>
  <si>
    <t>CH DEV. 850391 BB 2ª APRESENTAÇÃO - REF. NF 27221 PARC. 03</t>
  </si>
  <si>
    <t xml:space="preserve"> 566338801</t>
  </si>
  <si>
    <t xml:space="preserve"> SMT14/016</t>
  </si>
  <si>
    <t>ARROZ</t>
  </si>
  <si>
    <t>AG14490/10</t>
  </si>
  <si>
    <t>ARMAZENS GERAIS CAMPOS DE JULIO LTDA</t>
  </si>
  <si>
    <t xml:space="preserve"> 229937201</t>
  </si>
  <si>
    <t xml:space="preserve"> 229939801</t>
  </si>
  <si>
    <t xml:space="preserve">  81464001</t>
  </si>
  <si>
    <t>VALDIR LUIZ SARTOR</t>
  </si>
  <si>
    <t xml:space="preserve">   21/2011</t>
  </si>
  <si>
    <t>COLHEITADEIRA TC59 PAT.31, PLATAF SOJA PAT. 51, PLAT. MILHO PAT. 65</t>
  </si>
  <si>
    <t xml:space="preserve"> 404789001</t>
  </si>
  <si>
    <t xml:space="preserve"> LAF143/13</t>
  </si>
  <si>
    <t>ADTO DE DESPESAS DO PORTO LAF 143/13</t>
  </si>
  <si>
    <t xml:space="preserve"> 596562901</t>
  </si>
  <si>
    <t xml:space="preserve"> 596563701</t>
  </si>
  <si>
    <t>VINICIUS RICARCO EIDT</t>
  </si>
  <si>
    <t>RCTO - JUROS REF VENDAS</t>
  </si>
  <si>
    <t xml:space="preserve"> 458582801</t>
  </si>
  <si>
    <t>IRYS SILVA RIBEIRO</t>
  </si>
  <si>
    <t xml:space="preserve">  ADTO TAM</t>
  </si>
  <si>
    <t>REF. FRETE DE PEÇAS DE AVIÃO QUE O KIKO PEDIO PARA O IRYS ENVIAR.</t>
  </si>
  <si>
    <t xml:space="preserve"> 573244301</t>
  </si>
  <si>
    <t>VIRGULINO MARCAL CAMPAGNOLLI</t>
  </si>
  <si>
    <t>VENDA 25 SCS DE SMT 3820 A R$ 130,00</t>
  </si>
  <si>
    <t>AG14153/10</t>
  </si>
  <si>
    <t xml:space="preserve"> 515818701</t>
  </si>
  <si>
    <t>MAXWEL MONTEIRO DA SILVA</t>
  </si>
  <si>
    <t>TC59 SERIE 2F3493 CHASSI 16051 PATRIMONIO 000713 FROTA 00554 ANO 2003</t>
  </si>
  <si>
    <t xml:space="preserve"> 638290101</t>
  </si>
  <si>
    <t xml:space="preserve">MARCOS ANTONIO FERNANDES LOUZADA </t>
  </si>
  <si>
    <t xml:space="preserve">      2931</t>
  </si>
  <si>
    <t>VENDA DE TC 59 PAT. 000449 E PLATAFORMA PAT.00457</t>
  </si>
  <si>
    <t xml:space="preserve"> 229937001</t>
  </si>
  <si>
    <t xml:space="preserve"> 229939601</t>
  </si>
  <si>
    <t xml:space="preserve"> 229942801</t>
  </si>
  <si>
    <t xml:space="preserve">  68523201</t>
  </si>
  <si>
    <t xml:space="preserve"> 596563101</t>
  </si>
  <si>
    <t xml:space="preserve"> 289379201</t>
  </si>
  <si>
    <t xml:space="preserve">      2013</t>
  </si>
  <si>
    <t>VENDA DE MAQUINAS USADAS - PATRIMONIOS 000440 E 000144</t>
  </si>
  <si>
    <t xml:space="preserve"> 185619401</t>
  </si>
  <si>
    <t>TORRE INDUSTRIA TEXTIL E ARMAZENS GERAIS LTDA</t>
  </si>
  <si>
    <t xml:space="preserve">      CONT</t>
  </si>
  <si>
    <t>VENDA 01 CONJUNTO ALGODEIRA LUMUS, CFE CONTRATO</t>
  </si>
  <si>
    <t xml:space="preserve"> 451531801</t>
  </si>
  <si>
    <t>ADTO 04/14</t>
  </si>
  <si>
    <t>ADTO REF. A COMISSÃO DA COMPRA DAS ÚLTIMAS TERRAS - CONF. VALOR E FECHAR COM CONTABILIDADE</t>
  </si>
  <si>
    <t xml:space="preserve"> 464695301</t>
  </si>
  <si>
    <t>ADTO WANDE</t>
  </si>
  <si>
    <t>ADTO CONFORME SOLCIITAÇÃO EM 15/05 - DEP. PARA WANDERSON ANDRE ZUCKERT</t>
  </si>
  <si>
    <t xml:space="preserve"> 601514501</t>
  </si>
  <si>
    <t xml:space="preserve">OSMAR JOSE DOTTO &amp; CIA LTDA - ME </t>
  </si>
  <si>
    <t xml:space="preserve">  794 ADTO</t>
  </si>
  <si>
    <t>ADTO REF. NF 794 - FABIANO IRÁ LANÇAR.</t>
  </si>
  <si>
    <t xml:space="preserve"> 427608301</t>
  </si>
  <si>
    <t>PEC-MAQ PEC-FORMAS INDUSTRIA E COMERCIO LTDA - EPP</t>
  </si>
  <si>
    <t>ADTO FORMA</t>
  </si>
  <si>
    <t>ADTO REF. COMPRA DE 100 FORMAS SEXT. LISA  - E-MAIL FABIANO 10/03</t>
  </si>
  <si>
    <t xml:space="preserve"> 552168401</t>
  </si>
  <si>
    <t xml:space="preserve"> SMT14/012</t>
  </si>
  <si>
    <t>AUT. SOUZA</t>
  </si>
  <si>
    <t xml:space="preserve"> 627957501</t>
  </si>
  <si>
    <t>AG14238/10</t>
  </si>
  <si>
    <t>AG13984/10</t>
  </si>
  <si>
    <t>P50385</t>
  </si>
  <si>
    <t xml:space="preserve"> 229966201</t>
  </si>
  <si>
    <t xml:space="preserve"> 229966801</t>
  </si>
  <si>
    <t xml:space="preserve"> 229969101</t>
  </si>
  <si>
    <t xml:space="preserve"> 229942401</t>
  </si>
  <si>
    <t xml:space="preserve"> 229961601</t>
  </si>
  <si>
    <t xml:space="preserve"> 229962401</t>
  </si>
  <si>
    <t xml:space="preserve">  73373501</t>
  </si>
  <si>
    <t>VANDERLEI DANIEL SEBBEN</t>
  </si>
  <si>
    <t xml:space="preserve">   17/2011</t>
  </si>
  <si>
    <t>COLHEITADEIRA PAT. 72, PLATAFORMA 1282, PLATAFORMA 64</t>
  </si>
  <si>
    <t xml:space="preserve">  73373701</t>
  </si>
  <si>
    <t xml:space="preserve"> 333968601</t>
  </si>
  <si>
    <t>IZALINO DO PRADO FERNANDES</t>
  </si>
  <si>
    <t>08/2013ADT</t>
  </si>
  <si>
    <t>ADTO DE DESPESAS DE VIAGEM</t>
  </si>
  <si>
    <t xml:space="preserve"> 404788501</t>
  </si>
  <si>
    <t xml:space="preserve"> LAF138/13</t>
  </si>
  <si>
    <t>ADTO DE DESPESAS DO PORTO LAF 138/13</t>
  </si>
  <si>
    <t xml:space="preserve"> 639134201</t>
  </si>
  <si>
    <t>LAF265/14X</t>
  </si>
  <si>
    <t>ADIANTAMENTO DESPESAS PORTUARIAS LAF 265/14 REINHART</t>
  </si>
  <si>
    <t>LAELDES RODRIGUES DE FRANCA</t>
  </si>
  <si>
    <t xml:space="preserve"> 289379001</t>
  </si>
  <si>
    <t xml:space="preserve"> 610778001</t>
  </si>
  <si>
    <t xml:space="preserve"> 583630901</t>
  </si>
  <si>
    <t xml:space="preserve"> SMT14/021</t>
  </si>
  <si>
    <t>AUTORIZADO PELO JUCA</t>
  </si>
  <si>
    <t xml:space="preserve"> 145897001</t>
  </si>
  <si>
    <t>HELIO ALDO DOS SANTOS</t>
  </si>
  <si>
    <t xml:space="preserve">     22204</t>
  </si>
  <si>
    <t>VENDA IMOBILIZADO-FROTA: 00005; PATR. 00218</t>
  </si>
  <si>
    <t xml:space="preserve"> 236357801</t>
  </si>
  <si>
    <t xml:space="preserve"> 496974401</t>
  </si>
  <si>
    <t xml:space="preserve">     27221</t>
  </si>
  <si>
    <t xml:space="preserve"> 515818901</t>
  </si>
  <si>
    <t xml:space="preserve"> 606205801</t>
  </si>
  <si>
    <t>MARILENE IBER</t>
  </si>
  <si>
    <t>UNIPORT 2000 JACTO PAT. 000239 FROTA 01203 SERIE 01180-F2</t>
  </si>
  <si>
    <t xml:space="preserve"> 606206001</t>
  </si>
  <si>
    <t xml:space="preserve"> 638289901</t>
  </si>
  <si>
    <t xml:space="preserve"> 563746201</t>
  </si>
  <si>
    <t>AG14590/10</t>
  </si>
  <si>
    <t>CPR</t>
  </si>
  <si>
    <t>AG14177/10</t>
  </si>
  <si>
    <t>AG14619/10</t>
  </si>
  <si>
    <t xml:space="preserve"> 229967001</t>
  </si>
  <si>
    <t xml:space="preserve"> 229936801</t>
  </si>
  <si>
    <t xml:space="preserve"> 229940001</t>
  </si>
  <si>
    <t xml:space="preserve"> 229962001</t>
  </si>
  <si>
    <t xml:space="preserve"> 317631701</t>
  </si>
  <si>
    <t xml:space="preserve">    221102</t>
  </si>
  <si>
    <t>2º PARCELA DE ROLO FILME</t>
  </si>
  <si>
    <t xml:space="preserve"> 116814301</t>
  </si>
  <si>
    <t xml:space="preserve"> 480266101</t>
  </si>
  <si>
    <t xml:space="preserve">   07/2011</t>
  </si>
  <si>
    <t>COLHEITADEIRA TC 59, PAT. 00028, PLATAFORMA PAT. 001281</t>
  </si>
  <si>
    <t xml:space="preserve"> 553354501</t>
  </si>
  <si>
    <t>ICMS 13-14</t>
  </si>
  <si>
    <t>REEMBOLSO DE ICMS REFERENTE AS CARGAS DO CONTRATO 2013 CARREGADO 2014</t>
  </si>
  <si>
    <t xml:space="preserve"> 579697501</t>
  </si>
  <si>
    <t xml:space="preserve"> SMT14/018</t>
  </si>
  <si>
    <t>VENDIDA POR VOLNEI</t>
  </si>
  <si>
    <t xml:space="preserve"> 628381601</t>
  </si>
  <si>
    <t xml:space="preserve">    COCAJU</t>
  </si>
  <si>
    <t>ADTO REF. PROCESSO DE EXTINÇÃO DA COCAJU - DIVULGAÇÃO DIÁRIO OFICIAL E JORNAIS DE GRANDE CIRCULAÇÃO.</t>
  </si>
  <si>
    <t xml:space="preserve"> 156468701</t>
  </si>
  <si>
    <t xml:space="preserve">    7/2012</t>
  </si>
  <si>
    <t>RCTO - P/CONTA IMOBILIÁRIA CAMPOS DE JUL</t>
  </si>
  <si>
    <t>VENDA LOTE N 05 QUADRA 39 - LEVINO LIMA DE MORAES</t>
  </si>
  <si>
    <t xml:space="preserve"> 236358001</t>
  </si>
  <si>
    <t xml:space="preserve"> 432531601</t>
  </si>
  <si>
    <t xml:space="preserve"> 634551401</t>
  </si>
  <si>
    <t>COMPANHIA NACIONAL DE ABASTECIMENTO CNA</t>
  </si>
  <si>
    <t xml:space="preserve">    5382-4</t>
  </si>
  <si>
    <t>RCTO - PEPRO PRODUCAO ANOS ANTERIORES</t>
  </si>
  <si>
    <t>PEPRO 2013/2014 DCO 00-654.5382-4 AVISO 201401010156</t>
  </si>
  <si>
    <t xml:space="preserve"> 555142701</t>
  </si>
  <si>
    <t xml:space="preserve"> SMT14/014</t>
  </si>
  <si>
    <t xml:space="preserve"> 566335801</t>
  </si>
  <si>
    <t xml:space="preserve"> SMT14/015</t>
  </si>
  <si>
    <t>VENDA DE SMT ARROZ</t>
  </si>
  <si>
    <t xml:space="preserve"> 517104801</t>
  </si>
  <si>
    <t>GILSON RODRIGUES DE SOUZA</t>
  </si>
  <si>
    <t>ADIANTAMENTO DE VIAGENS 09-2014 SOLICITADO POR ROGERIO GALIANI</t>
  </si>
  <si>
    <t xml:space="preserve"> 615098901</t>
  </si>
  <si>
    <t>CM15/01ARZ</t>
  </si>
  <si>
    <t>CIAGRAM</t>
  </si>
  <si>
    <t>LUIZ PAREJA LINARES</t>
  </si>
  <si>
    <t xml:space="preserve"> 638290301</t>
  </si>
  <si>
    <t>AG13995/10</t>
  </si>
  <si>
    <t xml:space="preserve"> 296652801</t>
  </si>
  <si>
    <t xml:space="preserve"> 01/VOLNEI</t>
  </si>
  <si>
    <t>SOJA PERTENCENTE AO VOLNEI. ESSE VALOR SERÁ AMORTIZADO</t>
  </si>
  <si>
    <t xml:space="preserve"> 229968701</t>
  </si>
  <si>
    <t xml:space="preserve"> 229968901</t>
  </si>
  <si>
    <t xml:space="preserve"> 229937401</t>
  </si>
  <si>
    <t xml:space="preserve"> 229942001</t>
  </si>
  <si>
    <t xml:space="preserve"> 229969301</t>
  </si>
  <si>
    <t>RCTO - REF REVENDA INSUMOS / PEÇAS</t>
  </si>
  <si>
    <t xml:space="preserve"> 521851501</t>
  </si>
  <si>
    <t>FIB01/2014</t>
  </si>
  <si>
    <t>100% SOBRE RODAS</t>
  </si>
  <si>
    <t xml:space="preserve"> 550470901</t>
  </si>
  <si>
    <t xml:space="preserve"> M-1536/14</t>
  </si>
  <si>
    <t>ADIANTAMENTO INSTRUÇÃO SAG019114.10.07 AGROGRAIN</t>
  </si>
  <si>
    <t xml:space="preserve"> 303128001</t>
  </si>
  <si>
    <t xml:space="preserve">   06/2013</t>
  </si>
  <si>
    <t>ADTO DE VIAGENS</t>
  </si>
  <si>
    <t xml:space="preserve"> 345364001</t>
  </si>
  <si>
    <t>VALDIR SANTOS DA SILVEIRA</t>
  </si>
  <si>
    <t>09/2013ADT</t>
  </si>
  <si>
    <t>ADTO DE DESPESAS DE VIAGEM DE MOTORISTA</t>
  </si>
  <si>
    <t xml:space="preserve"> 527768301</t>
  </si>
  <si>
    <t xml:space="preserve"> SMT14/008</t>
  </si>
  <si>
    <t>ACERTO SMT</t>
  </si>
  <si>
    <t xml:space="preserve"> 516747701</t>
  </si>
  <si>
    <t>PELEGRINI HOTEL LTDA ME</t>
  </si>
  <si>
    <t xml:space="preserve"> ADTO ICMS</t>
  </si>
  <si>
    <t>ADTO REF. ICMS DA NF 3250 QUE FOI PAGA INTEGRAL. - DESCONTAR DA PROXIMA NF.</t>
  </si>
  <si>
    <t xml:space="preserve"> 156469001</t>
  </si>
  <si>
    <t xml:space="preserve">   08/2012</t>
  </si>
  <si>
    <t>VENDA LOTE N 02 QUADRA 40 - LEVINO LIMA DE MORAES</t>
  </si>
  <si>
    <t xml:space="preserve"> 440936501</t>
  </si>
  <si>
    <t>ADTO REF. COMISSÃO DA ÚLTIMA COMPRA DE TERRAS - CONFIRMAR O VALOR E PASSAR PARA O JPNIZER LANÇAR.</t>
  </si>
  <si>
    <t xml:space="preserve"> 610501401</t>
  </si>
  <si>
    <t>CEREALISTA DEMARCHI LTDA</t>
  </si>
  <si>
    <t>CM14/03ARZ</t>
  </si>
  <si>
    <t>VENDA ARROZ - TROCA POR ARROZ LIMPO</t>
  </si>
  <si>
    <t xml:space="preserve"> 563619402</t>
  </si>
  <si>
    <t>MINERVA S.A.</t>
  </si>
  <si>
    <t xml:space="preserve">     28380</t>
  </si>
  <si>
    <t>EXCEDENTE TORTA DE ALGODAO PARA MINERVA</t>
  </si>
  <si>
    <t xml:space="preserve"> 515819101</t>
  </si>
  <si>
    <t>AG13976/10</t>
  </si>
  <si>
    <t>AG14686/10</t>
  </si>
  <si>
    <t>Total Geral</t>
  </si>
  <si>
    <t>ADELMO NUNES FERNANDES E OUTROS Total</t>
  </si>
  <si>
    <t>AFG BRASIL S/A Total</t>
  </si>
  <si>
    <t>AMAGGI EXPORTACAO E IMPORTACAO LTDA Total</t>
  </si>
  <si>
    <t>BUNGE ALIMENTOS S/A Total</t>
  </si>
  <si>
    <t>CARGILL AGRICOLA S/A Total</t>
  </si>
  <si>
    <t>DEVANI TEREZINHA FASOLO MAZZUTTI Total</t>
  </si>
  <si>
    <t>INES LAZARETE Total</t>
  </si>
  <si>
    <t>NEODI CARLOS FRANCISCO DE OLIVEIRA Total</t>
  </si>
  <si>
    <t>NIDERA SEMENTES LTDA Total</t>
  </si>
  <si>
    <t>PORTAL S/A - IND. COM. DE PRODUTOS VEGETAIS  Total</t>
  </si>
  <si>
    <t xml:space="preserve">  31900001 Total</t>
  </si>
  <si>
    <t xml:space="preserve">  82071102 Total</t>
  </si>
  <si>
    <t xml:space="preserve">  32001101 Total</t>
  </si>
  <si>
    <t xml:space="preserve"> 304762302 Total</t>
  </si>
  <si>
    <t>Soma de QTD_FAT</t>
  </si>
  <si>
    <t>Qtde Faturada</t>
  </si>
  <si>
    <t>A Receber</t>
  </si>
  <si>
    <t>RECEBER</t>
  </si>
  <si>
    <t>MOTOBOMBA C/CARACOL INOX 3" Z 00217</t>
  </si>
  <si>
    <t>001066</t>
  </si>
  <si>
    <t>001067</t>
  </si>
  <si>
    <t>Amaggi Exp. E Imp. LTDA</t>
  </si>
  <si>
    <t>5.50% +VC</t>
  </si>
  <si>
    <t>ADM DO BRASIL LTDA</t>
  </si>
  <si>
    <t>IVO JUNIOR CASSOL</t>
  </si>
  <si>
    <t>CIAGRAM PORTOS E NAVEGACAO DA AMAZONIA LTDA</t>
  </si>
  <si>
    <t xml:space="preserve">      ADTO</t>
  </si>
  <si>
    <t>CM15/05-MI</t>
  </si>
  <si>
    <t xml:space="preserve"> 646237701</t>
  </si>
  <si>
    <t xml:space="preserve"> 646000901</t>
  </si>
  <si>
    <t>DEV.RMS15/01</t>
  </si>
  <si>
    <t>CIAGRAM PORTOS E NAVEGACAO DA AMAZONIA LTDA Total</t>
  </si>
  <si>
    <t>IVO JUNIOR CASSOL Total</t>
  </si>
  <si>
    <t>CLAIDES LAZARETTI MASUTTI Total</t>
  </si>
  <si>
    <t>Quadro 04 -  Projeção de Faturamento ultimos 12 meses</t>
  </si>
  <si>
    <t>Julho.2014</t>
  </si>
  <si>
    <t>Agosto.2014</t>
  </si>
  <si>
    <t>Setembro.2014</t>
  </si>
  <si>
    <t>Outubro.2014</t>
  </si>
  <si>
    <t>Novembro.2014</t>
  </si>
  <si>
    <t>Dezembro.2014</t>
  </si>
  <si>
    <t>DOMINGOS FRANCESCON MAZZUTTI</t>
  </si>
  <si>
    <t>Algodao em Pluma - Em Toneladas</t>
  </si>
  <si>
    <t>Outros Produtos Agricolas</t>
  </si>
  <si>
    <t>BRAULINO BASILIO MAIA FILHO</t>
  </si>
  <si>
    <t>CAMPOS DE JULIO EMPREENDIMENTOS IMOBILIARIOS LTDA</t>
  </si>
  <si>
    <t>CM15/37-SJ</t>
  </si>
  <si>
    <t xml:space="preserve"> 655241001</t>
  </si>
  <si>
    <t>OPERA HOTELARIA LTDA - EPP</t>
  </si>
  <si>
    <t>ADTO REF. HOSPEDAGEM DE 2 FUNCIONÁRIOS</t>
  </si>
  <si>
    <t>CM15/38-SJ</t>
  </si>
  <si>
    <t xml:space="preserve"> 657267901</t>
  </si>
  <si>
    <t>COBRATEC - TECNOLOGIA EM COBRANCA S/S LTDA - ME</t>
  </si>
  <si>
    <t>ADTO FRETE</t>
  </si>
  <si>
    <t>ADTO REF. FRETE DO LEILÃO REVOLUTIONS - SUSANA E PAULINA</t>
  </si>
  <si>
    <t xml:space="preserve"> 656555401</t>
  </si>
  <si>
    <t>CM15/36-SJ</t>
  </si>
  <si>
    <t xml:space="preserve"> 657123801</t>
  </si>
  <si>
    <t xml:space="preserve"> 657135001</t>
  </si>
  <si>
    <t>Agropecuaria</t>
  </si>
  <si>
    <t>SEQ_PLA_CONTRATO</t>
  </si>
  <si>
    <t>NUM_CONTRATO</t>
  </si>
  <si>
    <t>COD_SAFRA</t>
  </si>
  <si>
    <t>QTDE_KG</t>
  </si>
  <si>
    <t>QTDE_LB</t>
  </si>
  <si>
    <t>VALOR_CONTRATO</t>
  </si>
  <si>
    <t>CLIENTE_ENTREGA</t>
  </si>
  <si>
    <t>PRODUTOR</t>
  </si>
  <si>
    <t>VLR_LB</t>
  </si>
  <si>
    <t>VLR_ARR</t>
  </si>
  <si>
    <t>DATA</t>
  </si>
  <si>
    <t xml:space="preserve">  31888901</t>
  </si>
  <si>
    <t>AG 8054/10</t>
  </si>
  <si>
    <t xml:space="preserve">  32008901</t>
  </si>
  <si>
    <t>AG 8498/10</t>
  </si>
  <si>
    <t xml:space="preserve">  32007701</t>
  </si>
  <si>
    <t>AG 7940/10</t>
  </si>
  <si>
    <t xml:space="preserve">  32061101</t>
  </si>
  <si>
    <t>AG 7903/10</t>
  </si>
  <si>
    <t xml:space="preserve">  32298301</t>
  </si>
  <si>
    <t>INT1019/10</t>
  </si>
  <si>
    <t>TOYOSHIMA (USA) INC.</t>
  </si>
  <si>
    <t xml:space="preserve">  32297701</t>
  </si>
  <si>
    <t>AG 7899/10</t>
  </si>
  <si>
    <t>ECOM AGROINDUSTRIAL CORP LTDA</t>
  </si>
  <si>
    <t xml:space="preserve">  32297101</t>
  </si>
  <si>
    <t>AG 7248/10</t>
  </si>
  <si>
    <t>TRADEAGRO INC.</t>
  </si>
  <si>
    <t xml:space="preserve">  32295801</t>
  </si>
  <si>
    <t>AG 8321/10</t>
  </si>
  <si>
    <t xml:space="preserve">  32299801</t>
  </si>
  <si>
    <t>AG 7341/10</t>
  </si>
  <si>
    <t>OMNICOTTON INC.</t>
  </si>
  <si>
    <t xml:space="preserve">  32294801</t>
  </si>
  <si>
    <t>AG 8116/10</t>
  </si>
  <si>
    <t>ICT COTTON LIMITED</t>
  </si>
  <si>
    <t xml:space="preserve">  32296501</t>
  </si>
  <si>
    <t>AG 8780/10</t>
  </si>
  <si>
    <t xml:space="preserve">  32293701</t>
  </si>
  <si>
    <t>AG 9090/10</t>
  </si>
  <si>
    <t xml:space="preserve">  74091502</t>
  </si>
  <si>
    <t>01/2011</t>
  </si>
  <si>
    <t>JOAO CARLOS CALGARO E OUTROS</t>
  </si>
  <si>
    <t xml:space="preserve">  57942601</t>
  </si>
  <si>
    <t>AG10001/10</t>
  </si>
  <si>
    <t xml:space="preserve">  94627001</t>
  </si>
  <si>
    <t>AG10469/10</t>
  </si>
  <si>
    <t xml:space="preserve">  97180901</t>
  </si>
  <si>
    <t>INT1081/12</t>
  </si>
  <si>
    <t xml:space="preserve"> 103576301</t>
  </si>
  <si>
    <t>AG10485/10</t>
  </si>
  <si>
    <t xml:space="preserve"> 104845501</t>
  </si>
  <si>
    <t>AG10674/10</t>
  </si>
  <si>
    <t xml:space="preserve"> 107362101</t>
  </si>
  <si>
    <t>AG10627/10</t>
  </si>
  <si>
    <t xml:space="preserve"> 137703001</t>
  </si>
  <si>
    <t>AG11121/10</t>
  </si>
  <si>
    <t xml:space="preserve">COCAJU - COOPERATIVA AGRICOLA CAMPOS DE JULIO </t>
  </si>
  <si>
    <t xml:space="preserve"> 168724001</t>
  </si>
  <si>
    <t>AG11400/10</t>
  </si>
  <si>
    <t xml:space="preserve"> 181940401</t>
  </si>
  <si>
    <t>AG11482/10</t>
  </si>
  <si>
    <t>MULTIGRAIN AG</t>
  </si>
  <si>
    <t xml:space="preserve"> 183898001</t>
  </si>
  <si>
    <t>AG11481/10</t>
  </si>
  <si>
    <t xml:space="preserve"> 185734401</t>
  </si>
  <si>
    <t>AG11510/10</t>
  </si>
  <si>
    <t xml:space="preserve"> 196050501</t>
  </si>
  <si>
    <t>AG11622/10</t>
  </si>
  <si>
    <t xml:space="preserve"> 226358301</t>
  </si>
  <si>
    <t>AG11765/10</t>
  </si>
  <si>
    <t xml:space="preserve"> 229914801</t>
  </si>
  <si>
    <t>AG11827/10</t>
  </si>
  <si>
    <t xml:space="preserve"> 244481401</t>
  </si>
  <si>
    <t>AG11914/10</t>
  </si>
  <si>
    <t xml:space="preserve"> 245192201</t>
  </si>
  <si>
    <t>AG11921/10</t>
  </si>
  <si>
    <t xml:space="preserve"> 254140301</t>
  </si>
  <si>
    <t>AG12009/10</t>
  </si>
  <si>
    <t xml:space="preserve"> 259517301</t>
  </si>
  <si>
    <t>BCC5124-13</t>
  </si>
  <si>
    <t>TOYO COTTON (JAPAN) CO.</t>
  </si>
  <si>
    <t xml:space="preserve"> 260573201</t>
  </si>
  <si>
    <t xml:space="preserve"> 260549901</t>
  </si>
  <si>
    <t xml:space="preserve"> 264418801</t>
  </si>
  <si>
    <t xml:space="preserve"> 276995601</t>
  </si>
  <si>
    <t xml:space="preserve"> 292728701</t>
  </si>
  <si>
    <t>AG12330/10</t>
  </si>
  <si>
    <t xml:space="preserve"> 294062701</t>
  </si>
  <si>
    <t>AG12293/10</t>
  </si>
  <si>
    <t xml:space="preserve"> 319761502</t>
  </si>
  <si>
    <t>AG-12330/1</t>
  </si>
  <si>
    <t xml:space="preserve"> 312585001</t>
  </si>
  <si>
    <t>AG11785/10</t>
  </si>
  <si>
    <t xml:space="preserve"> 323674801</t>
  </si>
  <si>
    <t>AG12598/10</t>
  </si>
  <si>
    <t xml:space="preserve"> 327887201</t>
  </si>
  <si>
    <t>AG12620/10</t>
  </si>
  <si>
    <t xml:space="preserve"> 327918901</t>
  </si>
  <si>
    <t>BCC5157/13</t>
  </si>
  <si>
    <t xml:space="preserve"> 327898701</t>
  </si>
  <si>
    <t>AG12619/10</t>
  </si>
  <si>
    <t xml:space="preserve"> 329099901</t>
  </si>
  <si>
    <t>AG12643/10</t>
  </si>
  <si>
    <t xml:space="preserve"> 368312702</t>
  </si>
  <si>
    <t>CM001/13 A</t>
  </si>
  <si>
    <t xml:space="preserve"> 368314102</t>
  </si>
  <si>
    <t>CM001/13 B</t>
  </si>
  <si>
    <t xml:space="preserve"> 336636101</t>
  </si>
  <si>
    <t>CM001/2013</t>
  </si>
  <si>
    <t xml:space="preserve"> 336624701</t>
  </si>
  <si>
    <t>CM004/2013</t>
  </si>
  <si>
    <t xml:space="preserve"> 336626401</t>
  </si>
  <si>
    <t>CM003/2013</t>
  </si>
  <si>
    <t xml:space="preserve"> 336627801</t>
  </si>
  <si>
    <t xml:space="preserve"> 337093301</t>
  </si>
  <si>
    <t>CM005/2013</t>
  </si>
  <si>
    <t xml:space="preserve"> 337918301</t>
  </si>
  <si>
    <t>CM007/2013</t>
  </si>
  <si>
    <t xml:space="preserve"> 337922001</t>
  </si>
  <si>
    <t>CM006/2013</t>
  </si>
  <si>
    <t xml:space="preserve"> 340063301</t>
  </si>
  <si>
    <t>CM008/2013</t>
  </si>
  <si>
    <t xml:space="preserve"> 340065401</t>
  </si>
  <si>
    <t>CM009/2013</t>
  </si>
  <si>
    <t xml:space="preserve"> 403088801</t>
  </si>
  <si>
    <t>CM010/13</t>
  </si>
  <si>
    <t>EVA INDUSTRIA TEXTIL LTDA</t>
  </si>
  <si>
    <t xml:space="preserve"> 409047401</t>
  </si>
  <si>
    <t>CM011/2013</t>
  </si>
  <si>
    <t>C T G MALHAS LTDA</t>
  </si>
  <si>
    <t xml:space="preserve"> 409827501</t>
  </si>
  <si>
    <t>AG13354/10</t>
  </si>
  <si>
    <t xml:space="preserve"> 410057201</t>
  </si>
  <si>
    <t>CM012/2013</t>
  </si>
  <si>
    <t>CK MALHAS LTDA</t>
  </si>
  <si>
    <t xml:space="preserve"> 416226901</t>
  </si>
  <si>
    <t>CM013/2013</t>
  </si>
  <si>
    <t>LUFAMAR TECIDOS LTDA</t>
  </si>
  <si>
    <t xml:space="preserve"> 456467601</t>
  </si>
  <si>
    <t>12 FARDOS</t>
  </si>
  <si>
    <t>TECELAGEM SANTO ANTONIO LTDA</t>
  </si>
  <si>
    <t xml:space="preserve"> 454371501</t>
  </si>
  <si>
    <t>AG13708/10</t>
  </si>
  <si>
    <t xml:space="preserve"> 454458101</t>
  </si>
  <si>
    <t>CM015/2013</t>
  </si>
  <si>
    <t xml:space="preserve"> 454485101</t>
  </si>
  <si>
    <t>CM014/2013</t>
  </si>
  <si>
    <t xml:space="preserve"> 454564401</t>
  </si>
  <si>
    <t>CM016/2013</t>
  </si>
  <si>
    <t xml:space="preserve"> 454565501</t>
  </si>
  <si>
    <t>CM017/2013</t>
  </si>
  <si>
    <t xml:space="preserve"> 456401601</t>
  </si>
  <si>
    <t>CM019/2013</t>
  </si>
  <si>
    <t xml:space="preserve"> 456403301</t>
  </si>
  <si>
    <t>CM018/2013</t>
  </si>
  <si>
    <t xml:space="preserve"> 465768901</t>
  </si>
  <si>
    <t>CM020/2013</t>
  </si>
  <si>
    <t xml:space="preserve"> 465770001</t>
  </si>
  <si>
    <t>CM022/2013</t>
  </si>
  <si>
    <t xml:space="preserve"> 465769401</t>
  </si>
  <si>
    <t>CM021/2013</t>
  </si>
  <si>
    <t xml:space="preserve"> 465771001</t>
  </si>
  <si>
    <t>CM023/2013</t>
  </si>
  <si>
    <t xml:space="preserve"> 465959401</t>
  </si>
  <si>
    <t>CM024/2013</t>
  </si>
  <si>
    <t xml:space="preserve"> 465964701</t>
  </si>
  <si>
    <t>CM025/2013</t>
  </si>
  <si>
    <t xml:space="preserve"> 469201101</t>
  </si>
  <si>
    <t>CM026/2013</t>
  </si>
  <si>
    <t xml:space="preserve"> 470420601</t>
  </si>
  <si>
    <t>CM027/2013</t>
  </si>
  <si>
    <t xml:space="preserve"> 470483501</t>
  </si>
  <si>
    <t>CM028/2013</t>
  </si>
  <si>
    <t xml:space="preserve"> 472584601</t>
  </si>
  <si>
    <t>CM030/2013</t>
  </si>
  <si>
    <t xml:space="preserve"> 472538301</t>
  </si>
  <si>
    <t>CM029/2013</t>
  </si>
  <si>
    <t xml:space="preserve"> 472842601</t>
  </si>
  <si>
    <t>147/2014</t>
  </si>
  <si>
    <t xml:space="preserve"> 473386401</t>
  </si>
  <si>
    <t>CM031/2013</t>
  </si>
  <si>
    <t xml:space="preserve"> 473583401</t>
  </si>
  <si>
    <t>CM033/2013</t>
  </si>
  <si>
    <t xml:space="preserve"> 473582501</t>
  </si>
  <si>
    <t>CM032/2013</t>
  </si>
  <si>
    <t xml:space="preserve"> 475826601</t>
  </si>
  <si>
    <t>149/2014</t>
  </si>
  <si>
    <t xml:space="preserve"> 485218001</t>
  </si>
  <si>
    <t xml:space="preserve"> 485222301</t>
  </si>
  <si>
    <t xml:space="preserve"> 491364601</t>
  </si>
  <si>
    <t xml:space="preserve"> 488036801</t>
  </si>
  <si>
    <t>15 FARDOS</t>
  </si>
  <si>
    <t>NELSON VANELLI ME</t>
  </si>
  <si>
    <t xml:space="preserve"> 491685601</t>
  </si>
  <si>
    <t>225/2014</t>
  </si>
  <si>
    <t xml:space="preserve"> 492014401</t>
  </si>
  <si>
    <t>AG14025/10</t>
  </si>
  <si>
    <t xml:space="preserve"> 493481301</t>
  </si>
  <si>
    <t>228/2014</t>
  </si>
  <si>
    <t xml:space="preserve"> 494234901</t>
  </si>
  <si>
    <t xml:space="preserve"> 495623301</t>
  </si>
  <si>
    <t>AG14045/10</t>
  </si>
  <si>
    <t xml:space="preserve"> 506716601</t>
  </si>
  <si>
    <t>271/2014</t>
  </si>
  <si>
    <t xml:space="preserve"> 513775601</t>
  </si>
  <si>
    <t xml:space="preserve"> 515058001</t>
  </si>
  <si>
    <t>AG14178/10</t>
  </si>
  <si>
    <t xml:space="preserve"> 515060901</t>
  </si>
  <si>
    <t xml:space="preserve"> 515750001</t>
  </si>
  <si>
    <t xml:space="preserve"> 518322901</t>
  </si>
  <si>
    <t>307/2014</t>
  </si>
  <si>
    <t xml:space="preserve"> 519035601</t>
  </si>
  <si>
    <t xml:space="preserve"> 524551601</t>
  </si>
  <si>
    <t>P50382</t>
  </si>
  <si>
    <t xml:space="preserve"> 524326201</t>
  </si>
  <si>
    <t xml:space="preserve"> 534190101</t>
  </si>
  <si>
    <t xml:space="preserve"> 526924301</t>
  </si>
  <si>
    <t xml:space="preserve"> 534201701</t>
  </si>
  <si>
    <t>AG14354/10</t>
  </si>
  <si>
    <t xml:space="preserve"> 534791901</t>
  </si>
  <si>
    <t>357/2014</t>
  </si>
  <si>
    <t xml:space="preserve"> 542239401</t>
  </si>
  <si>
    <t>1415915</t>
  </si>
  <si>
    <t xml:space="preserve"> 546879601</t>
  </si>
  <si>
    <t xml:space="preserve"> 561967901</t>
  </si>
  <si>
    <t xml:space="preserve"> 563745801</t>
  </si>
  <si>
    <t xml:space="preserve"> 573863701</t>
  </si>
  <si>
    <t xml:space="preserve"> 581153201</t>
  </si>
  <si>
    <t>25/2015</t>
  </si>
  <si>
    <t xml:space="preserve"> 581144301</t>
  </si>
  <si>
    <t xml:space="preserve"> 587891601</t>
  </si>
  <si>
    <t>P50385 - 2</t>
  </si>
  <si>
    <t xml:space="preserve"> 648922801</t>
  </si>
  <si>
    <t>AG15081/10</t>
  </si>
  <si>
    <t>Utilização</t>
  </si>
  <si>
    <t>Agricola</t>
  </si>
  <si>
    <t>Pecuaria</t>
  </si>
  <si>
    <t xml:space="preserve"> 672283001</t>
  </si>
  <si>
    <t>P00251</t>
  </si>
  <si>
    <t>ADIANTAMENTO DESPESAS PORTUARIAS REINHART</t>
  </si>
  <si>
    <t>CM15/41-SJ</t>
  </si>
  <si>
    <t xml:space="preserve"> 674028901</t>
  </si>
  <si>
    <t>ARMAZEM PV</t>
  </si>
  <si>
    <t>ADTO REF. ENTRADA DOS SILOS - ARMAZEM PVH - AGUARDANDO FINAME - RESTANTE PARC. 24 X R$ 32.506,73</t>
  </si>
  <si>
    <t xml:space="preserve"> 672290401</t>
  </si>
  <si>
    <t xml:space="preserve">    P00251</t>
  </si>
  <si>
    <t>ADIANTAMENTO DE VIAGEM</t>
  </si>
  <si>
    <t xml:space="preserve"> 665281201</t>
  </si>
  <si>
    <t>SILVIO RAMOS</t>
  </si>
  <si>
    <t xml:space="preserve">ADIANTAMENTO DE VIAGEM A PEDIDO DE DINA </t>
  </si>
  <si>
    <t xml:space="preserve"> 673976701</t>
  </si>
  <si>
    <t>GAV.SERVID</t>
  </si>
  <si>
    <t>ADTO REF. AQUISIÇÃO DE 4 GAVETAS P/ SERVIDOR DELL - SOLICITADO PAULO (TI)</t>
  </si>
  <si>
    <t xml:space="preserve"> 667470401</t>
  </si>
  <si>
    <t>CM15/39-SJ</t>
  </si>
  <si>
    <t xml:space="preserve"> 667476001</t>
  </si>
  <si>
    <t>CM15/40-SJ</t>
  </si>
  <si>
    <t xml:space="preserve"> 668266601</t>
  </si>
  <si>
    <t>4.50% a.a.</t>
  </si>
  <si>
    <t>AERACAO CONDICIONADA MOVEL PCS 20 COOL SEED</t>
  </si>
  <si>
    <t>PLANTADEIRA JOHN DEERE 2130 26 LINHAS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</si>
  <si>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</si>
  <si>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</si>
  <si>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</si>
  <si>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</si>
  <si>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</si>
  <si>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</si>
  <si>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</si>
  <si>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</si>
  <si>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</si>
  <si>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</si>
  <si>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</si>
  <si>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</si>
  <si>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</si>
  <si>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</si>
  <si>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</si>
  <si>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</si>
  <si>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</si>
  <si>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</si>
  <si>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</si>
  <si>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</si>
  <si>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</si>
  <si>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</si>
  <si>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</si>
  <si>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</si>
  <si>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</si>
  <si>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</si>
  <si>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</si>
  <si>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TRATOR JOHN DEERE 8335R</t>
  </si>
  <si>
    <t>001095</t>
  </si>
  <si>
    <t>001096</t>
  </si>
  <si>
    <t>TRATOR JOHN DEERE 7225J</t>
  </si>
  <si>
    <t>001097</t>
  </si>
  <si>
    <t>001098</t>
  </si>
  <si>
    <t>001099</t>
  </si>
  <si>
    <t>001100</t>
  </si>
  <si>
    <t>001101</t>
  </si>
  <si>
    <t>001102</t>
  </si>
  <si>
    <t>001103</t>
  </si>
  <si>
    <t>PLATAFORMA MILHO 613C</t>
  </si>
  <si>
    <t>001104</t>
  </si>
  <si>
    <t>001105</t>
  </si>
  <si>
    <t xml:space="preserve">ARMARIO ACO </t>
  </si>
  <si>
    <t>AMASSADEIRA SEMI - RAPIDA</t>
  </si>
  <si>
    <t>ARMARIO ACO PASTA SUSPENCA</t>
  </si>
  <si>
    <t>004849</t>
  </si>
  <si>
    <t>FABRICI - ALMOX</t>
  </si>
  <si>
    <t>QUADRICOPTER  P2  V3  VISION</t>
  </si>
  <si>
    <t>004850</t>
  </si>
  <si>
    <t>190 ALUMINIUM 3-SECTION TRIPOD, WITH HO RIZONTAL C</t>
  </si>
  <si>
    <t>004851</t>
  </si>
  <si>
    <t>MICROCOMPUTADOR PORTATIL DELL LATITUDE E3450 14,1"</t>
  </si>
  <si>
    <t>004852</t>
  </si>
  <si>
    <t>EDSON</t>
  </si>
  <si>
    <t>004853</t>
  </si>
  <si>
    <t>MODESTO</t>
  </si>
  <si>
    <t>SMARTPHONE MOTOROLA MOTO G2 GERACAO TV XT1069</t>
  </si>
  <si>
    <t>004854</t>
  </si>
  <si>
    <t>004855</t>
  </si>
  <si>
    <t>ESC. SOUZA</t>
  </si>
  <si>
    <t>PROJETOR MULTIMIDIA EPSON POWERLITE X24</t>
  </si>
  <si>
    <t>004856</t>
  </si>
  <si>
    <t>KIT COZINHA ITATIAIA PREMIUN 1.20 I31V-D VG4-D</t>
  </si>
  <si>
    <t>004857</t>
  </si>
  <si>
    <t>REFRIGERADOR CONTINENTAL 458 LT 110V CLASSE A</t>
  </si>
  <si>
    <t>004858</t>
  </si>
  <si>
    <t>004859</t>
  </si>
  <si>
    <t>004860</t>
  </si>
  <si>
    <t>HUMAITA</t>
  </si>
  <si>
    <t>004861</t>
  </si>
  <si>
    <t>004862</t>
  </si>
  <si>
    <t>CAIXA SOM FRAHM USB650 80W USB FM BLUETOOTH</t>
  </si>
  <si>
    <t>004863</t>
  </si>
  <si>
    <t>FLUTUANTE</t>
  </si>
  <si>
    <t>004864</t>
  </si>
  <si>
    <t>BALANCA ELETRONICA PRIX 3 LIGHT 15KG</t>
  </si>
  <si>
    <t>004865</t>
  </si>
  <si>
    <t>BATEDEIRA PLANETARIA 05 LITROS VBP05 220V</t>
  </si>
  <si>
    <t>004866</t>
  </si>
  <si>
    <t>FOGAO 6BC 3QD 30X30 C/ FORNO E6FD3</t>
  </si>
  <si>
    <t>004867</t>
  </si>
  <si>
    <t>004868</t>
  </si>
  <si>
    <t>SCHEILA FORESTI</t>
  </si>
  <si>
    <t>ADTO 06/15</t>
  </si>
  <si>
    <t>CM15/42-SJ</t>
  </si>
  <si>
    <t xml:space="preserve"> 679283601</t>
  </si>
  <si>
    <t>ANTONIO LISBOA ISIDIO SILVA</t>
  </si>
  <si>
    <t xml:space="preserve">   NPO6094</t>
  </si>
  <si>
    <t>VENDA DE STRADA NPO6094</t>
  </si>
  <si>
    <t>CM15/44-SJ</t>
  </si>
  <si>
    <t xml:space="preserve"> 682952501</t>
  </si>
  <si>
    <t>HEMERSON FRAGOSO EGNER</t>
  </si>
  <si>
    <t xml:space="preserve">ADTO DE VIAGEM PARA FAZENDA TRIUNFO </t>
  </si>
  <si>
    <t>CM15/43-SJ</t>
  </si>
  <si>
    <t xml:space="preserve"> 675686501</t>
  </si>
  <si>
    <t xml:space="preserve">    5421-9</t>
  </si>
  <si>
    <t>PEPRO 2013/2014 DCO 00.654.5421-9 AVISO 201401010156</t>
  </si>
  <si>
    <t>NATANAEL VIEIRA DA SILVA</t>
  </si>
  <si>
    <t>CM15/12-MI</t>
  </si>
  <si>
    <t xml:space="preserve"> 686717601</t>
  </si>
  <si>
    <t xml:space="preserve"> 676164201</t>
  </si>
  <si>
    <t xml:space="preserve"> 678166801</t>
  </si>
  <si>
    <t xml:space="preserve"> 685954301</t>
  </si>
  <si>
    <t>NATANAEL VIEIRA DA SILVA Total</t>
  </si>
  <si>
    <t>COMPACTADORA CPM4L - MATSUYAMA</t>
  </si>
  <si>
    <t>001106</t>
  </si>
  <si>
    <t xml:space="preserve">LAVA JATO JACTO J6000 RESIDENCIAL 127/220V </t>
  </si>
  <si>
    <t>001107</t>
  </si>
  <si>
    <t>TANQUE ESTOCAGEM COMBUSTIVEL INOX 30.000LT</t>
  </si>
  <si>
    <t>001108</t>
  </si>
  <si>
    <t>LAVADORA BH6500 SEM MOTOR</t>
  </si>
  <si>
    <t>001109</t>
  </si>
  <si>
    <t>001110</t>
  </si>
  <si>
    <t>BALANCA ENSAQUE VALVULADO BA 102</t>
  </si>
  <si>
    <t>001111</t>
  </si>
  <si>
    <t>001112</t>
  </si>
  <si>
    <t>TANQUE DE 15.000 LTS ARMAZENAMENTO DE COMBUSTIVEL COM FILTRO</t>
  </si>
  <si>
    <t>001113</t>
  </si>
  <si>
    <t xml:space="preserve"> 689307801</t>
  </si>
  <si>
    <t>AG15329/10</t>
  </si>
  <si>
    <t>DAURA TEXTIL EXP E IMPORTADORA</t>
  </si>
  <si>
    <t xml:space="preserve"> 701442801</t>
  </si>
  <si>
    <t>AG 15347/10</t>
  </si>
  <si>
    <t xml:space="preserve"> 702202001</t>
  </si>
  <si>
    <t>AG 15387/10</t>
  </si>
  <si>
    <t xml:space="preserve"> 704915801</t>
  </si>
  <si>
    <t>AG 15398/10</t>
  </si>
  <si>
    <t xml:space="preserve"> 702210501</t>
  </si>
  <si>
    <t>AG 15347/1</t>
  </si>
  <si>
    <t>CM15/14-MI</t>
  </si>
  <si>
    <t xml:space="preserve"> 690672701</t>
  </si>
  <si>
    <t>ANTONIO JOSE GEMELLI</t>
  </si>
  <si>
    <t xml:space="preserve">  CAR15/04</t>
  </si>
  <si>
    <t xml:space="preserve">VENDA DE CAROÇO </t>
  </si>
  <si>
    <t>CM15/15-MI</t>
  </si>
  <si>
    <t xml:space="preserve"> 695736801</t>
  </si>
  <si>
    <t xml:space="preserve"> 914679132</t>
  </si>
  <si>
    <t>ADTO REF. PEÇAS PARA SERVIDOR - SOLIC. POR PAULO (T.I.) - CONF. E-MAIL EM 17/06.</t>
  </si>
  <si>
    <t>CM15/07-MI</t>
  </si>
  <si>
    <t>100.000 SCS A R$ 15,50</t>
  </si>
  <si>
    <t xml:space="preserve"> 690255001</t>
  </si>
  <si>
    <t>MOACIR  JERONIMO DA SILVA</t>
  </si>
  <si>
    <t xml:space="preserve">       ADT</t>
  </si>
  <si>
    <t>ADIANTAMENTO DE VIAGEM FAZENDA TRIUNFO</t>
  </si>
  <si>
    <t xml:space="preserve"> 704916501</t>
  </si>
  <si>
    <t>AG 15398/1</t>
  </si>
  <si>
    <t>ADIANTAMENTO EM 08/07 USD 1.700.000,00</t>
  </si>
  <si>
    <t>CM15/06-MI</t>
  </si>
  <si>
    <t>CM15/47-SJ</t>
  </si>
  <si>
    <t>CM15/02-MI</t>
  </si>
  <si>
    <t>CM15/08-MI</t>
  </si>
  <si>
    <t xml:space="preserve"> 698229201</t>
  </si>
  <si>
    <t>ADTO. PARC. 01/24 - ARMAZÉM PVH</t>
  </si>
  <si>
    <t xml:space="preserve"> 702375301</t>
  </si>
  <si>
    <t xml:space="preserve"> 914715401</t>
  </si>
  <si>
    <t>ADTO REF. CASE DATA CENTER + ACESSÓRIOS - SOLIC. PAULO (T.I.)</t>
  </si>
  <si>
    <t>RICAL - RACK INDÚSTRIA E COMÉRCIO DE ARROZ LTDA</t>
  </si>
  <si>
    <t>CM15/03-MI</t>
  </si>
  <si>
    <t>CM15/10-MI</t>
  </si>
  <si>
    <t xml:space="preserve"> 696086301</t>
  </si>
  <si>
    <t>CM15/09-MI</t>
  </si>
  <si>
    <t>CM15/11-MI</t>
  </si>
  <si>
    <t xml:space="preserve"> 702204901</t>
  </si>
  <si>
    <t>AG 15081/10</t>
  </si>
  <si>
    <t xml:space="preserve"> 703458801</t>
  </si>
  <si>
    <t>ADTO REF. SOLIC. ATA DE EXTINÇÃO COCAJU (R$ 800,00) E DISTRATO ARMAZENS GERAIS (R$ 380,00) - SOLIC. MODESTO EM 29/06</t>
  </si>
  <si>
    <t>CM15/46-SJ</t>
  </si>
  <si>
    <t>CM15/45-SJ</t>
  </si>
  <si>
    <t xml:space="preserve"> 702208201</t>
  </si>
  <si>
    <t>AG 15387/1</t>
  </si>
  <si>
    <t>CM15/16-MI</t>
  </si>
  <si>
    <t xml:space="preserve"> 706144301</t>
  </si>
  <si>
    <t>CM15/17-MI</t>
  </si>
  <si>
    <t xml:space="preserve"> 700551501</t>
  </si>
  <si>
    <t xml:space="preserve"> 700560501</t>
  </si>
  <si>
    <t>CM15/02-ARZ</t>
  </si>
  <si>
    <t xml:space="preserve"> 696164101</t>
  </si>
  <si>
    <t xml:space="preserve"> 696168101</t>
  </si>
  <si>
    <t xml:space="preserve"> 696063101</t>
  </si>
  <si>
    <t xml:space="preserve"> 696064801</t>
  </si>
  <si>
    <t xml:space="preserve"> 696067001</t>
  </si>
  <si>
    <t xml:space="preserve"> 696084801</t>
  </si>
  <si>
    <t xml:space="preserve"> 688419801</t>
  </si>
  <si>
    <t xml:space="preserve"> 696125401</t>
  </si>
  <si>
    <t xml:space="preserve"> 688434701</t>
  </si>
  <si>
    <t>CM15/13-MI</t>
  </si>
  <si>
    <t xml:space="preserve"> 695701701</t>
  </si>
  <si>
    <t xml:space="preserve"> 696130101</t>
  </si>
  <si>
    <t xml:space="preserve"> 698165201</t>
  </si>
  <si>
    <t xml:space="preserve"> 706135401</t>
  </si>
  <si>
    <t xml:space="preserve"> 688765001</t>
  </si>
  <si>
    <t xml:space="preserve"> 695579901</t>
  </si>
  <si>
    <t xml:space="preserve"> 705882001</t>
  </si>
  <si>
    <t>RICAL - RACK INDÚSTRIA E COMÉRCIO DE ARROZ LTDA Total</t>
  </si>
  <si>
    <t>LUIZ PAREJA LINARES Total</t>
  </si>
  <si>
    <t>BRAULINO BASILIO MAIA FILHO Total</t>
  </si>
  <si>
    <t>Soma de VALOR_UNITARIO</t>
  </si>
  <si>
    <t>Soma de RECEBER</t>
  </si>
  <si>
    <t>CM15/18-MI</t>
  </si>
  <si>
    <t>CM15/19-MI</t>
  </si>
  <si>
    <t xml:space="preserve"> 708088201</t>
  </si>
  <si>
    <t>ANTONIO RAIMUNDO SILVA SANTOS</t>
  </si>
  <si>
    <t xml:space="preserve"> PASSAGENS</t>
  </si>
  <si>
    <t>ADTO REF. 21 PASSAGENS DE IPIRÁ-BA PARA CUIABÁ-MT - CONF. E-MAIL ZÉ LUIZ EM 03/07</t>
  </si>
  <si>
    <t xml:space="preserve"> 708111901</t>
  </si>
  <si>
    <t xml:space="preserve"> 708113401</t>
  </si>
  <si>
    <t>001114</t>
  </si>
  <si>
    <t>TRATOR DE ESTEIRA D61EX-15E0</t>
  </si>
  <si>
    <t>001115</t>
  </si>
  <si>
    <t>001116</t>
  </si>
  <si>
    <t>001117</t>
  </si>
  <si>
    <t>001118</t>
  </si>
  <si>
    <t>MTS 60 ESPECIAL - LIQ/LIQ (60HZ)</t>
  </si>
  <si>
    <t>001119</t>
  </si>
  <si>
    <t>MOTORREDUTOR GS63  1X15 EIXO SAIDA VAZADO</t>
  </si>
  <si>
    <t>001121</t>
  </si>
  <si>
    <t>MOTORREDUTOR GS75 1X15</t>
  </si>
  <si>
    <t>001122</t>
  </si>
  <si>
    <t>001123</t>
  </si>
  <si>
    <t>004869</t>
  </si>
  <si>
    <t>BALANCA BALMAK HIB. PLANTAFORMA ELETR. BKH</t>
  </si>
  <si>
    <t>004870</t>
  </si>
  <si>
    <t>004871</t>
  </si>
  <si>
    <t>CADEIRA BASE FIXA  SALA  DE  AULA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</si>
  <si>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</si>
  <si>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</si>
  <si>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</si>
  <si>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</si>
  <si>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</si>
  <si>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</si>
  <si>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</si>
  <si>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</si>
  <si>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</si>
  <si>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</si>
  <si>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</si>
  <si>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</si>
  <si>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</si>
  <si>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</si>
  <si>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</si>
  <si>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</si>
  <si>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</si>
  <si>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</si>
  <si>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</si>
  <si>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</si>
  <si>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MESA EM L COM GAVETEIRO</t>
  </si>
  <si>
    <t>004892</t>
  </si>
  <si>
    <t xml:space="preserve">MOTORREDUTOR GC35/2R 1X16,40 EIXO FIXO </t>
  </si>
  <si>
    <t>MARIO GONCALVES FERREIRA</t>
  </si>
  <si>
    <t>CARLOS WEST</t>
  </si>
  <si>
    <t xml:space="preserve"> 719140601</t>
  </si>
  <si>
    <t>CARLOS SIMARELLI E OUTROS</t>
  </si>
  <si>
    <t>ADTO TANQU</t>
  </si>
  <si>
    <t>ADTO REF. 2 TANQUES, 30.000 E 45.000 LITROS E OUTROS EQUIPAMENTOS - E-MAIL SOUZA EM 14/07.</t>
  </si>
  <si>
    <t xml:space="preserve"> 719221101</t>
  </si>
  <si>
    <t xml:space="preserve">   REEICMS</t>
  </si>
  <si>
    <t>REEMBOLSO DE ICMS NF 29405 E 29406</t>
  </si>
  <si>
    <t>CARLOS ANTONIO SCHUMANN JUNIOR</t>
  </si>
  <si>
    <t>CM15/20-MI</t>
  </si>
  <si>
    <t xml:space="preserve"> 708422601</t>
  </si>
  <si>
    <t>EXPRESSO UNIAO LTDA</t>
  </si>
  <si>
    <t>ADTO PASSA</t>
  </si>
  <si>
    <t>ADTO REF. 29 PASSAGENS DE MONTES CLAROS A UBERLÂNDIA</t>
  </si>
  <si>
    <t>CM15/21-MI</t>
  </si>
  <si>
    <t xml:space="preserve"> 708397901</t>
  </si>
  <si>
    <t xml:space="preserve"> 710419601</t>
  </si>
  <si>
    <t xml:space="preserve"> 709279201</t>
  </si>
  <si>
    <t>CARLOS ANTONIO SCHUMANN JUNIOR Total</t>
  </si>
  <si>
    <t>6.23% +VC</t>
  </si>
  <si>
    <t>7.34% +VC</t>
  </si>
  <si>
    <t>MICROCOMPUTADOR PORTATIL DELL VOSTRO 5480</t>
  </si>
  <si>
    <t>004893</t>
  </si>
  <si>
    <t>LUAN</t>
  </si>
  <si>
    <t>IMPRESSORA EPSON LX-350</t>
  </si>
  <si>
    <t>004894</t>
  </si>
  <si>
    <t>004895</t>
  </si>
  <si>
    <t>004896</t>
  </si>
  <si>
    <t>004897</t>
  </si>
  <si>
    <t>HD 900GB 10K SAS</t>
  </si>
  <si>
    <t>004898</t>
  </si>
  <si>
    <t>TI</t>
  </si>
  <si>
    <t>004899</t>
  </si>
  <si>
    <t>004900</t>
  </si>
  <si>
    <t xml:space="preserve"> 723957601</t>
  </si>
  <si>
    <t>ADTO. PARC. 02/24 - ARMAZÉM PVH</t>
  </si>
  <si>
    <t xml:space="preserve"> 734513401</t>
  </si>
  <si>
    <t>ROZINETE MATIAS DE LIMA MARTINS</t>
  </si>
  <si>
    <t xml:space="preserve"> ADT 08-15</t>
  </si>
  <si>
    <t>ADIANTAMENTO DE VIAGENS PARA TREINAMENTO SOBRE RASTREABILIDADE BOVINA SOLICITADO PELO ROGERIO 08-2015</t>
  </si>
  <si>
    <t>CM15/22-MI</t>
  </si>
  <si>
    <t xml:space="preserve">          CM15/17-MI</t>
  </si>
  <si>
    <t>MILHO A CIAGRAM R$ 12,00</t>
  </si>
  <si>
    <t xml:space="preserve"> 728789101</t>
  </si>
  <si>
    <t xml:space="preserve"> 731097301</t>
  </si>
  <si>
    <t>CM15/23-MI</t>
  </si>
  <si>
    <t xml:space="preserve"> 733732501</t>
  </si>
  <si>
    <t>CM15/24-MI</t>
  </si>
  <si>
    <t xml:space="preserve"> 723023801</t>
  </si>
  <si>
    <t>CM15/48-SJ</t>
  </si>
  <si>
    <t>MARIO GONCALVES FERREIRA Total</t>
  </si>
  <si>
    <t>Em 05 de agosto de 2015</t>
  </si>
  <si>
    <t>Contador - CRC/PR 011138/0S-7</t>
  </si>
  <si>
    <t>PLANTADEIRA DB40 25 LINHAS</t>
  </si>
  <si>
    <t>001124</t>
  </si>
  <si>
    <t>001125</t>
  </si>
  <si>
    <t>001126</t>
  </si>
  <si>
    <t>MAQUINA DE COST PORT WAIG 220V</t>
  </si>
  <si>
    <t>001127</t>
  </si>
  <si>
    <t>TRANSFORMADOR MONOFASICO 10KVA CLASSE 34.5 KV</t>
  </si>
  <si>
    <t>001128</t>
  </si>
  <si>
    <t>TRATOR ESTEIRA 750J CD</t>
  </si>
  <si>
    <t>001129</t>
  </si>
  <si>
    <t xml:space="preserve"> 745760601</t>
  </si>
  <si>
    <t>AG-15554/10</t>
  </si>
  <si>
    <t xml:space="preserve"> 743393801</t>
  </si>
  <si>
    <t>ELTON HAMER</t>
  </si>
  <si>
    <t>ADTO SEMEN</t>
  </si>
  <si>
    <t>ADTO PARA COMPENSAR COM NF SEMENTE - R$ 15,00 POR SACO - AUT. SOUZA</t>
  </si>
  <si>
    <t>ADTO 08/15</t>
  </si>
  <si>
    <t xml:space="preserve"> 739799301</t>
  </si>
  <si>
    <t xml:space="preserve">  CONTRATO</t>
  </si>
  <si>
    <t>PGTO - PROJETO ARQUIT. INSTALACAO ETC - CIAGRAM</t>
  </si>
  <si>
    <t>JOSE LUIZ PAVANI</t>
  </si>
  <si>
    <t xml:space="preserve"> 740121301</t>
  </si>
  <si>
    <t>CLAUDIO SOARES DA SILVA</t>
  </si>
  <si>
    <t>59640 DUPL</t>
  </si>
  <si>
    <t>ADTO REF. VALOR DUPLICADO (ERRO DE SISTEMA) - FONE (69) 8475-1081</t>
  </si>
  <si>
    <t xml:space="preserve"> 743778201</t>
  </si>
  <si>
    <t>AVANTI AVIACAO COMERCIO DE PECAS LTDA - ME</t>
  </si>
  <si>
    <t>ADTO MANDE</t>
  </si>
  <si>
    <t>ADTO REF. MANGEIRAS CARAVAN - E-MAIL FABIANO EM 11/08 - US$ 380,00 (PTAX 3,4909)</t>
  </si>
  <si>
    <t xml:space="preserve"> 745778601</t>
  </si>
  <si>
    <t xml:space="preserve">         AG-15554/10</t>
  </si>
  <si>
    <t xml:space="preserve"> 745522701</t>
  </si>
  <si>
    <t>SECCO VIEIRA &amp; CIA LTDA - ME</t>
  </si>
  <si>
    <t xml:space="preserve">          FIB02/2015</t>
  </si>
  <si>
    <t>TROCA POR LONA</t>
  </si>
  <si>
    <t xml:space="preserve"> 735212801</t>
  </si>
  <si>
    <t>CM15/49-SJ</t>
  </si>
  <si>
    <t xml:space="preserve"> 742480701</t>
  </si>
  <si>
    <t>CM15/50-SJ</t>
  </si>
  <si>
    <t xml:space="preserve"> 742496301</t>
  </si>
  <si>
    <t>CM15/51-SJ</t>
  </si>
  <si>
    <t xml:space="preserve"> 742527601</t>
  </si>
  <si>
    <t>CM15/52-SJ</t>
  </si>
  <si>
    <t xml:space="preserve"> 749757901</t>
  </si>
  <si>
    <t xml:space="preserve"> MANGUEIRA</t>
  </si>
  <si>
    <t>COMPLEMNTO DE COMPRA DE MANGUEIRA - US$ 350,00 PAGOS EM 11/08 E US$ 300,00 PAGOS HOJE 17/08</t>
  </si>
  <si>
    <t>Masutti International LLC</t>
  </si>
  <si>
    <t>Agropecuária Masutti LTDA</t>
  </si>
  <si>
    <t>Conversão para moeda nacional</t>
  </si>
  <si>
    <t xml:space="preserve"> 757217201</t>
  </si>
  <si>
    <t>30FARDOS</t>
  </si>
  <si>
    <t xml:space="preserve">JF COTTON INDUSTRIA E COMERCIO EIRELI - EPP </t>
  </si>
  <si>
    <t xml:space="preserve"> 755274401</t>
  </si>
  <si>
    <t>ADTO. PARC. 03/24 - ARMAZÉM PVH</t>
  </si>
  <si>
    <t>RCTO - INDENIZACAO SEGUROS</t>
  </si>
  <si>
    <t>14-FAZENDA PARAISO</t>
  </si>
  <si>
    <t xml:space="preserve"> 763747301</t>
  </si>
  <si>
    <t xml:space="preserve">          CM15/27-MI</t>
  </si>
  <si>
    <t>2.000 SCS A R$ 24,50</t>
  </si>
  <si>
    <t xml:space="preserve"> 761310301</t>
  </si>
  <si>
    <t xml:space="preserve">         SMT15/02-SJ</t>
  </si>
  <si>
    <t>RCTO - REF CONTRATO SOJA P/SEMENTE</t>
  </si>
  <si>
    <t>48.875 SCS DE 40KG DE SMT</t>
  </si>
  <si>
    <t xml:space="preserve"> 763749701</t>
  </si>
  <si>
    <t xml:space="preserve">          CM15/28-MI</t>
  </si>
  <si>
    <t>ENTREGA NA CIAGRAM EM HUMAITA</t>
  </si>
  <si>
    <t xml:space="preserve"> 752578101</t>
  </si>
  <si>
    <t>CACERES CARTORIO 1º OFICIO DE REGISTRO DE IMOVEIS</t>
  </si>
  <si>
    <t>ADTO REF. SOLIC. GLAUCIA EM 19/08 - GEO FAZ. SAUDADES</t>
  </si>
  <si>
    <t xml:space="preserve"> 753145401</t>
  </si>
  <si>
    <t>REDE EMPREENDIMENTO HOTELEIRO LTDA - EPP</t>
  </si>
  <si>
    <t>ADTO REF. 01 DIÁRIA - FUNC. QUE ACOMPANHOU ATÉ PIAUI (SINISTRO)</t>
  </si>
  <si>
    <t xml:space="preserve"> 751080101</t>
  </si>
  <si>
    <t>CM15/25-MI</t>
  </si>
  <si>
    <t xml:space="preserve"> 763736501</t>
  </si>
  <si>
    <t>CM15/26-MI</t>
  </si>
  <si>
    <t xml:space="preserve"> 763745601</t>
  </si>
  <si>
    <t>CM15/27-MI</t>
  </si>
  <si>
    <t xml:space="preserve"> 763748001</t>
  </si>
  <si>
    <t>CM15/28-MI</t>
  </si>
  <si>
    <t xml:space="preserve"> 755350101</t>
  </si>
  <si>
    <t>PAGTO_COLHEITA</t>
  </si>
  <si>
    <t>REINALDO BONOTTO</t>
  </si>
  <si>
    <t xml:space="preserve"> 761306801</t>
  </si>
  <si>
    <t>SMT15/02-SJ</t>
  </si>
  <si>
    <t>Quadro 19 - Contratos Soja e Milho Em Graos Safra 15/16</t>
  </si>
  <si>
    <t>SOLAE DO BRASIL</t>
  </si>
  <si>
    <t>SOJA TRANSGENICA</t>
  </si>
  <si>
    <t>agosto.2015</t>
  </si>
  <si>
    <t>REINALDO BONOTTO Total</t>
  </si>
  <si>
    <t xml:space="preserve"> 778468201</t>
  </si>
  <si>
    <t xml:space="preserve"> ADT 09-15</t>
  </si>
  <si>
    <t>ADIANTAMENTO DE VIAGENS 09-2015</t>
  </si>
  <si>
    <t>02-ARMAZEM CEREJEIRAS</t>
  </si>
  <si>
    <t xml:space="preserve">   ADTO 22</t>
  </si>
  <si>
    <t xml:space="preserve"> 776844501</t>
  </si>
  <si>
    <t xml:space="preserve">          CM15/29-MI</t>
  </si>
  <si>
    <t>CESSÃO DE CREDITO COM DOW</t>
  </si>
  <si>
    <t>01-CAMPOS DE JULIO</t>
  </si>
  <si>
    <t xml:space="preserve"> 777669601</t>
  </si>
  <si>
    <t xml:space="preserve">MIRAGRAOS COMERCIAL LTDA </t>
  </si>
  <si>
    <t xml:space="preserve">          FIB03/2015</t>
  </si>
  <si>
    <t>VENDA SOBRE RODAS</t>
  </si>
  <si>
    <t>BANCO BRADESCO S/A</t>
  </si>
  <si>
    <t xml:space="preserve"> 781835001</t>
  </si>
  <si>
    <t xml:space="preserve"> 777950501</t>
  </si>
  <si>
    <t>JUROSPARUDA</t>
  </si>
  <si>
    <t>REF. JUROS DE PARCELA 30/03/14 CONTRATO 02/2012 PARUDA</t>
  </si>
  <si>
    <t xml:space="preserve"> 779933101</t>
  </si>
  <si>
    <t xml:space="preserve"> ADT 09/15</t>
  </si>
  <si>
    <t>ADTO REF. CERTIDÃO NEGATIVA NA PGE DE CLAIDES - SOLIC. PELO SR. MODESTO CONF. E-MAIL EM 18/09/2015</t>
  </si>
  <si>
    <t xml:space="preserve"> 776842201</t>
  </si>
  <si>
    <t>CM15/29-MI</t>
  </si>
  <si>
    <t xml:space="preserve"> 778497601</t>
  </si>
  <si>
    <t>CM15/30-MI</t>
  </si>
  <si>
    <t xml:space="preserve">Em 23 de setembro de 2015 </t>
  </si>
  <si>
    <t>Out/Dez 2016</t>
  </si>
  <si>
    <t>2018</t>
  </si>
  <si>
    <t>2019 a 2030</t>
  </si>
  <si>
    <t>Em 30 de setembro de 2015</t>
  </si>
  <si>
    <t>setembro.2015</t>
  </si>
  <si>
    <t>Gado</t>
  </si>
  <si>
    <t>Quantidade Cabeças</t>
  </si>
  <si>
    <t>Produção @/cb</t>
  </si>
  <si>
    <t>Confinado</t>
  </si>
  <si>
    <t>Custo estimado/cb</t>
  </si>
  <si>
    <t>Area em Abertura</t>
  </si>
  <si>
    <t>Abertura</t>
  </si>
  <si>
    <t>JULIANO - 01759</t>
  </si>
  <si>
    <t>TAQUARA - 01757</t>
  </si>
  <si>
    <t>001120</t>
  </si>
  <si>
    <t>001130</t>
  </si>
  <si>
    <t>001131</t>
  </si>
  <si>
    <t>ARMAZ.CANDEIAS</t>
  </si>
  <si>
    <t>SOPRADOR STIHL COSTAL BR600</t>
  </si>
  <si>
    <t>001132</t>
  </si>
  <si>
    <t>001133</t>
  </si>
  <si>
    <t>FIAT DOBLO CARGO 1.4 FLEX</t>
  </si>
  <si>
    <t>001134</t>
  </si>
  <si>
    <t>ACOUGUE CONF</t>
  </si>
  <si>
    <t>001135</t>
  </si>
  <si>
    <t>ARMAZ.SAUDADES</t>
  </si>
  <si>
    <t>001136</t>
  </si>
  <si>
    <t>MOTORREDUTOR GR05 1X12,37 EIXO SAIDA VAZADO</t>
  </si>
  <si>
    <t>001137</t>
  </si>
  <si>
    <t>MICROONIBUS MARCOPOLO VOLARE</t>
  </si>
  <si>
    <t>001138</t>
  </si>
  <si>
    <t>CANDEIAS</t>
  </si>
  <si>
    <t>BALANCA ELETRONICA 3400</t>
  </si>
  <si>
    <t>004903</t>
  </si>
  <si>
    <t>004904</t>
  </si>
  <si>
    <t>004905</t>
  </si>
  <si>
    <t>SALA CLASSIFICA</t>
  </si>
  <si>
    <t>CADEIRA DE ESCRITORIO</t>
  </si>
  <si>
    <t>004906</t>
  </si>
  <si>
    <t>ARMAZ.CEREJEIRA</t>
  </si>
  <si>
    <t>004907</t>
  </si>
  <si>
    <t>ARMARIO PANDIN ACO 1,90X800 AP409SL</t>
  </si>
  <si>
    <t>004908</t>
  </si>
  <si>
    <t>CAMA GAZIN ROMANCE EURO</t>
  </si>
  <si>
    <t>004909</t>
  </si>
  <si>
    <t>004910</t>
  </si>
  <si>
    <t>MICROCOMPUTADOR DELL INSPIRON 3647</t>
  </si>
  <si>
    <t>004911</t>
  </si>
  <si>
    <t>004912</t>
  </si>
  <si>
    <t>FREEZER METALFRIO 01 TAMPA 293L</t>
  </si>
  <si>
    <t>004913</t>
  </si>
  <si>
    <t>LAVADORA ROUPAS MUELLER PLUS 15005 4,5 KG</t>
  </si>
  <si>
    <t>004914</t>
  </si>
  <si>
    <t>EPI SAUDADES</t>
  </si>
  <si>
    <t>004915</t>
  </si>
  <si>
    <t>ARMARIO DE ACO 1,98X1,18X0,44 2 PORTAS</t>
  </si>
  <si>
    <t>004916</t>
  </si>
  <si>
    <t>004917</t>
  </si>
  <si>
    <t>004918</t>
  </si>
  <si>
    <t>CADEIRA TRIPLA BASE FIXA</t>
  </si>
  <si>
    <t>004919</t>
  </si>
  <si>
    <t>004920</t>
  </si>
  <si>
    <t>004921</t>
  </si>
  <si>
    <t>TRIUNFOO</t>
  </si>
  <si>
    <t>004922</t>
  </si>
  <si>
    <t>QUICKSCAN</t>
  </si>
  <si>
    <t>004923</t>
  </si>
  <si>
    <t>QUICKSCAN NETBOOK V. PORTUGUES C/ BOLSA</t>
  </si>
  <si>
    <t>004924</t>
  </si>
  <si>
    <t>004925</t>
  </si>
  <si>
    <t>004926</t>
  </si>
  <si>
    <t>BALANÇASAUDADES</t>
  </si>
  <si>
    <t>004927</t>
  </si>
  <si>
    <t xml:space="preserve">MONITOR LED 21,5" </t>
  </si>
  <si>
    <t>004928</t>
  </si>
  <si>
    <t>004929</t>
  </si>
  <si>
    <t>004930</t>
  </si>
  <si>
    <t xml:space="preserve"> 794220501</t>
  </si>
  <si>
    <t>AG-15778/10</t>
  </si>
  <si>
    <t xml:space="preserve"> 793815501</t>
  </si>
  <si>
    <t>AG-15769/10</t>
  </si>
  <si>
    <t xml:space="preserve"> 796695801</t>
  </si>
  <si>
    <t>AG-15788/10</t>
  </si>
  <si>
    <t xml:space="preserve"> 802730901</t>
  </si>
  <si>
    <t xml:space="preserve">          CM16/06-SJ</t>
  </si>
  <si>
    <t>50.000 SCS A US$ 17,20</t>
  </si>
  <si>
    <t xml:space="preserve"> 791643801</t>
  </si>
  <si>
    <t xml:space="preserve">          CM16/03-MI</t>
  </si>
  <si>
    <t>100.000 SCS A R$ 19,00</t>
  </si>
  <si>
    <t xml:space="preserve"> 791645901</t>
  </si>
  <si>
    <t xml:space="preserve">          CM16/07-MI</t>
  </si>
  <si>
    <t>100.000 SCS A R$ 21,00</t>
  </si>
  <si>
    <t xml:space="preserve"> 791604601</t>
  </si>
  <si>
    <t xml:space="preserve">          CM16/02-MI</t>
  </si>
  <si>
    <t>200.000 SCS A R$ 19,00</t>
  </si>
  <si>
    <t xml:space="preserve"> 791615501</t>
  </si>
  <si>
    <t xml:space="preserve">          CM16/05-MI</t>
  </si>
  <si>
    <t>300.000 SCS A R$ 20,50</t>
  </si>
  <si>
    <t xml:space="preserve"> 791150201</t>
  </si>
  <si>
    <t xml:space="preserve">          CM16/02-SJ</t>
  </si>
  <si>
    <t>116.667 SCS A R$ 59,65</t>
  </si>
  <si>
    <t xml:space="preserve"> 784983701</t>
  </si>
  <si>
    <t xml:space="preserve"> 816641801</t>
  </si>
  <si>
    <t xml:space="preserve">BTG-01/15 </t>
  </si>
  <si>
    <t xml:space="preserve">DESOVA E OVA CONTAINERS - CANAL VERMELHO </t>
  </si>
  <si>
    <t xml:space="preserve"> 796680601</t>
  </si>
  <si>
    <t>BTG-02/15B</t>
  </si>
  <si>
    <t>ADIANTAMENTO DESPESAS PORTUARIAS BTG</t>
  </si>
  <si>
    <t>COOL SEED IND.E COM. DE EQUIP.  AGRICOLAS LTDA</t>
  </si>
  <si>
    <t xml:space="preserve"> 791649001</t>
  </si>
  <si>
    <t xml:space="preserve">          CM16/04-MI</t>
  </si>
  <si>
    <t xml:space="preserve"> 791644301</t>
  </si>
  <si>
    <t xml:space="preserve"> 791149501</t>
  </si>
  <si>
    <t>IMPOSTOS - 116.667 SCS A R$ 59,65</t>
  </si>
  <si>
    <t xml:space="preserve"> 817055001</t>
  </si>
  <si>
    <t xml:space="preserve"> ADT 10-15</t>
  </si>
  <si>
    <t>ADIANTAMENTO DE DESPESAS DE VIAGENS</t>
  </si>
  <si>
    <t>ADIANTAMENTO DE VIAGENS 10-2015</t>
  </si>
  <si>
    <t xml:space="preserve"> 802676401</t>
  </si>
  <si>
    <t>ADIANTAMENTO DE DESPESAS DE VIAGENS 10-2015</t>
  </si>
  <si>
    <t xml:space="preserve"> 811218201</t>
  </si>
  <si>
    <t xml:space="preserve">     05/24</t>
  </si>
  <si>
    <t>ADTO PARC 05/24 - ARMAZEM PVH</t>
  </si>
  <si>
    <t xml:space="preserve"> 816908701</t>
  </si>
  <si>
    <t xml:space="preserve">          CM15/32-MI</t>
  </si>
  <si>
    <t>ULTIMO CARREGAMENTO - 41 SCS</t>
  </si>
  <si>
    <t xml:space="preserve"> 794254601</t>
  </si>
  <si>
    <t>RONIS MAGALHAES DA SILVA</t>
  </si>
  <si>
    <t xml:space="preserve"> 791651801</t>
  </si>
  <si>
    <t xml:space="preserve"> 791600101</t>
  </si>
  <si>
    <t xml:space="preserve">          CM16/01-MI</t>
  </si>
  <si>
    <t xml:space="preserve"> 808475101</t>
  </si>
  <si>
    <t>ADT10-2015</t>
  </si>
  <si>
    <t xml:space="preserve"> 815785401</t>
  </si>
  <si>
    <t>LAF-080/15</t>
  </si>
  <si>
    <t>ADIANTAMENTO DESPESAS PORTUARIAS - REINHART</t>
  </si>
  <si>
    <t xml:space="preserve"> 814302101</t>
  </si>
  <si>
    <t>ALIMENTOS MASSON LTDA</t>
  </si>
  <si>
    <t xml:space="preserve"> 791606701</t>
  </si>
  <si>
    <t xml:space="preserve"> 802607101</t>
  </si>
  <si>
    <t xml:space="preserve"> 791173201</t>
  </si>
  <si>
    <t xml:space="preserve">          CM16/03-SJ</t>
  </si>
  <si>
    <t>50.000 SCS A R$ 64,00</t>
  </si>
  <si>
    <t xml:space="preserve"> 808474501</t>
  </si>
  <si>
    <t xml:space="preserve">  ADT10-15</t>
  </si>
  <si>
    <t xml:space="preserve"> 796679501</t>
  </si>
  <si>
    <t>BTG-02/15A</t>
  </si>
  <si>
    <t>DELL COMPUTADORES DO BRASIL LTDA</t>
  </si>
  <si>
    <t xml:space="preserve"> 791165801</t>
  </si>
  <si>
    <t>SOLAE DO BRASIL INDU. E COMERCIO DE ALIMENTOS LTDA</t>
  </si>
  <si>
    <t xml:space="preserve">          CM16/04-SJ</t>
  </si>
  <si>
    <t>133.333 SCS A UU$ 18,60</t>
  </si>
  <si>
    <t xml:space="preserve"> 791645401</t>
  </si>
  <si>
    <t xml:space="preserve"> 791139401</t>
  </si>
  <si>
    <t xml:space="preserve">          CM16/01-SJ</t>
  </si>
  <si>
    <t>100.000 SACAS A R$ 60,00</t>
  </si>
  <si>
    <t xml:space="preserve"> 784946901</t>
  </si>
  <si>
    <t>ADTO. PARC. 04/24 - ARMAZÉM PVH</t>
  </si>
  <si>
    <t xml:space="preserve">            15/04-SJ</t>
  </si>
  <si>
    <t xml:space="preserve"> 791168401</t>
  </si>
  <si>
    <t xml:space="preserve"> 802294301</t>
  </si>
  <si>
    <t>REEMB DESP</t>
  </si>
  <si>
    <t>REEMBOLSO DE DESPESAS CONFORME E-MAIL SOUZA EM 13/10</t>
  </si>
  <si>
    <t xml:space="preserve"> 791602701</t>
  </si>
  <si>
    <t xml:space="preserve"> 791174601</t>
  </si>
  <si>
    <t xml:space="preserve"> 807833401</t>
  </si>
  <si>
    <t>DANIEL DE PAIVA ABREU</t>
  </si>
  <si>
    <t xml:space="preserve">            15/03-SJ</t>
  </si>
  <si>
    <t xml:space="preserve"> 802729901</t>
  </si>
  <si>
    <t xml:space="preserve"> 791661801</t>
  </si>
  <si>
    <t xml:space="preserve">          CM16/06-MI</t>
  </si>
  <si>
    <t xml:space="preserve"> 791138701</t>
  </si>
  <si>
    <t>IMPOSTOS - 100.000 SACAS A R$ 60,00</t>
  </si>
  <si>
    <t xml:space="preserve"> 802151501</t>
  </si>
  <si>
    <t>CM15/10-MI C</t>
  </si>
  <si>
    <t>RCTO - VENDA DE PRODUTOS AGRICOLAS</t>
  </si>
  <si>
    <t>COMPLEMENTO CONTRATO CM15/10-MI - 404.420 KG.</t>
  </si>
  <si>
    <t xml:space="preserve"> 796679001</t>
  </si>
  <si>
    <t xml:space="preserve"> BTG-01/15</t>
  </si>
  <si>
    <t xml:space="preserve"> 806291401</t>
  </si>
  <si>
    <t>FRIBON TRANSPORTES LTDA</t>
  </si>
  <si>
    <t>SIN/LAF019</t>
  </si>
  <si>
    <t>RREMBOLSO LIMPEZA DE 6 FARDOS - SINISTRO FRIBON</t>
  </si>
  <si>
    <t xml:space="preserve"> 784094501</t>
  </si>
  <si>
    <t>15.000 SC R$ 75,00</t>
  </si>
  <si>
    <t xml:space="preserve"> 797648201</t>
  </si>
  <si>
    <t xml:space="preserve">         AG-15788/10</t>
  </si>
  <si>
    <t xml:space="preserve"> SERÁ DESCONTADO USD 50.789,15 REF. CONTRATO SAFRA13/14</t>
  </si>
  <si>
    <t xml:space="preserve"> 791603801</t>
  </si>
  <si>
    <t xml:space="preserve"> 791659501</t>
  </si>
  <si>
    <t xml:space="preserve"> 802605701</t>
  </si>
  <si>
    <t xml:space="preserve"> 815177101</t>
  </si>
  <si>
    <t>ADTO DESPE</t>
  </si>
  <si>
    <t>ADIATAMENTO PARA PAGAMENTOS DIVERSOS (EM ESPÉCIE) - AUT. POR SOUZA</t>
  </si>
  <si>
    <t>ADIANTAMENTO DE VIAGENS</t>
  </si>
  <si>
    <t xml:space="preserve"> 801194501</t>
  </si>
  <si>
    <t xml:space="preserve"> BTG-03/15</t>
  </si>
  <si>
    <t xml:space="preserve"> 805745101</t>
  </si>
  <si>
    <t xml:space="preserve">          CM15/31-MI</t>
  </si>
  <si>
    <t>833 SCS A R$ 26,00</t>
  </si>
  <si>
    <t xml:space="preserve"> 784092601</t>
  </si>
  <si>
    <t xml:space="preserve">         SMT15/01-SJ</t>
  </si>
  <si>
    <t>13.334 SCS A R$ 75,00</t>
  </si>
  <si>
    <t xml:space="preserve"> 803749901</t>
  </si>
  <si>
    <t>CM15/03-ARZ</t>
  </si>
  <si>
    <t xml:space="preserve"> 815393501</t>
  </si>
  <si>
    <t>CM15/04-ARZ</t>
  </si>
  <si>
    <t xml:space="preserve"> 805741201</t>
  </si>
  <si>
    <t>CM15/31-MI</t>
  </si>
  <si>
    <t xml:space="preserve"> 802925601</t>
  </si>
  <si>
    <t>CM15/32-MI</t>
  </si>
  <si>
    <t xml:space="preserve"> 784091501</t>
  </si>
  <si>
    <t xml:space="preserve"> 784093201</t>
  </si>
  <si>
    <t xml:space="preserve"> 807831501</t>
  </si>
  <si>
    <t>15/03-SJ</t>
  </si>
  <si>
    <t xml:space="preserve"> 816671601</t>
  </si>
  <si>
    <t>15/04-SJ</t>
  </si>
  <si>
    <t>ALIMENTOS MASSON LTDA Total</t>
  </si>
  <si>
    <t>CEREALISTA DEMARCHI LTDA Total</t>
  </si>
  <si>
    <t>DANIEL DE PAIVA ABREU Total</t>
  </si>
  <si>
    <t>ELTON HAMER Total</t>
  </si>
  <si>
    <t>Quadro Safra 14/15</t>
  </si>
  <si>
    <t>Quadro Projeção Safra 2015/2016</t>
  </si>
  <si>
    <t>2015/Set2016</t>
  </si>
  <si>
    <t>outubro.2015</t>
  </si>
  <si>
    <t>novembro.2015</t>
  </si>
  <si>
    <t>julho.2015</t>
  </si>
  <si>
    <t>junho.2015</t>
  </si>
  <si>
    <t>01942</t>
  </si>
  <si>
    <t>MESA ANGULAR C/ PE METALICO 70X120X150CM</t>
  </si>
  <si>
    <t>004931</t>
  </si>
  <si>
    <t>004932</t>
  </si>
  <si>
    <t>RH - NAMY</t>
  </si>
  <si>
    <t>MONITOR DELL 18.5"LED - E1914H</t>
  </si>
  <si>
    <t>004933</t>
  </si>
  <si>
    <t>RH-NAMY</t>
  </si>
  <si>
    <t>MONITOR OAC 18,5"</t>
  </si>
  <si>
    <t>004934</t>
  </si>
  <si>
    <t>COMPUTADOR COMPLETO CORE I3</t>
  </si>
  <si>
    <t>004935</t>
  </si>
  <si>
    <t xml:space="preserve"> 829007201</t>
  </si>
  <si>
    <t>AG-15959/10</t>
  </si>
  <si>
    <t xml:space="preserve"> 840809301</t>
  </si>
  <si>
    <t>TERRENO HU</t>
  </si>
  <si>
    <t xml:space="preserve">ADTO REF. COMPRA DE TERRENO EM HUMAITA - FOI DADO COMO PAGAMENTO DA NOVA EMPRESA </t>
  </si>
  <si>
    <t xml:space="preserve"> 854820301</t>
  </si>
  <si>
    <t xml:space="preserve">    364687</t>
  </si>
  <si>
    <t>UC 11548967 - REF. 11/2015 - CIAGRAM</t>
  </si>
  <si>
    <t xml:space="preserve"> 856256801</t>
  </si>
  <si>
    <t xml:space="preserve">   1577140</t>
  </si>
  <si>
    <t>DCEA - FAT. 1577140 PTWYM E FAT. 1563726 PRBBM</t>
  </si>
  <si>
    <t xml:space="preserve"> 843906001</t>
  </si>
  <si>
    <t>LAF-139/15</t>
  </si>
  <si>
    <t xml:space="preserve"> 844039601</t>
  </si>
  <si>
    <t>JBS S/A</t>
  </si>
  <si>
    <t xml:space="preserve">                 839</t>
  </si>
  <si>
    <t>RCTO - REF CONTRATO GADO</t>
  </si>
  <si>
    <t>CUSTO GADO</t>
  </si>
  <si>
    <t xml:space="preserve"> 844041801</t>
  </si>
  <si>
    <t xml:space="preserve">                 840</t>
  </si>
  <si>
    <t xml:space="preserve"> 844055001</t>
  </si>
  <si>
    <t xml:space="preserve">                 842</t>
  </si>
  <si>
    <t xml:space="preserve"> 844183401</t>
  </si>
  <si>
    <t xml:space="preserve">                 850</t>
  </si>
  <si>
    <t xml:space="preserve">07-CONF MASUTTI </t>
  </si>
  <si>
    <t xml:space="preserve"> 843785001</t>
  </si>
  <si>
    <t xml:space="preserve">               15740</t>
  </si>
  <si>
    <t>ABATE DE 01/12/2015 - 304 CB</t>
  </si>
  <si>
    <t xml:space="preserve"> 849087501</t>
  </si>
  <si>
    <t xml:space="preserve">               26076</t>
  </si>
  <si>
    <t>ABATE DE 09/12/2015 - 950 CB</t>
  </si>
  <si>
    <t xml:space="preserve"> 846051601</t>
  </si>
  <si>
    <t xml:space="preserve">               25999</t>
  </si>
  <si>
    <t>ABATE 07/12/2015 - 874 CB</t>
  </si>
  <si>
    <t xml:space="preserve"> 846052501</t>
  </si>
  <si>
    <t xml:space="preserve">               26003</t>
  </si>
  <si>
    <t xml:space="preserve"> 844240101</t>
  </si>
  <si>
    <t xml:space="preserve">               25897</t>
  </si>
  <si>
    <t>ABATE 03/12/2015 - 892 CB</t>
  </si>
  <si>
    <t xml:space="preserve"> 844243801</t>
  </si>
  <si>
    <t xml:space="preserve">               25903</t>
  </si>
  <si>
    <t xml:space="preserve"> 844244601</t>
  </si>
  <si>
    <t xml:space="preserve">               25905</t>
  </si>
  <si>
    <t xml:space="preserve"> 844246201</t>
  </si>
  <si>
    <t xml:space="preserve">               25908</t>
  </si>
  <si>
    <t xml:space="preserve"> 844246401</t>
  </si>
  <si>
    <t xml:space="preserve">               25909</t>
  </si>
  <si>
    <t xml:space="preserve"> 849093301</t>
  </si>
  <si>
    <t xml:space="preserve">               26092</t>
  </si>
  <si>
    <t xml:space="preserve"> 846054801</t>
  </si>
  <si>
    <t xml:space="preserve">               26010</t>
  </si>
  <si>
    <t xml:space="preserve"> 846058301</t>
  </si>
  <si>
    <t xml:space="preserve">               26020</t>
  </si>
  <si>
    <t xml:space="preserve"> 843707401</t>
  </si>
  <si>
    <t xml:space="preserve">               25849</t>
  </si>
  <si>
    <t xml:space="preserve"> 843709101</t>
  </si>
  <si>
    <t xml:space="preserve">               25857</t>
  </si>
  <si>
    <t xml:space="preserve"> 843862701</t>
  </si>
  <si>
    <t xml:space="preserve">               25886</t>
  </si>
  <si>
    <t>ABATE 02/12/2015 - 950CB</t>
  </si>
  <si>
    <t xml:space="preserve"> 844264501</t>
  </si>
  <si>
    <t xml:space="preserve">               25966</t>
  </si>
  <si>
    <t>ABATE 04/12/2015 - 874 CB</t>
  </si>
  <si>
    <t xml:space="preserve"> 844267801</t>
  </si>
  <si>
    <t xml:space="preserve">               25971</t>
  </si>
  <si>
    <t xml:space="preserve"> 843854701</t>
  </si>
  <si>
    <t xml:space="preserve">               25875</t>
  </si>
  <si>
    <t xml:space="preserve"> 843859301</t>
  </si>
  <si>
    <t xml:space="preserve">               25881</t>
  </si>
  <si>
    <t xml:space="preserve"> 843860801</t>
  </si>
  <si>
    <t xml:space="preserve">               25883</t>
  </si>
  <si>
    <t xml:space="preserve"> 846345901</t>
  </si>
  <si>
    <t xml:space="preserve">               26038</t>
  </si>
  <si>
    <t>ABATE 08/12/2015 - 1.036 CB</t>
  </si>
  <si>
    <t xml:space="preserve"> 849054001</t>
  </si>
  <si>
    <t xml:space="preserve">    554317</t>
  </si>
  <si>
    <t>ADTO REF. COMPRA DE 2 NOTBOOKS (JOSÉ LUIZ E CARLOS WEST) E UM DESKTOP PARA ARMAZÉM DE CANDEIAS</t>
  </si>
  <si>
    <t xml:space="preserve"> 729044301</t>
  </si>
  <si>
    <t>CASP S/A INDUSTRIA E COMERCIO</t>
  </si>
  <si>
    <t xml:space="preserve"> CASP ADTO</t>
  </si>
  <si>
    <t>ADTO REF. PARC. 3/10 AQUISIÇÃO DE SISTEMA DE SILO  - ARMAZÉM CANDEIAS DO JAMARI</t>
  </si>
  <si>
    <t xml:space="preserve"> 831297001</t>
  </si>
  <si>
    <t xml:space="preserve">            CAR16/02</t>
  </si>
  <si>
    <t>750 TONS A R$ 380,00</t>
  </si>
  <si>
    <t xml:space="preserve"> 856674601</t>
  </si>
  <si>
    <t xml:space="preserve">               30635</t>
  </si>
  <si>
    <t>COMPLEMENTO</t>
  </si>
  <si>
    <t xml:space="preserve"> 856676301</t>
  </si>
  <si>
    <t xml:space="preserve">               30634</t>
  </si>
  <si>
    <t>ACERTO DE SMT</t>
  </si>
  <si>
    <t xml:space="preserve"> 856687401</t>
  </si>
  <si>
    <t xml:space="preserve">               30616</t>
  </si>
  <si>
    <t xml:space="preserve"> 846364001</t>
  </si>
  <si>
    <t>ARILDO LUIZ GOUVEIA - ME</t>
  </si>
  <si>
    <t xml:space="preserve">        56</t>
  </si>
  <si>
    <t>ADTO REF. ENTRADA ROÇADEIRA HIDRÁULICA - TOTAL R$ 8.800,00</t>
  </si>
  <si>
    <t xml:space="preserve"> 821533801</t>
  </si>
  <si>
    <t>GUILHERME ERSE MOREIRA MENDES</t>
  </si>
  <si>
    <t xml:space="preserve">         CM15/05-ARZ</t>
  </si>
  <si>
    <t>R$ 135,00 POR SACA</t>
  </si>
  <si>
    <t>82.400 KG</t>
  </si>
  <si>
    <t xml:space="preserve"> 845532501</t>
  </si>
  <si>
    <t>CART 11/2015</t>
  </si>
  <si>
    <t>RCTO - VARIAÇÃO CAMBIAL ATIVA</t>
  </si>
  <si>
    <t>VARIAÇÃO CAMBIAL REF. CARTÃO DE CRÉDITO PRIVATE BLACK</t>
  </si>
  <si>
    <t xml:space="preserve"> 847780901</t>
  </si>
  <si>
    <t xml:space="preserve">      2114</t>
  </si>
  <si>
    <t>PECAS CUSTO CIAGRAM</t>
  </si>
  <si>
    <t xml:space="preserve"> 844251601</t>
  </si>
  <si>
    <t xml:space="preserve">       633</t>
  </si>
  <si>
    <t>MATERIAIS DE CONSTRUCAO - ARMAZEM CEREJEIRAS - R &amp; E GONÇALVES</t>
  </si>
  <si>
    <t xml:space="preserve"> 854833601</t>
  </si>
  <si>
    <t xml:space="preserve">     30172</t>
  </si>
  <si>
    <t>REF. KIT PROTEÇÃO 220 V - ARMAZÉM CEREJEIRAS</t>
  </si>
  <si>
    <t xml:space="preserve"> 821839801</t>
  </si>
  <si>
    <t xml:space="preserve"> ADT 11-15</t>
  </si>
  <si>
    <t>ADIANTAMENTO DE VIAGENS 11-2015</t>
  </si>
  <si>
    <t xml:space="preserve"> 823697301</t>
  </si>
  <si>
    <t>ADIANTAMENTO DE VIAGENS PARA PAGAMENTO DE ESCRITURA</t>
  </si>
  <si>
    <t xml:space="preserve"> 844009901</t>
  </si>
  <si>
    <t xml:space="preserve">                 836</t>
  </si>
  <si>
    <t xml:space="preserve"> 844038001</t>
  </si>
  <si>
    <t xml:space="preserve">                 838</t>
  </si>
  <si>
    <t xml:space="preserve"> 844038701</t>
  </si>
  <si>
    <t xml:space="preserve">                 837</t>
  </si>
  <si>
    <t xml:space="preserve"> 844292501</t>
  </si>
  <si>
    <t xml:space="preserve">               32799</t>
  </si>
  <si>
    <t>ABATE 02/12/2015 VILHENA - 306 CB</t>
  </si>
  <si>
    <t xml:space="preserve"> 846349001</t>
  </si>
  <si>
    <t xml:space="preserve">               26054</t>
  </si>
  <si>
    <t xml:space="preserve"> 846350001</t>
  </si>
  <si>
    <t xml:space="preserve">               26056</t>
  </si>
  <si>
    <t xml:space="preserve"> 844234101</t>
  </si>
  <si>
    <t xml:space="preserve">               25894</t>
  </si>
  <si>
    <t xml:space="preserve"> 844237901</t>
  </si>
  <si>
    <t xml:space="preserve">               25895</t>
  </si>
  <si>
    <t xml:space="preserve"> 844239001</t>
  </si>
  <si>
    <t xml:space="preserve">               25896</t>
  </si>
  <si>
    <t xml:space="preserve"> 844240401</t>
  </si>
  <si>
    <t xml:space="preserve">               25898</t>
  </si>
  <si>
    <t xml:space="preserve"> 849090501</t>
  </si>
  <si>
    <t xml:space="preserve">               26086</t>
  </si>
  <si>
    <t xml:space="preserve"> 846057501</t>
  </si>
  <si>
    <t xml:space="preserve">               26016</t>
  </si>
  <si>
    <t xml:space="preserve"> 843707601</t>
  </si>
  <si>
    <t xml:space="preserve">               25851</t>
  </si>
  <si>
    <t xml:space="preserve"> 843708201</t>
  </si>
  <si>
    <t xml:space="preserve">               25855</t>
  </si>
  <si>
    <t xml:space="preserve"> 844229901</t>
  </si>
  <si>
    <t xml:space="preserve">               25890</t>
  </si>
  <si>
    <t xml:space="preserve"> 844232101</t>
  </si>
  <si>
    <t xml:space="preserve">               25891</t>
  </si>
  <si>
    <t xml:space="preserve"> 844263401</t>
  </si>
  <si>
    <t xml:space="preserve">               25963</t>
  </si>
  <si>
    <t xml:space="preserve"> 843835001</t>
  </si>
  <si>
    <t xml:space="preserve">               25860</t>
  </si>
  <si>
    <t xml:space="preserve"> 843848701</t>
  </si>
  <si>
    <t xml:space="preserve">               25869</t>
  </si>
  <si>
    <t xml:space="preserve"> 844268201</t>
  </si>
  <si>
    <t xml:space="preserve">               25972</t>
  </si>
  <si>
    <t xml:space="preserve"> 844271301</t>
  </si>
  <si>
    <t xml:space="preserve">               25976</t>
  </si>
  <si>
    <t xml:space="preserve"> 844346901</t>
  </si>
  <si>
    <t xml:space="preserve">               15753</t>
  </si>
  <si>
    <t>ABATE DE 03/12/2015 - 892 CB</t>
  </si>
  <si>
    <t xml:space="preserve"> 851042101</t>
  </si>
  <si>
    <t>GIACOMO LEONARDO MAZUTTI SACOMORI</t>
  </si>
  <si>
    <t xml:space="preserve"> ADT 12-15</t>
  </si>
  <si>
    <t>ADIANTAMENTO DE VIAGENS 12-2015</t>
  </si>
  <si>
    <t xml:space="preserve"> 845052801</t>
  </si>
  <si>
    <t>LAF-143/15</t>
  </si>
  <si>
    <t xml:space="preserve"> 856316701</t>
  </si>
  <si>
    <t>LAF-182/15</t>
  </si>
  <si>
    <t>ADIANTAMENTO DESPESAS PORTUARIAS</t>
  </si>
  <si>
    <t xml:space="preserve"> 840109801</t>
  </si>
  <si>
    <t>ADT 11-201</t>
  </si>
  <si>
    <t xml:space="preserve"> 839797701</t>
  </si>
  <si>
    <t xml:space="preserve">   01/2015</t>
  </si>
  <si>
    <t xml:space="preserve">VENDA DE UMA PLANTADEIRA JD PATRIMONIO 000671 ANO 2012 </t>
  </si>
  <si>
    <t xml:space="preserve"> 841962701</t>
  </si>
  <si>
    <t>AGROPECUARIA ITAUNA LTDA</t>
  </si>
  <si>
    <t xml:space="preserve">            15/06-SJ</t>
  </si>
  <si>
    <t>10 BAG 8490</t>
  </si>
  <si>
    <t xml:space="preserve"> 823240701</t>
  </si>
  <si>
    <t>PROMENADE APART HOTEIS LTDA. - ME</t>
  </si>
  <si>
    <t>ADTO 11/20</t>
  </si>
  <si>
    <t>ADTO REF. DIÁRIAS DO VALDINEI E ANA PAULA - VIAGEM A BELO HORIZONTE - MG</t>
  </si>
  <si>
    <t xml:space="preserve"> 856260101</t>
  </si>
  <si>
    <t xml:space="preserve">   4828324</t>
  </si>
  <si>
    <t>SEGURO SOBRE OBRIGAÇÕES COM A ANTAQ (AGENCIA NAC. DE TRANSP. AQUAVIÁRIOS ) - CIA</t>
  </si>
  <si>
    <t xml:space="preserve"> 821846601</t>
  </si>
  <si>
    <t xml:space="preserve"> 844173201</t>
  </si>
  <si>
    <t xml:space="preserve">                 849</t>
  </si>
  <si>
    <t xml:space="preserve"> 846350901</t>
  </si>
  <si>
    <t xml:space="preserve">               26060</t>
  </si>
  <si>
    <t xml:space="preserve"> 846351301</t>
  </si>
  <si>
    <t xml:space="preserve">               26062</t>
  </si>
  <si>
    <t xml:space="preserve"> 846053201</t>
  </si>
  <si>
    <t xml:space="preserve">               26005</t>
  </si>
  <si>
    <t xml:space="preserve"> 846054601</t>
  </si>
  <si>
    <t xml:space="preserve">               26009</t>
  </si>
  <si>
    <t xml:space="preserve"> 849089301</t>
  </si>
  <si>
    <t xml:space="preserve">               26083</t>
  </si>
  <si>
    <t xml:space="preserve"> 849093101</t>
  </si>
  <si>
    <t xml:space="preserve">               26090</t>
  </si>
  <si>
    <t xml:space="preserve"> 846056901</t>
  </si>
  <si>
    <t xml:space="preserve">               26013</t>
  </si>
  <si>
    <t xml:space="preserve"> 846057701</t>
  </si>
  <si>
    <t xml:space="preserve">               26017</t>
  </si>
  <si>
    <t xml:space="preserve"> 846058101</t>
  </si>
  <si>
    <t xml:space="preserve">               26019</t>
  </si>
  <si>
    <t xml:space="preserve"> 844256101</t>
  </si>
  <si>
    <t xml:space="preserve">               25958</t>
  </si>
  <si>
    <t xml:space="preserve"> 844260001</t>
  </si>
  <si>
    <t xml:space="preserve">               25960</t>
  </si>
  <si>
    <t xml:space="preserve"> 844269101</t>
  </si>
  <si>
    <t xml:space="preserve">               25973</t>
  </si>
  <si>
    <t xml:space="preserve"> 844269701</t>
  </si>
  <si>
    <t xml:space="preserve">               25974</t>
  </si>
  <si>
    <t xml:space="preserve"> 844274501</t>
  </si>
  <si>
    <t xml:space="preserve">               25980</t>
  </si>
  <si>
    <t xml:space="preserve"> 843855701</t>
  </si>
  <si>
    <t xml:space="preserve">               25877</t>
  </si>
  <si>
    <t xml:space="preserve"> 846346901</t>
  </si>
  <si>
    <t xml:space="preserve">               26045</t>
  </si>
  <si>
    <t xml:space="preserve"> 846347901</t>
  </si>
  <si>
    <t xml:space="preserve">               26049</t>
  </si>
  <si>
    <t xml:space="preserve"> 846348101</t>
  </si>
  <si>
    <t xml:space="preserve">               26050</t>
  </si>
  <si>
    <t xml:space="preserve"> 845052301</t>
  </si>
  <si>
    <t>LAF-145/15</t>
  </si>
  <si>
    <t xml:space="preserve"> 856318201</t>
  </si>
  <si>
    <t>BTG-025/15</t>
  </si>
  <si>
    <t xml:space="preserve"> 856235901</t>
  </si>
  <si>
    <t xml:space="preserve">    965174</t>
  </si>
  <si>
    <t>ADTO REF. NOTBOOK PARA O MÁRCIO - E-MAIL WENINSGTHON EM 16/12</t>
  </si>
  <si>
    <t xml:space="preserve"> 761137801</t>
  </si>
  <si>
    <t>ADTO REF. PARC. 4/10 AQUISIÇÃO DE SISTEMA DE SILO  - ARMAZÉM CANDEIAS DO JAMARI</t>
  </si>
  <si>
    <t xml:space="preserve"> 852368601</t>
  </si>
  <si>
    <t xml:space="preserve"> DEVOLUÇÃO</t>
  </si>
  <si>
    <t>DEVOLUÇÃO  ARMAZENS - REF ADIANTAMENTO C/EMPRESTIMO.</t>
  </si>
  <si>
    <t xml:space="preserve"> 856583701</t>
  </si>
  <si>
    <t>TRATORON-COM DE MÁQUINAS E IMPLE AGRÍCOLAS</t>
  </si>
  <si>
    <t>3516</t>
  </si>
  <si>
    <t>DEVOLUÇÃO PARCIAL DA NF DE ENTRADA 3950 DATA 07/12/2015</t>
  </si>
  <si>
    <t xml:space="preserve"> 854831101</t>
  </si>
  <si>
    <t xml:space="preserve">R &amp; E GONCALVES LTDA - ME </t>
  </si>
  <si>
    <t xml:space="preserve">       645</t>
  </si>
  <si>
    <t>20 SACOS DE CIMENTO - ARMAZÉM CEREJEIRAS</t>
  </si>
  <si>
    <t xml:space="preserve"> 856686501</t>
  </si>
  <si>
    <t xml:space="preserve">               30628</t>
  </si>
  <si>
    <t xml:space="preserve"> 856688001</t>
  </si>
  <si>
    <t xml:space="preserve">               30618</t>
  </si>
  <si>
    <t xml:space="preserve"> 856691901</t>
  </si>
  <si>
    <t xml:space="preserve">               30621</t>
  </si>
  <si>
    <t xml:space="preserve"> 841211201</t>
  </si>
  <si>
    <t>PAULA ABREU BARCELLOS</t>
  </si>
  <si>
    <t xml:space="preserve">            15/05-SJ</t>
  </si>
  <si>
    <t>TROCA POR SOJA</t>
  </si>
  <si>
    <t>FIRMADO EM 20/05/2015- ALTERAÇÃO DATA A PEDIDO DA CONTABILIDADE</t>
  </si>
  <si>
    <t xml:space="preserve"> 844245901</t>
  </si>
  <si>
    <t xml:space="preserve">      2098</t>
  </si>
  <si>
    <t>PRODUTOS CUSTO - ARMAZENS GERAIS CEREJEIRAS - C.M.F. DA SILVA E CIA</t>
  </si>
  <si>
    <t xml:space="preserve"> 842019301</t>
  </si>
  <si>
    <t>APOL.SEGURO</t>
  </si>
  <si>
    <t>PGTO PARCELA  APOLICE SEGURO MAPFRE - MAQUINARIOS</t>
  </si>
  <si>
    <t xml:space="preserve"> 842111701</t>
  </si>
  <si>
    <t>INSS 11/2015</t>
  </si>
  <si>
    <t>PGTO - GPS/INSS FOLHA CIAGRAM - COMP 11/2015</t>
  </si>
  <si>
    <t xml:space="preserve"> 846259901</t>
  </si>
  <si>
    <t xml:space="preserve">   320/326</t>
  </si>
  <si>
    <t>REF. NF'S 320 E 326 DA AERO SIAQ - AGROPECUÁRIA</t>
  </si>
  <si>
    <t xml:space="preserve"> 841242001</t>
  </si>
  <si>
    <t>13ºADTO 11</t>
  </si>
  <si>
    <t>RCTO - ADIANTAMENTO 13 SALARIO - CRÉDITO</t>
  </si>
  <si>
    <t>ADIANTAMENTO DE 13º SALARIO 40% 2015 BRADESCO</t>
  </si>
  <si>
    <t>DEVOLUCAO DE ADIANTAMENTO A FORNECEDORES</t>
  </si>
  <si>
    <t xml:space="preserve"> 848144901</t>
  </si>
  <si>
    <t>LAF-198/15</t>
  </si>
  <si>
    <t>ADIANTAMENTO DESPESAS PORTUARIAS REINAHRT</t>
  </si>
  <si>
    <t xml:space="preserve"> 843905001</t>
  </si>
  <si>
    <t>LAF-172/15</t>
  </si>
  <si>
    <t xml:space="preserve"> 844061601</t>
  </si>
  <si>
    <t xml:space="preserve">                 843</t>
  </si>
  <si>
    <t xml:space="preserve"> 846348501</t>
  </si>
  <si>
    <t xml:space="preserve">               26052</t>
  </si>
  <si>
    <t xml:space="preserve"> 849083501</t>
  </si>
  <si>
    <t xml:space="preserve">               26072</t>
  </si>
  <si>
    <t xml:space="preserve"> 844242001</t>
  </si>
  <si>
    <t xml:space="preserve">               25900</t>
  </si>
  <si>
    <t xml:space="preserve"> 849088701</t>
  </si>
  <si>
    <t xml:space="preserve">               26081</t>
  </si>
  <si>
    <t xml:space="preserve"> 849092501</t>
  </si>
  <si>
    <t xml:space="preserve">               26088</t>
  </si>
  <si>
    <t xml:space="preserve"> 844247101</t>
  </si>
  <si>
    <t xml:space="preserve">               25910</t>
  </si>
  <si>
    <t xml:space="preserve"> 849095201</t>
  </si>
  <si>
    <t xml:space="preserve">               15785</t>
  </si>
  <si>
    <t xml:space="preserve"> 843708901</t>
  </si>
  <si>
    <t xml:space="preserve">               25856</t>
  </si>
  <si>
    <t xml:space="preserve"> 843862901</t>
  </si>
  <si>
    <t xml:space="preserve">               25887</t>
  </si>
  <si>
    <t xml:space="preserve"> 844168801</t>
  </si>
  <si>
    <t xml:space="preserve">               25888</t>
  </si>
  <si>
    <t xml:space="preserve"> 844247401</t>
  </si>
  <si>
    <t xml:space="preserve">               25911</t>
  </si>
  <si>
    <t xml:space="preserve"> 844262501</t>
  </si>
  <si>
    <t xml:space="preserve">               25961</t>
  </si>
  <si>
    <t xml:space="preserve"> 844233101</t>
  </si>
  <si>
    <t xml:space="preserve">               25892</t>
  </si>
  <si>
    <t xml:space="preserve"> 844263901</t>
  </si>
  <si>
    <t xml:space="preserve">               25965</t>
  </si>
  <si>
    <t xml:space="preserve"> 844265901</t>
  </si>
  <si>
    <t xml:space="preserve">               25970</t>
  </si>
  <si>
    <t xml:space="preserve"> 843857201</t>
  </si>
  <si>
    <t xml:space="preserve">               25879</t>
  </si>
  <si>
    <t xml:space="preserve"> 846344001</t>
  </si>
  <si>
    <t xml:space="preserve">               15776</t>
  </si>
  <si>
    <t xml:space="preserve"> 848140501</t>
  </si>
  <si>
    <t>ADTO REF. PARC. 07/24 - ARMAZÉM DE CANDEIAS DO JAMARI</t>
  </si>
  <si>
    <t xml:space="preserve"> 835785701</t>
  </si>
  <si>
    <t>ADTO. PARC. 06/24 - ARMAZÉM PVH</t>
  </si>
  <si>
    <t xml:space="preserve"> 856676601</t>
  </si>
  <si>
    <t xml:space="preserve">               30633</t>
  </si>
  <si>
    <t xml:space="preserve"> 856684501</t>
  </si>
  <si>
    <t xml:space="preserve">               30625</t>
  </si>
  <si>
    <t xml:space="preserve"> 856686101</t>
  </si>
  <si>
    <t xml:space="preserve">               30626</t>
  </si>
  <si>
    <t xml:space="preserve"> 844992001</t>
  </si>
  <si>
    <t xml:space="preserve">         CM15/08-ARZ</t>
  </si>
  <si>
    <t>SALDO DE ESTOQUE</t>
  </si>
  <si>
    <t xml:space="preserve"> 821174301</t>
  </si>
  <si>
    <t>FIB04/2015</t>
  </si>
  <si>
    <t>PAGTO SOBRE RODAS</t>
  </si>
  <si>
    <t xml:space="preserve"> 845503201</t>
  </si>
  <si>
    <t>CCB2025720-1</t>
  </si>
  <si>
    <t>LIBERACAO FIN INVEST BRADESCO</t>
  </si>
  <si>
    <t>1997716-SISTEMA DE ARMAZENAGEM DE GRAOS/CASP</t>
  </si>
  <si>
    <t xml:space="preserve"> 823136301</t>
  </si>
  <si>
    <t xml:space="preserve">      2110</t>
  </si>
  <si>
    <t>REFERENTE A COMPRA DE FERRO PARA BASE DO SILO E CALÇAMENTO</t>
  </si>
  <si>
    <t xml:space="preserve"> 835789801</t>
  </si>
  <si>
    <t>LAF-142/15</t>
  </si>
  <si>
    <t>ADIANTAMENTO DESPESAS PORTUARIAS REINHART.</t>
  </si>
  <si>
    <t xml:space="preserve"> 846287901</t>
  </si>
  <si>
    <t>LAF-189/15</t>
  </si>
  <si>
    <t xml:space="preserve"> 846288401</t>
  </si>
  <si>
    <t>LAF-196/15</t>
  </si>
  <si>
    <t xml:space="preserve"> 841972501</t>
  </si>
  <si>
    <t>ADTO 11-15</t>
  </si>
  <si>
    <t>ADIANTAMENTO DE VIAGENS PARA AUDIENCIA NO PIAUI</t>
  </si>
  <si>
    <t xml:space="preserve"> 844003201</t>
  </si>
  <si>
    <t xml:space="preserve">                 835</t>
  </si>
  <si>
    <t xml:space="preserve"> 844050601</t>
  </si>
  <si>
    <t xml:space="preserve">                 841</t>
  </si>
  <si>
    <t xml:space="preserve"> 844143601</t>
  </si>
  <si>
    <t xml:space="preserve">                 847</t>
  </si>
  <si>
    <t xml:space="preserve"> 846350201</t>
  </si>
  <si>
    <t xml:space="preserve">               26057</t>
  </si>
  <si>
    <t xml:space="preserve"> 849067501</t>
  </si>
  <si>
    <t xml:space="preserve">               26035</t>
  </si>
  <si>
    <t xml:space="preserve"> 849087701</t>
  </si>
  <si>
    <t xml:space="preserve">               26077</t>
  </si>
  <si>
    <t xml:space="preserve"> 846051401</t>
  </si>
  <si>
    <t xml:space="preserve">               25998</t>
  </si>
  <si>
    <t xml:space="preserve"> 846053701</t>
  </si>
  <si>
    <t xml:space="preserve">               26006</t>
  </si>
  <si>
    <t xml:space="preserve"> 844242501</t>
  </si>
  <si>
    <t xml:space="preserve">               25901</t>
  </si>
  <si>
    <t xml:space="preserve"> 849088201</t>
  </si>
  <si>
    <t xml:space="preserve">               26079</t>
  </si>
  <si>
    <t xml:space="preserve"> 849089001</t>
  </si>
  <si>
    <t xml:space="preserve">               26082</t>
  </si>
  <si>
    <t xml:space="preserve"> 849090101</t>
  </si>
  <si>
    <t xml:space="preserve">               26085</t>
  </si>
  <si>
    <t xml:space="preserve"> 846057901</t>
  </si>
  <si>
    <t xml:space="preserve">               26018</t>
  </si>
  <si>
    <t xml:space="preserve"> 844254101</t>
  </si>
  <si>
    <t xml:space="preserve">               25957</t>
  </si>
  <si>
    <t xml:space="preserve"> 844263601</t>
  </si>
  <si>
    <t xml:space="preserve">               25964</t>
  </si>
  <si>
    <t xml:space="preserve"> 844264701</t>
  </si>
  <si>
    <t xml:space="preserve">               25968</t>
  </si>
  <si>
    <t xml:space="preserve"> 843838201</t>
  </si>
  <si>
    <t xml:space="preserve">               25863</t>
  </si>
  <si>
    <t xml:space="preserve"> 846058901</t>
  </si>
  <si>
    <t xml:space="preserve">               15774</t>
  </si>
  <si>
    <t xml:space="preserve"> 846345601</t>
  </si>
  <si>
    <t xml:space="preserve">               26037</t>
  </si>
  <si>
    <t xml:space="preserve"> 846346401</t>
  </si>
  <si>
    <t xml:space="preserve">               26040</t>
  </si>
  <si>
    <t xml:space="preserve"> 833366901</t>
  </si>
  <si>
    <t xml:space="preserve">    BTG-06</t>
  </si>
  <si>
    <t xml:space="preserve"> 840125301</t>
  </si>
  <si>
    <t xml:space="preserve"> BTG-08/15</t>
  </si>
  <si>
    <t xml:space="preserve"> 841501201</t>
  </si>
  <si>
    <t>REEMB 11/2</t>
  </si>
  <si>
    <t>ADTO REF. REEMBOLSO DE TAXAS, PEDIDOS E IMPOSTOS - PARCERIA SMT - CONF. E-MAIL 03/11.</t>
  </si>
  <si>
    <t xml:space="preserve"> 856691201</t>
  </si>
  <si>
    <t xml:space="preserve">               30620</t>
  </si>
  <si>
    <t xml:space="preserve"> 823138001</t>
  </si>
  <si>
    <t xml:space="preserve">      2111</t>
  </si>
  <si>
    <t>TUBO GALVANIZADO PARA REGISTRO DO ELEVADOR</t>
  </si>
  <si>
    <t xml:space="preserve"> 830322101</t>
  </si>
  <si>
    <t xml:space="preserve">     73587</t>
  </si>
  <si>
    <t>INSETICIDA PARA APLICAR NO BARRACAO</t>
  </si>
  <si>
    <t xml:space="preserve"> 820860201</t>
  </si>
  <si>
    <t xml:space="preserve">    CONT01</t>
  </si>
  <si>
    <t>PGTO PARCELA VINCENDA EM 30-03-2016 (CORRESP 50.000 SCS SOJA)</t>
  </si>
  <si>
    <t xml:space="preserve"> 856163801</t>
  </si>
  <si>
    <t xml:space="preserve">   3907272</t>
  </si>
  <si>
    <t>REF. FATURAS 3907272 PRBBM E 3911219 PTWYM - INFRAERO</t>
  </si>
  <si>
    <t xml:space="preserve"> 856261001</t>
  </si>
  <si>
    <t xml:space="preserve">      2194</t>
  </si>
  <si>
    <t>DESPESAS COM COMBUSTIVEIS - CIAGRAM</t>
  </si>
  <si>
    <t xml:space="preserve"> 857407601</t>
  </si>
  <si>
    <t>MAXI CASE MAQUINAS LTDA</t>
  </si>
  <si>
    <t xml:space="preserve">               30640</t>
  </si>
  <si>
    <t>DEVOLUÇAO REF NF. 33051 DE 03/12/2015</t>
  </si>
  <si>
    <t xml:space="preserve"> 843905501</t>
  </si>
  <si>
    <t xml:space="preserve">   LAF-159</t>
  </si>
  <si>
    <t xml:space="preserve"> 846348301</t>
  </si>
  <si>
    <t xml:space="preserve">               26051</t>
  </si>
  <si>
    <t xml:space="preserve"> 846351101</t>
  </si>
  <si>
    <t xml:space="preserve">               26061</t>
  </si>
  <si>
    <t xml:space="preserve"> 846352101</t>
  </si>
  <si>
    <t xml:space="preserve">               26065</t>
  </si>
  <si>
    <t xml:space="preserve"> 849069401</t>
  </si>
  <si>
    <t xml:space="preserve">               26067</t>
  </si>
  <si>
    <t xml:space="preserve"> 849080901</t>
  </si>
  <si>
    <t xml:space="preserve">               26071</t>
  </si>
  <si>
    <t xml:space="preserve"> 849084601</t>
  </si>
  <si>
    <t xml:space="preserve">               26073</t>
  </si>
  <si>
    <t xml:space="preserve"> 849085101</t>
  </si>
  <si>
    <t xml:space="preserve">               26074</t>
  </si>
  <si>
    <t xml:space="preserve"> 846052301</t>
  </si>
  <si>
    <t xml:space="preserve">               26002</t>
  </si>
  <si>
    <t xml:space="preserve"> 844233601</t>
  </si>
  <si>
    <t xml:space="preserve">               25893</t>
  </si>
  <si>
    <t xml:space="preserve"> 849089801</t>
  </si>
  <si>
    <t xml:space="preserve">               26084</t>
  </si>
  <si>
    <t xml:space="preserve"> 849092901</t>
  </si>
  <si>
    <t xml:space="preserve">               26089</t>
  </si>
  <si>
    <t xml:space="preserve"> 844245001</t>
  </si>
  <si>
    <t xml:space="preserve">               25906</t>
  </si>
  <si>
    <t xml:space="preserve"> 843832601</t>
  </si>
  <si>
    <t xml:space="preserve">               15747</t>
  </si>
  <si>
    <t xml:space="preserve"> 844272201</t>
  </si>
  <si>
    <t xml:space="preserve">               25977</t>
  </si>
  <si>
    <t xml:space="preserve"> 844273501</t>
  </si>
  <si>
    <t xml:space="preserve">               25979</t>
  </si>
  <si>
    <t xml:space="preserve"> 843854001</t>
  </si>
  <si>
    <t xml:space="preserve">               25874</t>
  </si>
  <si>
    <t xml:space="preserve"> 843856501</t>
  </si>
  <si>
    <t xml:space="preserve">               25878</t>
  </si>
  <si>
    <t xml:space="preserve"> 845522301</t>
  </si>
  <si>
    <t xml:space="preserve">               15760</t>
  </si>
  <si>
    <t>ABATE DE 04/12/2015 - 874 CB</t>
  </si>
  <si>
    <t xml:space="preserve"> 846345401</t>
  </si>
  <si>
    <t xml:space="preserve">               26036</t>
  </si>
  <si>
    <t xml:space="preserve"> 846346101</t>
  </si>
  <si>
    <t xml:space="preserve">               26039</t>
  </si>
  <si>
    <t xml:space="preserve"> 846347401</t>
  </si>
  <si>
    <t xml:space="preserve">               26047</t>
  </si>
  <si>
    <t xml:space="preserve"> 846347701</t>
  </si>
  <si>
    <t xml:space="preserve">               26048</t>
  </si>
  <si>
    <t xml:space="preserve"> 833366401</t>
  </si>
  <si>
    <t xml:space="preserve">   BTG-011</t>
  </si>
  <si>
    <t xml:space="preserve"> 833367401</t>
  </si>
  <si>
    <t xml:space="preserve"> LAF134/15</t>
  </si>
  <si>
    <t xml:space="preserve"> 845053301</t>
  </si>
  <si>
    <t>LAF-144/15</t>
  </si>
  <si>
    <t xml:space="preserve"> 823595001</t>
  </si>
  <si>
    <t>LAF-104/15</t>
  </si>
  <si>
    <t xml:space="preserve"> 856317201</t>
  </si>
  <si>
    <t>LAF-175/15</t>
  </si>
  <si>
    <t xml:space="preserve"> 856317701</t>
  </si>
  <si>
    <t>LAF-181/15</t>
  </si>
  <si>
    <t xml:space="preserve"> 851037701</t>
  </si>
  <si>
    <t>463</t>
  </si>
  <si>
    <t xml:space="preserve"> 844748901</t>
  </si>
  <si>
    <t xml:space="preserve"> 831276501</t>
  </si>
  <si>
    <t xml:space="preserve"> 855119501</t>
  </si>
  <si>
    <t>ADEMIR MARAFON E OUTROS</t>
  </si>
  <si>
    <t>CONFORME ORIENTAÇÃO VANDERLEI</t>
  </si>
  <si>
    <t xml:space="preserve"> 823934901</t>
  </si>
  <si>
    <t>ADTO PGTO REMANESCENTE DAS 43.370 SCS - R$ 15,00 POR SACA - JÁ FORAM PAGOS R$ 496.950,00 CONF. E-MAIL JULIANA EM 03/11</t>
  </si>
  <si>
    <t xml:space="preserve"> 856676801</t>
  </si>
  <si>
    <t xml:space="preserve">               30632</t>
  </si>
  <si>
    <t xml:space="preserve"> 856686301</t>
  </si>
  <si>
    <t xml:space="preserve">               30627</t>
  </si>
  <si>
    <t xml:space="preserve"> 856688401</t>
  </si>
  <si>
    <t xml:space="preserve">               30619</t>
  </si>
  <si>
    <t xml:space="preserve"> 836117701</t>
  </si>
  <si>
    <t>SUMMER TOUR VIAGENS E EVENTOS LTDA - ME</t>
  </si>
  <si>
    <t>CHALANA/20</t>
  </si>
  <si>
    <t>ADTO. REF. ENTRADA DA CHALANA 2016 - A SER DESCONTADO DOS FUNCIONÁRIOS.</t>
  </si>
  <si>
    <t xml:space="preserve"> 852273501</t>
  </si>
  <si>
    <t>CLAUDEIR ESTENIO VIANA PAES</t>
  </si>
  <si>
    <t>VENDAS A PESSOAS FISICAS-PROCUÇÃO</t>
  </si>
  <si>
    <t>111,5 SC X R$ 100,00 E 423,5 SC X R$ 90,00</t>
  </si>
  <si>
    <t xml:space="preserve"> 830306001</t>
  </si>
  <si>
    <t xml:space="preserve">       627</t>
  </si>
  <si>
    <t>CIMENTO</t>
  </si>
  <si>
    <t xml:space="preserve"> 840544601</t>
  </si>
  <si>
    <t>GPS 11/2015</t>
  </si>
  <si>
    <t>PGTO GPS 11/2015</t>
  </si>
  <si>
    <t xml:space="preserve"> 856259901</t>
  </si>
  <si>
    <t>203 ECOLOGY</t>
  </si>
  <si>
    <t>2ª PARCELA - QUITAÇÃO - ESTUDO AMBIENTAL - CIAGRAM - DESCONTADO OS IMPOSTO RETID</t>
  </si>
  <si>
    <t xml:space="preserve"> 841242601</t>
  </si>
  <si>
    <t>13º ADTO 1</t>
  </si>
  <si>
    <t xml:space="preserve"> 841241401</t>
  </si>
  <si>
    <t xml:space="preserve"> 843904501</t>
  </si>
  <si>
    <t xml:space="preserve">   LAF-154</t>
  </si>
  <si>
    <t xml:space="preserve"> 850983301</t>
  </si>
  <si>
    <t xml:space="preserve"> LAF183/15</t>
  </si>
  <si>
    <t xml:space="preserve"> 844048101</t>
  </si>
  <si>
    <t xml:space="preserve">                 834</t>
  </si>
  <si>
    <t xml:space="preserve"> 844100501</t>
  </si>
  <si>
    <t xml:space="preserve">                 845</t>
  </si>
  <si>
    <t xml:space="preserve"> 844158601</t>
  </si>
  <si>
    <t xml:space="preserve">                 848</t>
  </si>
  <si>
    <t xml:space="preserve"> 846348701</t>
  </si>
  <si>
    <t xml:space="preserve">               26053</t>
  </si>
  <si>
    <t xml:space="preserve"> 846349201</t>
  </si>
  <si>
    <t xml:space="preserve">               26055</t>
  </si>
  <si>
    <t xml:space="preserve"> 846350701</t>
  </si>
  <si>
    <t xml:space="preserve">               26059</t>
  </si>
  <si>
    <t xml:space="preserve"> 849072601</t>
  </si>
  <si>
    <t xml:space="preserve">               26070</t>
  </si>
  <si>
    <t xml:space="preserve"> 846051901</t>
  </si>
  <si>
    <t xml:space="preserve">               26000</t>
  </si>
  <si>
    <t xml:space="preserve"> 846054301</t>
  </si>
  <si>
    <t xml:space="preserve">               26008</t>
  </si>
  <si>
    <t xml:space="preserve"> 844243501</t>
  </si>
  <si>
    <t xml:space="preserve">               25902</t>
  </si>
  <si>
    <t xml:space="preserve"> 849088501</t>
  </si>
  <si>
    <t xml:space="preserve">               26080</t>
  </si>
  <si>
    <t xml:space="preserve"> 844245701</t>
  </si>
  <si>
    <t xml:space="preserve">               25907</t>
  </si>
  <si>
    <t xml:space="preserve"> 846055701</t>
  </si>
  <si>
    <t xml:space="preserve">               26011</t>
  </si>
  <si>
    <t xml:space="preserve"> 846056001</t>
  </si>
  <si>
    <t xml:space="preserve">               26012</t>
  </si>
  <si>
    <t xml:space="preserve"> 846057301</t>
  </si>
  <si>
    <t xml:space="preserve">               26015</t>
  </si>
  <si>
    <t xml:space="preserve"> 843709301</t>
  </si>
  <si>
    <t xml:space="preserve">               25859</t>
  </si>
  <si>
    <t xml:space="preserve"> 844253601</t>
  </si>
  <si>
    <t xml:space="preserve">               25956</t>
  </si>
  <si>
    <t xml:space="preserve"> 844265001</t>
  </si>
  <si>
    <t xml:space="preserve">               25969</t>
  </si>
  <si>
    <t xml:space="preserve"> 843836601</t>
  </si>
  <si>
    <t xml:space="preserve">               25862</t>
  </si>
  <si>
    <t xml:space="preserve"> 843838901</t>
  </si>
  <si>
    <t xml:space="preserve">               25865</t>
  </si>
  <si>
    <t xml:space="preserve"> 843850301</t>
  </si>
  <si>
    <t xml:space="preserve">               25870</t>
  </si>
  <si>
    <t xml:space="preserve"> 844270401</t>
  </si>
  <si>
    <t xml:space="preserve">               25975</t>
  </si>
  <si>
    <t xml:space="preserve"> 844273301</t>
  </si>
  <si>
    <t xml:space="preserve">               25978</t>
  </si>
  <si>
    <t xml:space="preserve"> 843850601</t>
  </si>
  <si>
    <t xml:space="preserve">               25871</t>
  </si>
  <si>
    <t xml:space="preserve"> 843857701</t>
  </si>
  <si>
    <t xml:space="preserve">               25880</t>
  </si>
  <si>
    <t xml:space="preserve"> 843860401</t>
  </si>
  <si>
    <t xml:space="preserve">               25882</t>
  </si>
  <si>
    <t xml:space="preserve"> 846346701</t>
  </si>
  <si>
    <t xml:space="preserve">               26043</t>
  </si>
  <si>
    <t xml:space="preserve"> 850670401</t>
  </si>
  <si>
    <t>ADT 12-201</t>
  </si>
  <si>
    <t xml:space="preserve">ADIANTAMENTO DE VIAGENS </t>
  </si>
  <si>
    <t xml:space="preserve"> 840125801</t>
  </si>
  <si>
    <t xml:space="preserve">    LL-060</t>
  </si>
  <si>
    <t>ADIANTAMENTO DESPESAS PORTUARIAS LL-060 PLEXUS</t>
  </si>
  <si>
    <t xml:space="preserve"> 856315701</t>
  </si>
  <si>
    <t>BTG-034/15</t>
  </si>
  <si>
    <t xml:space="preserve"> 856316201</t>
  </si>
  <si>
    <t>BTG-038/15</t>
  </si>
  <si>
    <t xml:space="preserve"> 856318701</t>
  </si>
  <si>
    <t>BTG-039/15</t>
  </si>
  <si>
    <t xml:space="preserve"> 856922101</t>
  </si>
  <si>
    <t>JOAQUIM COSTA GUIMARAES</t>
  </si>
  <si>
    <t>ADTO FLUTU</t>
  </si>
  <si>
    <t>ADTO REF. ADITIVO FLUTUANTE PARA FECHAR OS R$ 7.000,00 A SER PAGO EM 22/12 - AGUARDANDO JUCA PARA REALIZAÇÃO DO CONTRATO</t>
  </si>
  <si>
    <t xml:space="preserve"> 839858901</t>
  </si>
  <si>
    <t>ADIANTAMENTO DE VIAGENS SOLICITADO POR DINA, POIS O MESMO IRA VIAJAR PARA  ALTO GARÇA E PRECISA DE ABASTECER O CAMINHÃO</t>
  </si>
  <si>
    <t xml:space="preserve"> 844219001</t>
  </si>
  <si>
    <t>ALCINDO PEDRO TESTON</t>
  </si>
  <si>
    <t xml:space="preserve">         CM15/07-ARZ</t>
  </si>
  <si>
    <t>RECEBER DA CENTRAL AGRICOLA</t>
  </si>
  <si>
    <t xml:space="preserve"> 840805401</t>
  </si>
  <si>
    <t>FABIANO COUTINHO ZANOTTI</t>
  </si>
  <si>
    <t xml:space="preserve">ADTO CABO </t>
  </si>
  <si>
    <t>ADTO REF. COMPRA DE CABO EDL - FORNECEDOR FICOU DE EMITIR NF R$ 2.000,00 + R$ 10.000,00 EM JANEIRO/2016</t>
  </si>
  <si>
    <t xml:space="preserve"> 829064701</t>
  </si>
  <si>
    <t xml:space="preserve">         AG-15959/10</t>
  </si>
  <si>
    <t xml:space="preserve"> 856677201</t>
  </si>
  <si>
    <t xml:space="preserve">               30631</t>
  </si>
  <si>
    <t xml:space="preserve"> 856681101</t>
  </si>
  <si>
    <t xml:space="preserve">               30630</t>
  </si>
  <si>
    <t xml:space="preserve"> 856686901</t>
  </si>
  <si>
    <t xml:space="preserve">               30629</t>
  </si>
  <si>
    <t xml:space="preserve"> 830847601</t>
  </si>
  <si>
    <t>LUIZA CAROLINA ARTMANN</t>
  </si>
  <si>
    <t>ADTO SEVID</t>
  </si>
  <si>
    <t>ADTO REF 50% CONT. SEVIDÃO AMBIENTAL PERPÉTUA 125,7445 HA MAT. 6798 CEREJEIRAS/RO</t>
  </si>
  <si>
    <t xml:space="preserve"> 840808501</t>
  </si>
  <si>
    <t xml:space="preserve"> 857080001</t>
  </si>
  <si>
    <t>RECH AGRICOLA LTDA</t>
  </si>
  <si>
    <t xml:space="preserve">               30639</t>
  </si>
  <si>
    <t>DEVOLUÇAO REF A NF-E 34852 DE 11/12/2015</t>
  </si>
  <si>
    <t xml:space="preserve"> 842019101</t>
  </si>
  <si>
    <t xml:space="preserve">   12/2015</t>
  </si>
  <si>
    <t>PGTO FINNCIAMENTOS BANCARIOS PARCELAS DEZEMBRO/2015</t>
  </si>
  <si>
    <t xml:space="preserve"> 850995301</t>
  </si>
  <si>
    <t xml:space="preserve">       341</t>
  </si>
  <si>
    <t>NF 341 - AERO SIAQ - ABASTECIMENTO PRBBM</t>
  </si>
  <si>
    <t xml:space="preserve"> 854832201</t>
  </si>
  <si>
    <t xml:space="preserve">       639</t>
  </si>
  <si>
    <t>31 SACOS DE CIMENTO - ARMAZEM CEREJEIRAS</t>
  </si>
  <si>
    <t xml:space="preserve"> 854837101</t>
  </si>
  <si>
    <t xml:space="preserve">      9767</t>
  </si>
  <si>
    <t>SERVIÇO DE TROCA DE KIT DE PROTEÇÃO - ARMAZEM CEREJEIRAS</t>
  </si>
  <si>
    <t xml:space="preserve"> 841243201</t>
  </si>
  <si>
    <t xml:space="preserve"> 856918901</t>
  </si>
  <si>
    <t>ADTO 12-20</t>
  </si>
  <si>
    <t xml:space="preserve"> 844092801</t>
  </si>
  <si>
    <t xml:space="preserve">                 844</t>
  </si>
  <si>
    <t xml:space="preserve"> 844130701</t>
  </si>
  <si>
    <t xml:space="preserve">                 846</t>
  </si>
  <si>
    <t xml:space="preserve"> 846350401</t>
  </si>
  <si>
    <t xml:space="preserve">               26058</t>
  </si>
  <si>
    <t xml:space="preserve"> 846351501</t>
  </si>
  <si>
    <t xml:space="preserve">               26063</t>
  </si>
  <si>
    <t xml:space="preserve"> 846351901</t>
  </si>
  <si>
    <t xml:space="preserve">               26064</t>
  </si>
  <si>
    <t xml:space="preserve"> 849069001</t>
  </si>
  <si>
    <t xml:space="preserve">               26066</t>
  </si>
  <si>
    <t xml:space="preserve"> 849086001</t>
  </si>
  <si>
    <t xml:space="preserve">               26075</t>
  </si>
  <si>
    <t xml:space="preserve"> 846052101</t>
  </si>
  <si>
    <t xml:space="preserve">               26001</t>
  </si>
  <si>
    <t xml:space="preserve"> 846052701</t>
  </si>
  <si>
    <t xml:space="preserve">               26004</t>
  </si>
  <si>
    <t xml:space="preserve"> 846054101</t>
  </si>
  <si>
    <t xml:space="preserve">               26007</t>
  </si>
  <si>
    <t xml:space="preserve"> 844241701</t>
  </si>
  <si>
    <t xml:space="preserve">               25899</t>
  </si>
  <si>
    <t xml:space="preserve"> 849088001</t>
  </si>
  <si>
    <t xml:space="preserve">               26078</t>
  </si>
  <si>
    <t xml:space="preserve"> 849090701</t>
  </si>
  <si>
    <t xml:space="preserve">               26087</t>
  </si>
  <si>
    <t xml:space="preserve"> 844244201</t>
  </si>
  <si>
    <t xml:space="preserve">               25904</t>
  </si>
  <si>
    <t xml:space="preserve"> 846057101</t>
  </si>
  <si>
    <t xml:space="preserve">               26014</t>
  </si>
  <si>
    <t xml:space="preserve"> 843707201</t>
  </si>
  <si>
    <t xml:space="preserve">               25847</t>
  </si>
  <si>
    <t xml:space="preserve"> 843708001</t>
  </si>
  <si>
    <t xml:space="preserve">               25853</t>
  </si>
  <si>
    <t xml:space="preserve"> 844228001</t>
  </si>
  <si>
    <t xml:space="preserve">               25889</t>
  </si>
  <si>
    <t xml:space="preserve"> 843839401</t>
  </si>
  <si>
    <t xml:space="preserve">               25867</t>
  </si>
  <si>
    <t xml:space="preserve"> 843839801</t>
  </si>
  <si>
    <t xml:space="preserve">               25868</t>
  </si>
  <si>
    <t xml:space="preserve"> 844274701</t>
  </si>
  <si>
    <t xml:space="preserve">               25981</t>
  </si>
  <si>
    <t xml:space="preserve"> 843853001</t>
  </si>
  <si>
    <t xml:space="preserve">               25872</t>
  </si>
  <si>
    <t xml:space="preserve"> 843853301</t>
  </si>
  <si>
    <t xml:space="preserve">               25873</t>
  </si>
  <si>
    <t xml:space="preserve"> 843855101</t>
  </si>
  <si>
    <t xml:space="preserve">               25876</t>
  </si>
  <si>
    <t xml:space="preserve"> 843861001</t>
  </si>
  <si>
    <t xml:space="preserve">               25884</t>
  </si>
  <si>
    <t xml:space="preserve"> 843861601</t>
  </si>
  <si>
    <t xml:space="preserve">               25885</t>
  </si>
  <si>
    <t xml:space="preserve"> 846347201</t>
  </si>
  <si>
    <t xml:space="preserve">               26046</t>
  </si>
  <si>
    <t xml:space="preserve"> 851078701</t>
  </si>
  <si>
    <t>ADTO 12-15</t>
  </si>
  <si>
    <t xml:space="preserve"> 823595501</t>
  </si>
  <si>
    <t xml:space="preserve"> BTG-04/15</t>
  </si>
  <si>
    <t>ADIANTAMENTO DESPESAS PORTUARIAS BTG PACTUAL.</t>
  </si>
  <si>
    <t xml:space="preserve"> 845608901</t>
  </si>
  <si>
    <t xml:space="preserve">ATUAL COMERCIO EXTERIOR LTDA - ME </t>
  </si>
  <si>
    <t xml:space="preserve">   1840787</t>
  </si>
  <si>
    <t>ADTO REF. CONFECÇÃO DE CARTÕES DE VISITA PARA DIRETORIA - SOLC. POR WENINSGTHON</t>
  </si>
  <si>
    <t xml:space="preserve"> 851576401</t>
  </si>
  <si>
    <t>MARIA APARECIDA DE OLIVEIRA DOS SANTOS</t>
  </si>
  <si>
    <t xml:space="preserve"> 839798501</t>
  </si>
  <si>
    <t xml:space="preserve"> 841501801</t>
  </si>
  <si>
    <t xml:space="preserve"> 856682801</t>
  </si>
  <si>
    <t xml:space="preserve">               30624</t>
  </si>
  <si>
    <t xml:space="preserve"> 856692601</t>
  </si>
  <si>
    <t xml:space="preserve">               30622</t>
  </si>
  <si>
    <t xml:space="preserve"> 845533901</t>
  </si>
  <si>
    <t>AERO SIAQ ADMINISTRADORA AEROPORTUARIA LTDA</t>
  </si>
  <si>
    <t xml:space="preserve">       307</t>
  </si>
  <si>
    <t>REF. NF 307 - AERO SIAQ - 40 LITROS DE GASOLINA AVIAÇÃO</t>
  </si>
  <si>
    <t xml:space="preserve"> 826242301</t>
  </si>
  <si>
    <t>CTA - CLEITON TAXI AEREO LTDA</t>
  </si>
  <si>
    <t>ADTO BANHE</t>
  </si>
  <si>
    <t>ADTO REF. COMPRA DE UM BANHEIRO PARA AERONAVE PRBBM - DERLI ENVIOU DADOS PARA EMISSÃO DA NF - 09/11</t>
  </si>
  <si>
    <t xml:space="preserve"> 841205101</t>
  </si>
  <si>
    <t>BRASIF S/A ADMINISTRAÇÃO E PARTICIPAÇÕES</t>
  </si>
  <si>
    <t>TROCA DE POR SOJA</t>
  </si>
  <si>
    <t xml:space="preserve"> 821531001</t>
  </si>
  <si>
    <t>CM15/05-ARZ</t>
  </si>
  <si>
    <t xml:space="preserve"> 843086301</t>
  </si>
  <si>
    <t>CM15/06-ARZ</t>
  </si>
  <si>
    <t>CM15/06-ARZ-A</t>
  </si>
  <si>
    <t xml:space="preserve"> 844216501</t>
  </si>
  <si>
    <t>CM15/07-ARZ</t>
  </si>
  <si>
    <t xml:space="preserve"> 844964901</t>
  </si>
  <si>
    <t>CM15/08-ARZ</t>
  </si>
  <si>
    <t>CM15/08-ARZ-A</t>
  </si>
  <si>
    <t xml:space="preserve"> 851173901</t>
  </si>
  <si>
    <t xml:space="preserve"> 827328301</t>
  </si>
  <si>
    <t>CM15/53-SJ</t>
  </si>
  <si>
    <t xml:space="preserve"> 841191501</t>
  </si>
  <si>
    <t xml:space="preserve"> 841207201</t>
  </si>
  <si>
    <t>15/05-SJ</t>
  </si>
  <si>
    <t xml:space="preserve"> 841962301</t>
  </si>
  <si>
    <t>15/06-SJ</t>
  </si>
  <si>
    <t>Em 21 de dezembro de 2015</t>
  </si>
  <si>
    <t>ADEMIR MARAFON E OUTROS Total</t>
  </si>
  <si>
    <t>AGROPECUARIA ITAUNA LTDA Total</t>
  </si>
  <si>
    <t>ALCINDO PEDRO TESTON Total</t>
  </si>
  <si>
    <t>BRASIF S/A ADMINISTRAÇÃO E PARTICIPAÇÕES Total</t>
  </si>
  <si>
    <t>GUILHERME ERSE MOREIRA MENDES Total</t>
  </si>
  <si>
    <t>PAULA ABREU BARCELLOS Total</t>
  </si>
  <si>
    <t xml:space="preserve">Em 21 de dezembro de 2015 </t>
  </si>
  <si>
    <t>Total Convertido em R$</t>
  </si>
  <si>
    <t>6,70% +VC</t>
  </si>
  <si>
    <t>Janeiro.2016</t>
  </si>
  <si>
    <t>Fevereiro.2016</t>
  </si>
  <si>
    <t>Março.2016</t>
  </si>
  <si>
    <t>Abril.2016</t>
  </si>
  <si>
    <t>Maio.2016</t>
  </si>
  <si>
    <t>Junho.2016</t>
  </si>
  <si>
    <t>Julho.2016</t>
  </si>
  <si>
    <t>Agosto.2016</t>
  </si>
  <si>
    <t>Setembro.2016</t>
  </si>
  <si>
    <t>Outubro.2016</t>
  </si>
  <si>
    <t>Novembro.2016</t>
  </si>
  <si>
    <t>Dezembro.2016</t>
  </si>
  <si>
    <t>João Paulo Nizer</t>
  </si>
  <si>
    <t>Tec. Contábil</t>
  </si>
  <si>
    <t>Sócio - Administrador</t>
  </si>
  <si>
    <t>CAT</t>
  </si>
  <si>
    <t>Volvo</t>
  </si>
  <si>
    <t>BBDAGR</t>
  </si>
  <si>
    <t>CNH1</t>
  </si>
  <si>
    <t>Metr</t>
  </si>
  <si>
    <t>Basa</t>
  </si>
  <si>
    <t>Cargill</t>
  </si>
  <si>
    <t>Lage1</t>
  </si>
  <si>
    <t>RBB</t>
  </si>
  <si>
    <t>CNH</t>
  </si>
  <si>
    <t>BJD1</t>
  </si>
  <si>
    <t>BJD</t>
  </si>
  <si>
    <t>BBD2</t>
  </si>
  <si>
    <t>BBDCCE</t>
  </si>
  <si>
    <t>BBD</t>
  </si>
  <si>
    <t>BBDGIRO</t>
  </si>
  <si>
    <t>itau BBA</t>
  </si>
  <si>
    <t>Em 31 de dezembro de 2015</t>
  </si>
  <si>
    <t>Clientes/Milho</t>
  </si>
  <si>
    <t>Clientes/Soja</t>
  </si>
  <si>
    <t>Quadro Projeção Safra 2016/2017</t>
  </si>
  <si>
    <t>Em 31 de dezembroo de 2014</t>
  </si>
  <si>
    <t>Insumos Bovinocultura</t>
  </si>
  <si>
    <t>7.35% a.a.+VC</t>
  </si>
  <si>
    <t>Faz JK, Comodoro MT</t>
  </si>
  <si>
    <t>Faz Saudades, Campos de Julio MT</t>
  </si>
  <si>
    <t>Faz Capivara, Cerejeiras RO</t>
  </si>
  <si>
    <t>MET LIFE</t>
  </si>
  <si>
    <t>dezembro.2015</t>
  </si>
  <si>
    <t>Quadro 19 - Contratos  Safra 15/16</t>
  </si>
  <si>
    <t>Clientes/Bovino</t>
  </si>
  <si>
    <t>Bovino p/ Abate</t>
  </si>
  <si>
    <t>@</t>
  </si>
  <si>
    <t>Quadro - Áreas e Unidades Produtivas</t>
  </si>
  <si>
    <t xml:space="preserve"> Quadro - Faturamento últimos 12 meses </t>
  </si>
  <si>
    <t>Em 10 de março de 2016, em R$</t>
  </si>
  <si>
    <t>Arroz</t>
  </si>
  <si>
    <t xml:space="preserve"> Quadro - Faturamento por Produto últimos 12 meses </t>
  </si>
  <si>
    <t>Total, em arrobas e em R$</t>
  </si>
  <si>
    <r>
      <rPr>
        <i/>
        <vertAlign val="superscript"/>
        <sz val="9"/>
        <color indexed="8"/>
        <rFont val="Kuro"/>
        <family val="3"/>
      </rPr>
      <t>(*)</t>
    </r>
    <r>
      <rPr>
        <i/>
        <sz val="9"/>
        <color indexed="8"/>
        <rFont val="Kuro"/>
        <family val="3"/>
      </rPr>
      <t>Claides Lazaretti Masutti e Outros, Agropecuária Masutti Ltda, Realeza Agricultura e Pecuária Ltda e Armazéns Gerais Campos de Júlio Ltda.</t>
    </r>
  </si>
  <si>
    <t xml:space="preserve">                 Quadro - Faturamento Anual Consolidado(*)</t>
  </si>
  <si>
    <t>Tec. Contabil</t>
  </si>
  <si>
    <t xml:space="preserve">   Quadro - Resumo Safra 2011/2012</t>
  </si>
  <si>
    <t xml:space="preserve">    Em 05 de agosto de 2015</t>
  </si>
  <si>
    <t>Quadro -  Resumo Safra 12/13</t>
  </si>
  <si>
    <t xml:space="preserve">  Quadro Safra 13/14</t>
  </si>
  <si>
    <t xml:space="preserve">  Em 05 de agosto de 2015</t>
  </si>
  <si>
    <t>3,0% a.a.</t>
  </si>
  <si>
    <t>Sec</t>
  </si>
  <si>
    <t>junho.2016</t>
  </si>
  <si>
    <t>julho.2016</t>
  </si>
  <si>
    <t>agosto.2016</t>
  </si>
  <si>
    <t>setembro.2016</t>
  </si>
  <si>
    <t>outubro.2016</t>
  </si>
  <si>
    <t>novembro.2016</t>
  </si>
  <si>
    <t>dezembro.2016</t>
  </si>
  <si>
    <t xml:space="preserve"> Quadro - Faturamento 2016 realizado</t>
  </si>
  <si>
    <t>total</t>
  </si>
  <si>
    <t>Em 30 de abril de 2016, em R$</t>
  </si>
  <si>
    <t xml:space="preserve">                     Em 30 de abril de 2016</t>
  </si>
  <si>
    <t>Em 22 de maio de 2016</t>
  </si>
  <si>
    <t>Em 23 de  maio de 2016, em R$ mil.</t>
  </si>
  <si>
    <t>01803</t>
  </si>
  <si>
    <t>01505</t>
  </si>
  <si>
    <t>BRUNO - 01757</t>
  </si>
  <si>
    <t>TAQUARA - 01759</t>
  </si>
  <si>
    <t>CARGO POD COMPLETO</t>
  </si>
  <si>
    <t>001139</t>
  </si>
  <si>
    <t>CARAVAN</t>
  </si>
  <si>
    <t>SEMEADEIRA SHOW SSP300</t>
  </si>
  <si>
    <t>001140</t>
  </si>
  <si>
    <t>001141</t>
  </si>
  <si>
    <t>001142</t>
  </si>
  <si>
    <t>ROCADEIRA HIDRAULICA JAN 180 TD II</t>
  </si>
  <si>
    <t>001143</t>
  </si>
  <si>
    <t>001144</t>
  </si>
  <si>
    <t>001145</t>
  </si>
  <si>
    <t>001146</t>
  </si>
  <si>
    <t>001147</t>
  </si>
  <si>
    <t>CAMINHONETE HILUX CD DSL 4X4 SRV AT VSC 15/16</t>
  </si>
  <si>
    <t>001148</t>
  </si>
  <si>
    <t>VOLNEI</t>
  </si>
  <si>
    <t>001149</t>
  </si>
  <si>
    <t>ETIOS HATCH AC 1.3 M/T 16/16</t>
  </si>
  <si>
    <t>001150</t>
  </si>
  <si>
    <t>ADILSON -02159</t>
  </si>
  <si>
    <t>001151</t>
  </si>
  <si>
    <t>CALADOR GRAOS ACO INOX - 2,10M</t>
  </si>
  <si>
    <t>001152</t>
  </si>
  <si>
    <t xml:space="preserve">HOMOGENEIZADOR GAMET </t>
  </si>
  <si>
    <t>001153</t>
  </si>
  <si>
    <t>MAQUINA SELECIONADORA ELETRONICA ARROZ</t>
  </si>
  <si>
    <t>001154</t>
  </si>
  <si>
    <t>001155</t>
  </si>
  <si>
    <t>ATOMIZADOR COSTAL GASOLINA 2T 3,3HP - 56,5CC</t>
  </si>
  <si>
    <t>001156</t>
  </si>
  <si>
    <t>MOTOBOMBA DIES AUTOE MBDA 10HP 4" PM</t>
  </si>
  <si>
    <t>001157</t>
  </si>
  <si>
    <t>001158</t>
  </si>
  <si>
    <t>BALANCA ELETRONICA 1.000 KG X 200G PLATAFORMA</t>
  </si>
  <si>
    <t>001159</t>
  </si>
  <si>
    <t>INDICADOR DE TEMPERATURA C/ CABOS SENSOR</t>
  </si>
  <si>
    <t>001160</t>
  </si>
  <si>
    <t>MOTO SEMEADORA MS-40</t>
  </si>
  <si>
    <t>001161</t>
  </si>
  <si>
    <t>001162</t>
  </si>
  <si>
    <t>MARCIO LISBOA</t>
  </si>
  <si>
    <t>004936</t>
  </si>
  <si>
    <t>BALCAO ITATIAIA PREMIUM 1.60MT IGIA BCO/PTO</t>
  </si>
  <si>
    <t>004937</t>
  </si>
  <si>
    <t>MESA FABONE CHICAGO 6 CAD. LISBOA 5701 PRETO/PRATA</t>
  </si>
  <si>
    <t>004938</t>
  </si>
  <si>
    <t>004939</t>
  </si>
  <si>
    <t>004940</t>
  </si>
  <si>
    <t>004941</t>
  </si>
  <si>
    <t>RH ESC.CENTRAL</t>
  </si>
  <si>
    <t>004942</t>
  </si>
  <si>
    <t>ARM.CANDEIAS</t>
  </si>
  <si>
    <t>004943</t>
  </si>
  <si>
    <t xml:space="preserve">JOSE L.PAVANI </t>
  </si>
  <si>
    <t>004944</t>
  </si>
  <si>
    <t xml:space="preserve">GABIATTI </t>
  </si>
  <si>
    <t>004945</t>
  </si>
  <si>
    <t>004946</t>
  </si>
  <si>
    <t>ARMZ.CEREJEIRAS</t>
  </si>
  <si>
    <t>IMPRESSORA ZEBRA PARA ETIQUETAS</t>
  </si>
  <si>
    <t>004947</t>
  </si>
  <si>
    <t>004948</t>
  </si>
  <si>
    <t>ARMZ.CANDEIAS</t>
  </si>
  <si>
    <t>CONDICIONADOR DE AR SPLIT 17.000 BTU</t>
  </si>
  <si>
    <t>004949</t>
  </si>
  <si>
    <t>004950</t>
  </si>
  <si>
    <t>DETECTOR GASES PORTATIL H2S/O2/LEL/CO</t>
  </si>
  <si>
    <t>004951</t>
  </si>
  <si>
    <t>SECADOR</t>
  </si>
  <si>
    <t>MONITOR 19.5"</t>
  </si>
  <si>
    <t>004952</t>
  </si>
  <si>
    <t>004953</t>
  </si>
  <si>
    <t>004954</t>
  </si>
  <si>
    <t>004955</t>
  </si>
  <si>
    <t xml:space="preserve">SECADOR </t>
  </si>
  <si>
    <t>BEBEDOURO INDUSTRIAL INOX 50 LITROS 220V</t>
  </si>
  <si>
    <t>004956</t>
  </si>
  <si>
    <t>004957</t>
  </si>
  <si>
    <t>004958</t>
  </si>
  <si>
    <t>ARMAZENS CEREJE</t>
  </si>
  <si>
    <t>REFRIGERADOR DOMESTICO 240LT</t>
  </si>
  <si>
    <t>004959</t>
  </si>
  <si>
    <t>004960</t>
  </si>
  <si>
    <t>004961</t>
  </si>
  <si>
    <t>BALCAO EM MDF 70X300 CM</t>
  </si>
  <si>
    <t>004962</t>
  </si>
  <si>
    <t>SERRA FITA MESA 1/2CV BSFM-1780 BRAESI BIVOLT</t>
  </si>
  <si>
    <t>004963</t>
  </si>
  <si>
    <t>BEBEDOURO IBBL COLUNA 127V GFN2000</t>
  </si>
  <si>
    <t>004964</t>
  </si>
  <si>
    <t>004965</t>
  </si>
  <si>
    <t>004966</t>
  </si>
  <si>
    <t>004967</t>
  </si>
  <si>
    <t>004968</t>
  </si>
  <si>
    <t>PORTO VELHO</t>
  </si>
  <si>
    <t>004969</t>
  </si>
  <si>
    <t>004970</t>
  </si>
  <si>
    <t>RACK ABERTO PADRAO 19" 44U PRETO C/ GUIA LATERAL</t>
  </si>
  <si>
    <t>004971</t>
  </si>
  <si>
    <t>SECADORES E MAQ. LIMPEZA</t>
  </si>
  <si>
    <t>BARRACÃO SEMENTEIRA(AMPLIAÇÃO EM ANDAMENTO)</t>
  </si>
  <si>
    <t>15419</t>
  </si>
  <si>
    <t>Em 23 de maio de 2016</t>
  </si>
  <si>
    <t xml:space="preserve">   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</si>
  <si>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</si>
  <si>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</si>
  <si>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</si>
  <si>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</si>
  <si>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</si>
  <si>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</si>
  <si>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</si>
  <si>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</si>
  <si>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</si>
  <si>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</si>
  <si>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</si>
  <si>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</si>
  <si>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</si>
  <si>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</si>
  <si>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</si>
  <si>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</si>
  <si>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</si>
  <si>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</si>
  <si>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</si>
  <si>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</si>
  <si>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</si>
  <si>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</si>
  <si>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</si>
  <si>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</si>
  <si>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</si>
  <si>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</si>
  <si>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</si>
  <si>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</si>
  <si>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</si>
  <si>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</si>
  <si>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</si>
  <si>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</si>
  <si>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</si>
  <si>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</si>
  <si>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</si>
  <si>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</si>
  <si>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</si>
  <si>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</si>
  <si>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</si>
  <si>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</si>
  <si>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</si>
  <si>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</si>
  <si>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</si>
  <si>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</si>
  <si>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</si>
  <si>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</si>
  <si>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</si>
  <si>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</si>
  <si>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Ciagram</t>
  </si>
  <si>
    <t>Armazens</t>
  </si>
  <si>
    <t>Quadro 14.1 - CAPEX 2016, em R$ mil.</t>
  </si>
  <si>
    <t>8,18% a.a.</t>
  </si>
  <si>
    <t>4.76%a.a + VC</t>
  </si>
  <si>
    <t>4.93% a.a.</t>
  </si>
  <si>
    <t>maio.2015</t>
  </si>
  <si>
    <t>janeiro.2016</t>
  </si>
  <si>
    <t>fevereiro.2016</t>
  </si>
  <si>
    <t>março.2016</t>
  </si>
  <si>
    <t>abril.2016</t>
  </si>
  <si>
    <t># Resumo Faturamento em mil R$</t>
  </si>
  <si>
    <t>Em 31 de março de 2016, em R$ mil</t>
  </si>
  <si>
    <t xml:space="preserve">              Quadro  -  Projeção de faturamento para 2016</t>
  </si>
  <si>
    <t xml:space="preserve">                    em 10 de maio de 2016 em R$</t>
  </si>
  <si>
    <t># Agropecuaria Masutti Ltda</t>
  </si>
  <si>
    <t>7,80% a.a+VC</t>
  </si>
  <si>
    <t>Agropecuaria Masutti Ltda</t>
  </si>
  <si>
    <t>Janeiro.2015</t>
  </si>
  <si>
    <t>Fevereiro.2015</t>
  </si>
  <si>
    <t>Março.2015</t>
  </si>
  <si>
    <t>Abril.2015</t>
  </si>
  <si>
    <t>Maio.2015</t>
  </si>
  <si>
    <t>Junho.2015</t>
  </si>
  <si>
    <t>Julho.2015</t>
  </si>
  <si>
    <t>Agosto.2015</t>
  </si>
  <si>
    <t>Setembro.2015</t>
  </si>
  <si>
    <t>Outubro.2015</t>
  </si>
  <si>
    <t>Novembro.2015</t>
  </si>
  <si>
    <t>Dezembro.2015</t>
  </si>
  <si>
    <t>Quadro  - Faturamento de 2015</t>
  </si>
  <si>
    <t>2019</t>
  </si>
  <si>
    <t>4,11% a.a.</t>
  </si>
  <si>
    <t>2,51% a.a</t>
  </si>
  <si>
    <t>8.56 %a.a. + VC</t>
  </si>
  <si>
    <t>5,50% a.a</t>
  </si>
  <si>
    <t>4,50% a.a</t>
  </si>
  <si>
    <t>6.72 % a.a. + VC</t>
  </si>
  <si>
    <t>2.88% a.a</t>
  </si>
  <si>
    <t>Fibra</t>
  </si>
  <si>
    <t>BB</t>
  </si>
  <si>
    <t>Curto prazo Até Dez/2016</t>
  </si>
  <si>
    <t>Até Dez2016</t>
  </si>
  <si>
    <t>2020/2025</t>
  </si>
  <si>
    <t>2020 a 2025</t>
  </si>
  <si>
    <t>Ago/Dez2016</t>
  </si>
  <si>
    <t>formula</t>
  </si>
  <si>
    <t>FORMULA</t>
  </si>
  <si>
    <t>S/ FORMULA</t>
  </si>
  <si>
    <t>Banco Pine S/A</t>
  </si>
  <si>
    <t>Pine</t>
  </si>
  <si>
    <t>NCE</t>
  </si>
  <si>
    <t>7..70% +VC</t>
  </si>
  <si>
    <t>U$</t>
  </si>
  <si>
    <t>x</t>
  </si>
  <si>
    <t>Em 05 de agosto de 2016</t>
  </si>
  <si>
    <t>Quadro 19 - Contratos  Safra 16/17</t>
  </si>
  <si>
    <t>Clientes/Algodão</t>
  </si>
  <si>
    <t>Kg</t>
  </si>
  <si>
    <t>ddd</t>
  </si>
  <si>
    <t>SILO RESF. COOL SEED 34,5M - 30,91 TON</t>
  </si>
  <si>
    <t>0001168</t>
  </si>
  <si>
    <t>0001169</t>
  </si>
  <si>
    <t>0001170</t>
  </si>
  <si>
    <t>0001177</t>
  </si>
  <si>
    <t>SOPRADOR 420</t>
  </si>
  <si>
    <t>01324</t>
  </si>
  <si>
    <t>00137</t>
  </si>
  <si>
    <t>00136</t>
  </si>
  <si>
    <t>00144</t>
  </si>
  <si>
    <t>001163</t>
  </si>
  <si>
    <t>02161</t>
  </si>
  <si>
    <t>EQUIP. AERACAO CONDIC. PCS 120 - 363,636</t>
  </si>
  <si>
    <t>001164</t>
  </si>
  <si>
    <t xml:space="preserve">BOMBA SUB.6"C/QCVBU </t>
  </si>
  <si>
    <t>001165</t>
  </si>
  <si>
    <t>POÇO ESTRADÃO</t>
  </si>
  <si>
    <t>REBOQUE/PRANCHA/RODOMOURA</t>
  </si>
  <si>
    <t>001166</t>
  </si>
  <si>
    <t>PRANCHA NOVA</t>
  </si>
  <si>
    <t>001167</t>
  </si>
  <si>
    <t>BARCO ALUMINIO 6MT CALACA</t>
  </si>
  <si>
    <t>001171</t>
  </si>
  <si>
    <t>BARCO ALUM 6MT</t>
  </si>
  <si>
    <t>001172</t>
  </si>
  <si>
    <t>BEBEDOURO 100 L</t>
  </si>
  <si>
    <t>IMPRESSORA COD. BARRAS L42 USB/SER</t>
  </si>
  <si>
    <t>001173</t>
  </si>
  <si>
    <t>SYMBOL KIT LI42</t>
  </si>
  <si>
    <t>FORNO TURBO ELETRICO PRP-2010 PROGAS</t>
  </si>
  <si>
    <t>001174</t>
  </si>
  <si>
    <t>FORNO PRP2010EN</t>
  </si>
  <si>
    <t>MONIOTOR LED PHILIPS</t>
  </si>
  <si>
    <t>004972</t>
  </si>
  <si>
    <t>JP NIZER</t>
  </si>
  <si>
    <t>FREEZER VERTICAL PORTA CEGA 567LT</t>
  </si>
  <si>
    <t>004973</t>
  </si>
  <si>
    <t>CAPIAVARA</t>
  </si>
  <si>
    <t>ROUPEIRO ACO GRP-16 CINZA 1990X1220X420MM</t>
  </si>
  <si>
    <t>004974</t>
  </si>
  <si>
    <t>CONG CONSUL 530 (519) CHB53C 2T #D</t>
  </si>
  <si>
    <t>004975</t>
  </si>
  <si>
    <t>CANTINA SAUDADE</t>
  </si>
  <si>
    <t>004976</t>
  </si>
  <si>
    <t>004978</t>
  </si>
  <si>
    <t>004979</t>
  </si>
  <si>
    <t>SALA LAYDSON</t>
  </si>
  <si>
    <t>004980</t>
  </si>
  <si>
    <t>FAZ. CAPIVARA</t>
  </si>
  <si>
    <t>LAVADORA ROUPA BRASTEMP ATIVE BWK11AB 11KG</t>
  </si>
  <si>
    <t>004981</t>
  </si>
  <si>
    <t>004982</t>
  </si>
  <si>
    <t>FAZ CAPIVARA</t>
  </si>
  <si>
    <t>004983</t>
  </si>
  <si>
    <t>004984</t>
  </si>
  <si>
    <t>M127FN-2Q-CZ181</t>
  </si>
  <si>
    <t>AR CONDICION JANELA SPRINGER CARRIE 10000BTU 127V</t>
  </si>
  <si>
    <t>004985</t>
  </si>
  <si>
    <t>AR CORND 10 MIL</t>
  </si>
  <si>
    <t>01175</t>
  </si>
  <si>
    <t xml:space="preserve">BALANÇA 2099 </t>
  </si>
  <si>
    <t>VENT EVAP ROTO 140 STANDARD M/F INVERSOR 600</t>
  </si>
  <si>
    <t>01176</t>
  </si>
  <si>
    <t xml:space="preserve">VENT.EVAP.ROTO </t>
  </si>
  <si>
    <t>TRANSFORMADOR 1500 VA</t>
  </si>
  <si>
    <t>4977</t>
  </si>
  <si>
    <t>Curto prazo 2017</t>
  </si>
  <si>
    <t>Longo prazo 2018 a 2025</t>
  </si>
  <si>
    <t>MISTURADOR DE DEFENSIVOS</t>
  </si>
  <si>
    <t>000064</t>
  </si>
  <si>
    <t>000103</t>
  </si>
  <si>
    <t>01601</t>
  </si>
  <si>
    <t>000117</t>
  </si>
  <si>
    <t>02925</t>
  </si>
  <si>
    <t>MUK P CAMINHÃO 5 T</t>
  </si>
  <si>
    <t>000139</t>
  </si>
  <si>
    <t>PARTES SISTEMA DE ARMAZENAGEM</t>
  </si>
  <si>
    <t>00015372</t>
  </si>
  <si>
    <t>15372</t>
  </si>
  <si>
    <t>000161</t>
  </si>
  <si>
    <t>TIRADOR DE BARRO</t>
  </si>
  <si>
    <t>000163</t>
  </si>
  <si>
    <t>02503</t>
  </si>
  <si>
    <t>000192</t>
  </si>
  <si>
    <t>02603</t>
  </si>
  <si>
    <t>000193</t>
  </si>
  <si>
    <t>02616</t>
  </si>
  <si>
    <t>000194</t>
  </si>
  <si>
    <t>000207</t>
  </si>
  <si>
    <t>000209</t>
  </si>
  <si>
    <t>OFICINA MECANIC</t>
  </si>
  <si>
    <t>000229</t>
  </si>
  <si>
    <t>000240</t>
  </si>
  <si>
    <t>000243</t>
  </si>
  <si>
    <t>GRADE TERRACIADORA DE ARRASTO</t>
  </si>
  <si>
    <t>000269</t>
  </si>
  <si>
    <t>FAZ SAUDADES..</t>
  </si>
  <si>
    <t>000324</t>
  </si>
  <si>
    <t>CARRETA TANQUE D'AGUA 4 EIXOS</t>
  </si>
  <si>
    <t>000364</t>
  </si>
  <si>
    <t>02903</t>
  </si>
  <si>
    <t>MOTOBOMBA JATO</t>
  </si>
  <si>
    <t>000365</t>
  </si>
  <si>
    <t xml:space="preserve">MAQUINA DESLOCAR PNEUS </t>
  </si>
  <si>
    <t>000368</t>
  </si>
  <si>
    <t>000380</t>
  </si>
  <si>
    <t>CONJUNTO DE BENEFICIAMENTO DE ALGODÃO 1</t>
  </si>
  <si>
    <t>000383</t>
  </si>
  <si>
    <t>CONJUNTO DE BENEFICIAMENTO DE ALGODÃO 2</t>
  </si>
  <si>
    <t>000384</t>
  </si>
  <si>
    <t>CONJUNTO DE BENEFICIAMENTO DE ALGODÃO 3</t>
  </si>
  <si>
    <t>000385</t>
  </si>
  <si>
    <t>CONJUNTO DE BENEFICIAMENTO DE ALGODÃO 4</t>
  </si>
  <si>
    <t>000386</t>
  </si>
  <si>
    <t>000388</t>
  </si>
  <si>
    <t>000389</t>
  </si>
  <si>
    <t>000390</t>
  </si>
  <si>
    <t>000391</t>
  </si>
  <si>
    <t>000406</t>
  </si>
  <si>
    <t xml:space="preserve">TRATADOR DE SEMENTES </t>
  </si>
  <si>
    <t>000432</t>
  </si>
  <si>
    <t>000488</t>
  </si>
  <si>
    <t>000492</t>
  </si>
  <si>
    <t>BOMBA PRESSÃO WAYNE</t>
  </si>
  <si>
    <t>000522</t>
  </si>
  <si>
    <t xml:space="preserve">MISTURADOR SEMENTES INOCULADORA </t>
  </si>
  <si>
    <t>000525</t>
  </si>
  <si>
    <t>000553</t>
  </si>
  <si>
    <t>FAZ PANTANAL.</t>
  </si>
  <si>
    <t>000554</t>
  </si>
  <si>
    <t>REBOQUE  BASCULANTE</t>
  </si>
  <si>
    <t>000560</t>
  </si>
  <si>
    <t>000562</t>
  </si>
  <si>
    <t>000567</t>
  </si>
  <si>
    <t>TORNO NARDINI (ANTIGO)</t>
  </si>
  <si>
    <t>000569</t>
  </si>
  <si>
    <t>000577</t>
  </si>
  <si>
    <t>000598</t>
  </si>
  <si>
    <t>FAZ JK.</t>
  </si>
  <si>
    <t>MAQUINA POLICORTE</t>
  </si>
  <si>
    <t>000600</t>
  </si>
  <si>
    <t>CARREGADOR DE BATERIA KITEC</t>
  </si>
  <si>
    <t>000603</t>
  </si>
  <si>
    <t>000740</t>
  </si>
  <si>
    <t>000741</t>
  </si>
  <si>
    <t>UNIDADE BENEFICIADORA DE SEMENTES</t>
  </si>
  <si>
    <t>000797</t>
  </si>
  <si>
    <t>TORRE AUTOPORTANTE</t>
  </si>
  <si>
    <t>000875</t>
  </si>
  <si>
    <t>001027</t>
  </si>
  <si>
    <t>001030</t>
  </si>
  <si>
    <t>01704</t>
  </si>
  <si>
    <t>AREA DE CRIAÇÃO GADO A PASTO - SANTA LUZIA</t>
  </si>
  <si>
    <t>0015362</t>
  </si>
  <si>
    <t>15362</t>
  </si>
  <si>
    <t>0015372</t>
  </si>
  <si>
    <t>MICRO COMPUTADOR SUPREME PREMIUM 220</t>
  </si>
  <si>
    <t>003003</t>
  </si>
  <si>
    <t>MESA SIMPLES COMPUTADOR</t>
  </si>
  <si>
    <t>003004</t>
  </si>
  <si>
    <t>003005</t>
  </si>
  <si>
    <t>CADEIRA SIMPLES BELO</t>
  </si>
  <si>
    <t>003007</t>
  </si>
  <si>
    <t>003008</t>
  </si>
  <si>
    <t>003012</t>
  </si>
  <si>
    <t>CADEIRA GIRATORIA BELLO</t>
  </si>
  <si>
    <t>003015</t>
  </si>
  <si>
    <t>ARMARIO ACO PASTA SUSPENSA</t>
  </si>
  <si>
    <t>003016</t>
  </si>
  <si>
    <t>COMPUTADOR DEL</t>
  </si>
  <si>
    <t>003017</t>
  </si>
  <si>
    <t>003018</t>
  </si>
  <si>
    <t>003019</t>
  </si>
  <si>
    <t>003020</t>
  </si>
  <si>
    <t>003021</t>
  </si>
  <si>
    <t>003028</t>
  </si>
  <si>
    <t>003037</t>
  </si>
  <si>
    <t>BEBEDOURO INOX 150 LT</t>
  </si>
  <si>
    <t>003042</t>
  </si>
  <si>
    <t>003047</t>
  </si>
  <si>
    <t>003049</t>
  </si>
  <si>
    <t>003050</t>
  </si>
  <si>
    <t>003053</t>
  </si>
  <si>
    <t>MESA MGP 1900 INOX</t>
  </si>
  <si>
    <t>003057</t>
  </si>
  <si>
    <t>PIA EM AÇO INOX PEQUENA</t>
  </si>
  <si>
    <t>003060</t>
  </si>
  <si>
    <t>003061</t>
  </si>
  <si>
    <t>TANQUE DE AÇO</t>
  </si>
  <si>
    <t>003064</t>
  </si>
  <si>
    <t>003067</t>
  </si>
  <si>
    <t>CALDEIRÃO A GAS 200 LT</t>
  </si>
  <si>
    <t>003068</t>
  </si>
  <si>
    <t>BUFFET TERMICO 6 CUBAS 220W</t>
  </si>
  <si>
    <t>003070</t>
  </si>
  <si>
    <t>MESA DE MADEIRA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</si>
  <si>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</si>
  <si>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</si>
  <si>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</si>
  <si>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</si>
  <si>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</si>
  <si>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</si>
  <si>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</si>
  <si>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</si>
  <si>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</si>
  <si>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CADEIRA GIRATORIA SEM BRAÇO</t>
  </si>
  <si>
    <t>003085</t>
  </si>
  <si>
    <t>CADEIRA SIMPLES SEM BRAÇO</t>
  </si>
  <si>
    <t>003086</t>
  </si>
  <si>
    <t>BANCO DE MADEIRA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</si>
  <si>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</si>
  <si>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</si>
  <si>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</si>
  <si>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</si>
  <si>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</si>
  <si>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</si>
  <si>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</si>
  <si>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</si>
  <si>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</si>
  <si>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</si>
  <si>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</si>
  <si>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003100</t>
  </si>
  <si>
    <t>003101</t>
  </si>
  <si>
    <t>003102</t>
  </si>
  <si>
    <t>003107</t>
  </si>
  <si>
    <t>MOEDOR DE CARNE INDUSTRIAL</t>
  </si>
  <si>
    <t>003121</t>
  </si>
  <si>
    <t>003124</t>
  </si>
  <si>
    <t>MESA PANIFICADORA MBR 015</t>
  </si>
  <si>
    <t>003125</t>
  </si>
  <si>
    <t>MESA PANIFICADORA</t>
  </si>
  <si>
    <t>003126</t>
  </si>
  <si>
    <t>003148</t>
  </si>
  <si>
    <t>003149</t>
  </si>
  <si>
    <t>003150</t>
  </si>
  <si>
    <t>MICRO COMPUTADOR DELL</t>
  </si>
  <si>
    <t>003151</t>
  </si>
  <si>
    <t>003152</t>
  </si>
  <si>
    <t>003153</t>
  </si>
  <si>
    <t xml:space="preserve">COFRE </t>
  </si>
  <si>
    <t>003155</t>
  </si>
  <si>
    <t>PRATELEIRA DE MADEIRA</t>
  </si>
  <si>
    <t>003161</t>
  </si>
  <si>
    <t>003164</t>
  </si>
  <si>
    <t>003166</t>
  </si>
  <si>
    <t>COMPUTADOR CULER MASTER</t>
  </si>
  <si>
    <t>003167</t>
  </si>
  <si>
    <t>003171</t>
  </si>
  <si>
    <t>003172</t>
  </si>
  <si>
    <t>003372</t>
  </si>
  <si>
    <t>003373</t>
  </si>
  <si>
    <t>003374</t>
  </si>
  <si>
    <t>MESA DE CLASSIFICAÇÃO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</si>
  <si>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</si>
  <si>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</si>
  <si>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</si>
  <si>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</si>
  <si>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</si>
  <si>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</si>
  <si>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</si>
  <si>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</si>
  <si>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003391</t>
  </si>
  <si>
    <t>BALCÃO MADEIRA</t>
  </si>
  <si>
    <t>003395</t>
  </si>
  <si>
    <t>003396</t>
  </si>
  <si>
    <t>003404</t>
  </si>
  <si>
    <t>003405</t>
  </si>
  <si>
    <t>003407</t>
  </si>
  <si>
    <t>003408</t>
  </si>
  <si>
    <t>COMPUTADOR SERVIDOR</t>
  </si>
  <si>
    <t>003409</t>
  </si>
  <si>
    <t>003410</t>
  </si>
  <si>
    <t>003411</t>
  </si>
  <si>
    <t>003413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</si>
  <si>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</si>
  <si>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</si>
  <si>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</si>
  <si>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</si>
  <si>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</si>
  <si>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</si>
  <si>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</si>
  <si>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</si>
  <si>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003495</t>
  </si>
  <si>
    <t>003505</t>
  </si>
  <si>
    <t>003506</t>
  </si>
  <si>
    <t>003507</t>
  </si>
  <si>
    <t>003508</t>
  </si>
  <si>
    <t>003509</t>
  </si>
  <si>
    <t>003511</t>
  </si>
  <si>
    <t>003514</t>
  </si>
  <si>
    <t>003515</t>
  </si>
  <si>
    <t>003516</t>
  </si>
  <si>
    <t>003518</t>
  </si>
  <si>
    <t>003519</t>
  </si>
  <si>
    <t>003520</t>
  </si>
  <si>
    <t>003522</t>
  </si>
  <si>
    <t>003523</t>
  </si>
  <si>
    <t>003526</t>
  </si>
  <si>
    <t>003528</t>
  </si>
  <si>
    <t>003534</t>
  </si>
  <si>
    <t>003536</t>
  </si>
  <si>
    <t>003537</t>
  </si>
  <si>
    <t>003542</t>
  </si>
  <si>
    <t>003543</t>
  </si>
  <si>
    <t>003544</t>
  </si>
  <si>
    <t>003545</t>
  </si>
  <si>
    <t>003546</t>
  </si>
  <si>
    <t>003555</t>
  </si>
  <si>
    <t>003556</t>
  </si>
  <si>
    <t>003557</t>
  </si>
  <si>
    <t>003561</t>
  </si>
  <si>
    <t>003568</t>
  </si>
  <si>
    <t>003569</t>
  </si>
  <si>
    <t>003570</t>
  </si>
  <si>
    <t>003572</t>
  </si>
  <si>
    <t>003573</t>
  </si>
  <si>
    <t>003574</t>
  </si>
  <si>
    <t>003594</t>
  </si>
  <si>
    <t>003605</t>
  </si>
  <si>
    <t xml:space="preserve">COMPUTADOR </t>
  </si>
  <si>
    <t>003609</t>
  </si>
  <si>
    <t>003622</t>
  </si>
  <si>
    <t>003623</t>
  </si>
  <si>
    <t>003630</t>
  </si>
  <si>
    <t>003631</t>
  </si>
  <si>
    <t>003636</t>
  </si>
  <si>
    <t>003637</t>
  </si>
  <si>
    <t>003638</t>
  </si>
  <si>
    <t>003639</t>
  </si>
  <si>
    <t>003640</t>
  </si>
  <si>
    <t>003641</t>
  </si>
  <si>
    <t>003643</t>
  </si>
  <si>
    <t>003647</t>
  </si>
  <si>
    <t>003649</t>
  </si>
  <si>
    <t>003650</t>
  </si>
  <si>
    <t>003654</t>
  </si>
  <si>
    <t>003655</t>
  </si>
  <si>
    <t>003657</t>
  </si>
  <si>
    <t>MESA TÉRMICA</t>
  </si>
  <si>
    <t>003681</t>
  </si>
  <si>
    <t>003682</t>
  </si>
  <si>
    <t>003701</t>
  </si>
  <si>
    <t>003764</t>
  </si>
  <si>
    <t>003765</t>
  </si>
  <si>
    <t>003766</t>
  </si>
  <si>
    <t>003770</t>
  </si>
  <si>
    <t xml:space="preserve">MICRO COMPUTADOR </t>
  </si>
  <si>
    <t>003771</t>
  </si>
  <si>
    <t>003773</t>
  </si>
  <si>
    <t>003776</t>
  </si>
  <si>
    <t>003797</t>
  </si>
  <si>
    <t>003813</t>
  </si>
  <si>
    <t>003845</t>
  </si>
  <si>
    <t>003846</t>
  </si>
  <si>
    <t>003847</t>
  </si>
  <si>
    <t>003848</t>
  </si>
  <si>
    <t xml:space="preserve">FAZ PANTANAL </t>
  </si>
  <si>
    <t>003849</t>
  </si>
  <si>
    <t>003866</t>
  </si>
  <si>
    <t>003867</t>
  </si>
  <si>
    <t>003868</t>
  </si>
  <si>
    <t>003870</t>
  </si>
  <si>
    <t>003877</t>
  </si>
  <si>
    <t>003885</t>
  </si>
  <si>
    <t>003886</t>
  </si>
  <si>
    <t>003887</t>
  </si>
  <si>
    <t>003888</t>
  </si>
  <si>
    <t>003892</t>
  </si>
  <si>
    <t>003893</t>
  </si>
  <si>
    <t>003894</t>
  </si>
  <si>
    <t>003906</t>
  </si>
  <si>
    <t>003907</t>
  </si>
  <si>
    <t>003908</t>
  </si>
  <si>
    <t>003909</t>
  </si>
  <si>
    <t>003910</t>
  </si>
  <si>
    <t>003911</t>
  </si>
  <si>
    <t>003912</t>
  </si>
  <si>
    <t>003923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</si>
  <si>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</si>
  <si>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</si>
  <si>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</si>
  <si>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</si>
  <si>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</si>
  <si>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</si>
  <si>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</si>
  <si>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</si>
  <si>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003958</t>
  </si>
  <si>
    <t>003960</t>
  </si>
  <si>
    <t>003961</t>
  </si>
  <si>
    <t>003962</t>
  </si>
  <si>
    <t>003966</t>
  </si>
  <si>
    <t>003968</t>
  </si>
  <si>
    <t>003969</t>
  </si>
  <si>
    <t>003970</t>
  </si>
  <si>
    <t>COFRE</t>
  </si>
  <si>
    <t>003975</t>
  </si>
  <si>
    <t>003981</t>
  </si>
  <si>
    <t>003982</t>
  </si>
  <si>
    <t>003983</t>
  </si>
  <si>
    <t>003986</t>
  </si>
  <si>
    <t>003987</t>
  </si>
  <si>
    <t>003988</t>
  </si>
  <si>
    <t>003990</t>
  </si>
  <si>
    <t>004009</t>
  </si>
  <si>
    <t>004012</t>
  </si>
  <si>
    <t>004013</t>
  </si>
  <si>
    <t>004014</t>
  </si>
  <si>
    <t>004015</t>
  </si>
  <si>
    <t>LICENCA ORACLE DATABASE STANDARD EDITION ONE</t>
  </si>
  <si>
    <t>004133</t>
  </si>
  <si>
    <t>CONJUNTO DE 40 LICENCAS DE TS</t>
  </si>
  <si>
    <t>004533</t>
  </si>
  <si>
    <t>LICENÇAS DE TS</t>
  </si>
  <si>
    <t>AMPLIACAO ALOJAMENTO E BANHEIRO</t>
  </si>
  <si>
    <t>015118</t>
  </si>
  <si>
    <t>15118</t>
  </si>
  <si>
    <t>BARRACAO DEFENSIVOS - REFORMA</t>
  </si>
  <si>
    <t>015121</t>
  </si>
  <si>
    <t>15121</t>
  </si>
  <si>
    <t>AREA DE COONFINAMENTO (AMPLIAÇÃO)</t>
  </si>
  <si>
    <t>015238</t>
  </si>
  <si>
    <t>15238</t>
  </si>
  <si>
    <t>BARRACÃO ALGODOEIRA(AMPLIAÇÃO)</t>
  </si>
  <si>
    <t>015252</t>
  </si>
  <si>
    <t>15252</t>
  </si>
  <si>
    <t>BARRCÃO PARA SEMENTES</t>
  </si>
  <si>
    <t>015268</t>
  </si>
  <si>
    <t>15268</t>
  </si>
  <si>
    <t>BARRACAO PARA SEMENTES</t>
  </si>
  <si>
    <t>0152681</t>
  </si>
  <si>
    <t xml:space="preserve">CASA LAVADOR ESTRUTURA METALICA COBERTURA </t>
  </si>
  <si>
    <t>015288</t>
  </si>
  <si>
    <t>15288</t>
  </si>
  <si>
    <t>PISO DE CONCRETO DA RAMPA DE MANUTENÇÃO</t>
  </si>
  <si>
    <t>015289</t>
  </si>
  <si>
    <t>15289</t>
  </si>
  <si>
    <t>CONJUNTO DE 3 CASAS</t>
  </si>
  <si>
    <t>015307</t>
  </si>
  <si>
    <t>15307</t>
  </si>
  <si>
    <t>CURRAL DE MANEJO - P19</t>
  </si>
  <si>
    <t>015361</t>
  </si>
  <si>
    <t>15361</t>
  </si>
  <si>
    <t>CURRAL DE MANEJO SANTA LUZIA</t>
  </si>
  <si>
    <t>015362</t>
  </si>
  <si>
    <t>CASA ANEXO A CASA RIO JURUENA</t>
  </si>
  <si>
    <t>015364</t>
  </si>
  <si>
    <t>15364</t>
  </si>
  <si>
    <t>ARMAZEM GRANELEIRO(AMPLIAÇÃO)</t>
  </si>
  <si>
    <t>015372</t>
  </si>
  <si>
    <t>ARMAZEM GRANELEIRO - AMPLIACAO</t>
  </si>
  <si>
    <t>015373</t>
  </si>
  <si>
    <t>15373</t>
  </si>
  <si>
    <t>SISTEMA DE IRRIGAÇÃO</t>
  </si>
  <si>
    <t>015402</t>
  </si>
  <si>
    <t>15402</t>
  </si>
  <si>
    <t>FAZENDA SAUDADES</t>
  </si>
  <si>
    <t>15001</t>
  </si>
  <si>
    <t>FAZENDA MARABA</t>
  </si>
  <si>
    <t>15002</t>
  </si>
  <si>
    <t>FAZENDA MASUTTI XXIV</t>
  </si>
  <si>
    <t>15003</t>
  </si>
  <si>
    <t>FAZENDA SAUDAVEL/PAIXAO VI</t>
  </si>
  <si>
    <t>15004</t>
  </si>
  <si>
    <t>FAZENDA SAUDAVEL</t>
  </si>
  <si>
    <t>15005</t>
  </si>
  <si>
    <t>FAZENDA PAIXAO II</t>
  </si>
  <si>
    <t>15006</t>
  </si>
  <si>
    <t>FAZENDA MASUTTI I</t>
  </si>
  <si>
    <t>15007</t>
  </si>
  <si>
    <t>FAZENDA MASUTTI V</t>
  </si>
  <si>
    <t>15008</t>
  </si>
  <si>
    <t>FAZENDA MASUTTI III</t>
  </si>
  <si>
    <t>15009</t>
  </si>
  <si>
    <t>FAZENDA MASUTTI II</t>
  </si>
  <si>
    <t>15010</t>
  </si>
  <si>
    <t>FAZENDA PAIXÃO III</t>
  </si>
  <si>
    <t>15011</t>
  </si>
  <si>
    <t>FAZENDA PAIXÃO IV</t>
  </si>
  <si>
    <t>15012</t>
  </si>
  <si>
    <t>FAZENDA JAVANEZA/PAIXAO I</t>
  </si>
  <si>
    <t>15013</t>
  </si>
  <si>
    <t>FAZENDA MASUTTI XXI</t>
  </si>
  <si>
    <t>15014</t>
  </si>
  <si>
    <t>FAZENDA SITIO DIVINO</t>
  </si>
  <si>
    <t>15015</t>
  </si>
  <si>
    <t>FAZENDA MASUTTI XXIII</t>
  </si>
  <si>
    <t>15016</t>
  </si>
  <si>
    <t>FAZENDA MASUTTI XX</t>
  </si>
  <si>
    <t>15017</t>
  </si>
  <si>
    <t>FAZENDA MASUTTI XXV</t>
  </si>
  <si>
    <t>15018</t>
  </si>
  <si>
    <t>15019</t>
  </si>
  <si>
    <t>FAZENDA MASUTTI XVIII</t>
  </si>
  <si>
    <t>15020</t>
  </si>
  <si>
    <t>FAZENDA XVII</t>
  </si>
  <si>
    <t>15021</t>
  </si>
  <si>
    <t>FAZENDA MASUTTI XXII</t>
  </si>
  <si>
    <t>15022</t>
  </si>
  <si>
    <t>FAZENDA MASUTTI VI</t>
  </si>
  <si>
    <t>15023</t>
  </si>
  <si>
    <t>FAZENDA MASUTTI XXVI</t>
  </si>
  <si>
    <t>15024</t>
  </si>
  <si>
    <t>FAZENDA MASUTTI XII</t>
  </si>
  <si>
    <t>15025</t>
  </si>
  <si>
    <t>FAZENDA N S. DAS GRAÇAS</t>
  </si>
  <si>
    <t>15026</t>
  </si>
  <si>
    <t>FAZENDA BENI</t>
  </si>
  <si>
    <t>15027</t>
  </si>
  <si>
    <t>FAZENDA BOA SORTE</t>
  </si>
  <si>
    <t>15028</t>
  </si>
  <si>
    <t>FAZENDA SIMON</t>
  </si>
  <si>
    <t>15029</t>
  </si>
  <si>
    <t>FAZENDA DA SILVA</t>
  </si>
  <si>
    <t>15030</t>
  </si>
  <si>
    <t>FAZENDA BUFFE</t>
  </si>
  <si>
    <t>15031</t>
  </si>
  <si>
    <t>FAZENDA DON RODRIGUES</t>
  </si>
  <si>
    <t>15032</t>
  </si>
  <si>
    <t>FAZENDA TESTA</t>
  </si>
  <si>
    <t>15033</t>
  </si>
  <si>
    <t>FAZENDA HORA CERTA</t>
  </si>
  <si>
    <t>15034</t>
  </si>
  <si>
    <t>FAZENDA PARANA</t>
  </si>
  <si>
    <t>15035</t>
  </si>
  <si>
    <t>FAZENDA DELAZZERI II</t>
  </si>
  <si>
    <t>15036</t>
  </si>
  <si>
    <t>FAZENDA CABIXI</t>
  </si>
  <si>
    <t>15037</t>
  </si>
  <si>
    <t>FAZENDA CABIXI I</t>
  </si>
  <si>
    <t>15038</t>
  </si>
  <si>
    <t>FAZENDA CABIXI II</t>
  </si>
  <si>
    <t>15039</t>
  </si>
  <si>
    <t>FAZENDA BARBIERO</t>
  </si>
  <si>
    <t>15040</t>
  </si>
  <si>
    <t>FAZENDA CAMAIURA</t>
  </si>
  <si>
    <t>15041</t>
  </si>
  <si>
    <t>FAZENDA MARIA/PAIXAO V</t>
  </si>
  <si>
    <t>15042</t>
  </si>
  <si>
    <t>FAZENDA XINGU</t>
  </si>
  <si>
    <t>15043</t>
  </si>
  <si>
    <t>FAZENDA CUMINS</t>
  </si>
  <si>
    <t>15045</t>
  </si>
  <si>
    <t>FAZENDA ARUANA</t>
  </si>
  <si>
    <t>15046</t>
  </si>
  <si>
    <t>FAZENDA TAPIRAPÉ</t>
  </si>
  <si>
    <t>15047</t>
  </si>
  <si>
    <t>FAZENDA TXUKARAMAE</t>
  </si>
  <si>
    <t>15048</t>
  </si>
  <si>
    <t>FAZENDA TUPA SECRETA</t>
  </si>
  <si>
    <t>15049</t>
  </si>
  <si>
    <t>FAZENDA IRACEMA</t>
  </si>
  <si>
    <t>15050</t>
  </si>
  <si>
    <t>FAZENDA JAQUELINE</t>
  </si>
  <si>
    <t>15051</t>
  </si>
  <si>
    <t>FAZENDA VALE REAL</t>
  </si>
  <si>
    <t>15052</t>
  </si>
  <si>
    <t>FAZENDA SUCUPIRA</t>
  </si>
  <si>
    <t>15053</t>
  </si>
  <si>
    <t>FAZENDA CAMBARA</t>
  </si>
  <si>
    <t>15054</t>
  </si>
  <si>
    <t>FAZENDA JK 03</t>
  </si>
  <si>
    <t>15055</t>
  </si>
  <si>
    <t>FAZENDA SGUAREZI</t>
  </si>
  <si>
    <t>15056</t>
  </si>
  <si>
    <t>FAZENDA FOLETO</t>
  </si>
  <si>
    <t>15057</t>
  </si>
  <si>
    <t>FAZENDA PARANAVAI</t>
  </si>
  <si>
    <t>15058</t>
  </si>
  <si>
    <t>FAZENDA JK</t>
  </si>
  <si>
    <t>15059</t>
  </si>
  <si>
    <t>15060</t>
  </si>
  <si>
    <t>FAZENDA JARINA</t>
  </si>
  <si>
    <t>15061</t>
  </si>
  <si>
    <t>FAZENDA SANTA IZABEL</t>
  </si>
  <si>
    <t>15062</t>
  </si>
  <si>
    <t>FAZENDA SAO JORGE</t>
  </si>
  <si>
    <t>15064</t>
  </si>
  <si>
    <t>FAZENDA PAPALEGUAS</t>
  </si>
  <si>
    <t>15065</t>
  </si>
  <si>
    <t>FAZENDA HARMONIA VI</t>
  </si>
  <si>
    <t>15066</t>
  </si>
  <si>
    <t>FAZENDA HARMONIA III</t>
  </si>
  <si>
    <t>15068</t>
  </si>
  <si>
    <t>FAZENDA HARMONIA II</t>
  </si>
  <si>
    <t>15069</t>
  </si>
  <si>
    <t>FAZENDA HARMONIA I</t>
  </si>
  <si>
    <t>15070</t>
  </si>
  <si>
    <t>FAZENDA AGUA BOA</t>
  </si>
  <si>
    <t>15071</t>
  </si>
  <si>
    <t>FAZENDA HARMONIA IV</t>
  </si>
  <si>
    <t>15072</t>
  </si>
  <si>
    <t>FAZENDA DEMOCRATA</t>
  </si>
  <si>
    <t>15073</t>
  </si>
  <si>
    <t>FAZENDA AGUA BOA I</t>
  </si>
  <si>
    <t>15074</t>
  </si>
  <si>
    <t>FAZENDA COCHILHA</t>
  </si>
  <si>
    <t>15075</t>
  </si>
  <si>
    <t>FAZENDA FOLETO II</t>
  </si>
  <si>
    <t>15076</t>
  </si>
  <si>
    <t>FAZENDA PAGLIARINI</t>
  </si>
  <si>
    <t>15078</t>
  </si>
  <si>
    <t>FAZENDA SANTA MARIA</t>
  </si>
  <si>
    <t>15079</t>
  </si>
  <si>
    <t>FAZENDA TREVISAN</t>
  </si>
  <si>
    <t>15080</t>
  </si>
  <si>
    <t>FAZENDA SÃO JOSÉ</t>
  </si>
  <si>
    <t>15081</t>
  </si>
  <si>
    <t>FAZENDA PAPALEGUAS-PARTE</t>
  </si>
  <si>
    <t>15082</t>
  </si>
  <si>
    <t>FAZENDA LARISA</t>
  </si>
  <si>
    <t>15083</t>
  </si>
  <si>
    <t>FAZENDA DELAZZERI I</t>
  </si>
  <si>
    <t>15084</t>
  </si>
  <si>
    <t>ABRIGO TANQUE DE COMBUSTIVEL</t>
  </si>
  <si>
    <t>15085</t>
  </si>
  <si>
    <t>AÇOUGUE EM ALVENARIA</t>
  </si>
  <si>
    <t>15086</t>
  </si>
  <si>
    <t>ARMAZEM (ANTIGO) CONST. MIXTA</t>
  </si>
  <si>
    <t>15087</t>
  </si>
  <si>
    <t>ARMAZEM GRANELEIRO</t>
  </si>
  <si>
    <t>15088</t>
  </si>
  <si>
    <t>BARRACAO DE ADUBOS</t>
  </si>
  <si>
    <t>15089</t>
  </si>
  <si>
    <t>BARRACAO DE MAQUINAS</t>
  </si>
  <si>
    <t>15090</t>
  </si>
  <si>
    <t>CAIXA DE AGUA METALICA</t>
  </si>
  <si>
    <t>15091</t>
  </si>
  <si>
    <t>15092</t>
  </si>
  <si>
    <t>CASA DA BOMBA</t>
  </si>
  <si>
    <t>15093</t>
  </si>
  <si>
    <t>ALOJAMENTO EM ALVENARIA</t>
  </si>
  <si>
    <t>15094</t>
  </si>
  <si>
    <t>CASA DO FUNCIONARIO</t>
  </si>
  <si>
    <t>15095</t>
  </si>
  <si>
    <t>CASA DE HOSPEDES</t>
  </si>
  <si>
    <t>15096</t>
  </si>
  <si>
    <t>CASA DOS CAMINHONEIROS</t>
  </si>
  <si>
    <t>15097</t>
  </si>
  <si>
    <t>GALINHEIRO</t>
  </si>
  <si>
    <t>15098</t>
  </si>
  <si>
    <t>GALPAO E OFICINA</t>
  </si>
  <si>
    <t>15099</t>
  </si>
  <si>
    <t>GARAGEM DO PESQUEIRO</t>
  </si>
  <si>
    <t>15100</t>
  </si>
  <si>
    <t>REPRESA</t>
  </si>
  <si>
    <t>15101</t>
  </si>
  <si>
    <t>PLATAFORMA DE LAVAGEM</t>
  </si>
  <si>
    <t>15102</t>
  </si>
  <si>
    <t>POCILGA DE CONCRETO</t>
  </si>
  <si>
    <t>15103</t>
  </si>
  <si>
    <t>PISTA DE POUSO</t>
  </si>
  <si>
    <t>15104</t>
  </si>
  <si>
    <t>POÇO SEMIARTESIANO</t>
  </si>
  <si>
    <t>15105</t>
  </si>
  <si>
    <t>QUADRA DE AREIA</t>
  </si>
  <si>
    <t>15106</t>
  </si>
  <si>
    <t>PESQUEIRO C/PLAT. FLUTUANTE</t>
  </si>
  <si>
    <t>15107</t>
  </si>
  <si>
    <t>RAMPA DE CONCRETO</t>
  </si>
  <si>
    <t>15108</t>
  </si>
  <si>
    <t>TANQUE DE AGUA METALICO</t>
  </si>
  <si>
    <t>15109</t>
  </si>
  <si>
    <t>VESTIARIO DO PESQUEIRO</t>
  </si>
  <si>
    <t>15110</t>
  </si>
  <si>
    <t>GALPAO DE DEFENSIVOS</t>
  </si>
  <si>
    <t>15111</t>
  </si>
  <si>
    <t>GUARITA EM ALVENARIA</t>
  </si>
  <si>
    <t>15112</t>
  </si>
  <si>
    <t>ABRIGO DO COMBUSTÍVEL</t>
  </si>
  <si>
    <t>15113</t>
  </si>
  <si>
    <t>CERCA</t>
  </si>
  <si>
    <t>15114</t>
  </si>
  <si>
    <t>ALMOXARIFADO</t>
  </si>
  <si>
    <t>15115</t>
  </si>
  <si>
    <t>ALOJAMENTO</t>
  </si>
  <si>
    <t>15116</t>
  </si>
  <si>
    <t>15117</t>
  </si>
  <si>
    <t>ARMAZÉM GRANELEIRO</t>
  </si>
  <si>
    <t>15119</t>
  </si>
  <si>
    <t>BAIAS DE ADUBO</t>
  </si>
  <si>
    <t>15120</t>
  </si>
  <si>
    <t>BARRACÃO DE SEMENTES</t>
  </si>
  <si>
    <t>AMPLIACAO BARRACAO DE SEMENTES</t>
  </si>
  <si>
    <t>15122</t>
  </si>
  <si>
    <t>BARRACAO DO ALMOXARIFADO E OFICINA</t>
  </si>
  <si>
    <t>15123</t>
  </si>
  <si>
    <t>CAIXA D'AGUA METALICA CILINDRICA</t>
  </si>
  <si>
    <t>15124</t>
  </si>
  <si>
    <t>CAMPO DE FUTEBOL GRAMADO</t>
  </si>
  <si>
    <t>15125</t>
  </si>
  <si>
    <t>AMPLIACAO E REFORMA CANTINA</t>
  </si>
  <si>
    <t>15126</t>
  </si>
  <si>
    <t>CASA DO GERADOR</t>
  </si>
  <si>
    <t>15127</t>
  </si>
  <si>
    <t>CASA DA ANTENA DE RADIOTRANSMISSÃO</t>
  </si>
  <si>
    <t>15128</t>
  </si>
  <si>
    <t>CASA DA COZINHEIRA</t>
  </si>
  <si>
    <t>15129</t>
  </si>
  <si>
    <t>CASAS DE FUNCIONÁIO</t>
  </si>
  <si>
    <t>15130</t>
  </si>
  <si>
    <t>DEPOSITO DE EMBALAGENS</t>
  </si>
  <si>
    <t>15131</t>
  </si>
  <si>
    <t>GALPÃO DE INSUMOS</t>
  </si>
  <si>
    <t>15132</t>
  </si>
  <si>
    <t>GARAGEM COBERTA</t>
  </si>
  <si>
    <t>15133</t>
  </si>
  <si>
    <t>PLATAFORMA DE LAVAGEM DE MAQUINARIOS</t>
  </si>
  <si>
    <t>15134</t>
  </si>
  <si>
    <t>15135</t>
  </si>
  <si>
    <t>15136</t>
  </si>
  <si>
    <t>GUARITA</t>
  </si>
  <si>
    <t>15137</t>
  </si>
  <si>
    <t>CASA DO LAVADOR</t>
  </si>
  <si>
    <t>15138</t>
  </si>
  <si>
    <t>SUBESTAÇÃO DE ENERGIA TRIFASICA</t>
  </si>
  <si>
    <t>15139</t>
  </si>
  <si>
    <t>TANQUE D"AGUA</t>
  </si>
  <si>
    <t>15140</t>
  </si>
  <si>
    <t>CASA DO GERENTE</t>
  </si>
  <si>
    <t>15141</t>
  </si>
  <si>
    <t>GARAGEM COM RAMPA DE TROCA DE OLEO</t>
  </si>
  <si>
    <t>15142</t>
  </si>
  <si>
    <t>DEPOSITO DE PECAS E INSUMOS</t>
  </si>
  <si>
    <t>15143</t>
  </si>
  <si>
    <t>CASA DE FUNCIONARIO</t>
  </si>
  <si>
    <t>15144</t>
  </si>
  <si>
    <t>15145</t>
  </si>
  <si>
    <t xml:space="preserve">AÇOUGUE </t>
  </si>
  <si>
    <t>15146</t>
  </si>
  <si>
    <t>15147</t>
  </si>
  <si>
    <t>GALINHEIRO E GARAGEM</t>
  </si>
  <si>
    <t>15148</t>
  </si>
  <si>
    <t>TORRE PARA TELEFONE</t>
  </si>
  <si>
    <t>15149</t>
  </si>
  <si>
    <t>15150</t>
  </si>
  <si>
    <t>COZINHA</t>
  </si>
  <si>
    <t>15151</t>
  </si>
  <si>
    <t>15152</t>
  </si>
  <si>
    <t>BARRACAO DE INSUMOS C/ALMOXARIFADO</t>
  </si>
  <si>
    <t>15153</t>
  </si>
  <si>
    <t>RAMPA DE LAVAGEM E TROCA DE OLEO</t>
  </si>
  <si>
    <t>15154</t>
  </si>
  <si>
    <t>COBERTURA DOS TANQUES DE COMBUSTIVEIS</t>
  </si>
  <si>
    <t>15155</t>
  </si>
  <si>
    <t>TANQUE DE AGUA DO LAVADOR</t>
  </si>
  <si>
    <t>15156</t>
  </si>
  <si>
    <t>GALPAO DEPOSITO DE TAMBORES</t>
  </si>
  <si>
    <t>15157</t>
  </si>
  <si>
    <t>CURRAL</t>
  </si>
  <si>
    <t>15158</t>
  </si>
  <si>
    <t>POCILGA</t>
  </si>
  <si>
    <t>15159</t>
  </si>
  <si>
    <t>GALPÃO DEPOSITO DE EMBALAGENS</t>
  </si>
  <si>
    <t>15160</t>
  </si>
  <si>
    <t>PISCINA</t>
  </si>
  <si>
    <t>15161</t>
  </si>
  <si>
    <t>15162</t>
  </si>
  <si>
    <t>CACIMBA</t>
  </si>
  <si>
    <t>15163</t>
  </si>
  <si>
    <t>CAIXA D'AGUA</t>
  </si>
  <si>
    <t>15164</t>
  </si>
  <si>
    <t>15165</t>
  </si>
  <si>
    <t>CASA DOS RAIZEIROS</t>
  </si>
  <si>
    <t>15166</t>
  </si>
  <si>
    <t>CANTINA - COZINHA</t>
  </si>
  <si>
    <t>15167</t>
  </si>
  <si>
    <t>COBERTURA DO GERADOR</t>
  </si>
  <si>
    <t>15168</t>
  </si>
  <si>
    <t>CASA SEDE</t>
  </si>
  <si>
    <t>15169</t>
  </si>
  <si>
    <t>FAZENDA SANTO ANTONIO</t>
  </si>
  <si>
    <t>15185</t>
  </si>
  <si>
    <t>15186</t>
  </si>
  <si>
    <t>FAZENDA GRAEBIN</t>
  </si>
  <si>
    <t>15187</t>
  </si>
  <si>
    <t>FAZENDA LETICIA</t>
  </si>
  <si>
    <t>15188</t>
  </si>
  <si>
    <t>FAZENDA DELAZZERI</t>
  </si>
  <si>
    <t>15189</t>
  </si>
  <si>
    <t>FAZENDA HARMONIA V</t>
  </si>
  <si>
    <t>15190</t>
  </si>
  <si>
    <t>FAZENDA ESPLANADA</t>
  </si>
  <si>
    <t>15191</t>
  </si>
  <si>
    <t>FAZENDA BOZ</t>
  </si>
  <si>
    <t>15192</t>
  </si>
  <si>
    <t>FAZENDA BAGDÁ</t>
  </si>
  <si>
    <t>15193</t>
  </si>
  <si>
    <t>FAZENDA GELEBA CORUMBIARA</t>
  </si>
  <si>
    <t>15194</t>
  </si>
  <si>
    <t>FAZENDA GLEBA CORUMBIARA I</t>
  </si>
  <si>
    <t>15195</t>
  </si>
  <si>
    <t>FAZENDA GLEBA CORUMBIARA II</t>
  </si>
  <si>
    <t>15196</t>
  </si>
  <si>
    <t>LOTE 03, QDA 24</t>
  </si>
  <si>
    <t>15197</t>
  </si>
  <si>
    <t>LOTE 04, QDA 13</t>
  </si>
  <si>
    <t>15198</t>
  </si>
  <si>
    <t>LOTE 04, QDA 24</t>
  </si>
  <si>
    <t>15199</t>
  </si>
  <si>
    <t>LOTE 05, QDA 13</t>
  </si>
  <si>
    <t>15200</t>
  </si>
  <si>
    <t>LOTE 05, QDA 24</t>
  </si>
  <si>
    <t>15201</t>
  </si>
  <si>
    <t>LOTE 06, QDA 24</t>
  </si>
  <si>
    <t>15202</t>
  </si>
  <si>
    <t>LOTE 06, QDA 28</t>
  </si>
  <si>
    <t>15203</t>
  </si>
  <si>
    <t>LOTE 07, QDA 24</t>
  </si>
  <si>
    <t>15204</t>
  </si>
  <si>
    <t>LOTE 08, QDA 15</t>
  </si>
  <si>
    <t>15205</t>
  </si>
  <si>
    <t>LOTE 08, QDA 24</t>
  </si>
  <si>
    <t>15206</t>
  </si>
  <si>
    <t>LOTE 09, QDA 15</t>
  </si>
  <si>
    <t>15207</t>
  </si>
  <si>
    <t>LOTE 09, QDA 24</t>
  </si>
  <si>
    <t>15209</t>
  </si>
  <si>
    <t>LOTE 10, QDA 21</t>
  </si>
  <si>
    <t>15210</t>
  </si>
  <si>
    <t>LOTE 11, QDA 13</t>
  </si>
  <si>
    <t>15211</t>
  </si>
  <si>
    <t>LOTE 11, QDA 19</t>
  </si>
  <si>
    <t>15212</t>
  </si>
  <si>
    <t>LOTE 12, QDA 13</t>
  </si>
  <si>
    <t>15213</t>
  </si>
  <si>
    <t>LOTE 13, QDA 24</t>
  </si>
  <si>
    <t>15214</t>
  </si>
  <si>
    <t>LOTE 14, QDA 24</t>
  </si>
  <si>
    <t>15215</t>
  </si>
  <si>
    <t>LOTE 15, QDA 13</t>
  </si>
  <si>
    <t>15216</t>
  </si>
  <si>
    <t>LOTE 16, QDA 13</t>
  </si>
  <si>
    <t>15217</t>
  </si>
  <si>
    <t>LOTE 17, QDA 13</t>
  </si>
  <si>
    <t>15218</t>
  </si>
  <si>
    <t>LOTE 18, QDA 13</t>
  </si>
  <si>
    <t>15219</t>
  </si>
  <si>
    <t>LOTE 19, QDA 13</t>
  </si>
  <si>
    <t>15220</t>
  </si>
  <si>
    <t>LOTE 20, QDA 13</t>
  </si>
  <si>
    <t>15221</t>
  </si>
  <si>
    <t>LOTE 21, QDA 13</t>
  </si>
  <si>
    <t>15222</t>
  </si>
  <si>
    <t>LOTE 22, QDA 13</t>
  </si>
  <si>
    <t>15223</t>
  </si>
  <si>
    <t>LOTE 23, QDA 13</t>
  </si>
  <si>
    <t>15224</t>
  </si>
  <si>
    <t>FAZENDA GLEBA CEDROBOM</t>
  </si>
  <si>
    <t>15228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</si>
  <si>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</si>
  <si>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</si>
  <si>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</si>
  <si>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</si>
  <si>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</si>
  <si>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</si>
  <si>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</si>
  <si>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</si>
  <si>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AREA DE CONFINAMENTO</t>
  </si>
  <si>
    <t>CURRAL DE MANEJO</t>
  </si>
  <si>
    <t>15239</t>
  </si>
  <si>
    <t>15240</t>
  </si>
  <si>
    <t>POCO SEMIARTESIANO</t>
  </si>
  <si>
    <t>15241</t>
  </si>
  <si>
    <t>RESERVATORIO CILINDRICO</t>
  </si>
  <si>
    <t>15242</t>
  </si>
  <si>
    <t>15243</t>
  </si>
  <si>
    <t>15244</t>
  </si>
  <si>
    <t>CURRAL DE MANEJO RACIONAL</t>
  </si>
  <si>
    <t>15245</t>
  </si>
  <si>
    <t>PISTA DE POUSO EM TERRA</t>
  </si>
  <si>
    <t>15246</t>
  </si>
  <si>
    <t>BARRACAO</t>
  </si>
  <si>
    <t>15247</t>
  </si>
  <si>
    <t>ABRIGO DE COMBUSTIVEL DE AERONAVES</t>
  </si>
  <si>
    <t>15248</t>
  </si>
  <si>
    <t>ABRIGO DE COMBUSTIVEL</t>
  </si>
  <si>
    <t>15249</t>
  </si>
  <si>
    <t>ABRIGO DE MATERIAIS</t>
  </si>
  <si>
    <t>15250</t>
  </si>
  <si>
    <t>15251</t>
  </si>
  <si>
    <t>GALPAO DA ALGODOEIRA</t>
  </si>
  <si>
    <t>15253</t>
  </si>
  <si>
    <t>15254</t>
  </si>
  <si>
    <t>15255</t>
  </si>
  <si>
    <t>15256</t>
  </si>
  <si>
    <t>GALPÃO DA MOEGA</t>
  </si>
  <si>
    <t>15257</t>
  </si>
  <si>
    <t>15258</t>
  </si>
  <si>
    <t>15259</t>
  </si>
  <si>
    <t>BANHEIRO DO ARMAZEM</t>
  </si>
  <si>
    <t>15260</t>
  </si>
  <si>
    <t>GALPÃO DA FUNILARIA</t>
  </si>
  <si>
    <t>15261</t>
  </si>
  <si>
    <t xml:space="preserve">GALPÃO DA OFICINA </t>
  </si>
  <si>
    <t>15262</t>
  </si>
  <si>
    <t>BARRACAO DA OFICINA</t>
  </si>
  <si>
    <t>15263</t>
  </si>
  <si>
    <t>15264</t>
  </si>
  <si>
    <t>BARRACAO DE PULVERIZADORES</t>
  </si>
  <si>
    <t>15265</t>
  </si>
  <si>
    <t>BARRACÃO DO HANGAR</t>
  </si>
  <si>
    <t>15266</t>
  </si>
  <si>
    <t>GALPÃO DE DEFENSIVOS</t>
  </si>
  <si>
    <t>15267</t>
  </si>
  <si>
    <t>GALPÃO DE MAQUINARIOS</t>
  </si>
  <si>
    <t>15269</t>
  </si>
  <si>
    <t>15270</t>
  </si>
  <si>
    <t>15271</t>
  </si>
  <si>
    <t>CAMPO DE FUTEBOL</t>
  </si>
  <si>
    <t>15272</t>
  </si>
  <si>
    <t>15273</t>
  </si>
  <si>
    <t>15274</t>
  </si>
  <si>
    <t>15275</t>
  </si>
  <si>
    <t>15276</t>
  </si>
  <si>
    <t>DEPOSITO DE FIBRILAS</t>
  </si>
  <si>
    <t>15278</t>
  </si>
  <si>
    <t>15279</t>
  </si>
  <si>
    <t>15281</t>
  </si>
  <si>
    <t>GUARITA 2</t>
  </si>
  <si>
    <t>15282</t>
  </si>
  <si>
    <t>15283</t>
  </si>
  <si>
    <t>BARRACAO BORRACHARIA (ANT JAT AR)</t>
  </si>
  <si>
    <t>15284</t>
  </si>
  <si>
    <t>LAVANDERIA</t>
  </si>
  <si>
    <t>15285</t>
  </si>
  <si>
    <t>15286</t>
  </si>
  <si>
    <t>15287</t>
  </si>
  <si>
    <t>CASA DO RADIADOR</t>
  </si>
  <si>
    <t>RAMPA DE MANUTENÇÃO DE MAQUINARIOS</t>
  </si>
  <si>
    <t>RESIDENCIAS DE FUNCIONARIOS</t>
  </si>
  <si>
    <t>15290</t>
  </si>
  <si>
    <t>RESIDENCIAS DE FUNCIONARIOS 34</t>
  </si>
  <si>
    <t>SUBESTAÇÃO DE BAIXA TENSÃO</t>
  </si>
  <si>
    <t>15291</t>
  </si>
  <si>
    <t>TANQUE DE DESCARTE DE OLEO</t>
  </si>
  <si>
    <t>15292</t>
  </si>
  <si>
    <t>15293</t>
  </si>
  <si>
    <t>PISTA DE POUSO EM TERRA BATIDA</t>
  </si>
  <si>
    <t>15294</t>
  </si>
  <si>
    <t>GALPÃO DA U.B.S.</t>
  </si>
  <si>
    <t>15295</t>
  </si>
  <si>
    <t>GALPÃO DA U.B.S. (EM CONSTRUÇÃO)</t>
  </si>
  <si>
    <t>15296</t>
  </si>
  <si>
    <t>ACOUGUE</t>
  </si>
  <si>
    <t>15297</t>
  </si>
  <si>
    <t>TORRE PARA ANTENA DE RADIOTRANSMISSÃO</t>
  </si>
  <si>
    <t>15298</t>
  </si>
  <si>
    <t>GALPÃO DE ADUBOS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</si>
  <si>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</si>
  <si>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</si>
  <si>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</si>
  <si>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</si>
  <si>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</si>
  <si>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</si>
  <si>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</si>
  <si>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</si>
  <si>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CONJ. 3 CASAS DE FUNCIONARIOS</t>
  </si>
  <si>
    <t>AMPLIACAO ESPACO FISICO EM 2012</t>
  </si>
  <si>
    <t>15308</t>
  </si>
  <si>
    <t>15309</t>
  </si>
  <si>
    <t>15310</t>
  </si>
  <si>
    <t>15311</t>
  </si>
  <si>
    <t>15312</t>
  </si>
  <si>
    <t>SELEIRO</t>
  </si>
  <si>
    <t>15313</t>
  </si>
  <si>
    <t>15314</t>
  </si>
  <si>
    <t>15315</t>
  </si>
  <si>
    <t>15316</t>
  </si>
  <si>
    <t>CASA DE FUNCIONÁRIO</t>
  </si>
  <si>
    <t>15317</t>
  </si>
  <si>
    <t>CASA DE ABASTECIMENTO DE AGROTOXICOS</t>
  </si>
  <si>
    <t>15318</t>
  </si>
  <si>
    <t xml:space="preserve">PISTA DE POUSO </t>
  </si>
  <si>
    <t>15319</t>
  </si>
  <si>
    <t>GALPÃO</t>
  </si>
  <si>
    <t>15320</t>
  </si>
  <si>
    <t>BARRACÃO</t>
  </si>
  <si>
    <t>15321</t>
  </si>
  <si>
    <t>15322</t>
  </si>
  <si>
    <t>15323</t>
  </si>
  <si>
    <t>15324</t>
  </si>
  <si>
    <t>BAIA DOS CAVALOS</t>
  </si>
  <si>
    <t>15325</t>
  </si>
  <si>
    <t>15326</t>
  </si>
  <si>
    <t>15327</t>
  </si>
  <si>
    <t>15328</t>
  </si>
  <si>
    <t>CASA DE FUNCIONARIO (02)</t>
  </si>
  <si>
    <t>15329</t>
  </si>
  <si>
    <t>15330</t>
  </si>
  <si>
    <t>15331</t>
  </si>
  <si>
    <t>15332</t>
  </si>
  <si>
    <t>CASA DE FUNCIONARIO (03)</t>
  </si>
  <si>
    <t>15333</t>
  </si>
  <si>
    <t>15334</t>
  </si>
  <si>
    <t>COCHO DE SAL PARA GADO</t>
  </si>
  <si>
    <t>15335</t>
  </si>
  <si>
    <t>15336</t>
  </si>
  <si>
    <t>FAZENDA PANTANAL</t>
  </si>
  <si>
    <t>15337</t>
  </si>
  <si>
    <t>FAZENDA VENTANIA-2</t>
  </si>
  <si>
    <t>15338</t>
  </si>
  <si>
    <t>FAZENDA CAPIVARA</t>
  </si>
  <si>
    <t>15339</t>
  </si>
  <si>
    <t>FAZENDA CAPIVARA 2</t>
  </si>
  <si>
    <t>15340</t>
  </si>
  <si>
    <t>FAZENDA CAPIVARA 3</t>
  </si>
  <si>
    <t>15341</t>
  </si>
  <si>
    <t>FAZENDA CAPIVARA 4</t>
  </si>
  <si>
    <t>15342</t>
  </si>
  <si>
    <t>FAZENDA CAPIVARA 5</t>
  </si>
  <si>
    <t>15343</t>
  </si>
  <si>
    <t>FAZENDA CAPIVARA 6</t>
  </si>
  <si>
    <t>15344</t>
  </si>
  <si>
    <t>FAZENDA COLORADO</t>
  </si>
  <si>
    <t>15345</t>
  </si>
  <si>
    <t>FAZENDA CHARRUA</t>
  </si>
  <si>
    <t>15346</t>
  </si>
  <si>
    <t>2110</t>
  </si>
  <si>
    <t>15347</t>
  </si>
  <si>
    <t>FAZENDA SORANSO</t>
  </si>
  <si>
    <t>2111</t>
  </si>
  <si>
    <t>15348</t>
  </si>
  <si>
    <t>FAZENDA OURO VERDE</t>
  </si>
  <si>
    <t>2112</t>
  </si>
  <si>
    <t>15349</t>
  </si>
  <si>
    <t>FAZENDA MARIOTTI</t>
  </si>
  <si>
    <t>2113</t>
  </si>
  <si>
    <t>FAZENDA TRIUNFO 1</t>
  </si>
  <si>
    <t>15350</t>
  </si>
  <si>
    <t>FAZENDA TRIUNFO 2</t>
  </si>
  <si>
    <t>15351</t>
  </si>
  <si>
    <t>FAZENDA TRIUNFO 3</t>
  </si>
  <si>
    <t>15352</t>
  </si>
  <si>
    <t>FAZENDA TRIUNFO 4</t>
  </si>
  <si>
    <t>15353</t>
  </si>
  <si>
    <t>FAZENDA TRIUNFO 5</t>
  </si>
  <si>
    <t>15354</t>
  </si>
  <si>
    <t>FAZENDA TRIUNFO 6</t>
  </si>
  <si>
    <t>15355</t>
  </si>
  <si>
    <t>CERCA DE ARAME MARABA</t>
  </si>
  <si>
    <t>15360</t>
  </si>
  <si>
    <t>AREA DE CRIACAO DE GADO A PASTO</t>
  </si>
  <si>
    <t>PASTO 19</t>
  </si>
  <si>
    <t>CURRAL DE MANEJO - STA LUZIA</t>
  </si>
  <si>
    <t>SANTA LUZIA</t>
  </si>
  <si>
    <t>CASA RIO JURUENA</t>
  </si>
  <si>
    <t>BARRACAO OFICINA -ESTOFARIA</t>
  </si>
  <si>
    <t>15365</t>
  </si>
  <si>
    <t>15366</t>
  </si>
  <si>
    <t>TORRE RADIOTRANSMISSÃO JOHN DEERE</t>
  </si>
  <si>
    <t>15367</t>
  </si>
  <si>
    <t>HIDRANTES ALGODOEIRA</t>
  </si>
  <si>
    <t>15368</t>
  </si>
  <si>
    <t>PLATAFORMA ENLONAMENTO CARGA DE ALGODÃO</t>
  </si>
  <si>
    <t>15369</t>
  </si>
  <si>
    <t>BARRACÃO CAROÇO DE ALGODÃO</t>
  </si>
  <si>
    <t>15370</t>
  </si>
  <si>
    <t>PARTES DE SISTEMA DE ARMAZENAGEM DE GRAOS(DESMONTADO)</t>
  </si>
  <si>
    <t>15371</t>
  </si>
  <si>
    <t>SISTEMA DE ARMAZENAGEM DE GRAOS(FINAL)</t>
  </si>
  <si>
    <t>15374</t>
  </si>
  <si>
    <t>FORMAÇÃO DE PASTAGENS (COMPRA SEMENTES)</t>
  </si>
  <si>
    <t>15375</t>
  </si>
  <si>
    <t>FORMAÇÃO DE PASTAGENS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</si>
  <si>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</si>
  <si>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</si>
  <si>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</si>
  <si>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</si>
  <si>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</si>
  <si>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</si>
  <si>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</si>
  <si>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</si>
  <si>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</si>
  <si>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15386</t>
  </si>
  <si>
    <t>15387</t>
  </si>
  <si>
    <t>15388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</si>
  <si>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</si>
  <si>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</si>
  <si>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</si>
  <si>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</si>
  <si>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</si>
  <si>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</si>
  <si>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</si>
  <si>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</si>
  <si>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SILOS METALICO(EM CONSTRUÇÃO)</t>
  </si>
  <si>
    <t>153970</t>
  </si>
  <si>
    <t>15398</t>
  </si>
  <si>
    <t>15399</t>
  </si>
  <si>
    <t>15400</t>
  </si>
  <si>
    <t>15401</t>
  </si>
  <si>
    <t>15403</t>
  </si>
  <si>
    <t>15404</t>
  </si>
  <si>
    <t>15405</t>
  </si>
  <si>
    <t>15406</t>
  </si>
  <si>
    <t>AREA DE CRIACAO DE GADO A PASTO - MASUTTI 3</t>
  </si>
  <si>
    <t>15407</t>
  </si>
  <si>
    <t>MASUTTI 3</t>
  </si>
  <si>
    <t>PONTO DE APOIO P/ MOTORISTAS GUARITA 1</t>
  </si>
  <si>
    <t>15408</t>
  </si>
  <si>
    <t>BARRACAO BASE OPERACIONAL APLICACAO AEREA</t>
  </si>
  <si>
    <t>15409</t>
  </si>
  <si>
    <t>BENEFICIADORA DE SEMENTE (AMPLIAÇÃO)</t>
  </si>
  <si>
    <t>15410</t>
  </si>
  <si>
    <t>RAMPA DE MANUTENCAO DE MAQUINAS</t>
  </si>
  <si>
    <t>15416</t>
  </si>
  <si>
    <t>ARMAZEM DE GRAOS COMPLETO</t>
  </si>
  <si>
    <t>15417</t>
  </si>
  <si>
    <t>BENEFICIADORA DE SEMENTES</t>
  </si>
  <si>
    <t>15418</t>
  </si>
  <si>
    <t>03-ARMAZEM CANDEIAS</t>
  </si>
  <si>
    <t>LOTE URBANO N.37 J2 - C/20.165,80 M2.</t>
  </si>
  <si>
    <t>15420</t>
  </si>
  <si>
    <t>IMOVEL URBANO 120.000 M2</t>
  </si>
  <si>
    <t>15421</t>
  </si>
  <si>
    <t>INVESTIMENTO ABERTURA DE AREAS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</si>
  <si>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</si>
  <si>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</si>
  <si>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</si>
  <si>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</si>
  <si>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</si>
  <si>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</si>
  <si>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</si>
  <si>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</si>
  <si>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US$: 1,00 para R$: 3,1743</t>
  </si>
  <si>
    <t>Em 15 de agosto de 2016, por mês, em R$ mil</t>
  </si>
  <si>
    <t>Em 31 de julho de 2016 em R$ mil</t>
  </si>
  <si>
    <t>Em 22 de agosto de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</si>
</sst>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5" formatCode="_-&quot; &quot;\ * #,##0.00_-;\-&quot; &quot;\ * #,##0.00_-;_-&quot; &quot;\ * &quot;-&quot;??_-;_-@_-"/>
    <numFmt numFmtId="166" formatCode="_-* #,##0.00_-;\-* #,##0.00_-;_-* \-??_-;_-@_-"/>
    <numFmt numFmtId="167" formatCode="_-* #,##0_-;\-* #,##0_-;_-* \-??_-;_-@_-"/>
    <numFmt numFmtId="168" formatCode="dd\ /\ mmmm\ /\ yyyy"/>
    <numFmt numFmtId="169" formatCode="[$$-409]#,##0.00_ ;\-[$$-409]#,##0.00\ "/>
    <numFmt numFmtId="170" formatCode="[$$-409]#,##0_ ;\-[$$-409]#,##0\ "/>
    <numFmt numFmtId="171" formatCode="_-[$R$-416]\ * #,##0_-;\-[$R$-416]\ * #,##0_-;_-[$R$-416]\ * \-??_-;_-@_-"/>
    <numFmt numFmtId="172" formatCode="[$R$-416]\ #,##0;\-[$R$-416]\ #,##0"/>
    <numFmt numFmtId="173" formatCode="[$R$-416]\ #,##0.00;\-[$R$-416]\ #,##0.00"/>
    <numFmt numFmtId="174" formatCode="0.0000"/>
    <numFmt numFmtId="175" formatCode="_-* #,##0.0000_-;\-* #,##0.0000_-;_-* \-??_-;_-@_-"/>
    <numFmt numFmtId="176" formatCode="dd\-mmm\-yy;@"/>
    <numFmt numFmtId="177" formatCode="#,##0\ ;&quot; (&quot;#,##0\);&quot; -&quot;#\ ;@\ "/>
    <numFmt numFmtId="178" formatCode="mmm\-yy;@"/>
    <numFmt numFmtId="179" formatCode="#,##0.00_ ;[Red]\-#,##0.00\ "/>
    <numFmt numFmtId="180" formatCode="0.0%"/>
    <numFmt numFmtId="181" formatCode="#,##0.00_ ;[Red]\-#,##0.00&quot; &quot;"/>
    <numFmt numFmtId="182" formatCode="dd/mm/yy;@"/>
    <numFmt numFmtId="183" formatCode="_-* #,##0_-;\-* #,##0_-;_-* &quot;-&quot;??_-;_-@_-"/>
    <numFmt numFmtId="184" formatCode="00"/>
    <numFmt numFmtId="185" formatCode="_(&quot;R$ &quot;* #\,##0\.00_);_(&quot;R$ &quot;* \(#\,##0\.00\);_(&quot;R$ &quot;* &quot;-&quot;??_);_(@_)"/>
    <numFmt numFmtId="186" formatCode="_(* #\,##0\.00_);_(* \(#\,##0\.00\);_(* &quot;-&quot;??_);_(@_)"/>
    <numFmt numFmtId="187" formatCode="#,##0.00000"/>
    <numFmt numFmtId="188" formatCode="_-[$$-409]* #,##0.00_ ;_-[$$-409]* \-#,##0.00\ ;_-[$$-409]* &quot;-&quot;??_ ;_-@_ "/>
    <numFmt numFmtId="189" formatCode="mmm\-yyyy"/>
    <numFmt numFmtId="190" formatCode="_-[$R$-416]\ * #,##0.00_-;\-[$R$-416]\ * #,##0.00_-;_-[$R$-416]\ * &quot;-&quot;??_-;_-@_-"/>
    <numFmt numFmtId="191" formatCode="0.000"/>
    <numFmt numFmtId="192" formatCode="_-&quot; &quot;\ * #,##0_-;\-&quot; &quot;\ * #,##0_-;_-&quot; &quot;\ * &quot;-&quot;??_-;_-@_-"/>
    <numFmt numFmtId="193" formatCode="[$-F800]dddd\,\ mmmm\ dd\,\ yyyy"/>
    <numFmt numFmtId="194" formatCode="dd/mm/yyyy\ hh:mm:ss"/>
    <numFmt numFmtId="195" formatCode="_-[$$-409]* #,##0.00000_ ;_-[$$-409]* \-#,##0.00000\ ;_-[$$-409]* &quot;-&quot;??_ ;_-@_ "/>
    <numFmt numFmtId="196" formatCode="_-[$R$-416]\ * #,##0.0000_-;\-[$R$-416]\ * #,##0.0000_-;_-[$R$-416]\ * &quot;-&quot;??_-;_-@_-"/>
  </numFmts>
  <fonts count="122">
    <font>
      <sz val="11"/>
      <color indexed="8"/>
      <name val="Calibri"/>
      <family val="2"/>
    </font>
    <font>
      <sz val="10"/>
      <name val="Arial"/>
    </font>
    <font>
      <sz val="10"/>
      <color indexed="8"/>
      <name val="Arial1"/>
    </font>
    <font>
      <b/>
      <sz val="11"/>
      <color indexed="8"/>
      <name val="Calibri"/>
      <family val="2"/>
    </font>
    <font>
      <i/>
      <u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Myriad Pro"/>
      <family val="2"/>
    </font>
    <font>
      <b/>
      <sz val="18"/>
      <color indexed="8"/>
      <name val="Myriad Pro"/>
      <family val="2"/>
    </font>
    <font>
      <b/>
      <sz val="14"/>
      <color indexed="8"/>
      <name val="Myriad Pro"/>
      <family val="2"/>
    </font>
    <font>
      <b/>
      <sz val="11"/>
      <color indexed="8"/>
      <name val="Myriad Pro"/>
      <family val="2"/>
    </font>
    <font>
      <i/>
      <sz val="10"/>
      <color indexed="8"/>
      <name val="Myriad Pro"/>
      <family val="2"/>
    </font>
    <font>
      <b/>
      <sz val="12"/>
      <color indexed="8"/>
      <name val="Myriad Pro"/>
      <family val="2"/>
    </font>
    <font>
      <sz val="11"/>
      <name val="Myriad Pro"/>
      <family val="2"/>
    </font>
    <font>
      <b/>
      <sz val="11"/>
      <color indexed="10"/>
      <name val="Myriad Pro"/>
      <family val="2"/>
    </font>
    <font>
      <sz val="11"/>
      <color indexed="10"/>
      <name val="Myriad Pro"/>
      <family val="2"/>
    </font>
    <font>
      <b/>
      <sz val="12"/>
      <name val="Myriad Pro"/>
      <family val="2"/>
    </font>
    <font>
      <sz val="12"/>
      <color indexed="9"/>
      <name val="Myriad Pro"/>
      <family val="2"/>
    </font>
    <font>
      <sz val="12"/>
      <color indexed="8"/>
      <name val="Myriad Pro"/>
      <family val="2"/>
    </font>
    <font>
      <sz val="12"/>
      <name val="Myriad Pro"/>
      <family val="2"/>
    </font>
    <font>
      <b/>
      <sz val="22"/>
      <color indexed="8"/>
      <name val="Myriad Pro"/>
      <family val="2"/>
    </font>
    <font>
      <sz val="10"/>
      <color indexed="8"/>
      <name val="Myriad Pro"/>
      <family val="2"/>
    </font>
    <font>
      <u/>
      <sz val="11"/>
      <name val="Myriad Pro"/>
      <family val="2"/>
    </font>
    <font>
      <sz val="10"/>
      <name val="Arial"/>
      <family val="2"/>
    </font>
    <font>
      <sz val="11"/>
      <color indexed="8"/>
      <name val="Myriad Pro"/>
    </font>
    <font>
      <sz val="11"/>
      <name val="MyRIAD PRO"/>
    </font>
    <font>
      <b/>
      <sz val="11"/>
      <color indexed="8"/>
      <name val="Myriad Pro"/>
    </font>
    <font>
      <sz val="11"/>
      <color indexed="8"/>
      <name val="Calibri"/>
      <family val="2"/>
    </font>
    <font>
      <sz val="11"/>
      <color indexed="8"/>
      <name val="Helvetica-Normal"/>
    </font>
    <font>
      <b/>
      <sz val="14"/>
      <color indexed="8"/>
      <name val="Helvetica-Normal"/>
    </font>
    <font>
      <b/>
      <sz val="12"/>
      <color indexed="8"/>
      <name val="Helvetica-Normal"/>
    </font>
    <font>
      <b/>
      <sz val="11"/>
      <color indexed="8"/>
      <name val="Helvetica-Normal"/>
    </font>
    <font>
      <b/>
      <sz val="22"/>
      <color indexed="8"/>
      <name val="Helvetica Neue"/>
      <charset val="1"/>
    </font>
    <font>
      <sz val="12"/>
      <color indexed="9"/>
      <name val="Helvetica-Normal"/>
    </font>
    <font>
      <sz val="11"/>
      <name val="Helvetica-Normal"/>
    </font>
    <font>
      <sz val="12"/>
      <name val="Helvetica-Normal"/>
    </font>
    <font>
      <sz val="12"/>
      <color indexed="8"/>
      <name val="Helvetica-Normal"/>
    </font>
    <font>
      <b/>
      <sz val="18"/>
      <color indexed="8"/>
      <name val="Helvetica-Normal"/>
    </font>
    <font>
      <sz val="11"/>
      <color indexed="8"/>
      <name val="Kuro"/>
      <family val="3"/>
    </font>
    <font>
      <b/>
      <sz val="12"/>
      <color indexed="8"/>
      <name val="Kuro"/>
      <family val="3"/>
    </font>
    <font>
      <b/>
      <sz val="11"/>
      <color indexed="8"/>
      <name val="Kuro"/>
      <family val="3"/>
    </font>
    <font>
      <sz val="11"/>
      <name val="Kuro"/>
      <family val="3"/>
    </font>
    <font>
      <sz val="12"/>
      <name val="Kuro"/>
      <family val="3"/>
    </font>
    <font>
      <sz val="12"/>
      <color indexed="8"/>
      <name val="Kuro"/>
      <family val="3"/>
    </font>
    <font>
      <u/>
      <sz val="11"/>
      <color indexed="8"/>
      <name val="Kuro"/>
      <family val="3"/>
    </font>
    <font>
      <b/>
      <sz val="14"/>
      <name val="Kuro"/>
      <family val="3"/>
    </font>
    <font>
      <b/>
      <sz val="14"/>
      <color indexed="8"/>
      <name val="Kuro"/>
      <family val="3"/>
    </font>
    <font>
      <sz val="8"/>
      <color indexed="8"/>
      <name val="Kuro"/>
      <family val="3"/>
    </font>
    <font>
      <sz val="11"/>
      <color indexed="8"/>
      <name val="Kuro Medium"/>
      <family val="3"/>
    </font>
    <font>
      <b/>
      <sz val="22"/>
      <color indexed="8"/>
      <name val="Kuro Medium"/>
      <family val="3"/>
    </font>
    <font>
      <b/>
      <sz val="11"/>
      <color indexed="8"/>
      <name val="Kuro Medium"/>
      <family val="3"/>
    </font>
    <font>
      <sz val="12"/>
      <color indexed="8"/>
      <name val="Kuro Medium"/>
      <family val="3"/>
    </font>
    <font>
      <sz val="8"/>
      <name val="Kuro Medium"/>
      <family val="3"/>
    </font>
    <font>
      <sz val="14"/>
      <name val="Kuro DemiBold"/>
      <family val="3"/>
    </font>
    <font>
      <sz val="12"/>
      <name val="Kuro DemiBold"/>
      <family val="3"/>
    </font>
    <font>
      <sz val="12"/>
      <color indexed="9"/>
      <name val="Kuro"/>
      <family val="3"/>
    </font>
    <font>
      <sz val="10"/>
      <name val="Kuro Medium"/>
      <family val="3"/>
    </font>
    <font>
      <sz val="10"/>
      <color indexed="8"/>
      <name val="Kuro Medium"/>
      <family val="3"/>
    </font>
    <font>
      <sz val="10"/>
      <color indexed="8"/>
      <name val="Kuro"/>
      <family val="3"/>
    </font>
    <font>
      <b/>
      <sz val="22"/>
      <color indexed="8"/>
      <name val="Kuro"/>
      <family val="3"/>
    </font>
    <font>
      <i/>
      <sz val="10"/>
      <color indexed="8"/>
      <name val="Kuro"/>
      <family val="3"/>
    </font>
    <font>
      <sz val="14"/>
      <color indexed="8"/>
      <name val="Kuro"/>
      <family val="3"/>
    </font>
    <font>
      <sz val="9"/>
      <color indexed="8"/>
      <name val="Kuro"/>
      <family val="3"/>
    </font>
    <font>
      <b/>
      <sz val="10"/>
      <color indexed="8"/>
      <name val="Kuro"/>
      <family val="3"/>
    </font>
    <font>
      <i/>
      <sz val="9"/>
      <color indexed="8"/>
      <name val="Kuro"/>
      <family val="3"/>
    </font>
    <font>
      <i/>
      <vertAlign val="superscript"/>
      <sz val="9"/>
      <color indexed="8"/>
      <name val="Kuro"/>
      <family val="3"/>
    </font>
    <font>
      <sz val="11"/>
      <color indexed="9"/>
      <name val="Kuro"/>
      <family val="3"/>
    </font>
    <font>
      <b/>
      <sz val="12"/>
      <color indexed="9"/>
      <name val="Kuro"/>
      <family val="3"/>
    </font>
    <font>
      <b/>
      <sz val="11"/>
      <color indexed="9"/>
      <name val="Kuro"/>
      <family val="3"/>
    </font>
    <font>
      <b/>
      <i/>
      <sz val="10"/>
      <color indexed="8"/>
      <name val="Kuro"/>
      <family val="3"/>
    </font>
    <font>
      <sz val="11"/>
      <color indexed="10"/>
      <name val="Kuro"/>
      <family val="3"/>
    </font>
    <font>
      <b/>
      <sz val="12"/>
      <name val="Kuro"/>
      <family val="3"/>
    </font>
    <font>
      <sz val="8"/>
      <name val="Kuro"/>
      <family val="3"/>
    </font>
    <font>
      <sz val="10"/>
      <name val="Kuro"/>
      <family val="3"/>
    </font>
    <font>
      <b/>
      <sz val="10"/>
      <name val="Kuro"/>
      <family val="3"/>
    </font>
    <font>
      <sz val="10"/>
      <color indexed="9"/>
      <name val="Kuro"/>
      <family val="3"/>
    </font>
    <font>
      <b/>
      <sz val="18"/>
      <color indexed="8"/>
      <name val="Kuro"/>
      <family val="3"/>
    </font>
    <font>
      <u/>
      <sz val="11"/>
      <name val="Kuro"/>
      <family val="3"/>
    </font>
    <font>
      <u val="singleAccounting"/>
      <sz val="11"/>
      <color indexed="8"/>
      <name val="Kuro"/>
      <family val="3"/>
    </font>
    <font>
      <sz val="10"/>
      <color indexed="64"/>
      <name val="Arial"/>
      <family val="2"/>
    </font>
    <font>
      <b/>
      <sz val="10"/>
      <color indexed="64"/>
      <name val="Microsoft Sans Serif"/>
      <family val="2"/>
    </font>
    <font>
      <sz val="10"/>
      <color indexed="64"/>
      <name val="Microsoft Sans Serif"/>
      <family val="2"/>
    </font>
    <font>
      <b/>
      <sz val="10"/>
      <color indexed="8"/>
      <name val="Myriad Pro"/>
      <family val="2"/>
    </font>
    <font>
      <sz val="11"/>
      <color theme="1"/>
      <name val="Calibri"/>
      <family val="2"/>
      <scheme val="minor"/>
    </font>
    <font>
      <sz val="12"/>
      <color theme="1"/>
      <name val="Myriad Pro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0"/>
      <name val="Myriad Pro"/>
      <family val="2"/>
    </font>
    <font>
      <sz val="12"/>
      <color theme="0"/>
      <name val="Myriad Pro"/>
      <family val="2"/>
    </font>
    <font>
      <b/>
      <sz val="11"/>
      <color theme="1"/>
      <name val="Calibri"/>
      <family val="2"/>
    </font>
    <font>
      <sz val="8"/>
      <color rgb="FFFF0000"/>
      <name val="Arial"/>
      <family val="2"/>
    </font>
    <font>
      <sz val="11"/>
      <color theme="1"/>
      <name val="Myriad Pro"/>
      <family val="2"/>
    </font>
    <font>
      <sz val="11"/>
      <color theme="0" tint="-4.9989318521683403E-2"/>
      <name val="Myriad pro"/>
    </font>
    <font>
      <sz val="11"/>
      <color theme="0"/>
      <name val="Myriad pro"/>
    </font>
    <font>
      <sz val="11"/>
      <color theme="1"/>
      <name val="Myriad Pro"/>
    </font>
    <font>
      <b/>
      <sz val="11"/>
      <color theme="0"/>
      <name val="Calibri"/>
      <family val="2"/>
    </font>
    <font>
      <sz val="12"/>
      <color theme="0"/>
      <name val="Helvetica-Normal"/>
    </font>
    <font>
      <sz val="11"/>
      <color theme="1"/>
      <name val="Helvetica-Normal"/>
    </font>
    <font>
      <sz val="11"/>
      <color theme="1"/>
      <name val="Kuro"/>
      <family val="3"/>
    </font>
    <font>
      <sz val="12"/>
      <color theme="0"/>
      <name val="Kuro"/>
      <family val="3"/>
    </font>
    <font>
      <b/>
      <sz val="14"/>
      <color theme="1" tint="0.34998626667073579"/>
      <name val="Kuro"/>
      <family val="3"/>
    </font>
    <font>
      <b/>
      <sz val="11"/>
      <color theme="1" tint="0.34998626667073579"/>
      <name val="Kuro"/>
      <family val="3"/>
    </font>
    <font>
      <sz val="12"/>
      <color theme="0"/>
      <name val="Kuro Bold"/>
      <family val="3"/>
    </font>
    <font>
      <sz val="14"/>
      <color theme="1" tint="0.34998626667073579"/>
      <name val="Kuro DemiBold"/>
      <family val="3"/>
    </font>
    <font>
      <sz val="12"/>
      <color theme="1" tint="0.34998626667073579"/>
      <name val="Kuro DemiBold"/>
      <family val="3"/>
    </font>
    <font>
      <sz val="12"/>
      <color theme="0"/>
      <name val="Kuro DemiBold"/>
      <family val="3"/>
    </font>
    <font>
      <sz val="12"/>
      <color theme="1" tint="0.34998626667073579"/>
      <name val="Kuro Medium"/>
      <family val="3"/>
    </font>
    <font>
      <sz val="12"/>
      <color theme="0" tint="-4.9989318521683403E-2"/>
      <name val="Kuro Medium"/>
      <family val="3"/>
    </font>
    <font>
      <sz val="11"/>
      <color theme="1"/>
      <name val="Kuro Medium"/>
      <family val="3"/>
    </font>
    <font>
      <sz val="10"/>
      <color theme="0" tint="-4.9989318521683403E-2"/>
      <name val="Kuro Medium"/>
      <family val="3"/>
    </font>
    <font>
      <sz val="10"/>
      <color theme="0"/>
      <name val="Kuro DemiBold"/>
      <family val="3"/>
    </font>
    <font>
      <sz val="11"/>
      <color theme="0"/>
      <name val="Kuro"/>
      <family val="3"/>
    </font>
    <font>
      <b/>
      <sz val="12"/>
      <color theme="0"/>
      <name val="Kuro"/>
      <family val="3"/>
    </font>
    <font>
      <b/>
      <sz val="10"/>
      <color theme="0"/>
      <name val="Kuro"/>
      <family val="3"/>
    </font>
    <font>
      <sz val="10"/>
      <color theme="0"/>
      <name val="Kuro"/>
      <family val="3"/>
    </font>
    <font>
      <sz val="10"/>
      <color rgb="FF0000FF"/>
      <name val="Kuro"/>
      <family val="3"/>
    </font>
    <font>
      <sz val="10"/>
      <color theme="1"/>
      <name val="Kuro"/>
      <family val="3"/>
    </font>
    <font>
      <b/>
      <sz val="11"/>
      <color theme="1"/>
      <name val="Kuro"/>
      <family val="3"/>
    </font>
    <font>
      <b/>
      <u val="singleAccounting"/>
      <sz val="10"/>
      <color theme="0"/>
      <name val="Kuro"/>
      <family val="3"/>
    </font>
    <font>
      <sz val="10"/>
      <color rgb="FF0000FF"/>
      <name val="Arial"/>
      <family val="2"/>
    </font>
    <font>
      <sz val="11"/>
      <color rgb="FF0000FF"/>
      <name val="Calibri"/>
      <family val="2"/>
    </font>
    <font>
      <sz val="11"/>
      <color rgb="FF0000FF"/>
      <name val="Kuro"/>
      <family val="3"/>
    </font>
    <font>
      <b/>
      <sz val="11"/>
      <color theme="0"/>
      <name val="Kuro"/>
      <family val="3"/>
    </font>
  </fonts>
  <fills count="2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indexed="23"/>
      </patternFill>
    </fill>
    <fill>
      <patternFill patternType="solid">
        <fgColor rgb="FF008080"/>
        <bgColor indexed="64"/>
      </patternFill>
    </fill>
    <fill>
      <patternFill patternType="solid">
        <fgColor rgb="FF004442"/>
        <bgColor indexed="64"/>
      </patternFill>
    </fill>
    <fill>
      <patternFill patternType="solid">
        <fgColor rgb="FF008080"/>
        <bgColor indexed="5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4442"/>
        <bgColor indexed="55"/>
      </patternFill>
    </fill>
    <fill>
      <patternFill patternType="solid">
        <fgColor theme="0" tint="-4.9989318521683403E-2"/>
        <bgColor indexed="55"/>
      </patternFill>
    </fill>
    <fill>
      <patternFill patternType="solid">
        <fgColor rgb="FF008080"/>
        <bgColor indexed="3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23"/>
      </patternFill>
    </fill>
    <fill>
      <patternFill patternType="solid">
        <fgColor rgb="FF004442"/>
        <bgColor indexed="59"/>
      </patternFill>
    </fill>
    <fill>
      <patternFill patternType="solid">
        <fgColor rgb="FF008080"/>
        <bgColor indexed="23"/>
      </patternFill>
    </fill>
    <fill>
      <patternFill patternType="solid">
        <fgColor theme="0" tint="-4.9989318521683403E-2"/>
        <bgColor indexed="31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55"/>
      </patternFill>
    </fill>
    <fill>
      <patternFill patternType="solid">
        <fgColor theme="0" tint="-4.9989318521683403E-2"/>
        <bgColor theme="4" tint="0.79998168889431442"/>
      </patternFill>
    </fill>
    <fill>
      <patternFill patternType="solid">
        <fgColor theme="0" tint="-0.14999847407452621"/>
        <bgColor indexed="31"/>
      </patternFill>
    </fill>
    <fill>
      <patternFill patternType="solid">
        <fgColor theme="0"/>
        <bgColor indexed="31"/>
      </patternFill>
    </fill>
  </fills>
  <borders count="53">
    <border>
      <left/>
      <right/>
      <top/>
      <bottom/>
      <diagonal/>
    </border>
    <border>
      <left/>
      <right/>
      <top style="medium">
        <color indexed="8"/>
      </top>
      <bottom/>
      <diagonal/>
    </border>
    <border>
      <left/>
      <right/>
      <top/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 style="medium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9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9"/>
      </top>
      <bottom/>
      <diagonal/>
    </border>
    <border>
      <left style="thin">
        <color indexed="9"/>
      </left>
      <right/>
      <top style="thin">
        <color indexed="9"/>
      </top>
      <bottom style="thin">
        <color rgb="FF999999"/>
      </bottom>
      <diagonal/>
    </border>
    <border>
      <left style="thin">
        <color indexed="9"/>
      </left>
      <right style="thin">
        <color rgb="FF999999"/>
      </right>
      <top style="thin">
        <color indexed="9"/>
      </top>
      <bottom style="thin">
        <color rgb="FF999999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n">
        <color theme="0"/>
      </left>
      <right style="medium">
        <color theme="0"/>
      </right>
      <top style="thin">
        <color theme="0"/>
      </top>
      <bottom style="thin">
        <color theme="0"/>
      </bottom>
      <diagonal/>
    </border>
  </borders>
  <cellStyleXfs count="118">
    <xf numFmtId="0" fontId="0" fillId="0" borderId="0"/>
    <xf numFmtId="0" fontId="2" fillId="0" borderId="0">
      <alignment vertical="top"/>
    </xf>
    <xf numFmtId="165" fontId="1" fillId="0" borderId="0" applyFill="0" applyBorder="0" applyAlignment="0" applyProtection="0"/>
    <xf numFmtId="185" fontId="22" fillId="0" borderId="0" applyFont="0" applyFill="0" applyBorder="0" applyAlignment="0" applyProtection="0"/>
    <xf numFmtId="165" fontId="1" fillId="0" borderId="0" applyFill="0" applyBorder="0" applyAlignment="0" applyProtection="0"/>
    <xf numFmtId="165" fontId="22" fillId="0" borderId="0" applyFill="0" applyBorder="0" applyAlignment="0" applyProtection="0"/>
    <xf numFmtId="165" fontId="22" fillId="0" borderId="0" applyFill="0" applyBorder="0" applyAlignment="0" applyProtection="0"/>
    <xf numFmtId="165" fontId="22" fillId="0" borderId="0" applyFill="0" applyBorder="0" applyAlignment="0" applyProtection="0"/>
    <xf numFmtId="165" fontId="1" fillId="0" borderId="0" applyFill="0" applyBorder="0" applyAlignment="0" applyProtection="0"/>
    <xf numFmtId="185" fontId="22" fillId="0" borderId="0" applyFont="0" applyFill="0" applyBorder="0" applyAlignment="0" applyProtection="0"/>
    <xf numFmtId="44" fontId="82" fillId="0" borderId="0" applyFont="0" applyFill="0" applyBorder="0" applyAlignment="0" applyProtection="0"/>
    <xf numFmtId="165" fontId="22" fillId="0" borderId="0" applyFill="0" applyBorder="0" applyAlignment="0" applyProtection="0"/>
    <xf numFmtId="165" fontId="22" fillId="0" borderId="0" applyFill="0" applyBorder="0" applyAlignment="0" applyProtection="0"/>
    <xf numFmtId="165" fontId="22" fillId="0" borderId="0" applyFill="0" applyBorder="0" applyAlignment="0" applyProtection="0"/>
    <xf numFmtId="0" fontId="5" fillId="0" borderId="0"/>
    <xf numFmtId="196" fontId="5" fillId="0" borderId="0"/>
    <xf numFmtId="188" fontId="1" fillId="0" borderId="0"/>
    <xf numFmtId="188" fontId="22" fillId="0" borderId="0"/>
    <xf numFmtId="0" fontId="82" fillId="0" borderId="0"/>
    <xf numFmtId="0" fontId="5" fillId="0" borderId="0"/>
    <xf numFmtId="0" fontId="8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2" fillId="0" borderId="0"/>
    <xf numFmtId="0" fontId="83" fillId="0" borderId="0"/>
    <xf numFmtId="0" fontId="84" fillId="0" borderId="0"/>
    <xf numFmtId="0" fontId="5" fillId="0" borderId="0"/>
    <xf numFmtId="196" fontId="5" fillId="0" borderId="0"/>
    <xf numFmtId="0" fontId="5" fillId="0" borderId="0"/>
    <xf numFmtId="0" fontId="5" fillId="0" borderId="0"/>
    <xf numFmtId="0" fontId="5" fillId="0" borderId="0"/>
    <xf numFmtId="0" fontId="78" fillId="0" borderId="0"/>
    <xf numFmtId="0" fontId="5" fillId="0" borderId="0"/>
    <xf numFmtId="195" fontId="22" fillId="0" borderId="0"/>
    <xf numFmtId="196" fontId="82" fillId="0" borderId="0"/>
    <xf numFmtId="195" fontId="1" fillId="0" borderId="0"/>
    <xf numFmtId="0" fontId="82" fillId="0" borderId="0"/>
    <xf numFmtId="0" fontId="84" fillId="0" borderId="0"/>
    <xf numFmtId="0" fontId="82" fillId="0" borderId="0"/>
    <xf numFmtId="196" fontId="84" fillId="0" borderId="0"/>
    <xf numFmtId="188" fontId="22" fillId="0" borderId="0"/>
    <xf numFmtId="0" fontId="5" fillId="0" borderId="0"/>
    <xf numFmtId="0" fontId="84" fillId="0" borderId="0"/>
    <xf numFmtId="0" fontId="82" fillId="0" borderId="0"/>
    <xf numFmtId="0" fontId="5" fillId="0" borderId="0"/>
    <xf numFmtId="0" fontId="84" fillId="0" borderId="0"/>
    <xf numFmtId="0" fontId="82" fillId="0" borderId="0"/>
    <xf numFmtId="0" fontId="5" fillId="0" borderId="0"/>
    <xf numFmtId="0" fontId="84" fillId="0" borderId="0"/>
    <xf numFmtId="0" fontId="82" fillId="0" borderId="0"/>
    <xf numFmtId="0" fontId="5" fillId="0" borderId="0"/>
    <xf numFmtId="0" fontId="84" fillId="0" borderId="0"/>
    <xf numFmtId="0" fontId="82" fillId="0" borderId="0"/>
    <xf numFmtId="0" fontId="84" fillId="0" borderId="0"/>
    <xf numFmtId="0" fontId="82" fillId="0" borderId="0"/>
    <xf numFmtId="0" fontId="5" fillId="0" borderId="0"/>
    <xf numFmtId="0" fontId="82" fillId="0" borderId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82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8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22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22" fillId="0" borderId="0" applyFont="0" applyFill="0" applyBorder="0" applyAlignment="0" applyProtection="0"/>
    <xf numFmtId="166" fontId="5" fillId="0" borderId="0" applyFill="0" applyBorder="0" applyAlignment="0" applyProtection="0"/>
    <xf numFmtId="166" fontId="5" fillId="0" borderId="0" applyFill="0" applyBorder="0" applyAlignment="0" applyProtection="0"/>
    <xf numFmtId="166" fontId="5" fillId="0" borderId="0" applyFill="0" applyBorder="0" applyAlignment="0" applyProtection="0"/>
    <xf numFmtId="186" fontId="22" fillId="0" borderId="0" applyFont="0" applyFill="0" applyBorder="0" applyAlignment="0" applyProtection="0"/>
    <xf numFmtId="166" fontId="5" fillId="0" borderId="0" applyFill="0" applyBorder="0" applyAlignment="0" applyProtection="0"/>
    <xf numFmtId="166" fontId="5" fillId="0" borderId="0" applyFill="0" applyBorder="0" applyAlignment="0" applyProtection="0"/>
    <xf numFmtId="166" fontId="5" fillId="0" borderId="0" applyFill="0" applyBorder="0" applyAlignment="0" applyProtection="0"/>
    <xf numFmtId="166" fontId="5" fillId="0" borderId="0" applyFill="0" applyBorder="0" applyAlignment="0" applyProtection="0"/>
    <xf numFmtId="43" fontId="83" fillId="0" borderId="0" applyFont="0" applyFill="0" applyBorder="0" applyAlignment="0" applyProtection="0"/>
    <xf numFmtId="166" fontId="5" fillId="0" borderId="0" applyFill="0" applyBorder="0" applyAlignment="0" applyProtection="0"/>
    <xf numFmtId="166" fontId="5" fillId="0" borderId="0" applyFill="0" applyBorder="0" applyAlignment="0" applyProtection="0"/>
    <xf numFmtId="166" fontId="5" fillId="0" borderId="0" applyFill="0" applyBorder="0" applyAlignment="0" applyProtection="0"/>
    <xf numFmtId="43" fontId="82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3" fillId="0" borderId="0" applyFont="0" applyFill="0" applyBorder="0" applyAlignment="0" applyProtection="0"/>
    <xf numFmtId="166" fontId="5" fillId="0" borderId="0" applyFill="0" applyBorder="0" applyAlignment="0" applyProtection="0"/>
    <xf numFmtId="166" fontId="5" fillId="0" borderId="0" applyFill="0" applyBorder="0" applyAlignment="0" applyProtection="0"/>
    <xf numFmtId="166" fontId="5" fillId="0" borderId="0" applyFill="0" applyBorder="0" applyAlignment="0" applyProtection="0"/>
    <xf numFmtId="166" fontId="5" fillId="0" borderId="0" applyFill="0" applyBorder="0" applyAlignment="0" applyProtection="0"/>
    <xf numFmtId="166" fontId="5" fillId="0" borderId="0" applyFill="0" applyBorder="0" applyAlignment="0" applyProtection="0"/>
    <xf numFmtId="186" fontId="2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84" fillId="0" borderId="0" applyFont="0" applyFill="0" applyBorder="0" applyAlignment="0" applyProtection="0"/>
    <xf numFmtId="166" fontId="5" fillId="0" borderId="0" applyFill="0" applyBorder="0" applyAlignment="0" applyProtection="0"/>
    <xf numFmtId="43" fontId="82" fillId="0" borderId="0" applyFont="0" applyFill="0" applyBorder="0" applyAlignment="0" applyProtection="0"/>
    <xf numFmtId="166" fontId="5" fillId="0" borderId="0" applyFill="0" applyBorder="0" applyAlignment="0" applyProtection="0"/>
    <xf numFmtId="43" fontId="82" fillId="0" borderId="0" applyFont="0" applyFill="0" applyBorder="0" applyAlignment="0" applyProtection="0"/>
    <xf numFmtId="166" fontId="5" fillId="0" borderId="0" applyFill="0" applyBorder="0" applyAlignment="0" applyProtection="0"/>
    <xf numFmtId="166" fontId="5" fillId="0" borderId="0" applyFill="0" applyBorder="0" applyAlignment="0" applyProtection="0"/>
    <xf numFmtId="43" fontId="84" fillId="0" borderId="0" applyFont="0" applyFill="0" applyBorder="0" applyAlignment="0" applyProtection="0"/>
  </cellStyleXfs>
  <cellXfs count="1006">
    <xf numFmtId="0" fontId="0" fillId="0" borderId="0" xfId="0"/>
    <xf numFmtId="0" fontId="0" fillId="0" borderId="0" xfId="0" applyAlignment="1">
      <alignment horizontal="right"/>
    </xf>
    <xf numFmtId="0" fontId="3" fillId="0" borderId="0" xfId="0" applyFont="1"/>
    <xf numFmtId="167" fontId="3" fillId="0" borderId="0" xfId="85" applyNumberFormat="1" applyFont="1" applyFill="1" applyBorder="1" applyAlignment="1" applyProtection="1"/>
    <xf numFmtId="4" fontId="0" fillId="0" borderId="0" xfId="0" applyNumberFormat="1"/>
    <xf numFmtId="0" fontId="4" fillId="0" borderId="0" xfId="0" applyFont="1" applyAlignment="1">
      <alignment horizontal="center"/>
    </xf>
    <xf numFmtId="166" fontId="0" fillId="0" borderId="0" xfId="0" applyNumberFormat="1"/>
    <xf numFmtId="166" fontId="0" fillId="0" borderId="0" xfId="0" applyNumberFormat="1" applyFill="1"/>
    <xf numFmtId="179" fontId="0" fillId="0" borderId="0" xfId="0" applyNumberFormat="1"/>
    <xf numFmtId="4" fontId="0" fillId="0" borderId="0" xfId="0" applyNumberFormat="1" applyAlignment="1">
      <alignment horizontal="right"/>
    </xf>
    <xf numFmtId="4" fontId="0" fillId="0" borderId="0" xfId="0" applyNumberFormat="1" applyFill="1"/>
    <xf numFmtId="166" fontId="0" fillId="0" borderId="0" xfId="85" applyFont="1" applyFill="1" applyBorder="1" applyAlignment="1" applyProtection="1"/>
    <xf numFmtId="178" fontId="0" fillId="2" borderId="0" xfId="0" applyNumberFormat="1" applyFill="1"/>
    <xf numFmtId="178" fontId="3" fillId="2" borderId="0" xfId="0" applyNumberFormat="1" applyFont="1" applyFill="1"/>
    <xf numFmtId="178" fontId="3" fillId="3" borderId="0" xfId="0" applyNumberFormat="1" applyFont="1" applyFill="1"/>
    <xf numFmtId="0" fontId="82" fillId="0" borderId="0" xfId="41"/>
    <xf numFmtId="0" fontId="82" fillId="0" borderId="0" xfId="41" applyAlignment="1">
      <alignment horizontal="left"/>
    </xf>
    <xf numFmtId="167" fontId="0" fillId="0" borderId="0" xfId="0" applyNumberFormat="1"/>
    <xf numFmtId="166" fontId="3" fillId="0" borderId="0" xfId="85" applyNumberFormat="1" applyFont="1" applyFill="1" applyBorder="1" applyAlignment="1" applyProtection="1"/>
    <xf numFmtId="181" fontId="0" fillId="0" borderId="0" xfId="0" applyNumberFormat="1"/>
    <xf numFmtId="181" fontId="82" fillId="0" borderId="0" xfId="106" applyNumberFormat="1" applyFont="1" applyAlignment="1">
      <alignment horizontal="right"/>
    </xf>
    <xf numFmtId="4" fontId="82" fillId="0" borderId="0" xfId="41" applyNumberFormat="1"/>
    <xf numFmtId="0" fontId="85" fillId="0" borderId="0" xfId="41" applyFont="1"/>
    <xf numFmtId="0" fontId="6" fillId="0" borderId="0" xfId="0" applyFont="1"/>
    <xf numFmtId="0" fontId="7" fillId="0" borderId="0" xfId="0" applyFont="1" applyBorder="1"/>
    <xf numFmtId="0" fontId="6" fillId="0" borderId="0" xfId="0" applyFont="1" applyBorder="1"/>
    <xf numFmtId="0" fontId="8" fillId="0" borderId="0" xfId="0" applyFont="1" applyBorder="1"/>
    <xf numFmtId="0" fontId="9" fillId="0" borderId="1" xfId="0" applyFont="1" applyFill="1" applyBorder="1"/>
    <xf numFmtId="0" fontId="9" fillId="0" borderId="2" xfId="0" applyFont="1" applyFill="1" applyBorder="1"/>
    <xf numFmtId="0" fontId="9" fillId="0" borderId="0" xfId="0" applyFont="1" applyBorder="1"/>
    <xf numFmtId="0" fontId="9" fillId="0" borderId="0" xfId="0" applyFont="1"/>
    <xf numFmtId="0" fontId="6" fillId="0" borderId="0" xfId="0" applyFont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167" fontId="6" fillId="0" borderId="0" xfId="0" applyNumberFormat="1" applyFont="1" applyBorder="1"/>
    <xf numFmtId="168" fontId="6" fillId="0" borderId="0" xfId="0" applyNumberFormat="1" applyFont="1" applyAlignment="1">
      <alignment horizontal="left"/>
    </xf>
    <xf numFmtId="0" fontId="6" fillId="0" borderId="1" xfId="0" applyFont="1" applyBorder="1"/>
    <xf numFmtId="0" fontId="6" fillId="0" borderId="2" xfId="0" applyFont="1" applyBorder="1"/>
    <xf numFmtId="0" fontId="9" fillId="0" borderId="0" xfId="0" applyFont="1" applyFill="1" applyBorder="1"/>
    <xf numFmtId="0" fontId="6" fillId="0" borderId="0" xfId="0" applyFont="1" applyFill="1"/>
    <xf numFmtId="0" fontId="6" fillId="0" borderId="0" xfId="0" applyFont="1" applyFill="1" applyBorder="1"/>
    <xf numFmtId="166" fontId="6" fillId="0" borderId="0" xfId="0" applyNumberFormat="1" applyFont="1" applyFill="1" applyAlignment="1">
      <alignment horizontal="right"/>
    </xf>
    <xf numFmtId="166" fontId="86" fillId="4" borderId="0" xfId="85" applyNumberFormat="1" applyFont="1" applyFill="1" applyBorder="1" applyAlignment="1" applyProtection="1">
      <alignment vertical="center"/>
    </xf>
    <xf numFmtId="0" fontId="86" fillId="5" borderId="0" xfId="0" applyFont="1" applyFill="1" applyBorder="1" applyAlignment="1">
      <alignment horizontal="center" vertical="center"/>
    </xf>
    <xf numFmtId="166" fontId="86" fillId="6" borderId="0" xfId="85" applyNumberFormat="1" applyFont="1" applyFill="1" applyBorder="1" applyAlignment="1" applyProtection="1">
      <alignment vertical="center"/>
    </xf>
    <xf numFmtId="0" fontId="9" fillId="0" borderId="1" xfId="0" applyFont="1" applyBorder="1"/>
    <xf numFmtId="0" fontId="6" fillId="0" borderId="0" xfId="0" applyFont="1" applyAlignment="1">
      <alignment horizontal="center"/>
    </xf>
    <xf numFmtId="0" fontId="6" fillId="0" borderId="0" xfId="0" applyFont="1" applyBorder="1" applyAlignment="1">
      <alignment horizontal="center"/>
    </xf>
    <xf numFmtId="166" fontId="6" fillId="0" borderId="0" xfId="0" applyNumberFormat="1" applyFont="1" applyAlignment="1">
      <alignment horizontal="right"/>
    </xf>
    <xf numFmtId="167" fontId="6" fillId="0" borderId="0" xfId="106" applyNumberFormat="1" applyFont="1" applyFill="1" applyBorder="1" applyAlignment="1" applyProtection="1"/>
    <xf numFmtId="167" fontId="6" fillId="0" borderId="0" xfId="85" applyNumberFormat="1" applyFont="1" applyFill="1" applyBorder="1" applyAlignment="1" applyProtection="1"/>
    <xf numFmtId="0" fontId="11" fillId="0" borderId="0" xfId="0" applyFont="1"/>
    <xf numFmtId="167" fontId="6" fillId="0" borderId="0" xfId="0" applyNumberFormat="1" applyFont="1"/>
    <xf numFmtId="0" fontId="12" fillId="0" borderId="0" xfId="0" applyFont="1"/>
    <xf numFmtId="0" fontId="6" fillId="7" borderId="0" xfId="0" applyFont="1" applyFill="1"/>
    <xf numFmtId="167" fontId="6" fillId="7" borderId="0" xfId="106" applyNumberFormat="1" applyFont="1" applyFill="1" applyBorder="1" applyAlignment="1" applyProtection="1"/>
    <xf numFmtId="0" fontId="8" fillId="0" borderId="0" xfId="0" applyFont="1" applyFill="1" applyBorder="1"/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2" fillId="0" borderId="0" xfId="1" applyFont="1" applyFill="1" applyBorder="1" applyAlignment="1">
      <alignment horizontal="left" vertical="center"/>
    </xf>
    <xf numFmtId="14" fontId="12" fillId="0" borderId="0" xfId="1" applyNumberFormat="1" applyFont="1" applyFill="1" applyBorder="1" applyAlignment="1">
      <alignment horizontal="center" vertical="center" wrapText="1"/>
    </xf>
    <xf numFmtId="167" fontId="6" fillId="0" borderId="0" xfId="85" applyNumberFormat="1" applyFont="1" applyFill="1" applyBorder="1" applyAlignment="1">
      <alignment horizontal="center" vertical="center" wrapText="1"/>
    </xf>
    <xf numFmtId="167" fontId="12" fillId="0" borderId="0" xfId="0" applyNumberFormat="1" applyFont="1"/>
    <xf numFmtId="0" fontId="12" fillId="0" borderId="0" xfId="0" applyFont="1" applyAlignment="1">
      <alignment horizontal="center" vertical="center" wrapText="1"/>
    </xf>
    <xf numFmtId="0" fontId="13" fillId="0" borderId="0" xfId="0" applyFont="1" applyBorder="1"/>
    <xf numFmtId="0" fontId="14" fillId="0" borderId="0" xfId="0" applyFont="1" applyBorder="1"/>
    <xf numFmtId="176" fontId="9" fillId="0" borderId="0" xfId="0" applyNumberFormat="1" applyFont="1" applyBorder="1"/>
    <xf numFmtId="0" fontId="12" fillId="0" borderId="0" xfId="1" applyFont="1" applyFill="1" applyBorder="1" applyAlignment="1">
      <alignment horizontal="center" vertical="center" wrapText="1"/>
    </xf>
    <xf numFmtId="176" fontId="12" fillId="0" borderId="0" xfId="1" applyNumberFormat="1" applyFont="1" applyFill="1" applyBorder="1" applyAlignment="1">
      <alignment horizontal="right" vertical="center"/>
    </xf>
    <xf numFmtId="14" fontId="12" fillId="0" borderId="0" xfId="1" applyNumberFormat="1" applyFont="1" applyFill="1" applyBorder="1" applyAlignment="1">
      <alignment horizontal="center" vertical="center"/>
    </xf>
    <xf numFmtId="177" fontId="12" fillId="0" borderId="0" xfId="0" applyNumberFormat="1" applyFont="1" applyFill="1" applyAlignment="1">
      <alignment horizontal="right"/>
    </xf>
    <xf numFmtId="0" fontId="12" fillId="0" borderId="0" xfId="0" quotePrefix="1" applyFont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17" fillId="0" borderId="0" xfId="0" applyFont="1"/>
    <xf numFmtId="0" fontId="87" fillId="8" borderId="0" xfId="0" applyFont="1" applyFill="1" applyAlignment="1">
      <alignment horizontal="center"/>
    </xf>
    <xf numFmtId="0" fontId="87" fillId="8" borderId="0" xfId="0" applyFont="1" applyFill="1" applyAlignment="1">
      <alignment horizontal="center" vertical="center"/>
    </xf>
    <xf numFmtId="167" fontId="87" fillId="6" borderId="0" xfId="85" applyNumberFormat="1" applyFont="1" applyFill="1" applyBorder="1" applyAlignment="1" applyProtection="1">
      <alignment horizontal="right"/>
    </xf>
    <xf numFmtId="167" fontId="87" fillId="6" borderId="0" xfId="85" applyNumberFormat="1" applyFont="1" applyFill="1" applyBorder="1" applyAlignment="1" applyProtection="1"/>
    <xf numFmtId="167" fontId="87" fillId="6" borderId="0" xfId="85" applyNumberFormat="1" applyFont="1" applyFill="1" applyBorder="1" applyAlignment="1" applyProtection="1">
      <alignment horizontal="center" vertical="center"/>
    </xf>
    <xf numFmtId="0" fontId="17" fillId="0" borderId="0" xfId="0" applyFont="1" applyFill="1"/>
    <xf numFmtId="0" fontId="18" fillId="0" borderId="0" xfId="0" applyFont="1"/>
    <xf numFmtId="9" fontId="87" fillId="6" borderId="0" xfId="62" applyFont="1" applyFill="1" applyBorder="1" applyAlignment="1" applyProtection="1"/>
    <xf numFmtId="167" fontId="87" fillId="6" borderId="0" xfId="85" applyNumberFormat="1" applyFont="1" applyFill="1" applyBorder="1" applyAlignment="1" applyProtection="1">
      <alignment horizontal="center"/>
    </xf>
    <xf numFmtId="0" fontId="87" fillId="6" borderId="0" xfId="0" applyFont="1" applyFill="1" applyAlignment="1">
      <alignment vertical="center"/>
    </xf>
    <xf numFmtId="9" fontId="87" fillId="6" borderId="0" xfId="62" applyNumberFormat="1" applyFont="1" applyFill="1" applyBorder="1" applyAlignment="1" applyProtection="1">
      <alignment horizontal="right"/>
    </xf>
    <xf numFmtId="0" fontId="87" fillId="0" borderId="0" xfId="0" applyFont="1" applyFill="1"/>
    <xf numFmtId="0" fontId="18" fillId="0" borderId="0" xfId="0" applyFont="1" applyFill="1"/>
    <xf numFmtId="167" fontId="87" fillId="6" borderId="0" xfId="106" applyNumberFormat="1" applyFont="1" applyFill="1" applyBorder="1" applyAlignment="1" applyProtection="1"/>
    <xf numFmtId="0" fontId="18" fillId="6" borderId="0" xfId="0" applyFont="1" applyFill="1" applyAlignment="1">
      <alignment vertical="center"/>
    </xf>
    <xf numFmtId="167" fontId="87" fillId="6" borderId="0" xfId="85" applyNumberFormat="1" applyFont="1" applyFill="1" applyBorder="1" applyAlignment="1">
      <alignment horizontal="center" vertical="center" wrapText="1"/>
    </xf>
    <xf numFmtId="0" fontId="87" fillId="4" borderId="0" xfId="0" applyFont="1" applyFill="1"/>
    <xf numFmtId="0" fontId="87" fillId="4" borderId="0" xfId="0" applyFont="1" applyFill="1" applyAlignment="1">
      <alignment horizontal="center" vertical="center" wrapText="1"/>
    </xf>
    <xf numFmtId="0" fontId="87" fillId="4" borderId="0" xfId="0" applyFont="1" applyFill="1" applyAlignment="1">
      <alignment horizontal="center"/>
    </xf>
    <xf numFmtId="0" fontId="15" fillId="9" borderId="0" xfId="0" applyFont="1" applyFill="1" applyBorder="1"/>
    <xf numFmtId="0" fontId="15" fillId="9" borderId="0" xfId="0" applyFont="1" applyFill="1" applyBorder="1" applyAlignment="1">
      <alignment horizontal="center" vertical="center" wrapText="1"/>
    </xf>
    <xf numFmtId="0" fontId="15" fillId="9" borderId="0" xfId="0" applyFont="1" applyFill="1" applyBorder="1" applyAlignment="1">
      <alignment horizontal="center"/>
    </xf>
    <xf numFmtId="177" fontId="15" fillId="9" borderId="0" xfId="0" applyNumberFormat="1" applyFont="1" applyFill="1" applyBorder="1" applyAlignment="1">
      <alignment horizontal="right"/>
    </xf>
    <xf numFmtId="0" fontId="19" fillId="0" borderId="0" xfId="0" applyFont="1" applyBorder="1"/>
    <xf numFmtId="0" fontId="11" fillId="0" borderId="1" xfId="0" applyFont="1" applyFill="1" applyBorder="1"/>
    <xf numFmtId="0" fontId="11" fillId="0" borderId="2" xfId="0" applyFont="1" applyFill="1" applyBorder="1"/>
    <xf numFmtId="0" fontId="11" fillId="0" borderId="1" xfId="0" applyFont="1" applyBorder="1"/>
    <xf numFmtId="3" fontId="16" fillId="8" borderId="3" xfId="0" applyNumberFormat="1" applyFont="1" applyFill="1" applyBorder="1" applyAlignment="1">
      <alignment horizontal="center" vertical="center" wrapText="1"/>
    </xf>
    <xf numFmtId="184" fontId="6" fillId="0" borderId="0" xfId="106" applyNumberFormat="1" applyFont="1" applyFill="1" applyBorder="1" applyAlignment="1" applyProtection="1">
      <alignment horizontal="center" vertical="center"/>
    </xf>
    <xf numFmtId="184" fontId="6" fillId="7" borderId="0" xfId="106" applyNumberFormat="1" applyFont="1" applyFill="1" applyBorder="1" applyAlignment="1" applyProtection="1">
      <alignment horizontal="center" vertical="center"/>
    </xf>
    <xf numFmtId="184" fontId="6" fillId="7" borderId="0" xfId="106" applyNumberFormat="1" applyFont="1" applyFill="1" applyBorder="1" applyAlignment="1" applyProtection="1">
      <alignment horizontal="center"/>
    </xf>
    <xf numFmtId="184" fontId="6" fillId="0" borderId="0" xfId="106" applyNumberFormat="1" applyFont="1" applyFill="1" applyBorder="1" applyAlignment="1" applyProtection="1">
      <alignment horizontal="center"/>
    </xf>
    <xf numFmtId="180" fontId="20" fillId="0" borderId="0" xfId="62" applyNumberFormat="1" applyFont="1" applyFill="1" applyBorder="1" applyAlignment="1" applyProtection="1"/>
    <xf numFmtId="180" fontId="20" fillId="7" borderId="0" xfId="62" applyNumberFormat="1" applyFont="1" applyFill="1" applyBorder="1" applyAlignment="1" applyProtection="1"/>
    <xf numFmtId="180" fontId="20" fillId="0" borderId="0" xfId="62" applyNumberFormat="1" applyFont="1" applyFill="1" applyBorder="1" applyAlignment="1" applyProtection="1">
      <alignment horizontal="right"/>
    </xf>
    <xf numFmtId="180" fontId="20" fillId="7" borderId="0" xfId="62" applyNumberFormat="1" applyFont="1" applyFill="1" applyBorder="1" applyAlignment="1" applyProtection="1">
      <alignment horizontal="right"/>
    </xf>
    <xf numFmtId="180" fontId="20" fillId="7" borderId="0" xfId="62" applyNumberFormat="1" applyFont="1" applyFill="1" applyBorder="1" applyAlignment="1" applyProtection="1">
      <alignment horizontal="right" vertical="center"/>
    </xf>
    <xf numFmtId="180" fontId="20" fillId="0" borderId="0" xfId="62" applyNumberFormat="1" applyFont="1" applyFill="1" applyBorder="1" applyAlignment="1" applyProtection="1">
      <alignment horizontal="right" vertical="center"/>
    </xf>
    <xf numFmtId="0" fontId="88" fillId="0" borderId="0" xfId="0" applyFont="1"/>
    <xf numFmtId="43" fontId="0" fillId="0" borderId="0" xfId="117" applyFont="1"/>
    <xf numFmtId="0" fontId="21" fillId="0" borderId="0" xfId="0" applyFont="1"/>
    <xf numFmtId="167" fontId="5" fillId="0" borderId="0" xfId="85" applyNumberFormat="1"/>
    <xf numFmtId="177" fontId="6" fillId="0" borderId="0" xfId="0" applyNumberFormat="1" applyFont="1"/>
    <xf numFmtId="49" fontId="87" fillId="8" borderId="22" xfId="0" applyNumberFormat="1" applyFont="1" applyFill="1" applyBorder="1" applyAlignment="1">
      <alignment horizontal="center" vertical="center"/>
    </xf>
    <xf numFmtId="177" fontId="87" fillId="10" borderId="22" xfId="0" applyNumberFormat="1" applyFont="1" applyFill="1" applyBorder="1" applyAlignment="1">
      <alignment horizontal="right"/>
    </xf>
    <xf numFmtId="166" fontId="5" fillId="0" borderId="0" xfId="85"/>
    <xf numFmtId="0" fontId="82" fillId="0" borderId="0" xfId="41" applyNumberFormat="1"/>
    <xf numFmtId="0" fontId="82" fillId="0" borderId="0" xfId="41"/>
    <xf numFmtId="0" fontId="82" fillId="0" borderId="0" xfId="41"/>
    <xf numFmtId="0" fontId="82" fillId="0" borderId="0" xfId="41" quotePrefix="1"/>
    <xf numFmtId="0" fontId="12" fillId="0" borderId="0" xfId="0" applyFont="1" applyFill="1"/>
    <xf numFmtId="0" fontId="12" fillId="0" borderId="0" xfId="0" applyFont="1" applyFill="1" applyAlignment="1">
      <alignment vertical="center"/>
    </xf>
    <xf numFmtId="187" fontId="89" fillId="0" borderId="0" xfId="16" applyNumberFormat="1" applyFont="1" applyFill="1" applyProtection="1">
      <protection hidden="1"/>
    </xf>
    <xf numFmtId="0" fontId="90" fillId="0" borderId="0" xfId="0" applyFont="1"/>
    <xf numFmtId="0" fontId="90" fillId="0" borderId="0" xfId="0" applyFont="1" applyAlignment="1">
      <alignment horizontal="center"/>
    </xf>
    <xf numFmtId="168" fontId="90" fillId="0" borderId="0" xfId="0" applyNumberFormat="1" applyFont="1" applyBorder="1" applyAlignment="1"/>
    <xf numFmtId="3" fontId="16" fillId="8" borderId="3" xfId="0" applyNumberFormat="1" applyFont="1" applyFill="1" applyBorder="1" applyAlignment="1">
      <alignment horizontal="center" vertical="center" wrapText="1"/>
    </xf>
    <xf numFmtId="167" fontId="23" fillId="0" borderId="0" xfId="85" applyNumberFormat="1" applyFont="1"/>
    <xf numFmtId="3" fontId="16" fillId="8" borderId="3" xfId="0" applyNumberFormat="1" applyFont="1" applyFill="1" applyBorder="1" applyAlignment="1">
      <alignment horizontal="center" vertical="center" wrapText="1"/>
    </xf>
    <xf numFmtId="190" fontId="23" fillId="0" borderId="0" xfId="85" applyNumberFormat="1" applyFont="1" applyFill="1" applyBorder="1" applyAlignment="1">
      <alignment horizontal="right" vertical="center" wrapText="1"/>
    </xf>
    <xf numFmtId="190" fontId="91" fillId="6" borderId="0" xfId="85" applyNumberFormat="1" applyFont="1" applyFill="1" applyBorder="1" applyAlignment="1">
      <alignment horizontal="right" vertical="center" wrapText="1"/>
    </xf>
    <xf numFmtId="0" fontId="24" fillId="0" borderId="0" xfId="1" applyFont="1" applyFill="1" applyBorder="1" applyAlignment="1">
      <alignment horizontal="left" vertical="center"/>
    </xf>
    <xf numFmtId="167" fontId="23" fillId="0" borderId="0" xfId="85" applyNumberFormat="1" applyFont="1" applyFill="1" applyBorder="1" applyAlignment="1">
      <alignment horizontal="center" vertical="center" wrapText="1"/>
    </xf>
    <xf numFmtId="0" fontId="25" fillId="0" borderId="0" xfId="0" applyFont="1"/>
    <xf numFmtId="9" fontId="23" fillId="0" borderId="0" xfId="62" applyNumberFormat="1" applyFont="1" applyFill="1" applyBorder="1" applyAlignment="1">
      <alignment horizontal="right" vertical="center" wrapText="1"/>
    </xf>
    <xf numFmtId="167" fontId="92" fillId="6" borderId="0" xfId="85" applyNumberFormat="1" applyFont="1" applyFill="1" applyBorder="1" applyAlignment="1" applyProtection="1">
      <alignment horizontal="right"/>
    </xf>
    <xf numFmtId="0" fontId="23" fillId="0" borderId="0" xfId="0" applyFont="1"/>
    <xf numFmtId="167" fontId="92" fillId="6" borderId="0" xfId="85" applyNumberFormat="1" applyFont="1" applyFill="1" applyBorder="1" applyAlignment="1">
      <alignment horizontal="center" vertical="center" wrapText="1"/>
    </xf>
    <xf numFmtId="167" fontId="23" fillId="0" borderId="0" xfId="0" applyNumberFormat="1" applyFont="1"/>
    <xf numFmtId="0" fontId="93" fillId="0" borderId="0" xfId="41" applyFont="1" applyFill="1"/>
    <xf numFmtId="0" fontId="25" fillId="0" borderId="0" xfId="0" applyFont="1" applyFill="1"/>
    <xf numFmtId="167" fontId="23" fillId="0" borderId="0" xfId="85" applyNumberFormat="1" applyFont="1" applyFill="1"/>
    <xf numFmtId="167" fontId="25" fillId="0" borderId="0" xfId="0" applyNumberFormat="1" applyFont="1" applyFill="1"/>
    <xf numFmtId="3" fontId="82" fillId="0" borderId="0" xfId="41" applyNumberFormat="1"/>
    <xf numFmtId="0" fontId="82" fillId="0" borderId="0" xfId="41" applyNumberFormat="1"/>
    <xf numFmtId="0" fontId="82" fillId="0" borderId="0" xfId="41"/>
    <xf numFmtId="4" fontId="82" fillId="0" borderId="0" xfId="41" applyNumberFormat="1"/>
    <xf numFmtId="0" fontId="82" fillId="0" borderId="0" xfId="41"/>
    <xf numFmtId="0" fontId="82" fillId="0" borderId="0" xfId="41" quotePrefix="1"/>
    <xf numFmtId="3" fontId="82" fillId="0" borderId="0" xfId="41" applyNumberFormat="1"/>
    <xf numFmtId="22" fontId="0" fillId="0" borderId="0" xfId="0" applyNumberFormat="1"/>
    <xf numFmtId="3" fontId="87" fillId="8" borderId="22" xfId="0" applyNumberFormat="1" applyFont="1" applyFill="1" applyBorder="1" applyAlignment="1">
      <alignment horizontal="center" vertical="center"/>
    </xf>
    <xf numFmtId="3" fontId="87" fillId="8" borderId="22" xfId="0" applyNumberFormat="1" applyFont="1" applyFill="1" applyBorder="1" applyAlignment="1">
      <alignment horizontal="center" vertical="center" wrapText="1"/>
    </xf>
    <xf numFmtId="177" fontId="87" fillId="10" borderId="22" xfId="0" applyNumberFormat="1" applyFont="1" applyFill="1" applyBorder="1" applyAlignment="1">
      <alignment horizontal="right" vertic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/>
    </xf>
    <xf numFmtId="177" fontId="15" fillId="0" borderId="0" xfId="0" applyNumberFormat="1" applyFont="1" applyFill="1" applyBorder="1" applyAlignment="1">
      <alignment horizontal="right"/>
    </xf>
    <xf numFmtId="43" fontId="0" fillId="0" borderId="0" xfId="0" applyNumberFormat="1"/>
    <xf numFmtId="166" fontId="0" fillId="0" borderId="0" xfId="85" applyFont="1"/>
    <xf numFmtId="0" fontId="0" fillId="0" borderId="0" xfId="0" applyNumberFormat="1"/>
    <xf numFmtId="166" fontId="26" fillId="0" borderId="0" xfId="0" applyNumberFormat="1" applyFont="1" applyBorder="1"/>
    <xf numFmtId="0" fontId="0" fillId="0" borderId="0" xfId="0" applyBorder="1"/>
    <xf numFmtId="166" fontId="5" fillId="0" borderId="0" xfId="85" applyNumberFormat="1"/>
    <xf numFmtId="0" fontId="84" fillId="11" borderId="23" xfId="0" applyFont="1" applyFill="1" applyBorder="1"/>
    <xf numFmtId="0" fontId="84" fillId="11" borderId="24" xfId="0" applyFont="1" applyFill="1" applyBorder="1"/>
    <xf numFmtId="166" fontId="84" fillId="11" borderId="24" xfId="85" applyNumberFormat="1" applyFont="1" applyFill="1" applyBorder="1"/>
    <xf numFmtId="22" fontId="84" fillId="11" borderId="24" xfId="0" applyNumberFormat="1" applyFont="1" applyFill="1" applyBorder="1"/>
    <xf numFmtId="0" fontId="84" fillId="11" borderId="25" xfId="0" applyFont="1" applyFill="1" applyBorder="1"/>
    <xf numFmtId="0" fontId="84" fillId="0" borderId="23" xfId="0" applyFont="1" applyBorder="1"/>
    <xf numFmtId="0" fontId="84" fillId="0" borderId="24" xfId="0" applyFont="1" applyBorder="1"/>
    <xf numFmtId="166" fontId="84" fillId="0" borderId="24" xfId="85" applyNumberFormat="1" applyFont="1" applyBorder="1"/>
    <xf numFmtId="22" fontId="84" fillId="0" borderId="24" xfId="0" applyNumberFormat="1" applyFont="1" applyBorder="1"/>
    <xf numFmtId="0" fontId="84" fillId="0" borderId="25" xfId="0" applyFont="1" applyBorder="1"/>
    <xf numFmtId="0" fontId="94" fillId="12" borderId="23" xfId="0" applyFont="1" applyFill="1" applyBorder="1"/>
    <xf numFmtId="0" fontId="94" fillId="12" borderId="24" xfId="0" applyFont="1" applyFill="1" applyBorder="1"/>
    <xf numFmtId="166" fontId="94" fillId="12" borderId="24" xfId="85" applyNumberFormat="1" applyFont="1" applyFill="1" applyBorder="1"/>
    <xf numFmtId="0" fontId="94" fillId="12" borderId="25" xfId="0" applyFont="1" applyFill="1" applyBorder="1"/>
    <xf numFmtId="0" fontId="27" fillId="0" borderId="0" xfId="0" applyFont="1"/>
    <xf numFmtId="0" fontId="27" fillId="0" borderId="0" xfId="0" applyFont="1" applyBorder="1"/>
    <xf numFmtId="0" fontId="28" fillId="0" borderId="0" xfId="0" applyFont="1" applyBorder="1"/>
    <xf numFmtId="0" fontId="29" fillId="0" borderId="2" xfId="0" applyFont="1" applyFill="1" applyBorder="1"/>
    <xf numFmtId="0" fontId="30" fillId="0" borderId="0" xfId="0" applyFont="1" applyBorder="1"/>
    <xf numFmtId="0" fontId="27" fillId="0" borderId="0" xfId="0" applyFont="1" applyBorder="1" applyAlignment="1">
      <alignment vertical="center"/>
    </xf>
    <xf numFmtId="0" fontId="27" fillId="0" borderId="0" xfId="0" applyFont="1" applyAlignment="1">
      <alignment horizontal="center"/>
    </xf>
    <xf numFmtId="14" fontId="27" fillId="0" borderId="0" xfId="0" applyNumberFormat="1" applyFont="1"/>
    <xf numFmtId="0" fontId="27" fillId="0" borderId="1" xfId="0" applyFont="1" applyBorder="1"/>
    <xf numFmtId="0" fontId="27" fillId="0" borderId="2" xfId="0" applyFont="1" applyBorder="1"/>
    <xf numFmtId="0" fontId="29" fillId="0" borderId="1" xfId="0" applyFont="1" applyBorder="1"/>
    <xf numFmtId="0" fontId="31" fillId="0" borderId="0" xfId="0" applyFont="1" applyBorder="1"/>
    <xf numFmtId="183" fontId="27" fillId="0" borderId="0" xfId="0" applyNumberFormat="1" applyFont="1"/>
    <xf numFmtId="0" fontId="35" fillId="0" borderId="0" xfId="0" applyFont="1"/>
    <xf numFmtId="0" fontId="35" fillId="0" borderId="0" xfId="0" applyFont="1" applyAlignment="1">
      <alignment horizontal="center"/>
    </xf>
    <xf numFmtId="0" fontId="34" fillId="0" borderId="0" xfId="0" applyFont="1"/>
    <xf numFmtId="0" fontId="36" fillId="0" borderId="0" xfId="0" applyFont="1" applyBorder="1"/>
    <xf numFmtId="167" fontId="95" fillId="10" borderId="22" xfId="0" applyNumberFormat="1" applyFont="1" applyFill="1" applyBorder="1" applyAlignment="1">
      <alignment vertical="center"/>
    </xf>
    <xf numFmtId="166" fontId="95" fillId="10" borderId="22" xfId="0" applyNumberFormat="1" applyFont="1" applyFill="1" applyBorder="1" applyAlignment="1">
      <alignment vertical="center"/>
    </xf>
    <xf numFmtId="0" fontId="34" fillId="0" borderId="0" xfId="1" applyFont="1" applyFill="1" applyBorder="1" applyAlignment="1">
      <alignment horizontal="left" vertical="center"/>
    </xf>
    <xf numFmtId="0" fontId="27" fillId="0" borderId="0" xfId="0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3" fontId="32" fillId="8" borderId="22" xfId="0" applyNumberFormat="1" applyFont="1" applyFill="1" applyBorder="1" applyAlignment="1">
      <alignment horizontal="center" vertical="center" wrapText="1"/>
    </xf>
    <xf numFmtId="183" fontId="27" fillId="0" borderId="0" xfId="14" applyNumberFormat="1" applyFont="1" applyBorder="1" applyAlignment="1">
      <alignment vertical="center"/>
    </xf>
    <xf numFmtId="0" fontId="96" fillId="0" borderId="0" xfId="28" applyFont="1" applyBorder="1" applyAlignment="1">
      <alignment horizontal="left" vertical="center"/>
    </xf>
    <xf numFmtId="166" fontId="27" fillId="0" borderId="0" xfId="85" applyFont="1" applyBorder="1" applyAlignment="1">
      <alignment horizontal="left" vertical="center"/>
    </xf>
    <xf numFmtId="167" fontId="27" fillId="0" borderId="0" xfId="85" applyNumberFormat="1" applyFont="1"/>
    <xf numFmtId="192" fontId="33" fillId="0" borderId="0" xfId="2" applyNumberFormat="1" applyFont="1"/>
    <xf numFmtId="183" fontId="27" fillId="0" borderId="0" xfId="85" applyNumberFormat="1" applyFont="1" applyBorder="1" applyAlignment="1">
      <alignment horizontal="left"/>
    </xf>
    <xf numFmtId="167" fontId="95" fillId="6" borderId="22" xfId="85" applyNumberFormat="1" applyFont="1" applyFill="1" applyBorder="1" applyAlignment="1">
      <alignment horizontal="center" vertical="center" wrapText="1"/>
    </xf>
    <xf numFmtId="167" fontId="95" fillId="10" borderId="22" xfId="0" applyNumberFormat="1" applyFont="1" applyFill="1" applyBorder="1" applyAlignment="1">
      <alignment horizontal="right" vertical="center"/>
    </xf>
    <xf numFmtId="167" fontId="35" fillId="0" borderId="0" xfId="85" applyNumberFormat="1" applyFont="1" applyFill="1" applyBorder="1" applyAlignment="1">
      <alignment horizontal="center" vertical="center" wrapText="1"/>
    </xf>
    <xf numFmtId="9" fontId="35" fillId="0" borderId="0" xfId="62" applyNumberFormat="1" applyFont="1" applyFill="1" applyBorder="1" applyAlignment="1">
      <alignment horizontal="right" vertical="center" wrapText="1"/>
    </xf>
    <xf numFmtId="167" fontId="34" fillId="0" borderId="0" xfId="0" applyNumberFormat="1" applyFont="1"/>
    <xf numFmtId="183" fontId="35" fillId="0" borderId="0" xfId="85" applyNumberFormat="1" applyFont="1" applyBorder="1" applyAlignment="1">
      <alignment horizontal="center"/>
    </xf>
    <xf numFmtId="175" fontId="35" fillId="0" borderId="0" xfId="85" applyNumberFormat="1" applyFont="1" applyAlignment="1">
      <alignment vertical="center"/>
    </xf>
    <xf numFmtId="174" fontId="35" fillId="0" borderId="0" xfId="0" applyNumberFormat="1" applyFont="1" applyAlignment="1">
      <alignment horizontal="center" vertical="center"/>
    </xf>
    <xf numFmtId="183" fontId="27" fillId="0" borderId="0" xfId="0" applyNumberFormat="1" applyFont="1" applyAlignment="1">
      <alignment horizontal="center"/>
    </xf>
    <xf numFmtId="0" fontId="11" fillId="0" borderId="0" xfId="0" applyFont="1" applyBorder="1"/>
    <xf numFmtId="0" fontId="86" fillId="5" borderId="0" xfId="0" applyFont="1" applyFill="1" applyBorder="1" applyAlignment="1">
      <alignment horizontal="center" vertical="center"/>
    </xf>
    <xf numFmtId="0" fontId="37" fillId="0" borderId="0" xfId="0" applyFont="1"/>
    <xf numFmtId="0" fontId="37" fillId="13" borderId="0" xfId="0" applyFont="1" applyFill="1"/>
    <xf numFmtId="0" fontId="37" fillId="0" borderId="0" xfId="0" applyFont="1" applyBorder="1"/>
    <xf numFmtId="0" fontId="37" fillId="13" borderId="0" xfId="0" applyFont="1" applyFill="1" applyBorder="1"/>
    <xf numFmtId="0" fontId="39" fillId="0" borderId="0" xfId="0" applyFont="1" applyBorder="1"/>
    <xf numFmtId="0" fontId="37" fillId="0" borderId="0" xfId="0" applyFont="1" applyFill="1" applyBorder="1"/>
    <xf numFmtId="0" fontId="38" fillId="0" borderId="0" xfId="0" applyFont="1"/>
    <xf numFmtId="14" fontId="37" fillId="0" borderId="0" xfId="0" applyNumberFormat="1" applyFont="1" applyBorder="1"/>
    <xf numFmtId="182" fontId="97" fillId="0" borderId="0" xfId="41" quotePrefix="1" applyNumberFormat="1" applyFont="1"/>
    <xf numFmtId="167" fontId="37" fillId="13" borderId="0" xfId="85" applyNumberFormat="1" applyFont="1" applyFill="1" applyBorder="1" applyAlignment="1" applyProtection="1"/>
    <xf numFmtId="167" fontId="37" fillId="0" borderId="0" xfId="85" applyNumberFormat="1" applyFont="1" applyFill="1" applyBorder="1" applyAlignment="1" applyProtection="1"/>
    <xf numFmtId="0" fontId="98" fillId="8" borderId="0" xfId="0" applyFont="1" applyFill="1" applyAlignment="1">
      <alignment horizontal="center"/>
    </xf>
    <xf numFmtId="0" fontId="98" fillId="13" borderId="0" xfId="0" applyFont="1" applyFill="1" applyAlignment="1">
      <alignment horizontal="center"/>
    </xf>
    <xf numFmtId="0" fontId="98" fillId="8" borderId="0" xfId="0" applyFont="1" applyFill="1" applyAlignment="1">
      <alignment horizontal="center" vertical="center"/>
    </xf>
    <xf numFmtId="0" fontId="98" fillId="0" borderId="0" xfId="0" applyFont="1" applyFill="1" applyAlignment="1">
      <alignment horizontal="center"/>
    </xf>
    <xf numFmtId="0" fontId="37" fillId="0" borderId="0" xfId="0" applyFont="1" applyFill="1"/>
    <xf numFmtId="0" fontId="37" fillId="7" borderId="0" xfId="0" applyFont="1" applyFill="1" applyAlignment="1">
      <alignment horizontal="left" vertical="center"/>
    </xf>
    <xf numFmtId="183" fontId="37" fillId="7" borderId="0" xfId="0" applyNumberFormat="1" applyFont="1" applyFill="1" applyBorder="1" applyAlignment="1">
      <alignment horizontal="right" vertical="center" wrapText="1"/>
    </xf>
    <xf numFmtId="183" fontId="37" fillId="13" borderId="0" xfId="85" applyNumberFormat="1" applyFont="1" applyFill="1" applyBorder="1" applyAlignment="1" applyProtection="1"/>
    <xf numFmtId="183" fontId="37" fillId="0" borderId="0" xfId="85" applyNumberFormat="1" applyFont="1" applyFill="1" applyBorder="1" applyAlignment="1" applyProtection="1"/>
    <xf numFmtId="167" fontId="37" fillId="0" borderId="0" xfId="0" applyNumberFormat="1" applyFont="1"/>
    <xf numFmtId="0" fontId="37" fillId="0" borderId="0" xfId="0" applyFont="1" applyAlignment="1">
      <alignment horizontal="left" vertical="center"/>
    </xf>
    <xf numFmtId="183" fontId="37" fillId="0" borderId="0" xfId="0" applyNumberFormat="1" applyFont="1" applyBorder="1" applyAlignment="1">
      <alignment horizontal="right" vertical="center" wrapText="1"/>
    </xf>
    <xf numFmtId="183" fontId="37" fillId="0" borderId="0" xfId="0" applyNumberFormat="1" applyFont="1"/>
    <xf numFmtId="0" fontId="40" fillId="0" borderId="0" xfId="0" applyFont="1"/>
    <xf numFmtId="0" fontId="98" fillId="6" borderId="0" xfId="0" applyFont="1" applyFill="1" applyBorder="1" applyAlignment="1">
      <alignment horizontal="right" vertical="center"/>
    </xf>
    <xf numFmtId="167" fontId="98" fillId="13" borderId="0" xfId="85" applyNumberFormat="1" applyFont="1" applyFill="1" applyBorder="1" applyAlignment="1" applyProtection="1"/>
    <xf numFmtId="183" fontId="98" fillId="6" borderId="0" xfId="85" applyNumberFormat="1" applyFont="1" applyFill="1" applyBorder="1" applyAlignment="1" applyProtection="1"/>
    <xf numFmtId="183" fontId="98" fillId="13" borderId="0" xfId="85" applyNumberFormat="1" applyFont="1" applyFill="1" applyBorder="1" applyAlignment="1" applyProtection="1"/>
    <xf numFmtId="183" fontId="41" fillId="0" borderId="0" xfId="85" applyNumberFormat="1" applyFont="1" applyFill="1" applyBorder="1" applyAlignment="1" applyProtection="1"/>
    <xf numFmtId="0" fontId="98" fillId="13" borderId="0" xfId="0" applyFont="1" applyFill="1" applyAlignment="1">
      <alignment horizontal="right"/>
    </xf>
    <xf numFmtId="183" fontId="98" fillId="13" borderId="0" xfId="0" applyNumberFormat="1" applyFont="1" applyFill="1" applyAlignment="1">
      <alignment horizontal="right"/>
    </xf>
    <xf numFmtId="183" fontId="41" fillId="0" borderId="0" xfId="0" applyNumberFormat="1" applyFont="1" applyFill="1" applyAlignment="1">
      <alignment horizontal="right"/>
    </xf>
    <xf numFmtId="0" fontId="42" fillId="13" borderId="0" xfId="0" applyFont="1" applyFill="1" applyAlignment="1">
      <alignment horizontal="center"/>
    </xf>
    <xf numFmtId="0" fontId="42" fillId="0" borderId="0" xfId="0" applyFont="1" applyFill="1" applyAlignment="1">
      <alignment horizontal="center"/>
    </xf>
    <xf numFmtId="0" fontId="37" fillId="7" borderId="0" xfId="0" applyFont="1" applyFill="1"/>
    <xf numFmtId="41" fontId="37" fillId="7" borderId="0" xfId="0" applyNumberFormat="1" applyFont="1" applyFill="1"/>
    <xf numFmtId="41" fontId="37" fillId="13" borderId="0" xfId="85" applyNumberFormat="1" applyFont="1" applyFill="1" applyBorder="1" applyAlignment="1" applyProtection="1"/>
    <xf numFmtId="41" fontId="37" fillId="7" borderId="0" xfId="85" applyNumberFormat="1" applyFont="1" applyFill="1" applyBorder="1" applyAlignment="1" applyProtection="1"/>
    <xf numFmtId="41" fontId="37" fillId="0" borderId="0" xfId="85" applyNumberFormat="1" applyFont="1" applyFill="1" applyBorder="1" applyAlignment="1" applyProtection="1"/>
    <xf numFmtId="41" fontId="37" fillId="0" borderId="0" xfId="0" applyNumberFormat="1" applyFont="1"/>
    <xf numFmtId="41" fontId="98" fillId="6" borderId="0" xfId="85" applyNumberFormat="1" applyFont="1" applyFill="1" applyBorder="1" applyAlignment="1" applyProtection="1"/>
    <xf numFmtId="41" fontId="98" fillId="13" borderId="0" xfId="85" applyNumberFormat="1" applyFont="1" applyFill="1" applyBorder="1" applyAlignment="1" applyProtection="1"/>
    <xf numFmtId="41" fontId="98" fillId="0" borderId="0" xfId="85" applyNumberFormat="1" applyFont="1" applyFill="1" applyBorder="1" applyAlignment="1" applyProtection="1"/>
    <xf numFmtId="41" fontId="98" fillId="13" borderId="0" xfId="0" applyNumberFormat="1" applyFont="1" applyFill="1" applyAlignment="1">
      <alignment horizontal="right"/>
    </xf>
    <xf numFmtId="41" fontId="98" fillId="0" borderId="0" xfId="0" applyNumberFormat="1" applyFont="1" applyFill="1" applyAlignment="1">
      <alignment horizontal="right"/>
    </xf>
    <xf numFmtId="167" fontId="37" fillId="13" borderId="0" xfId="85" applyNumberFormat="1" applyFont="1" applyFill="1" applyBorder="1" applyAlignment="1" applyProtection="1">
      <alignment horizontal="center" vertical="center"/>
    </xf>
    <xf numFmtId="167" fontId="37" fillId="13" borderId="0" xfId="85" applyNumberFormat="1" applyFont="1" applyFill="1" applyBorder="1" applyAlignment="1" applyProtection="1">
      <alignment horizontal="center"/>
    </xf>
    <xf numFmtId="167" fontId="37" fillId="2" borderId="0" xfId="85" applyNumberFormat="1" applyFont="1" applyFill="1" applyBorder="1" applyAlignment="1" applyProtection="1">
      <alignment horizontal="center"/>
    </xf>
    <xf numFmtId="0" fontId="37" fillId="2" borderId="0" xfId="0" applyFont="1" applyFill="1"/>
    <xf numFmtId="167" fontId="37" fillId="2" borderId="0" xfId="85" applyNumberFormat="1" applyFont="1" applyFill="1" applyBorder="1" applyAlignment="1" applyProtection="1"/>
    <xf numFmtId="167" fontId="98" fillId="6" borderId="0" xfId="85" applyNumberFormat="1" applyFont="1" applyFill="1" applyBorder="1" applyAlignment="1" applyProtection="1"/>
    <xf numFmtId="167" fontId="98" fillId="6" borderId="0" xfId="85" applyNumberFormat="1" applyFont="1" applyFill="1" applyBorder="1" applyAlignment="1" applyProtection="1">
      <alignment horizontal="center" vertical="center"/>
    </xf>
    <xf numFmtId="0" fontId="40" fillId="13" borderId="0" xfId="0" applyFont="1" applyFill="1"/>
    <xf numFmtId="0" fontId="43" fillId="0" borderId="0" xfId="0" applyFont="1"/>
    <xf numFmtId="167" fontId="37" fillId="7" borderId="0" xfId="85" applyNumberFormat="1" applyFont="1" applyFill="1" applyBorder="1" applyAlignment="1" applyProtection="1"/>
    <xf numFmtId="167" fontId="98" fillId="6" borderId="0" xfId="85" applyNumberFormat="1" applyFont="1" applyFill="1" applyBorder="1" applyAlignment="1" applyProtection="1">
      <alignment horizontal="right"/>
    </xf>
    <xf numFmtId="167" fontId="37" fillId="0" borderId="0" xfId="0" applyNumberFormat="1" applyFont="1" applyFill="1"/>
    <xf numFmtId="168" fontId="37" fillId="0" borderId="0" xfId="0" applyNumberFormat="1" applyFont="1" applyBorder="1" applyAlignment="1">
      <alignment horizontal="left"/>
    </xf>
    <xf numFmtId="14" fontId="37" fillId="0" borderId="0" xfId="0" applyNumberFormat="1" applyFont="1" applyFill="1"/>
    <xf numFmtId="14" fontId="37" fillId="13" borderId="0" xfId="0" applyNumberFormat="1" applyFont="1" applyFill="1"/>
    <xf numFmtId="167" fontId="37" fillId="13" borderId="0" xfId="0" applyNumberFormat="1" applyFont="1" applyFill="1"/>
    <xf numFmtId="0" fontId="44" fillId="13" borderId="0" xfId="0" applyFont="1" applyFill="1" applyAlignment="1"/>
    <xf numFmtId="0" fontId="99" fillId="13" borderId="0" xfId="0" applyFont="1" applyFill="1" applyAlignment="1"/>
    <xf numFmtId="0" fontId="100" fillId="0" borderId="0" xfId="0" applyFont="1" applyBorder="1"/>
    <xf numFmtId="0" fontId="101" fillId="8" borderId="0" xfId="0" applyFont="1" applyFill="1" applyAlignment="1">
      <alignment horizontal="center"/>
    </xf>
    <xf numFmtId="0" fontId="101" fillId="13" borderId="0" xfId="0" applyFont="1" applyFill="1" applyAlignment="1">
      <alignment horizontal="center"/>
    </xf>
    <xf numFmtId="0" fontId="101" fillId="8" borderId="0" xfId="0" applyFont="1" applyFill="1" applyAlignment="1">
      <alignment horizontal="center" vertical="center"/>
    </xf>
    <xf numFmtId="0" fontId="45" fillId="0" borderId="0" xfId="0" applyFont="1"/>
    <xf numFmtId="0" fontId="46" fillId="0" borderId="0" xfId="0" applyFont="1"/>
    <xf numFmtId="0" fontId="102" fillId="0" borderId="0" xfId="0" applyFont="1" applyFill="1" applyBorder="1"/>
    <xf numFmtId="0" fontId="103" fillId="0" borderId="0" xfId="0" applyFont="1" applyBorder="1" applyAlignment="1">
      <alignment horizontal="left" indent="1"/>
    </xf>
    <xf numFmtId="0" fontId="42" fillId="0" borderId="0" xfId="0" applyFont="1"/>
    <xf numFmtId="0" fontId="42" fillId="0" borderId="0" xfId="0" applyFont="1" applyBorder="1"/>
    <xf numFmtId="0" fontId="38" fillId="0" borderId="0" xfId="0" applyFont="1" applyBorder="1"/>
    <xf numFmtId="0" fontId="42" fillId="0" borderId="0" xfId="0" applyFont="1" applyFill="1" applyBorder="1"/>
    <xf numFmtId="0" fontId="42" fillId="0" borderId="0" xfId="0" applyFont="1" applyFill="1"/>
    <xf numFmtId="167" fontId="42" fillId="0" borderId="0" xfId="0" applyNumberFormat="1" applyFont="1" applyFill="1" applyBorder="1"/>
    <xf numFmtId="166" fontId="42" fillId="0" borderId="0" xfId="85" applyFont="1" applyFill="1" applyBorder="1"/>
    <xf numFmtId="43" fontId="42" fillId="0" borderId="0" xfId="0" applyNumberFormat="1" applyFont="1" applyFill="1"/>
    <xf numFmtId="14" fontId="42" fillId="0" borderId="0" xfId="0" applyNumberFormat="1" applyFont="1"/>
    <xf numFmtId="0" fontId="4" fillId="13" borderId="0" xfId="0" applyFont="1" applyFill="1" applyAlignment="1">
      <alignment horizontal="center"/>
    </xf>
    <xf numFmtId="0" fontId="0" fillId="13" borderId="0" xfId="0" applyFill="1"/>
    <xf numFmtId="166" fontId="0" fillId="13" borderId="0" xfId="0" applyNumberFormat="1" applyFill="1"/>
    <xf numFmtId="14" fontId="0" fillId="13" borderId="0" xfId="0" applyNumberFormat="1" applyFill="1"/>
    <xf numFmtId="178" fontId="3" fillId="14" borderId="0" xfId="0" applyNumberFormat="1" applyFont="1" applyFill="1"/>
    <xf numFmtId="178" fontId="3" fillId="14" borderId="4" xfId="0" applyNumberFormat="1" applyFont="1" applyFill="1" applyBorder="1"/>
    <xf numFmtId="178" fontId="3" fillId="14" borderId="5" xfId="0" applyNumberFormat="1" applyFont="1" applyFill="1" applyBorder="1"/>
    <xf numFmtId="178" fontId="3" fillId="14" borderId="6" xfId="0" applyNumberFormat="1" applyFont="1" applyFill="1" applyBorder="1"/>
    <xf numFmtId="179" fontId="0" fillId="13" borderId="0" xfId="0" applyNumberFormat="1" applyFont="1" applyFill="1" applyAlignment="1">
      <alignment horizontal="right"/>
    </xf>
    <xf numFmtId="166" fontId="5" fillId="13" borderId="0" xfId="85" applyFill="1" applyAlignment="1">
      <alignment horizontal="right"/>
    </xf>
    <xf numFmtId="166" fontId="5" fillId="13" borderId="0" xfId="85" applyFont="1" applyFill="1" applyAlignment="1">
      <alignment horizontal="right"/>
    </xf>
    <xf numFmtId="181" fontId="82" fillId="13" borderId="0" xfId="41" applyNumberFormat="1" applyFill="1"/>
    <xf numFmtId="4" fontId="82" fillId="13" borderId="0" xfId="41" applyNumberFormat="1" applyFill="1"/>
    <xf numFmtId="4" fontId="82" fillId="13" borderId="0" xfId="28" applyNumberFormat="1" applyFill="1"/>
    <xf numFmtId="4" fontId="84" fillId="13" borderId="0" xfId="58" applyNumberFormat="1" applyFill="1"/>
    <xf numFmtId="4" fontId="84" fillId="13" borderId="7" xfId="58" applyNumberFormat="1" applyFill="1" applyBorder="1"/>
    <xf numFmtId="4" fontId="84" fillId="13" borderId="0" xfId="58" applyNumberFormat="1" applyFill="1" applyBorder="1"/>
    <xf numFmtId="4" fontId="84" fillId="13" borderId="8" xfId="58" applyNumberFormat="1" applyFill="1" applyBorder="1"/>
    <xf numFmtId="181" fontId="0" fillId="13" borderId="0" xfId="0" applyNumberFormat="1" applyFill="1"/>
    <xf numFmtId="181" fontId="0" fillId="13" borderId="7" xfId="0" applyNumberFormat="1" applyFill="1" applyBorder="1"/>
    <xf numFmtId="181" fontId="0" fillId="13" borderId="0" xfId="0" applyNumberFormat="1" applyFill="1" applyBorder="1"/>
    <xf numFmtId="181" fontId="0" fillId="13" borderId="8" xfId="0" applyNumberFormat="1" applyFill="1" applyBorder="1"/>
    <xf numFmtId="181" fontId="0" fillId="13" borderId="7" xfId="0" quotePrefix="1" applyNumberFormat="1" applyFill="1" applyBorder="1"/>
    <xf numFmtId="181" fontId="0" fillId="13" borderId="0" xfId="0" quotePrefix="1" applyNumberFormat="1" applyFill="1" applyBorder="1"/>
    <xf numFmtId="181" fontId="0" fillId="13" borderId="8" xfId="0" quotePrefix="1" applyNumberFormat="1" applyFill="1" applyBorder="1"/>
    <xf numFmtId="4" fontId="0" fillId="13" borderId="0" xfId="0" applyNumberFormat="1" applyFill="1"/>
    <xf numFmtId="181" fontId="5" fillId="13" borderId="0" xfId="85" applyNumberFormat="1" applyFont="1" applyFill="1" applyAlignment="1">
      <alignment horizontal="right"/>
    </xf>
    <xf numFmtId="4" fontId="84" fillId="13" borderId="0" xfId="58" applyNumberFormat="1" applyFill="1" applyAlignment="1">
      <alignment horizontal="right"/>
    </xf>
    <xf numFmtId="181" fontId="5" fillId="13" borderId="0" xfId="85" applyNumberFormat="1" applyFill="1" applyAlignment="1">
      <alignment horizontal="right"/>
    </xf>
    <xf numFmtId="166" fontId="5" fillId="13" borderId="0" xfId="85" applyFont="1" applyFill="1" applyBorder="1" applyAlignment="1" applyProtection="1"/>
    <xf numFmtId="181" fontId="5" fillId="13" borderId="7" xfId="85" applyNumberFormat="1" applyFill="1" applyBorder="1" applyAlignment="1">
      <alignment horizontal="right"/>
    </xf>
    <xf numFmtId="181" fontId="5" fillId="13" borderId="0" xfId="85" applyNumberFormat="1" applyFill="1" applyBorder="1" applyAlignment="1">
      <alignment horizontal="right"/>
    </xf>
    <xf numFmtId="181" fontId="5" fillId="13" borderId="8" xfId="85" applyNumberFormat="1" applyFill="1" applyBorder="1" applyAlignment="1">
      <alignment horizontal="right"/>
    </xf>
    <xf numFmtId="179" fontId="0" fillId="13" borderId="0" xfId="0" applyNumberFormat="1" applyFill="1"/>
    <xf numFmtId="4" fontId="84" fillId="13" borderId="9" xfId="58" applyNumberFormat="1" applyFill="1" applyBorder="1"/>
    <xf numFmtId="4" fontId="84" fillId="13" borderId="10" xfId="58" applyNumberFormat="1" applyFill="1" applyBorder="1"/>
    <xf numFmtId="4" fontId="84" fillId="13" borderId="11" xfId="58" applyNumberFormat="1" applyFill="1" applyBorder="1"/>
    <xf numFmtId="166" fontId="5" fillId="0" borderId="0" xfId="85" applyAlignment="1">
      <alignment horizontal="center"/>
    </xf>
    <xf numFmtId="166" fontId="5" fillId="0" borderId="0" xfId="85" applyFill="1" applyBorder="1"/>
    <xf numFmtId="190" fontId="42" fillId="0" borderId="0" xfId="0" applyNumberFormat="1" applyFont="1"/>
    <xf numFmtId="0" fontId="104" fillId="5" borderId="22" xfId="0" applyFont="1" applyFill="1" applyBorder="1" applyAlignment="1">
      <alignment horizontal="center" vertical="center"/>
    </xf>
    <xf numFmtId="0" fontId="42" fillId="0" borderId="22" xfId="0" applyFont="1" applyBorder="1"/>
    <xf numFmtId="0" fontId="47" fillId="0" borderId="0" xfId="0" applyFont="1"/>
    <xf numFmtId="0" fontId="47" fillId="0" borderId="0" xfId="0" applyFont="1" applyBorder="1"/>
    <xf numFmtId="0" fontId="48" fillId="0" borderId="0" xfId="0" applyFont="1" applyBorder="1"/>
    <xf numFmtId="0" fontId="105" fillId="0" borderId="0" xfId="0" applyFont="1" applyBorder="1"/>
    <xf numFmtId="0" fontId="49" fillId="0" borderId="0" xfId="0" applyFont="1" applyBorder="1"/>
    <xf numFmtId="0" fontId="106" fillId="5" borderId="22" xfId="0" applyFont="1" applyFill="1" applyBorder="1" applyAlignment="1">
      <alignment horizontal="center" vertical="center"/>
    </xf>
    <xf numFmtId="0" fontId="50" fillId="0" borderId="22" xfId="0" applyFont="1" applyFill="1" applyBorder="1" applyAlignment="1">
      <alignment horizontal="center" vertical="center"/>
    </xf>
    <xf numFmtId="166" fontId="50" fillId="0" borderId="22" xfId="0" applyNumberFormat="1" applyFont="1" applyFill="1" applyBorder="1" applyAlignment="1">
      <alignment horizontal="right" vertical="center"/>
    </xf>
    <xf numFmtId="167" fontId="47" fillId="0" borderId="0" xfId="0" applyNumberFormat="1" applyFont="1" applyBorder="1"/>
    <xf numFmtId="0" fontId="107" fillId="0" borderId="0" xfId="0" applyFont="1"/>
    <xf numFmtId="0" fontId="107" fillId="0" borderId="0" xfId="0" applyFont="1" applyAlignment="1">
      <alignment horizontal="center"/>
    </xf>
    <xf numFmtId="168" fontId="107" fillId="0" borderId="0" xfId="0" applyNumberFormat="1" applyFont="1" applyBorder="1" applyAlignment="1"/>
    <xf numFmtId="14" fontId="47" fillId="0" borderId="0" xfId="0" applyNumberFormat="1" applyFont="1"/>
    <xf numFmtId="0" fontId="51" fillId="0" borderId="0" xfId="0" applyFont="1"/>
    <xf numFmtId="0" fontId="52" fillId="0" borderId="0" xfId="0" applyFont="1" applyFill="1" applyBorder="1"/>
    <xf numFmtId="0" fontId="53" fillId="0" borderId="0" xfId="0" applyFont="1" applyBorder="1" applyAlignment="1">
      <alignment horizontal="left" indent="1"/>
    </xf>
    <xf numFmtId="190" fontId="55" fillId="7" borderId="22" xfId="85" applyNumberFormat="1" applyFont="1" applyFill="1" applyBorder="1" applyAlignment="1">
      <alignment horizontal="right" vertical="center"/>
    </xf>
    <xf numFmtId="0" fontId="55" fillId="0" borderId="22" xfId="0" applyFont="1" applyFill="1" applyBorder="1" applyAlignment="1">
      <alignment horizontal="center" vertical="center"/>
    </xf>
    <xf numFmtId="190" fontId="55" fillId="0" borderId="22" xfId="85" applyNumberFormat="1" applyFont="1" applyFill="1" applyBorder="1" applyAlignment="1">
      <alignment horizontal="right" vertical="center"/>
    </xf>
    <xf numFmtId="190" fontId="55" fillId="7" borderId="22" xfId="85" applyNumberFormat="1" applyFont="1" applyFill="1" applyBorder="1"/>
    <xf numFmtId="190" fontId="55" fillId="7" borderId="22" xfId="0" applyNumberFormat="1" applyFont="1" applyFill="1" applyBorder="1"/>
    <xf numFmtId="0" fontId="55" fillId="0" borderId="22" xfId="0" applyFont="1" applyBorder="1"/>
    <xf numFmtId="0" fontId="55" fillId="0" borderId="22" xfId="0" applyFont="1" applyBorder="1" applyAlignment="1">
      <alignment horizontal="center"/>
    </xf>
    <xf numFmtId="190" fontId="55" fillId="0" borderId="22" xfId="85" applyNumberFormat="1" applyFont="1" applyBorder="1"/>
    <xf numFmtId="190" fontId="55" fillId="0" borderId="22" xfId="0" applyNumberFormat="1" applyFont="1" applyBorder="1"/>
    <xf numFmtId="0" fontId="56" fillId="0" borderId="22" xfId="0" applyFont="1" applyFill="1" applyBorder="1" applyAlignment="1">
      <alignment vertical="center"/>
    </xf>
    <xf numFmtId="190" fontId="56" fillId="0" borderId="22" xfId="0" applyNumberFormat="1" applyFont="1" applyFill="1" applyBorder="1" applyAlignment="1">
      <alignment horizontal="right" vertical="center"/>
    </xf>
    <xf numFmtId="190" fontId="108" fillId="6" borderId="22" xfId="85" applyNumberFormat="1" applyFont="1" applyFill="1" applyBorder="1" applyAlignment="1" applyProtection="1">
      <alignment horizontal="right" vertical="center"/>
    </xf>
    <xf numFmtId="190" fontId="57" fillId="7" borderId="22" xfId="0" applyNumberFormat="1" applyFont="1" applyFill="1" applyBorder="1" applyAlignment="1">
      <alignment horizontal="right"/>
    </xf>
    <xf numFmtId="0" fontId="57" fillId="0" borderId="22" xfId="0" applyFont="1" applyFill="1" applyBorder="1"/>
    <xf numFmtId="190" fontId="57" fillId="0" borderId="22" xfId="0" applyNumberFormat="1" applyFont="1" applyFill="1" applyBorder="1" applyAlignment="1">
      <alignment horizontal="right"/>
    </xf>
    <xf numFmtId="0" fontId="57" fillId="0" borderId="22" xfId="0" applyFont="1" applyFill="1" applyBorder="1" applyAlignment="1">
      <alignment horizontal="center"/>
    </xf>
    <xf numFmtId="190" fontId="109" fillId="4" borderId="22" xfId="85" applyNumberFormat="1" applyFont="1" applyFill="1" applyBorder="1" applyAlignment="1" applyProtection="1">
      <alignment horizontal="right" vertical="center"/>
    </xf>
    <xf numFmtId="0" fontId="45" fillId="0" borderId="0" xfId="0" applyFont="1" applyBorder="1"/>
    <xf numFmtId="0" fontId="38" fillId="0" borderId="1" xfId="0" applyFont="1" applyBorder="1"/>
    <xf numFmtId="0" fontId="37" fillId="0" borderId="1" xfId="0" applyFont="1" applyBorder="1"/>
    <xf numFmtId="0" fontId="38" fillId="0" borderId="2" xfId="0" applyFont="1" applyFill="1" applyBorder="1"/>
    <xf numFmtId="0" fontId="37" fillId="0" borderId="2" xfId="0" applyFont="1" applyBorder="1"/>
    <xf numFmtId="0" fontId="39" fillId="0" borderId="0" xfId="0" applyFont="1" applyFill="1" applyBorder="1"/>
    <xf numFmtId="0" fontId="110" fillId="5" borderId="0" xfId="0" applyFont="1" applyFill="1" applyBorder="1" applyAlignment="1">
      <alignment horizontal="center"/>
    </xf>
    <xf numFmtId="166" fontId="37" fillId="0" borderId="0" xfId="0" applyNumberFormat="1" applyFont="1" applyFill="1" applyBorder="1"/>
    <xf numFmtId="166" fontId="37" fillId="0" borderId="0" xfId="0" applyNumberFormat="1" applyFont="1" applyFill="1" applyAlignment="1">
      <alignment horizontal="right"/>
    </xf>
    <xf numFmtId="166" fontId="37" fillId="0" borderId="0" xfId="0" applyNumberFormat="1" applyFont="1" applyBorder="1"/>
    <xf numFmtId="166" fontId="110" fillId="4" borderId="0" xfId="85" applyNumberFormat="1" applyFont="1" applyFill="1" applyBorder="1" applyAlignment="1" applyProtection="1">
      <alignment vertical="center"/>
    </xf>
    <xf numFmtId="0" fontId="37" fillId="4" borderId="0" xfId="0" applyFont="1" applyFill="1"/>
    <xf numFmtId="9" fontId="37" fillId="0" borderId="0" xfId="62" applyFont="1"/>
    <xf numFmtId="9" fontId="37" fillId="0" borderId="0" xfId="62" applyFont="1" applyAlignment="1">
      <alignment horizontal="center"/>
    </xf>
    <xf numFmtId="0" fontId="59" fillId="0" borderId="0" xfId="0" applyFont="1" applyAlignment="1"/>
    <xf numFmtId="0" fontId="37" fillId="0" borderId="0" xfId="0" applyFont="1" applyAlignment="1"/>
    <xf numFmtId="180" fontId="37" fillId="0" borderId="0" xfId="62" applyNumberFormat="1" applyFont="1" applyAlignment="1">
      <alignment horizontal="center"/>
    </xf>
    <xf numFmtId="168" fontId="37" fillId="0" borderId="0" xfId="0" applyNumberFormat="1" applyFont="1" applyAlignment="1">
      <alignment horizontal="left"/>
    </xf>
    <xf numFmtId="14" fontId="37" fillId="0" borderId="0" xfId="0" applyNumberFormat="1" applyFont="1"/>
    <xf numFmtId="0" fontId="60" fillId="0" borderId="0" xfId="0" applyFont="1"/>
    <xf numFmtId="0" fontId="39" fillId="0" borderId="0" xfId="0" applyFont="1"/>
    <xf numFmtId="0" fontId="57" fillId="0" borderId="0" xfId="0" applyFont="1"/>
    <xf numFmtId="0" fontId="38" fillId="0" borderId="0" xfId="0" applyFont="1" applyFill="1" applyBorder="1"/>
    <xf numFmtId="0" fontId="37" fillId="13" borderId="0" xfId="0" applyFont="1" applyFill="1" applyAlignment="1"/>
    <xf numFmtId="168" fontId="37" fillId="13" borderId="0" xfId="0" applyNumberFormat="1" applyFont="1" applyFill="1" applyAlignment="1">
      <alignment horizontal="left"/>
    </xf>
    <xf numFmtId="0" fontId="38" fillId="13" borderId="0" xfId="0" applyFont="1" applyFill="1" applyBorder="1"/>
    <xf numFmtId="0" fontId="37" fillId="13" borderId="0" xfId="0" applyFont="1" applyFill="1" applyBorder="1" applyAlignment="1">
      <alignment horizontal="center"/>
    </xf>
    <xf numFmtId="0" fontId="57" fillId="13" borderId="0" xfId="0" applyFont="1" applyFill="1" applyBorder="1"/>
    <xf numFmtId="0" fontId="57" fillId="13" borderId="0" xfId="0" applyFont="1" applyFill="1"/>
    <xf numFmtId="0" fontId="57" fillId="13" borderId="0" xfId="0" applyFont="1" applyFill="1" applyBorder="1" applyAlignment="1">
      <alignment horizontal="center"/>
    </xf>
    <xf numFmtId="0" fontId="57" fillId="0" borderId="0" xfId="0" applyFont="1" applyFill="1"/>
    <xf numFmtId="9" fontId="57" fillId="0" borderId="0" xfId="62" applyFont="1"/>
    <xf numFmtId="0" fontId="111" fillId="5" borderId="26" xfId="0" applyFont="1" applyFill="1" applyBorder="1" applyAlignment="1">
      <alignment horizontal="center"/>
    </xf>
    <xf numFmtId="0" fontId="37" fillId="0" borderId="26" xfId="0" applyFont="1" applyFill="1" applyBorder="1" applyAlignment="1">
      <alignment horizontal="center"/>
    </xf>
    <xf numFmtId="166" fontId="37" fillId="0" borderId="26" xfId="0" applyNumberFormat="1" applyFont="1" applyFill="1" applyBorder="1"/>
    <xf numFmtId="0" fontId="57" fillId="0" borderId="26" xfId="0" applyFont="1" applyFill="1" applyBorder="1" applyAlignment="1">
      <alignment horizontal="center"/>
    </xf>
    <xf numFmtId="166" fontId="57" fillId="0" borderId="26" xfId="0" applyNumberFormat="1" applyFont="1" applyFill="1" applyBorder="1" applyAlignment="1">
      <alignment horizontal="right"/>
    </xf>
    <xf numFmtId="166" fontId="57" fillId="0" borderId="26" xfId="85" applyFont="1" applyFill="1" applyBorder="1" applyAlignment="1">
      <alignment horizontal="center"/>
    </xf>
    <xf numFmtId="0" fontId="57" fillId="0" borderId="26" xfId="0" applyFont="1" applyBorder="1"/>
    <xf numFmtId="167" fontId="112" fillId="6" borderId="26" xfId="85" applyNumberFormat="1" applyFont="1" applyFill="1" applyBorder="1" applyAlignment="1" applyProtection="1">
      <alignment vertical="center"/>
    </xf>
    <xf numFmtId="166" fontId="112" fillId="4" borderId="26" xfId="85" applyNumberFormat="1" applyFont="1" applyFill="1" applyBorder="1" applyAlignment="1" applyProtection="1">
      <alignment vertical="center"/>
    </xf>
    <xf numFmtId="0" fontId="57" fillId="7" borderId="26" xfId="0" applyFont="1" applyFill="1" applyBorder="1" applyAlignment="1">
      <alignment horizontal="center"/>
    </xf>
    <xf numFmtId="166" fontId="57" fillId="7" borderId="26" xfId="0" applyNumberFormat="1" applyFont="1" applyFill="1" applyBorder="1" applyAlignment="1">
      <alignment horizontal="right"/>
    </xf>
    <xf numFmtId="0" fontId="63" fillId="0" borderId="0" xfId="0" applyFont="1" applyAlignment="1"/>
    <xf numFmtId="0" fontId="58" fillId="0" borderId="0" xfId="0" applyFont="1" applyBorder="1"/>
    <xf numFmtId="0" fontId="37" fillId="0" borderId="0" xfId="0" applyFont="1" applyFill="1" applyBorder="1" applyAlignment="1">
      <alignment horizontal="center" vertical="center"/>
    </xf>
    <xf numFmtId="0" fontId="37" fillId="0" borderId="0" xfId="0" applyFont="1" applyAlignment="1">
      <alignment vertical="center"/>
    </xf>
    <xf numFmtId="167" fontId="37" fillId="0" borderId="0" xfId="0" applyNumberFormat="1" applyFont="1" applyBorder="1"/>
    <xf numFmtId="0" fontId="37" fillId="0" borderId="0" xfId="0" applyFont="1" applyAlignment="1">
      <alignment horizontal="center"/>
    </xf>
    <xf numFmtId="168" fontId="37" fillId="0" borderId="0" xfId="0" applyNumberFormat="1" applyFont="1" applyBorder="1" applyAlignment="1"/>
    <xf numFmtId="168" fontId="46" fillId="0" borderId="0" xfId="0" applyNumberFormat="1" applyFont="1" applyBorder="1" applyAlignment="1"/>
    <xf numFmtId="0" fontId="37" fillId="0" borderId="26" xfId="0" applyFont="1" applyFill="1" applyBorder="1" applyAlignment="1">
      <alignment horizontal="center" vertical="center"/>
    </xf>
    <xf numFmtId="0" fontId="37" fillId="0" borderId="26" xfId="0" applyFont="1" applyBorder="1"/>
    <xf numFmtId="0" fontId="57" fillId="0" borderId="26" xfId="0" applyFont="1" applyFill="1" applyBorder="1" applyAlignment="1">
      <alignment horizontal="center" vertical="center"/>
    </xf>
    <xf numFmtId="0" fontId="57" fillId="0" borderId="26" xfId="0" applyFont="1" applyFill="1" applyBorder="1" applyAlignment="1">
      <alignment vertical="center"/>
    </xf>
    <xf numFmtId="166" fontId="57" fillId="0" borderId="26" xfId="0" applyNumberFormat="1" applyFont="1" applyBorder="1" applyAlignment="1">
      <alignment horizontal="right"/>
    </xf>
    <xf numFmtId="166" fontId="112" fillId="6" borderId="26" xfId="85" applyNumberFormat="1" applyFont="1" applyFill="1" applyBorder="1" applyAlignment="1" applyProtection="1">
      <alignment vertical="center"/>
    </xf>
    <xf numFmtId="0" fontId="98" fillId="5" borderId="26" xfId="0" applyFont="1" applyFill="1" applyBorder="1" applyAlignment="1">
      <alignment horizontal="center" vertical="center"/>
    </xf>
    <xf numFmtId="0" fontId="37" fillId="0" borderId="0" xfId="0" quotePrefix="1" applyFont="1"/>
    <xf numFmtId="0" fontId="65" fillId="15" borderId="0" xfId="27" applyFont="1" applyFill="1" applyBorder="1" applyAlignment="1">
      <alignment horizontal="left" vertical="center" wrapText="1"/>
    </xf>
    <xf numFmtId="0" fontId="37" fillId="0" borderId="12" xfId="0" applyFont="1" applyBorder="1" applyAlignment="1">
      <alignment horizontal="center"/>
    </xf>
    <xf numFmtId="43" fontId="37" fillId="0" borderId="0" xfId="106" applyFont="1" applyFill="1" applyBorder="1" applyAlignment="1" applyProtection="1"/>
    <xf numFmtId="0" fontId="54" fillId="15" borderId="0" xfId="27" applyFont="1" applyFill="1" applyBorder="1" applyAlignment="1">
      <alignment horizontal="left" vertical="center"/>
    </xf>
    <xf numFmtId="0" fontId="66" fillId="15" borderId="0" xfId="27" applyFont="1" applyFill="1" applyBorder="1" applyAlignment="1">
      <alignment horizontal="left" vertical="center"/>
    </xf>
    <xf numFmtId="0" fontId="67" fillId="15" borderId="0" xfId="27" applyFont="1" applyFill="1" applyBorder="1" applyAlignment="1">
      <alignment horizontal="left" vertical="center"/>
    </xf>
    <xf numFmtId="0" fontId="59" fillId="0" borderId="0" xfId="0" applyFont="1" applyBorder="1" applyAlignment="1">
      <alignment horizontal="right"/>
    </xf>
    <xf numFmtId="0" fontId="68" fillId="0" borderId="0" xfId="0" applyFont="1" applyBorder="1"/>
    <xf numFmtId="174" fontId="59" fillId="0" borderId="0" xfId="0" applyNumberFormat="1" applyFont="1" applyBorder="1" applyAlignment="1">
      <alignment horizontal="left"/>
    </xf>
    <xf numFmtId="0" fontId="57" fillId="0" borderId="12" xfId="0" applyFont="1" applyBorder="1" applyAlignment="1">
      <alignment horizontal="center"/>
    </xf>
    <xf numFmtId="167" fontId="57" fillId="0" borderId="0" xfId="106" applyNumberFormat="1" applyFont="1" applyFill="1" applyBorder="1" applyAlignment="1" applyProtection="1"/>
    <xf numFmtId="0" fontId="62" fillId="0" borderId="0" xfId="0" applyFont="1" applyBorder="1"/>
    <xf numFmtId="43" fontId="57" fillId="0" borderId="0" xfId="106" applyFont="1" applyFill="1" applyBorder="1" applyAlignment="1" applyProtection="1"/>
    <xf numFmtId="169" fontId="57" fillId="0" borderId="0" xfId="106" applyNumberFormat="1" applyFont="1" applyFill="1" applyBorder="1" applyAlignment="1" applyProtection="1"/>
    <xf numFmtId="170" fontId="57" fillId="0" borderId="0" xfId="106" applyNumberFormat="1" applyFont="1" applyFill="1" applyBorder="1" applyAlignment="1" applyProtection="1"/>
    <xf numFmtId="171" fontId="57" fillId="0" borderId="0" xfId="106" applyNumberFormat="1" applyFont="1" applyFill="1" applyBorder="1" applyAlignment="1" applyProtection="1"/>
    <xf numFmtId="172" fontId="57" fillId="0" borderId="0" xfId="106" applyNumberFormat="1" applyFont="1" applyFill="1" applyBorder="1" applyAlignment="1" applyProtection="1"/>
    <xf numFmtId="173" fontId="57" fillId="0" borderId="0" xfId="106" applyNumberFormat="1" applyFont="1" applyFill="1" applyBorder="1" applyAlignment="1" applyProtection="1"/>
    <xf numFmtId="0" fontId="113" fillId="16" borderId="0" xfId="0" applyFont="1" applyFill="1" applyBorder="1"/>
    <xf numFmtId="0" fontId="57" fillId="0" borderId="0" xfId="0" applyFont="1" applyBorder="1"/>
    <xf numFmtId="0" fontId="112" fillId="16" borderId="0" xfId="0" applyFont="1" applyFill="1" applyBorder="1"/>
    <xf numFmtId="172" fontId="112" fillId="16" borderId="0" xfId="0" applyNumberFormat="1" applyFont="1" applyFill="1" applyBorder="1"/>
    <xf numFmtId="10" fontId="112" fillId="16" borderId="0" xfId="73" applyNumberFormat="1" applyFont="1" applyFill="1" applyBorder="1" applyAlignment="1" applyProtection="1"/>
    <xf numFmtId="0" fontId="62" fillId="0" borderId="0" xfId="0" applyFont="1"/>
    <xf numFmtId="0" fontId="66" fillId="15" borderId="0" xfId="27" applyFont="1" applyFill="1" applyBorder="1" applyAlignment="1">
      <alignment horizontal="left" vertical="center" wrapText="1"/>
    </xf>
    <xf numFmtId="0" fontId="45" fillId="0" borderId="26" xfId="0" applyFont="1" applyBorder="1"/>
    <xf numFmtId="0" fontId="38" fillId="0" borderId="26" xfId="0" applyFont="1" applyFill="1" applyBorder="1"/>
    <xf numFmtId="0" fontId="57" fillId="0" borderId="26" xfId="0" applyFont="1" applyBorder="1" applyAlignment="1">
      <alignment horizontal="center"/>
    </xf>
    <xf numFmtId="167" fontId="57" fillId="0" borderId="26" xfId="106" applyNumberFormat="1" applyFont="1" applyFill="1" applyBorder="1" applyAlignment="1" applyProtection="1"/>
    <xf numFmtId="0" fontId="62" fillId="0" borderId="26" xfId="0" applyFont="1" applyBorder="1"/>
    <xf numFmtId="43" fontId="57" fillId="0" borderId="26" xfId="106" applyFont="1" applyFill="1" applyBorder="1" applyAlignment="1" applyProtection="1"/>
    <xf numFmtId="169" fontId="57" fillId="0" borderId="26" xfId="106" applyNumberFormat="1" applyFont="1" applyFill="1" applyBorder="1" applyAlignment="1" applyProtection="1"/>
    <xf numFmtId="170" fontId="57" fillId="0" borderId="26" xfId="106" applyNumberFormat="1" applyFont="1" applyFill="1" applyBorder="1" applyAlignment="1" applyProtection="1"/>
    <xf numFmtId="171" fontId="57" fillId="0" borderId="26" xfId="106" applyNumberFormat="1" applyFont="1" applyFill="1" applyBorder="1" applyAlignment="1" applyProtection="1"/>
    <xf numFmtId="172" fontId="57" fillId="0" borderId="26" xfId="106" applyNumberFormat="1" applyFont="1" applyFill="1" applyBorder="1" applyAlignment="1" applyProtection="1"/>
    <xf numFmtId="0" fontId="39" fillId="0" borderId="26" xfId="0" applyFont="1" applyBorder="1"/>
    <xf numFmtId="173" fontId="57" fillId="0" borderId="26" xfId="106" applyNumberFormat="1" applyFont="1" applyFill="1" applyBorder="1" applyAlignment="1" applyProtection="1"/>
    <xf numFmtId="0" fontId="59" fillId="0" borderId="26" xfId="0" applyFont="1" applyBorder="1" applyAlignment="1">
      <alignment horizontal="right"/>
    </xf>
    <xf numFmtId="174" fontId="59" fillId="0" borderId="26" xfId="0" applyNumberFormat="1" applyFont="1" applyBorder="1" applyAlignment="1">
      <alignment horizontal="left"/>
    </xf>
    <xf numFmtId="0" fontId="112" fillId="16" borderId="26" xfId="0" applyFont="1" applyFill="1" applyBorder="1"/>
    <xf numFmtId="172" fontId="112" fillId="16" borderId="26" xfId="0" applyNumberFormat="1" applyFont="1" applyFill="1" applyBorder="1"/>
    <xf numFmtId="10" fontId="112" fillId="16" borderId="26" xfId="73" applyNumberFormat="1" applyFont="1" applyFill="1" applyBorder="1" applyAlignment="1" applyProtection="1"/>
    <xf numFmtId="43" fontId="57" fillId="0" borderId="26" xfId="106" applyFont="1" applyFill="1" applyBorder="1" applyAlignment="1" applyProtection="1">
      <alignment horizontal="center"/>
    </xf>
    <xf numFmtId="0" fontId="62" fillId="0" borderId="26" xfId="0" applyFont="1" applyBorder="1" applyAlignment="1">
      <alignment horizontal="center"/>
    </xf>
    <xf numFmtId="0" fontId="62" fillId="0" borderId="27" xfId="0" applyFont="1" applyBorder="1" applyAlignment="1">
      <alignment horizontal="center"/>
    </xf>
    <xf numFmtId="0" fontId="62" fillId="0" borderId="28" xfId="0" applyFont="1" applyBorder="1" applyAlignment="1"/>
    <xf numFmtId="0" fontId="62" fillId="0" borderId="12" xfId="0" applyFont="1" applyBorder="1" applyAlignment="1">
      <alignment horizontal="center"/>
    </xf>
    <xf numFmtId="0" fontId="69" fillId="0" borderId="0" xfId="0" applyFont="1" applyBorder="1"/>
    <xf numFmtId="14" fontId="40" fillId="0" borderId="0" xfId="1" applyNumberFormat="1" applyFont="1" applyFill="1" applyBorder="1" applyAlignment="1">
      <alignment horizontal="center" vertical="center" wrapText="1"/>
    </xf>
    <xf numFmtId="176" fontId="39" fillId="0" borderId="0" xfId="0" applyNumberFormat="1" applyFont="1" applyBorder="1"/>
    <xf numFmtId="0" fontId="98" fillId="4" borderId="0" xfId="0" applyFont="1" applyFill="1"/>
    <xf numFmtId="0" fontId="98" fillId="4" borderId="0" xfId="0" applyFont="1" applyFill="1" applyAlignment="1">
      <alignment horizontal="center" vertical="center" wrapText="1"/>
    </xf>
    <xf numFmtId="0" fontId="98" fillId="4" borderId="0" xfId="0" applyFont="1" applyFill="1" applyAlignment="1">
      <alignment horizontal="center"/>
    </xf>
    <xf numFmtId="0" fontId="41" fillId="0" borderId="0" xfId="0" applyFont="1"/>
    <xf numFmtId="0" fontId="41" fillId="0" borderId="0" xfId="0" applyFont="1" applyFill="1"/>
    <xf numFmtId="14" fontId="71" fillId="0" borderId="13" xfId="0" applyNumberFormat="1" applyFont="1" applyFill="1" applyBorder="1" applyAlignment="1" applyProtection="1">
      <alignment horizontal="center"/>
      <protection hidden="1"/>
    </xf>
    <xf numFmtId="0" fontId="40" fillId="0" borderId="0" xfId="0" applyFont="1" applyFill="1"/>
    <xf numFmtId="0" fontId="40" fillId="0" borderId="0" xfId="1" applyFont="1" applyFill="1" applyBorder="1" applyAlignment="1">
      <alignment horizontal="left" vertical="center"/>
    </xf>
    <xf numFmtId="176" fontId="40" fillId="0" borderId="0" xfId="1" applyNumberFormat="1" applyFont="1" applyFill="1" applyBorder="1" applyAlignment="1">
      <alignment horizontal="right" vertical="center"/>
    </xf>
    <xf numFmtId="14" fontId="40" fillId="0" borderId="0" xfId="1" applyNumberFormat="1" applyFont="1" applyFill="1" applyBorder="1" applyAlignment="1">
      <alignment horizontal="center" vertical="center"/>
    </xf>
    <xf numFmtId="177" fontId="40" fillId="0" borderId="0" xfId="0" applyNumberFormat="1" applyFont="1" applyFill="1" applyAlignment="1">
      <alignment horizontal="right"/>
    </xf>
    <xf numFmtId="0" fontId="40" fillId="0" borderId="0" xfId="0" quotePrefix="1" applyFont="1"/>
    <xf numFmtId="0" fontId="40" fillId="0" borderId="0" xfId="0" applyFont="1" applyAlignment="1">
      <alignment vertical="center"/>
    </xf>
    <xf numFmtId="0" fontId="40" fillId="0" borderId="0" xfId="0" applyFont="1" applyFill="1" applyAlignment="1">
      <alignment vertical="center"/>
    </xf>
    <xf numFmtId="14" fontId="72" fillId="0" borderId="0" xfId="0" applyNumberFormat="1" applyFont="1" applyFill="1" applyBorder="1" applyAlignment="1" applyProtection="1">
      <alignment horizontal="center"/>
      <protection hidden="1"/>
    </xf>
    <xf numFmtId="14" fontId="71" fillId="0" borderId="0" xfId="0" applyNumberFormat="1" applyFont="1" applyFill="1" applyBorder="1" applyAlignment="1" applyProtection="1">
      <alignment horizontal="center"/>
      <protection hidden="1"/>
    </xf>
    <xf numFmtId="0" fontId="39" fillId="13" borderId="0" xfId="0" applyFont="1" applyFill="1" applyBorder="1"/>
    <xf numFmtId="14" fontId="114" fillId="13" borderId="14" xfId="0" applyNumberFormat="1" applyFont="1" applyFill="1" applyBorder="1" applyAlignment="1" applyProtection="1">
      <alignment horizontal="center"/>
      <protection hidden="1"/>
    </xf>
    <xf numFmtId="177" fontId="37" fillId="0" borderId="0" xfId="0" applyNumberFormat="1" applyFont="1"/>
    <xf numFmtId="3" fontId="111" fillId="8" borderId="22" xfId="0" applyNumberFormat="1" applyFont="1" applyFill="1" applyBorder="1" applyAlignment="1">
      <alignment horizontal="center" vertical="center"/>
    </xf>
    <xf numFmtId="49" fontId="111" fillId="8" borderId="22" xfId="0" applyNumberFormat="1" applyFont="1" applyFill="1" applyBorder="1" applyAlignment="1">
      <alignment horizontal="center" vertical="center"/>
    </xf>
    <xf numFmtId="0" fontId="111" fillId="4" borderId="0" xfId="0" applyFont="1" applyFill="1"/>
    <xf numFmtId="0" fontId="73" fillId="9" borderId="0" xfId="0" applyFont="1" applyFill="1" applyBorder="1"/>
    <xf numFmtId="0" fontId="73" fillId="9" borderId="0" xfId="0" applyFont="1" applyFill="1" applyBorder="1" applyAlignment="1">
      <alignment horizontal="center" vertical="center" wrapText="1"/>
    </xf>
    <xf numFmtId="0" fontId="73" fillId="9" borderId="0" xfId="0" applyFont="1" applyFill="1" applyBorder="1" applyAlignment="1">
      <alignment horizontal="center"/>
    </xf>
    <xf numFmtId="177" fontId="73" fillId="9" borderId="0" xfId="0" applyNumberFormat="1" applyFont="1" applyFill="1" applyBorder="1" applyAlignment="1">
      <alignment horizontal="right"/>
    </xf>
    <xf numFmtId="0" fontId="72" fillId="13" borderId="0" xfId="1" applyFont="1" applyFill="1" applyBorder="1" applyAlignment="1">
      <alignment horizontal="left" vertical="center"/>
    </xf>
    <xf numFmtId="0" fontId="72" fillId="13" borderId="0" xfId="1" applyFont="1" applyFill="1" applyBorder="1" applyAlignment="1">
      <alignment horizontal="center" vertical="center" wrapText="1"/>
    </xf>
    <xf numFmtId="176" fontId="72" fillId="13" borderId="0" xfId="1" applyNumberFormat="1" applyFont="1" applyFill="1" applyBorder="1" applyAlignment="1">
      <alignment horizontal="right" vertical="center"/>
    </xf>
    <xf numFmtId="14" fontId="72" fillId="13" borderId="0" xfId="1" applyNumberFormat="1" applyFont="1" applyFill="1" applyBorder="1" applyAlignment="1">
      <alignment horizontal="center" vertical="center"/>
    </xf>
    <xf numFmtId="177" fontId="72" fillId="13" borderId="0" xfId="0" applyNumberFormat="1" applyFont="1" applyFill="1" applyAlignment="1">
      <alignment horizontal="right"/>
    </xf>
    <xf numFmtId="14" fontId="72" fillId="13" borderId="0" xfId="1" applyNumberFormat="1" applyFont="1" applyFill="1" applyBorder="1" applyAlignment="1">
      <alignment horizontal="center" vertical="center" wrapText="1"/>
    </xf>
    <xf numFmtId="0" fontId="73" fillId="9" borderId="0" xfId="0" applyFont="1" applyFill="1" applyBorder="1" applyAlignment="1">
      <alignment horizontal="right"/>
    </xf>
    <xf numFmtId="0" fontId="73" fillId="17" borderId="0" xfId="0" applyFont="1" applyFill="1" applyBorder="1"/>
    <xf numFmtId="176" fontId="62" fillId="0" borderId="0" xfId="0" applyNumberFormat="1" applyFont="1" applyBorder="1"/>
    <xf numFmtId="0" fontId="72" fillId="0" borderId="0" xfId="1" applyFont="1" applyFill="1" applyBorder="1" applyAlignment="1">
      <alignment horizontal="left" vertical="center"/>
    </xf>
    <xf numFmtId="176" fontId="72" fillId="0" borderId="0" xfId="1" applyNumberFormat="1" applyFont="1" applyFill="1" applyBorder="1" applyAlignment="1">
      <alignment horizontal="right" vertical="center"/>
    </xf>
    <xf numFmtId="0" fontId="72" fillId="0" borderId="0" xfId="0" applyFont="1"/>
    <xf numFmtId="14" fontId="72" fillId="0" borderId="0" xfId="1" applyNumberFormat="1" applyFont="1" applyFill="1" applyBorder="1" applyAlignment="1">
      <alignment horizontal="center" vertical="center" wrapText="1"/>
    </xf>
    <xf numFmtId="0" fontId="72" fillId="0" borderId="0" xfId="0" applyFont="1" applyAlignment="1">
      <alignment vertical="center"/>
    </xf>
    <xf numFmtId="0" fontId="72" fillId="0" borderId="0" xfId="0" applyFont="1" applyAlignment="1">
      <alignment horizontal="center" vertical="center" wrapText="1"/>
    </xf>
    <xf numFmtId="177" fontId="112" fillId="10" borderId="22" xfId="0" applyNumberFormat="1" applyFont="1" applyFill="1" applyBorder="1" applyAlignment="1">
      <alignment horizontal="right"/>
    </xf>
    <xf numFmtId="176" fontId="73" fillId="0" borderId="0" xfId="1" applyNumberFormat="1" applyFont="1" applyFill="1" applyBorder="1" applyAlignment="1">
      <alignment horizontal="right" vertical="center"/>
    </xf>
    <xf numFmtId="14" fontId="73" fillId="0" borderId="0" xfId="1" applyNumberFormat="1" applyFont="1" applyFill="1" applyBorder="1" applyAlignment="1">
      <alignment horizontal="center" vertical="center"/>
    </xf>
    <xf numFmtId="177" fontId="73" fillId="0" borderId="0" xfId="0" applyNumberFormat="1" applyFont="1" applyFill="1" applyAlignment="1">
      <alignment horizontal="right"/>
    </xf>
    <xf numFmtId="0" fontId="73" fillId="0" borderId="0" xfId="0" applyFont="1" applyAlignment="1">
      <alignment horizontal="center" vertical="center"/>
    </xf>
    <xf numFmtId="0" fontId="73" fillId="0" borderId="0" xfId="0" applyFont="1" applyAlignment="1">
      <alignment vertical="center"/>
    </xf>
    <xf numFmtId="177" fontId="112" fillId="10" borderId="22" xfId="0" applyNumberFormat="1" applyFont="1" applyFill="1" applyBorder="1" applyAlignment="1">
      <alignment horizontal="right" vertical="center"/>
    </xf>
    <xf numFmtId="177" fontId="112" fillId="10" borderId="22" xfId="0" applyNumberFormat="1" applyFont="1" applyFill="1" applyBorder="1" applyAlignment="1">
      <alignment vertical="center"/>
    </xf>
    <xf numFmtId="0" fontId="73" fillId="17" borderId="0" xfId="0" applyFont="1" applyFill="1" applyBorder="1" applyAlignment="1">
      <alignment horizontal="center" vertical="center" wrapText="1"/>
    </xf>
    <xf numFmtId="176" fontId="73" fillId="17" borderId="0" xfId="0" applyNumberFormat="1" applyFont="1" applyFill="1" applyBorder="1" applyAlignment="1">
      <alignment horizontal="right"/>
    </xf>
    <xf numFmtId="0" fontId="73" fillId="17" borderId="0" xfId="0" applyFont="1" applyFill="1" applyBorder="1" applyAlignment="1">
      <alignment horizontal="center"/>
    </xf>
    <xf numFmtId="177" fontId="73" fillId="17" borderId="0" xfId="0" applyNumberFormat="1" applyFont="1" applyFill="1" applyBorder="1" applyAlignment="1">
      <alignment horizontal="right"/>
    </xf>
    <xf numFmtId="176" fontId="73" fillId="17" borderId="0" xfId="0" applyNumberFormat="1" applyFont="1" applyFill="1" applyBorder="1"/>
    <xf numFmtId="176" fontId="73" fillId="17" borderId="0" xfId="0" applyNumberFormat="1" applyFont="1" applyFill="1" applyBorder="1" applyAlignment="1">
      <alignment horizontal="center"/>
    </xf>
    <xf numFmtId="10" fontId="72" fillId="13" borderId="0" xfId="1" applyNumberFormat="1" applyFont="1" applyFill="1" applyBorder="1" applyAlignment="1">
      <alignment horizontal="center" vertical="center" wrapText="1"/>
    </xf>
    <xf numFmtId="0" fontId="62" fillId="13" borderId="0" xfId="0" applyFont="1" applyFill="1" applyBorder="1"/>
    <xf numFmtId="176" fontId="62" fillId="13" borderId="0" xfId="0" applyNumberFormat="1" applyFont="1" applyFill="1" applyBorder="1"/>
    <xf numFmtId="166" fontId="37" fillId="0" borderId="0" xfId="85" applyFont="1" applyFill="1" applyBorder="1" applyAlignment="1" applyProtection="1"/>
    <xf numFmtId="171" fontId="37" fillId="0" borderId="0" xfId="85" applyNumberFormat="1" applyFont="1" applyFill="1" applyBorder="1" applyAlignment="1" applyProtection="1"/>
    <xf numFmtId="172" fontId="37" fillId="0" borderId="0" xfId="85" applyNumberFormat="1" applyFont="1" applyFill="1" applyBorder="1" applyAlignment="1" applyProtection="1"/>
    <xf numFmtId="166" fontId="37" fillId="0" borderId="0" xfId="85" applyFont="1"/>
    <xf numFmtId="166" fontId="57" fillId="0" borderId="0" xfId="85" applyFont="1" applyFill="1" applyBorder="1" applyAlignment="1" applyProtection="1"/>
    <xf numFmtId="167" fontId="57" fillId="0" borderId="0" xfId="85" applyNumberFormat="1" applyFont="1" applyFill="1" applyBorder="1" applyAlignment="1" applyProtection="1"/>
    <xf numFmtId="172" fontId="57" fillId="0" borderId="0" xfId="85" applyNumberFormat="1" applyFont="1" applyFill="1" applyBorder="1" applyAlignment="1" applyProtection="1"/>
    <xf numFmtId="171" fontId="57" fillId="0" borderId="0" xfId="85" applyNumberFormat="1" applyFont="1" applyFill="1" applyBorder="1" applyAlignment="1" applyProtection="1"/>
    <xf numFmtId="173" fontId="57" fillId="0" borderId="0" xfId="85" applyNumberFormat="1" applyFont="1" applyFill="1" applyBorder="1" applyAlignment="1" applyProtection="1"/>
    <xf numFmtId="169" fontId="57" fillId="0" borderId="0" xfId="85" applyNumberFormat="1" applyFont="1" applyFill="1" applyBorder="1" applyAlignment="1" applyProtection="1"/>
    <xf numFmtId="170" fontId="57" fillId="0" borderId="0" xfId="85" applyNumberFormat="1" applyFont="1" applyFill="1" applyBorder="1" applyAlignment="1" applyProtection="1"/>
    <xf numFmtId="166" fontId="57" fillId="0" borderId="0" xfId="85" applyFont="1"/>
    <xf numFmtId="10" fontId="112" fillId="16" borderId="0" xfId="62" applyNumberFormat="1" applyFont="1" applyFill="1" applyBorder="1" applyAlignment="1" applyProtection="1"/>
    <xf numFmtId="188" fontId="37" fillId="0" borderId="0" xfId="85" applyNumberFormat="1" applyFont="1" applyFill="1" applyBorder="1" applyAlignment="1" applyProtection="1">
      <alignment horizontal="right"/>
    </xf>
    <xf numFmtId="190" fontId="37" fillId="0" borderId="0" xfId="85" applyNumberFormat="1" applyFont="1" applyFill="1" applyBorder="1" applyAlignment="1" applyProtection="1">
      <alignment horizontal="right"/>
    </xf>
    <xf numFmtId="188" fontId="57" fillId="0" borderId="0" xfId="85" applyNumberFormat="1" applyFont="1" applyFill="1" applyBorder="1" applyAlignment="1" applyProtection="1">
      <alignment horizontal="right"/>
    </xf>
    <xf numFmtId="190" fontId="57" fillId="0" borderId="0" xfId="85" applyNumberFormat="1" applyFont="1" applyFill="1" applyBorder="1" applyAlignment="1" applyProtection="1">
      <alignment horizontal="right"/>
    </xf>
    <xf numFmtId="0" fontId="113" fillId="0" borderId="0" xfId="0" applyFont="1" applyBorder="1"/>
    <xf numFmtId="0" fontId="112" fillId="0" borderId="0" xfId="0" applyFont="1" applyBorder="1"/>
    <xf numFmtId="0" fontId="112" fillId="0" borderId="0" xfId="0" applyFont="1"/>
    <xf numFmtId="0" fontId="74" fillId="15" borderId="0" xfId="27" applyFont="1" applyFill="1" applyBorder="1" applyAlignment="1">
      <alignment horizontal="left" vertical="center"/>
    </xf>
    <xf numFmtId="0" fontId="58" fillId="0" borderId="0" xfId="0" applyFont="1" applyBorder="1" applyAlignment="1">
      <alignment vertical="center"/>
    </xf>
    <xf numFmtId="0" fontId="38" fillId="0" borderId="0" xfId="0" applyFont="1" applyBorder="1" applyAlignment="1">
      <alignment vertical="center"/>
    </xf>
    <xf numFmtId="0" fontId="110" fillId="0" borderId="0" xfId="41" applyFont="1"/>
    <xf numFmtId="0" fontId="110" fillId="0" borderId="0" xfId="0" applyFont="1" applyFill="1" applyBorder="1"/>
    <xf numFmtId="0" fontId="110" fillId="0" borderId="0" xfId="0" applyFont="1" applyBorder="1"/>
    <xf numFmtId="3" fontId="54" fillId="8" borderId="3" xfId="0" applyNumberFormat="1" applyFont="1" applyFill="1" applyBorder="1" applyAlignment="1">
      <alignment horizontal="center" vertical="center" wrapText="1"/>
    </xf>
    <xf numFmtId="180" fontId="57" fillId="13" borderId="0" xfId="62" applyNumberFormat="1" applyFont="1" applyFill="1" applyBorder="1" applyAlignment="1" applyProtection="1">
      <alignment horizontal="right"/>
    </xf>
    <xf numFmtId="0" fontId="37" fillId="0" borderId="0" xfId="14" applyFont="1"/>
    <xf numFmtId="0" fontId="37" fillId="13" borderId="0" xfId="14" applyFont="1" applyFill="1"/>
    <xf numFmtId="9" fontId="98" fillId="6" borderId="0" xfId="62" applyFont="1" applyFill="1" applyBorder="1" applyAlignment="1" applyProtection="1"/>
    <xf numFmtId="168" fontId="37" fillId="0" borderId="0" xfId="0" applyNumberFormat="1" applyFont="1" applyFill="1" applyAlignment="1">
      <alignment horizontal="left"/>
    </xf>
    <xf numFmtId="168" fontId="37" fillId="0" borderId="0" xfId="0" applyNumberFormat="1" applyFont="1" applyFill="1"/>
    <xf numFmtId="0" fontId="111" fillId="8" borderId="0" xfId="0" applyFont="1" applyFill="1" applyAlignment="1">
      <alignment horizontal="center"/>
    </xf>
    <xf numFmtId="0" fontId="38" fillId="0" borderId="0" xfId="0" applyFont="1" applyFill="1"/>
    <xf numFmtId="3" fontId="66" fillId="8" borderId="3" xfId="0" applyNumberFormat="1" applyFont="1" applyFill="1" applyBorder="1" applyAlignment="1">
      <alignment horizontal="center" vertical="center" wrapText="1"/>
    </xf>
    <xf numFmtId="0" fontId="111" fillId="8" borderId="0" xfId="0" applyFont="1" applyFill="1" applyAlignment="1">
      <alignment horizontal="center" vertical="center"/>
    </xf>
    <xf numFmtId="0" fontId="57" fillId="13" borderId="0" xfId="24" applyFont="1" applyFill="1"/>
    <xf numFmtId="184" fontId="57" fillId="13" borderId="0" xfId="106" applyNumberFormat="1" applyFont="1" applyFill="1" applyBorder="1" applyAlignment="1" applyProtection="1">
      <alignment horizontal="center"/>
    </xf>
    <xf numFmtId="167" fontId="57" fillId="13" borderId="0" xfId="106" applyNumberFormat="1" applyFont="1" applyFill="1" applyBorder="1" applyAlignment="1" applyProtection="1"/>
    <xf numFmtId="0" fontId="112" fillId="0" borderId="0" xfId="0" applyFont="1" applyFill="1"/>
    <xf numFmtId="167" fontId="112" fillId="6" borderId="0" xfId="85" applyNumberFormat="1" applyFont="1" applyFill="1" applyBorder="1" applyAlignment="1" applyProtection="1"/>
    <xf numFmtId="0" fontId="112" fillId="6" borderId="0" xfId="0" applyFont="1" applyFill="1" applyAlignment="1">
      <alignment vertical="center"/>
    </xf>
    <xf numFmtId="0" fontId="112" fillId="0" borderId="0" xfId="0" applyFont="1" applyFill="1" applyAlignment="1">
      <alignment horizontal="right"/>
    </xf>
    <xf numFmtId="9" fontId="112" fillId="6" borderId="0" xfId="62" applyNumberFormat="1" applyFont="1" applyFill="1" applyBorder="1" applyAlignment="1" applyProtection="1">
      <alignment horizontal="right"/>
    </xf>
    <xf numFmtId="0" fontId="38" fillId="0" borderId="0" xfId="0" applyFont="1" applyFill="1" applyAlignment="1">
      <alignment horizontal="center"/>
    </xf>
    <xf numFmtId="0" fontId="57" fillId="13" borderId="0" xfId="14" applyFont="1" applyFill="1"/>
    <xf numFmtId="0" fontId="57" fillId="0" borderId="0" xfId="0" applyFont="1" applyAlignment="1">
      <alignment horizontal="center"/>
    </xf>
    <xf numFmtId="167" fontId="113" fillId="6" borderId="0" xfId="85" applyNumberFormat="1" applyFont="1" applyFill="1" applyBorder="1" applyAlignment="1" applyProtection="1">
      <alignment horizontal="center" vertical="center"/>
    </xf>
    <xf numFmtId="167" fontId="113" fillId="6" borderId="0" xfId="85" applyNumberFormat="1" applyFont="1" applyFill="1" applyBorder="1" applyAlignment="1" applyProtection="1">
      <alignment horizontal="right"/>
    </xf>
    <xf numFmtId="167" fontId="112" fillId="6" borderId="0" xfId="85" applyNumberFormat="1" applyFont="1" applyFill="1" applyBorder="1" applyAlignment="1" applyProtection="1">
      <alignment horizontal="center" vertical="center"/>
    </xf>
    <xf numFmtId="0" fontId="73" fillId="0" borderId="0" xfId="0" applyFont="1" applyFill="1"/>
    <xf numFmtId="167" fontId="112" fillId="6" borderId="0" xfId="85" applyNumberFormat="1" applyFont="1" applyFill="1" applyBorder="1" applyAlignment="1" applyProtection="1">
      <alignment horizontal="right"/>
    </xf>
    <xf numFmtId="167" fontId="73" fillId="0" borderId="0" xfId="85" applyNumberFormat="1" applyFont="1" applyFill="1" applyBorder="1" applyAlignment="1" applyProtection="1"/>
    <xf numFmtId="9" fontId="112" fillId="6" borderId="0" xfId="62" applyFont="1" applyFill="1" applyBorder="1" applyAlignment="1" applyProtection="1"/>
    <xf numFmtId="0" fontId="57" fillId="7" borderId="0" xfId="24" applyFont="1" applyFill="1"/>
    <xf numFmtId="184" fontId="57" fillId="7" borderId="0" xfId="106" applyNumberFormat="1" applyFont="1" applyFill="1" applyBorder="1" applyAlignment="1" applyProtection="1">
      <alignment horizontal="center"/>
    </xf>
    <xf numFmtId="167" fontId="57" fillId="7" borderId="0" xfId="106" applyNumberFormat="1" applyFont="1" applyFill="1" applyBorder="1" applyAlignment="1" applyProtection="1"/>
    <xf numFmtId="180" fontId="57" fillId="7" borderId="0" xfId="62" applyNumberFormat="1" applyFont="1" applyFill="1" applyBorder="1" applyAlignment="1" applyProtection="1">
      <alignment horizontal="right"/>
    </xf>
    <xf numFmtId="0" fontId="57" fillId="7" borderId="0" xfId="14" applyFont="1" applyFill="1"/>
    <xf numFmtId="168" fontId="37" fillId="0" borderId="0" xfId="0" applyNumberFormat="1" applyFont="1" applyAlignment="1"/>
    <xf numFmtId="0" fontId="46" fillId="0" borderId="0" xfId="0" applyFont="1" applyFill="1"/>
    <xf numFmtId="0" fontId="45" fillId="13" borderId="0" xfId="0" applyFont="1" applyFill="1" applyBorder="1"/>
    <xf numFmtId="0" fontId="39" fillId="13" borderId="1" xfId="0" applyFont="1" applyFill="1" applyBorder="1"/>
    <xf numFmtId="0" fontId="37" fillId="13" borderId="1" xfId="0" applyFont="1" applyFill="1" applyBorder="1"/>
    <xf numFmtId="0" fontId="39" fillId="13" borderId="2" xfId="0" applyFont="1" applyFill="1" applyBorder="1"/>
    <xf numFmtId="0" fontId="37" fillId="13" borderId="2" xfId="0" applyFont="1" applyFill="1" applyBorder="1"/>
    <xf numFmtId="0" fontId="110" fillId="13" borderId="0" xfId="41" applyFont="1" applyFill="1"/>
    <xf numFmtId="0" fontId="110" fillId="13" borderId="0" xfId="0" applyFont="1" applyFill="1" applyBorder="1"/>
    <xf numFmtId="0" fontId="42" fillId="13" borderId="0" xfId="0" applyFont="1" applyFill="1"/>
    <xf numFmtId="0" fontId="97" fillId="13" borderId="0" xfId="0" applyFont="1" applyFill="1" applyBorder="1"/>
    <xf numFmtId="0" fontId="97" fillId="18" borderId="0" xfId="0" applyFont="1" applyFill="1" applyBorder="1"/>
    <xf numFmtId="0" fontId="110" fillId="13" borderId="0" xfId="0" applyFont="1" applyFill="1"/>
    <xf numFmtId="167" fontId="37" fillId="13" borderId="26" xfId="106" applyNumberFormat="1" applyFont="1" applyFill="1" applyBorder="1" applyAlignment="1" applyProtection="1"/>
    <xf numFmtId="180" fontId="57" fillId="13" borderId="26" xfId="62" applyNumberFormat="1" applyFont="1" applyFill="1" applyBorder="1" applyAlignment="1" applyProtection="1">
      <alignment horizontal="right"/>
    </xf>
    <xf numFmtId="0" fontId="37" fillId="13" borderId="26" xfId="0" applyFont="1" applyFill="1" applyBorder="1"/>
    <xf numFmtId="0" fontId="41" fillId="13" borderId="0" xfId="0" applyFont="1" applyFill="1"/>
    <xf numFmtId="167" fontId="41" fillId="13" borderId="0" xfId="85" applyNumberFormat="1" applyFont="1" applyFill="1" applyBorder="1" applyAlignment="1" applyProtection="1"/>
    <xf numFmtId="0" fontId="45" fillId="0" borderId="0" xfId="0" applyFont="1" applyBorder="1" applyAlignment="1">
      <alignment vertical="center"/>
    </xf>
    <xf numFmtId="0" fontId="46" fillId="13" borderId="0" xfId="0" applyFont="1" applyFill="1"/>
    <xf numFmtId="193" fontId="46" fillId="0" borderId="0" xfId="0" applyNumberFormat="1" applyFont="1" applyAlignment="1"/>
    <xf numFmtId="0" fontId="115" fillId="18" borderId="0" xfId="0" applyFont="1" applyFill="1" applyBorder="1"/>
    <xf numFmtId="0" fontId="115" fillId="13" borderId="0" xfId="0" applyFont="1" applyFill="1" applyBorder="1"/>
    <xf numFmtId="167" fontId="57" fillId="13" borderId="0" xfId="85" applyNumberFormat="1" applyFont="1" applyFill="1" applyBorder="1" applyAlignment="1" applyProtection="1"/>
    <xf numFmtId="0" fontId="112" fillId="13" borderId="0" xfId="0" applyFont="1" applyFill="1"/>
    <xf numFmtId="0" fontId="112" fillId="13" borderId="0" xfId="0" applyFont="1" applyFill="1" applyAlignment="1">
      <alignment horizontal="right"/>
    </xf>
    <xf numFmtId="0" fontId="38" fillId="13" borderId="0" xfId="0" applyFont="1" applyFill="1"/>
    <xf numFmtId="3" fontId="66" fillId="8" borderId="15" xfId="0" applyNumberFormat="1" applyFont="1" applyFill="1" applyBorder="1" applyAlignment="1">
      <alignment horizontal="center" vertical="center" wrapText="1"/>
    </xf>
    <xf numFmtId="0" fontId="38" fillId="13" borderId="0" xfId="0" applyFont="1" applyFill="1" applyAlignment="1">
      <alignment horizontal="center"/>
    </xf>
    <xf numFmtId="167" fontId="57" fillId="13" borderId="26" xfId="106" applyNumberFormat="1" applyFont="1" applyFill="1" applyBorder="1" applyAlignment="1" applyProtection="1"/>
    <xf numFmtId="0" fontId="57" fillId="13" borderId="26" xfId="0" applyFont="1" applyFill="1" applyBorder="1"/>
    <xf numFmtId="0" fontId="57" fillId="0" borderId="0" xfId="0" applyFont="1" applyFill="1" applyAlignment="1">
      <alignment horizontal="center"/>
    </xf>
    <xf numFmtId="0" fontId="72" fillId="13" borderId="0" xfId="0" applyFont="1" applyFill="1"/>
    <xf numFmtId="167" fontId="72" fillId="13" borderId="0" xfId="85" applyNumberFormat="1" applyFont="1" applyFill="1" applyBorder="1" applyAlignment="1" applyProtection="1"/>
    <xf numFmtId="0" fontId="73" fillId="13" borderId="0" xfId="0" applyFont="1" applyFill="1"/>
    <xf numFmtId="167" fontId="73" fillId="13" borderId="0" xfId="85" applyNumberFormat="1" applyFont="1" applyFill="1" applyBorder="1" applyAlignment="1" applyProtection="1"/>
    <xf numFmtId="180" fontId="57" fillId="2" borderId="0" xfId="62" applyNumberFormat="1" applyFont="1" applyFill="1" applyBorder="1" applyAlignment="1" applyProtection="1">
      <alignment horizontal="right"/>
    </xf>
    <xf numFmtId="0" fontId="42" fillId="0" borderId="0" xfId="0" applyFont="1" applyAlignment="1">
      <alignment horizontal="center"/>
    </xf>
    <xf numFmtId="0" fontId="115" fillId="2" borderId="0" xfId="41" applyFont="1" applyFill="1"/>
    <xf numFmtId="184" fontId="57" fillId="2" borderId="0" xfId="106" applyNumberFormat="1" applyFont="1" applyFill="1" applyBorder="1" applyAlignment="1" applyProtection="1">
      <alignment horizontal="center"/>
    </xf>
    <xf numFmtId="167" fontId="57" fillId="2" borderId="0" xfId="106" applyNumberFormat="1" applyFont="1" applyFill="1" applyBorder="1" applyAlignment="1" applyProtection="1"/>
    <xf numFmtId="0" fontId="115" fillId="13" borderId="0" xfId="41" applyFont="1" applyFill="1"/>
    <xf numFmtId="9" fontId="113" fillId="6" borderId="0" xfId="85" applyNumberFormat="1" applyFont="1" applyFill="1" applyBorder="1" applyAlignment="1" applyProtection="1">
      <alignment horizontal="right"/>
    </xf>
    <xf numFmtId="0" fontId="58" fillId="13" borderId="0" xfId="0" applyFont="1" applyFill="1" applyBorder="1" applyAlignment="1">
      <alignment vertical="center"/>
    </xf>
    <xf numFmtId="0" fontId="38" fillId="13" borderId="0" xfId="0" applyFont="1" applyFill="1" applyAlignment="1">
      <alignment vertical="center"/>
    </xf>
    <xf numFmtId="0" fontId="75" fillId="0" borderId="0" xfId="0" applyFont="1" applyBorder="1"/>
    <xf numFmtId="167" fontId="98" fillId="10" borderId="22" xfId="0" applyNumberFormat="1" applyFont="1" applyFill="1" applyBorder="1" applyAlignment="1">
      <alignment vertical="center"/>
    </xf>
    <xf numFmtId="43" fontId="37" fillId="0" borderId="0" xfId="0" applyNumberFormat="1" applyFont="1"/>
    <xf numFmtId="0" fontId="41" fillId="0" borderId="0" xfId="0" quotePrefix="1" applyFont="1"/>
    <xf numFmtId="0" fontId="41" fillId="0" borderId="0" xfId="1" applyFont="1" applyFill="1" applyBorder="1" applyAlignment="1">
      <alignment horizontal="left" vertical="center"/>
    </xf>
    <xf numFmtId="14" fontId="41" fillId="0" borderId="0" xfId="1" applyNumberFormat="1" applyFont="1" applyFill="1" applyBorder="1" applyAlignment="1">
      <alignment horizontal="center" vertical="center" wrapText="1"/>
    </xf>
    <xf numFmtId="176" fontId="41" fillId="0" borderId="0" xfId="1" applyNumberFormat="1" applyFont="1" applyFill="1" applyBorder="1" applyAlignment="1">
      <alignment horizontal="right" vertical="center"/>
    </xf>
    <xf numFmtId="14" fontId="41" fillId="0" borderId="0" xfId="1" applyNumberFormat="1" applyFont="1" applyFill="1" applyBorder="1" applyAlignment="1">
      <alignment horizontal="center" vertical="center"/>
    </xf>
    <xf numFmtId="0" fontId="41" fillId="0" borderId="0" xfId="0" applyFont="1" applyAlignment="1">
      <alignment vertical="center"/>
    </xf>
    <xf numFmtId="166" fontId="37" fillId="0" borderId="0" xfId="85" applyFont="1" applyAlignment="1">
      <alignment horizontal="center" vertical="center" wrapText="1"/>
    </xf>
    <xf numFmtId="0" fontId="41" fillId="0" borderId="0" xfId="0" applyFont="1" applyAlignment="1">
      <alignment horizontal="center" vertical="center" wrapText="1"/>
    </xf>
    <xf numFmtId="174" fontId="41" fillId="0" borderId="0" xfId="0" applyNumberFormat="1" applyFont="1" applyAlignment="1">
      <alignment vertical="center"/>
    </xf>
    <xf numFmtId="168" fontId="42" fillId="0" borderId="0" xfId="0" applyNumberFormat="1" applyFont="1" applyBorder="1" applyAlignment="1">
      <alignment horizontal="left"/>
    </xf>
    <xf numFmtId="3" fontId="98" fillId="19" borderId="26" xfId="0" applyNumberFormat="1" applyFont="1" applyFill="1" applyBorder="1" applyAlignment="1">
      <alignment horizontal="center" vertical="center" wrapText="1"/>
    </xf>
    <xf numFmtId="3" fontId="98" fillId="19" borderId="26" xfId="0" applyNumberFormat="1" applyFont="1" applyFill="1" applyBorder="1" applyAlignment="1">
      <alignment horizontal="center" vertical="center"/>
    </xf>
    <xf numFmtId="0" fontId="38" fillId="0" borderId="26" xfId="0" applyFont="1" applyBorder="1"/>
    <xf numFmtId="3" fontId="111" fillId="8" borderId="26" xfId="0" applyNumberFormat="1" applyFont="1" applyFill="1" applyBorder="1" applyAlignment="1">
      <alignment horizontal="center" vertical="center" wrapText="1"/>
    </xf>
    <xf numFmtId="0" fontId="115" fillId="18" borderId="26" xfId="0" applyFont="1" applyFill="1" applyBorder="1"/>
    <xf numFmtId="43" fontId="115" fillId="18" borderId="26" xfId="97" applyNumberFormat="1" applyFont="1" applyFill="1" applyBorder="1"/>
    <xf numFmtId="4" fontId="72" fillId="13" borderId="26" xfId="85" applyNumberFormat="1" applyFont="1" applyFill="1" applyBorder="1" applyAlignment="1">
      <alignment horizontal="right"/>
    </xf>
    <xf numFmtId="0" fontId="115" fillId="13" borderId="26" xfId="0" applyFont="1" applyFill="1" applyBorder="1"/>
    <xf numFmtId="43" fontId="115" fillId="13" borderId="26" xfId="97" applyNumberFormat="1" applyFont="1" applyFill="1" applyBorder="1"/>
    <xf numFmtId="176" fontId="62" fillId="0" borderId="26" xfId="0" applyNumberFormat="1" applyFont="1" applyBorder="1"/>
    <xf numFmtId="0" fontId="112" fillId="0" borderId="26" xfId="0" applyFont="1" applyBorder="1"/>
    <xf numFmtId="166" fontId="113" fillId="0" borderId="26" xfId="85" applyFont="1" applyBorder="1"/>
    <xf numFmtId="0" fontId="113" fillId="10" borderId="26" xfId="0" applyFont="1" applyFill="1" applyBorder="1" applyAlignment="1">
      <alignment horizontal="right" vertical="center"/>
    </xf>
    <xf numFmtId="167" fontId="113" fillId="10" borderId="26" xfId="0" applyNumberFormat="1" applyFont="1" applyFill="1" applyBorder="1" applyAlignment="1">
      <alignment vertical="center"/>
    </xf>
    <xf numFmtId="0" fontId="113" fillId="10" borderId="26" xfId="0" applyFont="1" applyFill="1" applyBorder="1" applyAlignment="1">
      <alignment vertical="center"/>
    </xf>
    <xf numFmtId="166" fontId="113" fillId="10" borderId="26" xfId="85" applyFont="1" applyFill="1" applyBorder="1" applyAlignment="1">
      <alignment vertical="center"/>
    </xf>
    <xf numFmtId="166" fontId="113" fillId="10" borderId="26" xfId="85" applyFont="1" applyFill="1" applyBorder="1" applyAlignment="1">
      <alignment horizontal="center" vertical="center"/>
    </xf>
    <xf numFmtId="167" fontId="113" fillId="10" borderId="26" xfId="0" applyNumberFormat="1" applyFont="1" applyFill="1" applyBorder="1" applyAlignment="1">
      <alignment horizontal="center" vertical="center"/>
    </xf>
    <xf numFmtId="166" fontId="113" fillId="10" borderId="26" xfId="0" applyNumberFormat="1" applyFont="1" applyFill="1" applyBorder="1" applyAlignment="1">
      <alignment vertical="center"/>
    </xf>
    <xf numFmtId="0" fontId="115" fillId="20" borderId="26" xfId="0" applyFont="1" applyFill="1" applyBorder="1"/>
    <xf numFmtId="43" fontId="115" fillId="20" borderId="26" xfId="97" applyNumberFormat="1" applyFont="1" applyFill="1" applyBorder="1"/>
    <xf numFmtId="4" fontId="72" fillId="7" borderId="26" xfId="85" applyNumberFormat="1" applyFont="1" applyFill="1" applyBorder="1" applyAlignment="1">
      <alignment horizontal="right"/>
    </xf>
    <xf numFmtId="43" fontId="42" fillId="0" borderId="0" xfId="0" applyNumberFormat="1" applyFont="1"/>
    <xf numFmtId="166" fontId="42" fillId="0" borderId="0" xfId="85" applyFont="1" applyAlignment="1">
      <alignment horizontal="center" vertical="center" wrapText="1"/>
    </xf>
    <xf numFmtId="175" fontId="37" fillId="0" borderId="0" xfId="85" applyNumberFormat="1" applyFont="1" applyAlignment="1">
      <alignment vertical="center"/>
    </xf>
    <xf numFmtId="167" fontId="72" fillId="7" borderId="26" xfId="85" applyNumberFormat="1" applyFont="1" applyFill="1" applyBorder="1"/>
    <xf numFmtId="4" fontId="72" fillId="7" borderId="26" xfId="85" applyNumberFormat="1" applyFont="1" applyFill="1" applyBorder="1" applyAlignment="1">
      <alignment horizontal="center"/>
    </xf>
    <xf numFmtId="167" fontId="72" fillId="13" borderId="26" xfId="85" applyNumberFormat="1" applyFont="1" applyFill="1" applyBorder="1"/>
    <xf numFmtId="4" fontId="72" fillId="13" borderId="26" xfId="85" applyNumberFormat="1" applyFont="1" applyFill="1" applyBorder="1" applyAlignment="1">
      <alignment horizontal="center"/>
    </xf>
    <xf numFmtId="0" fontId="37" fillId="0" borderId="0" xfId="0" applyFont="1" applyBorder="1" applyAlignment="1">
      <alignment horizontal="center"/>
    </xf>
    <xf numFmtId="3" fontId="54" fillId="8" borderId="22" xfId="0" applyNumberFormat="1" applyFont="1" applyFill="1" applyBorder="1" applyAlignment="1">
      <alignment horizontal="center" vertical="center" wrapText="1"/>
    </xf>
    <xf numFmtId="166" fontId="37" fillId="0" borderId="0" xfId="85" applyFont="1" applyBorder="1" applyAlignment="1">
      <alignment horizontal="left" vertical="center"/>
    </xf>
    <xf numFmtId="167" fontId="37" fillId="0" borderId="0" xfId="85" applyNumberFormat="1" applyFont="1"/>
    <xf numFmtId="192" fontId="40" fillId="0" borderId="0" xfId="2" applyNumberFormat="1" applyFont="1"/>
    <xf numFmtId="167" fontId="98" fillId="10" borderId="22" xfId="0" applyNumberFormat="1" applyFont="1" applyFill="1" applyBorder="1" applyAlignment="1">
      <alignment horizontal="right" vertical="center"/>
    </xf>
    <xf numFmtId="9" fontId="42" fillId="0" borderId="0" xfId="62" applyNumberFormat="1" applyFont="1" applyFill="1" applyBorder="1" applyAlignment="1">
      <alignment horizontal="right" vertical="center" wrapText="1"/>
    </xf>
    <xf numFmtId="167" fontId="41" fillId="0" borderId="0" xfId="0" applyNumberFormat="1" applyFont="1"/>
    <xf numFmtId="3" fontId="54" fillId="8" borderId="29" xfId="0" applyNumberFormat="1" applyFont="1" applyFill="1" applyBorder="1" applyAlignment="1">
      <alignment horizontal="center" vertical="center" wrapText="1"/>
    </xf>
    <xf numFmtId="167" fontId="98" fillId="10" borderId="29" xfId="0" applyNumberFormat="1" applyFont="1" applyFill="1" applyBorder="1" applyAlignment="1">
      <alignment horizontal="right" vertical="center"/>
    </xf>
    <xf numFmtId="167" fontId="98" fillId="10" borderId="29" xfId="0" applyNumberFormat="1" applyFont="1" applyFill="1" applyBorder="1" applyAlignment="1">
      <alignment vertical="center"/>
    </xf>
    <xf numFmtId="0" fontId="42" fillId="0" borderId="26" xfId="0" applyFont="1" applyBorder="1"/>
    <xf numFmtId="0" fontId="42" fillId="0" borderId="26" xfId="0" applyFont="1" applyBorder="1" applyAlignment="1">
      <alignment horizontal="center"/>
    </xf>
    <xf numFmtId="0" fontId="37" fillId="0" borderId="26" xfId="0" applyFont="1" applyBorder="1" applyAlignment="1">
      <alignment horizontal="center"/>
    </xf>
    <xf numFmtId="3" fontId="66" fillId="8" borderId="26" xfId="0" applyNumberFormat="1" applyFont="1" applyFill="1" applyBorder="1" applyAlignment="1">
      <alignment horizontal="center" vertical="center" wrapText="1"/>
    </xf>
    <xf numFmtId="0" fontId="57" fillId="7" borderId="26" xfId="0" applyFont="1" applyFill="1" applyBorder="1" applyAlignment="1">
      <alignment vertical="center"/>
    </xf>
    <xf numFmtId="183" fontId="57" fillId="7" borderId="26" xfId="14" applyNumberFormat="1" applyFont="1" applyFill="1" applyBorder="1" applyAlignment="1">
      <alignment vertical="center"/>
    </xf>
    <xf numFmtId="0" fontId="115" fillId="7" borderId="26" xfId="28" applyFont="1" applyFill="1" applyBorder="1" applyAlignment="1">
      <alignment horizontal="left" vertical="center"/>
    </xf>
    <xf numFmtId="166" fontId="57" fillId="7" borderId="26" xfId="85" applyFont="1" applyFill="1" applyBorder="1" applyAlignment="1">
      <alignment horizontal="left" vertical="center"/>
    </xf>
    <xf numFmtId="0" fontId="57" fillId="0" borderId="26" xfId="0" applyFont="1" applyBorder="1" applyAlignment="1">
      <alignment vertical="center"/>
    </xf>
    <xf numFmtId="183" fontId="57" fillId="0" borderId="26" xfId="14" applyNumberFormat="1" applyFont="1" applyBorder="1" applyAlignment="1">
      <alignment vertical="center"/>
    </xf>
    <xf numFmtId="0" fontId="115" fillId="0" borderId="26" xfId="28" applyFont="1" applyBorder="1" applyAlignment="1">
      <alignment horizontal="left" vertical="center"/>
    </xf>
    <xf numFmtId="166" fontId="57" fillId="0" borderId="26" xfId="85" applyFont="1" applyBorder="1" applyAlignment="1">
      <alignment horizontal="left" vertical="center"/>
    </xf>
    <xf numFmtId="0" fontId="72" fillId="0" borderId="26" xfId="1" applyFont="1" applyFill="1" applyBorder="1" applyAlignment="1">
      <alignment horizontal="left" vertical="center"/>
    </xf>
    <xf numFmtId="167" fontId="57" fillId="0" borderId="26" xfId="85" applyNumberFormat="1" applyFont="1" applyFill="1" applyBorder="1" applyAlignment="1">
      <alignment horizontal="center" vertical="center" wrapText="1"/>
    </xf>
    <xf numFmtId="9" fontId="57" fillId="0" borderId="26" xfId="62" applyNumberFormat="1" applyFont="1" applyFill="1" applyBorder="1" applyAlignment="1">
      <alignment horizontal="right" vertical="center" wrapText="1"/>
    </xf>
    <xf numFmtId="167" fontId="112" fillId="6" borderId="26" xfId="85" applyNumberFormat="1" applyFont="1" applyFill="1" applyBorder="1" applyAlignment="1">
      <alignment horizontal="center" vertical="center" wrapText="1"/>
    </xf>
    <xf numFmtId="0" fontId="73" fillId="0" borderId="26" xfId="1" applyFont="1" applyFill="1" applyBorder="1" applyAlignment="1">
      <alignment horizontal="left" vertical="center"/>
    </xf>
    <xf numFmtId="167" fontId="62" fillId="0" borderId="26" xfId="85" applyNumberFormat="1" applyFont="1" applyFill="1" applyBorder="1" applyAlignment="1">
      <alignment horizontal="center" vertical="center" wrapText="1"/>
    </xf>
    <xf numFmtId="9" fontId="62" fillId="0" borderId="26" xfId="62" applyNumberFormat="1" applyFont="1" applyFill="1" applyBorder="1" applyAlignment="1">
      <alignment horizontal="right" vertical="center" wrapText="1"/>
    </xf>
    <xf numFmtId="166" fontId="112" fillId="10" borderId="26" xfId="0" applyNumberFormat="1" applyFont="1" applyFill="1" applyBorder="1" applyAlignment="1">
      <alignment vertical="center"/>
    </xf>
    <xf numFmtId="183" fontId="57" fillId="0" borderId="26" xfId="85" applyNumberFormat="1" applyFont="1" applyBorder="1" applyAlignment="1">
      <alignment horizontal="center"/>
    </xf>
    <xf numFmtId="174" fontId="57" fillId="0" borderId="26" xfId="0" applyNumberFormat="1" applyFont="1" applyBorder="1" applyAlignment="1">
      <alignment horizontal="center" vertical="center"/>
    </xf>
    <xf numFmtId="175" fontId="57" fillId="0" borderId="26" xfId="85" applyNumberFormat="1" applyFont="1" applyBorder="1" applyAlignment="1">
      <alignment vertical="center"/>
    </xf>
    <xf numFmtId="183" fontId="57" fillId="0" borderId="0" xfId="85" applyNumberFormat="1" applyFont="1" applyBorder="1" applyAlignment="1">
      <alignment horizontal="center"/>
    </xf>
    <xf numFmtId="0" fontId="57" fillId="0" borderId="0" xfId="0" applyFont="1" applyAlignment="1">
      <alignment horizontal="center" vertical="center"/>
    </xf>
    <xf numFmtId="175" fontId="57" fillId="0" borderId="0" xfId="85" applyNumberFormat="1" applyFont="1" applyAlignment="1">
      <alignment vertical="center"/>
    </xf>
    <xf numFmtId="167" fontId="57" fillId="7" borderId="26" xfId="85" applyNumberFormat="1" applyFont="1" applyFill="1" applyBorder="1"/>
    <xf numFmtId="192" fontId="72" fillId="7" borderId="26" xfId="2" applyNumberFormat="1" applyFont="1" applyFill="1" applyBorder="1"/>
    <xf numFmtId="167" fontId="57" fillId="0" borderId="26" xfId="85" applyNumberFormat="1" applyFont="1" applyBorder="1"/>
    <xf numFmtId="192" fontId="72" fillId="0" borderId="26" xfId="2" applyNumberFormat="1" applyFont="1" applyBorder="1"/>
    <xf numFmtId="0" fontId="57" fillId="13" borderId="26" xfId="0" applyFont="1" applyFill="1" applyBorder="1" applyAlignment="1">
      <alignment horizontal="left" vertical="center"/>
    </xf>
    <xf numFmtId="167" fontId="57" fillId="13" borderId="26" xfId="85" applyNumberFormat="1" applyFont="1" applyFill="1" applyBorder="1" applyAlignment="1">
      <alignment horizontal="center" vertical="center" wrapText="1"/>
    </xf>
    <xf numFmtId="167" fontId="57" fillId="13" borderId="26" xfId="85" applyNumberFormat="1" applyFont="1" applyFill="1" applyBorder="1" applyAlignment="1">
      <alignment vertical="center"/>
    </xf>
    <xf numFmtId="166" fontId="57" fillId="13" borderId="26" xfId="85" applyNumberFormat="1" applyFont="1" applyFill="1" applyBorder="1" applyAlignment="1">
      <alignment horizontal="center" vertical="center" wrapText="1"/>
    </xf>
    <xf numFmtId="0" fontId="57" fillId="13" borderId="26" xfId="0" applyFont="1" applyFill="1" applyBorder="1" applyAlignment="1">
      <alignment horizontal="center" vertical="center"/>
    </xf>
    <xf numFmtId="167" fontId="112" fillId="10" borderId="26" xfId="0" applyNumberFormat="1" applyFont="1" applyFill="1" applyBorder="1" applyAlignment="1">
      <alignment horizontal="right" vertical="center"/>
    </xf>
    <xf numFmtId="0" fontId="73" fillId="0" borderId="26" xfId="0" applyFont="1" applyBorder="1"/>
    <xf numFmtId="167" fontId="73" fillId="0" borderId="26" xfId="0" applyNumberFormat="1" applyFont="1" applyBorder="1"/>
    <xf numFmtId="167" fontId="112" fillId="10" borderId="26" xfId="0" applyNumberFormat="1" applyFont="1" applyFill="1" applyBorder="1" applyAlignment="1">
      <alignment vertical="center"/>
    </xf>
    <xf numFmtId="167" fontId="40" fillId="0" borderId="0" xfId="0" applyNumberFormat="1" applyFont="1"/>
    <xf numFmtId="0" fontId="40" fillId="0" borderId="26" xfId="1" applyFont="1" applyFill="1" applyBorder="1" applyAlignment="1">
      <alignment horizontal="left" vertical="center"/>
    </xf>
    <xf numFmtId="14" fontId="40" fillId="0" borderId="26" xfId="1" applyNumberFormat="1" applyFont="1" applyFill="1" applyBorder="1" applyAlignment="1">
      <alignment horizontal="center" vertical="center" wrapText="1"/>
    </xf>
    <xf numFmtId="167" fontId="72" fillId="0" borderId="26" xfId="0" applyNumberFormat="1" applyFont="1" applyBorder="1" applyAlignment="1">
      <alignment horizontal="center" vertical="center" wrapText="1"/>
    </xf>
    <xf numFmtId="0" fontId="72" fillId="0" borderId="26" xfId="0" applyFont="1" applyBorder="1" applyAlignment="1">
      <alignment horizontal="center" vertical="center" wrapText="1"/>
    </xf>
    <xf numFmtId="9" fontId="72" fillId="0" borderId="26" xfId="0" applyNumberFormat="1" applyFont="1" applyBorder="1" applyAlignment="1">
      <alignment horizontal="right" vertical="center" wrapText="1"/>
    </xf>
    <xf numFmtId="167" fontId="112" fillId="6" borderId="26" xfId="85" applyNumberFormat="1" applyFont="1" applyFill="1" applyBorder="1" applyAlignment="1" applyProtection="1">
      <alignment horizontal="right"/>
    </xf>
    <xf numFmtId="9" fontId="112" fillId="6" borderId="26" xfId="62" applyNumberFormat="1" applyFont="1" applyFill="1" applyBorder="1" applyAlignment="1">
      <alignment horizontal="right" vertical="center" wrapText="1"/>
    </xf>
    <xf numFmtId="180" fontId="72" fillId="0" borderId="26" xfId="0" applyNumberFormat="1" applyFont="1" applyBorder="1" applyAlignment="1">
      <alignment horizontal="right" vertical="center" wrapText="1"/>
    </xf>
    <xf numFmtId="167" fontId="40" fillId="0" borderId="26" xfId="0" applyNumberFormat="1" applyFont="1" applyBorder="1" applyAlignment="1">
      <alignment horizontal="center" vertical="center" wrapText="1"/>
    </xf>
    <xf numFmtId="180" fontId="40" fillId="0" borderId="26" xfId="0" applyNumberFormat="1" applyFont="1" applyBorder="1" applyAlignment="1">
      <alignment horizontal="right" vertical="center" wrapText="1"/>
    </xf>
    <xf numFmtId="0" fontId="72" fillId="7" borderId="26" xfId="1" applyFont="1" applyFill="1" applyBorder="1" applyAlignment="1">
      <alignment horizontal="left" vertical="center"/>
    </xf>
    <xf numFmtId="167" fontId="57" fillId="7" borderId="26" xfId="85" applyNumberFormat="1" applyFont="1" applyFill="1" applyBorder="1" applyAlignment="1">
      <alignment horizontal="center" vertical="center" wrapText="1"/>
    </xf>
    <xf numFmtId="180" fontId="57" fillId="7" borderId="26" xfId="62" applyNumberFormat="1" applyFont="1" applyFill="1" applyBorder="1" applyAlignment="1">
      <alignment horizontal="right" vertical="center" wrapText="1"/>
    </xf>
    <xf numFmtId="0" fontId="72" fillId="13" borderId="26" xfId="1" applyFont="1" applyFill="1" applyBorder="1" applyAlignment="1">
      <alignment horizontal="left" vertical="center"/>
    </xf>
    <xf numFmtId="180" fontId="57" fillId="13" borderId="26" xfId="62" applyNumberFormat="1" applyFont="1" applyFill="1" applyBorder="1" applyAlignment="1">
      <alignment horizontal="right" vertical="center" wrapText="1"/>
    </xf>
    <xf numFmtId="167" fontId="72" fillId="0" borderId="26" xfId="0" applyNumberFormat="1" applyFont="1" applyFill="1" applyBorder="1" applyAlignment="1">
      <alignment horizontal="center" vertical="center" wrapText="1"/>
    </xf>
    <xf numFmtId="180" fontId="112" fillId="6" borderId="26" xfId="62" applyNumberFormat="1" applyFont="1" applyFill="1" applyBorder="1" applyAlignment="1">
      <alignment horizontal="right" vertical="center" wrapText="1"/>
    </xf>
    <xf numFmtId="0" fontId="40" fillId="7" borderId="26" xfId="1" applyFont="1" applyFill="1" applyBorder="1" applyAlignment="1">
      <alignment horizontal="left" vertical="center"/>
    </xf>
    <xf numFmtId="167" fontId="37" fillId="7" borderId="26" xfId="85" applyNumberFormat="1" applyFont="1" applyFill="1" applyBorder="1" applyAlignment="1">
      <alignment horizontal="center" vertical="center" wrapText="1"/>
    </xf>
    <xf numFmtId="0" fontId="40" fillId="13" borderId="26" xfId="1" applyFont="1" applyFill="1" applyBorder="1" applyAlignment="1">
      <alignment horizontal="left" vertical="center"/>
    </xf>
    <xf numFmtId="167" fontId="37" fillId="13" borderId="26" xfId="85" applyNumberFormat="1" applyFont="1" applyFill="1" applyBorder="1" applyAlignment="1">
      <alignment horizontal="center" vertical="center" wrapText="1"/>
    </xf>
    <xf numFmtId="14" fontId="110" fillId="0" borderId="0" xfId="0" applyNumberFormat="1" applyFont="1" applyBorder="1"/>
    <xf numFmtId="0" fontId="97" fillId="0" borderId="0" xfId="0" applyFont="1" applyFill="1" applyBorder="1"/>
    <xf numFmtId="176" fontId="39" fillId="0" borderId="0" xfId="0" applyNumberFormat="1" applyFont="1" applyFill="1" applyBorder="1"/>
    <xf numFmtId="0" fontId="98" fillId="4" borderId="0" xfId="0" applyFont="1" applyFill="1" applyBorder="1"/>
    <xf numFmtId="0" fontId="98" fillId="4" borderId="0" xfId="0" applyFont="1" applyFill="1" applyBorder="1" applyAlignment="1">
      <alignment horizontal="center"/>
    </xf>
    <xf numFmtId="0" fontId="39" fillId="0" borderId="0" xfId="0" applyFont="1" applyFill="1" applyBorder="1" applyAlignment="1">
      <alignment horizontal="center"/>
    </xf>
    <xf numFmtId="0" fontId="98" fillId="4" borderId="0" xfId="0" applyFont="1" applyFill="1" applyBorder="1" applyAlignment="1">
      <alignment horizontal="right"/>
    </xf>
    <xf numFmtId="167" fontId="98" fillId="4" borderId="0" xfId="85" applyNumberFormat="1" applyFont="1" applyFill="1" applyBorder="1"/>
    <xf numFmtId="0" fontId="39" fillId="13" borderId="0" xfId="0" applyFont="1" applyFill="1" applyBorder="1" applyAlignment="1">
      <alignment horizontal="center"/>
    </xf>
    <xf numFmtId="177" fontId="37" fillId="0" borderId="0" xfId="0" applyNumberFormat="1" applyFont="1" applyFill="1" applyAlignment="1">
      <alignment horizontal="right"/>
    </xf>
    <xf numFmtId="0" fontId="59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37" fillId="0" borderId="0" xfId="0" applyFont="1" applyAlignment="1">
      <alignment horizontal="right"/>
    </xf>
    <xf numFmtId="168" fontId="61" fillId="0" borderId="0" xfId="0" applyNumberFormat="1" applyFont="1" applyBorder="1" applyAlignment="1">
      <alignment horizontal="left"/>
    </xf>
    <xf numFmtId="3" fontId="111" fillId="8" borderId="3" xfId="0" applyNumberFormat="1" applyFont="1" applyFill="1" applyBorder="1" applyAlignment="1">
      <alignment horizontal="center" vertical="center"/>
    </xf>
    <xf numFmtId="3" fontId="66" fillId="8" borderId="15" xfId="0" applyNumberFormat="1" applyFont="1" applyFill="1" applyBorder="1" applyAlignment="1">
      <alignment horizontal="center" vertical="center"/>
    </xf>
    <xf numFmtId="49" fontId="111" fillId="8" borderId="15" xfId="0" applyNumberFormat="1" applyFont="1" applyFill="1" applyBorder="1" applyAlignment="1">
      <alignment horizontal="center" vertical="center"/>
    </xf>
    <xf numFmtId="3" fontId="111" fillId="8" borderId="15" xfId="0" applyNumberFormat="1" applyFont="1" applyFill="1" applyBorder="1" applyAlignment="1">
      <alignment horizontal="center" vertical="center" wrapText="1"/>
    </xf>
    <xf numFmtId="0" fontId="111" fillId="4" borderId="0" xfId="0" applyFont="1" applyFill="1" applyBorder="1"/>
    <xf numFmtId="0" fontId="111" fillId="4" borderId="0" xfId="0" applyFont="1" applyFill="1" applyBorder="1" applyAlignment="1">
      <alignment horizontal="center"/>
    </xf>
    <xf numFmtId="0" fontId="57" fillId="7" borderId="26" xfId="1" applyFont="1" applyFill="1" applyBorder="1" applyAlignment="1">
      <alignment horizontal="left" vertical="center"/>
    </xf>
    <xf numFmtId="176" fontId="57" fillId="7" borderId="26" xfId="1" applyNumberFormat="1" applyFont="1" applyFill="1" applyBorder="1" applyAlignment="1">
      <alignment horizontal="left" vertical="center"/>
    </xf>
    <xf numFmtId="189" fontId="57" fillId="7" borderId="26" xfId="1" applyNumberFormat="1" applyFont="1" applyFill="1" applyBorder="1" applyAlignment="1">
      <alignment horizontal="center" vertical="center"/>
    </xf>
    <xf numFmtId="14" fontId="57" fillId="7" borderId="26" xfId="1" applyNumberFormat="1" applyFont="1" applyFill="1" applyBorder="1" applyAlignment="1">
      <alignment horizontal="center" vertical="center"/>
    </xf>
    <xf numFmtId="177" fontId="57" fillId="7" borderId="26" xfId="0" applyNumberFormat="1" applyFont="1" applyFill="1" applyBorder="1" applyAlignment="1">
      <alignment horizontal="right"/>
    </xf>
    <xf numFmtId="0" fontId="57" fillId="13" borderId="26" xfId="1" applyFont="1" applyFill="1" applyBorder="1" applyAlignment="1">
      <alignment horizontal="left" vertical="center"/>
    </xf>
    <xf numFmtId="176" fontId="57" fillId="13" borderId="26" xfId="1" applyNumberFormat="1" applyFont="1" applyFill="1" applyBorder="1" applyAlignment="1">
      <alignment horizontal="left" vertical="center"/>
    </xf>
    <xf numFmtId="189" fontId="57" fillId="13" borderId="26" xfId="1" applyNumberFormat="1" applyFont="1" applyFill="1" applyBorder="1" applyAlignment="1">
      <alignment horizontal="center" vertical="center"/>
    </xf>
    <xf numFmtId="14" fontId="57" fillId="13" borderId="26" xfId="1" applyNumberFormat="1" applyFont="1" applyFill="1" applyBorder="1" applyAlignment="1">
      <alignment horizontal="center" vertical="center"/>
    </xf>
    <xf numFmtId="177" fontId="57" fillId="13" borderId="26" xfId="0" applyNumberFormat="1" applyFont="1" applyFill="1" applyBorder="1" applyAlignment="1">
      <alignment horizontal="right"/>
    </xf>
    <xf numFmtId="0" fontId="57" fillId="7" borderId="26" xfId="0" applyFont="1" applyFill="1" applyBorder="1"/>
    <xf numFmtId="167" fontId="57" fillId="7" borderId="26" xfId="85" applyNumberFormat="1" applyFont="1" applyFill="1" applyBorder="1" applyAlignment="1">
      <alignment horizontal="right"/>
    </xf>
    <xf numFmtId="0" fontId="62" fillId="0" borderId="26" xfId="0" applyFont="1" applyBorder="1" applyAlignment="1">
      <alignment horizontal="right"/>
    </xf>
    <xf numFmtId="0" fontId="72" fillId="0" borderId="26" xfId="0" applyFont="1" applyBorder="1"/>
    <xf numFmtId="176" fontId="72" fillId="0" borderId="26" xfId="1" applyNumberFormat="1" applyFont="1" applyFill="1" applyBorder="1" applyAlignment="1">
      <alignment horizontal="right" vertical="center"/>
    </xf>
    <xf numFmtId="14" fontId="72" fillId="0" borderId="26" xfId="1" applyNumberFormat="1" applyFont="1" applyFill="1" applyBorder="1" applyAlignment="1">
      <alignment horizontal="center" vertical="center" wrapText="1"/>
    </xf>
    <xf numFmtId="0" fontId="72" fillId="0" borderId="26" xfId="0" applyFont="1" applyBorder="1" applyAlignment="1">
      <alignment vertical="center"/>
    </xf>
    <xf numFmtId="177" fontId="112" fillId="10" borderId="26" xfId="0" applyNumberFormat="1" applyFont="1" applyFill="1" applyBorder="1" applyAlignment="1">
      <alignment horizontal="right"/>
    </xf>
    <xf numFmtId="176" fontId="73" fillId="0" borderId="26" xfId="1" applyNumberFormat="1" applyFont="1" applyFill="1" applyBorder="1" applyAlignment="1">
      <alignment horizontal="right" vertical="center"/>
    </xf>
    <xf numFmtId="14" fontId="73" fillId="0" borderId="26" xfId="1" applyNumberFormat="1" applyFont="1" applyFill="1" applyBorder="1" applyAlignment="1">
      <alignment horizontal="center" vertical="center"/>
    </xf>
    <xf numFmtId="177" fontId="73" fillId="0" borderId="26" xfId="0" applyNumberFormat="1" applyFont="1" applyFill="1" applyBorder="1" applyAlignment="1">
      <alignment horizontal="right"/>
    </xf>
    <xf numFmtId="0" fontId="73" fillId="0" borderId="26" xfId="0" applyFont="1" applyBorder="1" applyAlignment="1">
      <alignment horizontal="center" vertical="center"/>
    </xf>
    <xf numFmtId="0" fontId="73" fillId="0" borderId="26" xfId="0" applyFont="1" applyBorder="1" applyAlignment="1">
      <alignment vertical="center"/>
    </xf>
    <xf numFmtId="177" fontId="112" fillId="10" borderId="26" xfId="0" applyNumberFormat="1" applyFont="1" applyFill="1" applyBorder="1" applyAlignment="1">
      <alignment horizontal="right" vertical="center"/>
    </xf>
    <xf numFmtId="0" fontId="116" fillId="0" borderId="0" xfId="0" applyFont="1" applyFill="1" applyBorder="1"/>
    <xf numFmtId="49" fontId="57" fillId="7" borderId="26" xfId="1" applyNumberFormat="1" applyFont="1" applyFill="1" applyBorder="1" applyAlignment="1">
      <alignment horizontal="center" vertical="center"/>
    </xf>
    <xf numFmtId="0" fontId="57" fillId="0" borderId="0" xfId="1" applyFont="1" applyFill="1" applyBorder="1" applyAlignment="1">
      <alignment horizontal="left" vertical="center"/>
    </xf>
    <xf numFmtId="176" fontId="57" fillId="0" borderId="0" xfId="1" applyNumberFormat="1" applyFont="1" applyFill="1" applyBorder="1" applyAlignment="1">
      <alignment horizontal="right" vertical="center"/>
    </xf>
    <xf numFmtId="0" fontId="74" fillId="0" borderId="0" xfId="0" applyFont="1" applyAlignment="1">
      <alignment vertical="center"/>
    </xf>
    <xf numFmtId="177" fontId="112" fillId="10" borderId="28" xfId="0" applyNumberFormat="1" applyFont="1" applyFill="1" applyBorder="1" applyAlignment="1">
      <alignment horizontal="right"/>
    </xf>
    <xf numFmtId="14" fontId="62" fillId="0" borderId="0" xfId="1" applyNumberFormat="1" applyFont="1" applyFill="1" applyBorder="1" applyAlignment="1">
      <alignment horizontal="center" vertical="center"/>
    </xf>
    <xf numFmtId="177" fontId="62" fillId="0" borderId="0" xfId="0" applyNumberFormat="1" applyFont="1" applyFill="1" applyAlignment="1">
      <alignment horizontal="right"/>
    </xf>
    <xf numFmtId="177" fontId="112" fillId="10" borderId="26" xfId="0" applyNumberFormat="1" applyFont="1" applyFill="1" applyBorder="1" applyAlignment="1">
      <alignment vertical="center"/>
    </xf>
    <xf numFmtId="0" fontId="76" fillId="0" borderId="0" xfId="0" applyFont="1"/>
    <xf numFmtId="0" fontId="46" fillId="0" borderId="0" xfId="0" applyFont="1" applyAlignment="1">
      <alignment horizontal="left"/>
    </xf>
    <xf numFmtId="167" fontId="37" fillId="0" borderId="26" xfId="85" applyNumberFormat="1" applyFont="1" applyFill="1" applyBorder="1" applyAlignment="1">
      <alignment horizontal="center" vertical="center" wrapText="1"/>
    </xf>
    <xf numFmtId="9" fontId="37" fillId="0" borderId="26" xfId="62" applyNumberFormat="1" applyFont="1" applyFill="1" applyBorder="1" applyAlignment="1">
      <alignment horizontal="right" vertical="center" wrapText="1"/>
    </xf>
    <xf numFmtId="0" fontId="111" fillId="8" borderId="26" xfId="0" applyFont="1" applyFill="1" applyBorder="1" applyAlignment="1">
      <alignment horizontal="center"/>
    </xf>
    <xf numFmtId="183" fontId="40" fillId="0" borderId="0" xfId="0" applyNumberFormat="1" applyFont="1"/>
    <xf numFmtId="167" fontId="77" fillId="0" borderId="0" xfId="85" applyNumberFormat="1" applyFont="1" applyFill="1" applyBorder="1" applyAlignment="1">
      <alignment horizontal="center" vertical="center" wrapText="1"/>
    </xf>
    <xf numFmtId="190" fontId="57" fillId="13" borderId="26" xfId="85" applyNumberFormat="1" applyFont="1" applyFill="1" applyBorder="1" applyAlignment="1">
      <alignment horizontal="center" vertical="center" wrapText="1"/>
    </xf>
    <xf numFmtId="167" fontId="117" fillId="6" borderId="26" xfId="85" applyNumberFormat="1" applyFont="1" applyFill="1" applyBorder="1" applyAlignment="1">
      <alignment horizontal="center" vertical="center" wrapText="1"/>
    </xf>
    <xf numFmtId="0" fontId="70" fillId="21" borderId="26" xfId="0" applyFont="1" applyFill="1" applyBorder="1"/>
    <xf numFmtId="167" fontId="70" fillId="21" borderId="26" xfId="0" applyNumberFormat="1" applyFont="1" applyFill="1" applyBorder="1"/>
    <xf numFmtId="166" fontId="57" fillId="7" borderId="26" xfId="85" applyNumberFormat="1" applyFont="1" applyFill="1" applyBorder="1" applyAlignment="1">
      <alignment horizontal="center" vertical="center" wrapText="1"/>
    </xf>
    <xf numFmtId="167" fontId="46" fillId="0" borderId="0" xfId="0" applyNumberFormat="1" applyFont="1" applyFill="1"/>
    <xf numFmtId="0" fontId="72" fillId="22" borderId="0" xfId="0" applyFont="1" applyFill="1" applyBorder="1"/>
    <xf numFmtId="0" fontId="72" fillId="22" borderId="0" xfId="0" applyFont="1" applyFill="1" applyBorder="1" applyAlignment="1">
      <alignment horizontal="center" vertical="center" wrapText="1"/>
    </xf>
    <xf numFmtId="176" fontId="72" fillId="22" borderId="0" xfId="0" applyNumberFormat="1" applyFont="1" applyFill="1" applyBorder="1" applyAlignment="1">
      <alignment horizontal="right"/>
    </xf>
    <xf numFmtId="0" fontId="72" fillId="22" borderId="0" xfId="0" applyFont="1" applyFill="1" applyBorder="1" applyAlignment="1">
      <alignment horizontal="center"/>
    </xf>
    <xf numFmtId="177" fontId="72" fillId="22" borderId="0" xfId="0" applyNumberFormat="1" applyFont="1" applyFill="1" applyBorder="1" applyAlignment="1">
      <alignment horizontal="right"/>
    </xf>
    <xf numFmtId="0" fontId="106" fillId="5" borderId="22" xfId="0" applyFont="1" applyFill="1" applyBorder="1" applyAlignment="1">
      <alignment horizontal="center" vertical="center"/>
    </xf>
    <xf numFmtId="43" fontId="0" fillId="13" borderId="0" xfId="0" applyNumberFormat="1" applyFill="1"/>
    <xf numFmtId="0" fontId="57" fillId="7" borderId="26" xfId="0" applyFont="1" applyFill="1" applyBorder="1" applyAlignment="1">
      <alignment horizontal="center" vertical="center"/>
    </xf>
    <xf numFmtId="0" fontId="79" fillId="0" borderId="0" xfId="36" applyNumberFormat="1" applyFont="1"/>
    <xf numFmtId="49" fontId="79" fillId="0" borderId="0" xfId="36" applyNumberFormat="1" applyFont="1"/>
    <xf numFmtId="2" fontId="79" fillId="0" borderId="0" xfId="36" applyNumberFormat="1" applyFont="1"/>
    <xf numFmtId="191" fontId="79" fillId="0" borderId="0" xfId="36" applyNumberFormat="1" applyFont="1"/>
    <xf numFmtId="0" fontId="80" fillId="0" borderId="0" xfId="36" applyNumberFormat="1" applyFont="1"/>
    <xf numFmtId="49" fontId="80" fillId="0" borderId="0" xfId="36" applyNumberFormat="1" applyFont="1"/>
    <xf numFmtId="2" fontId="80" fillId="0" borderId="0" xfId="36" applyNumberFormat="1" applyFont="1"/>
    <xf numFmtId="194" fontId="80" fillId="0" borderId="0" xfId="36" applyNumberFormat="1" applyFont="1"/>
    <xf numFmtId="191" fontId="80" fillId="0" borderId="0" xfId="36" applyNumberFormat="1" applyFont="1"/>
    <xf numFmtId="0" fontId="111" fillId="19" borderId="0" xfId="0" applyFont="1" applyFill="1" applyAlignment="1">
      <alignment horizontal="center"/>
    </xf>
    <xf numFmtId="41" fontId="37" fillId="13" borderId="0" xfId="0" applyNumberFormat="1" applyFont="1" applyFill="1" applyBorder="1"/>
    <xf numFmtId="178" fontId="3" fillId="14" borderId="16" xfId="0" applyNumberFormat="1" applyFont="1" applyFill="1" applyBorder="1"/>
    <xf numFmtId="4" fontId="84" fillId="13" borderId="17" xfId="58" applyNumberFormat="1" applyFill="1" applyBorder="1"/>
    <xf numFmtId="181" fontId="0" fillId="13" borderId="17" xfId="0" quotePrefix="1" applyNumberFormat="1" applyFill="1" applyBorder="1"/>
    <xf numFmtId="181" fontId="0" fillId="13" borderId="17" xfId="0" applyNumberFormat="1" applyFill="1" applyBorder="1"/>
    <xf numFmtId="181" fontId="5" fillId="13" borderId="17" xfId="85" applyNumberFormat="1" applyFill="1" applyBorder="1" applyAlignment="1">
      <alignment horizontal="right"/>
    </xf>
    <xf numFmtId="4" fontId="84" fillId="13" borderId="18" xfId="58" applyNumberFormat="1" applyFill="1" applyBorder="1"/>
    <xf numFmtId="43" fontId="57" fillId="7" borderId="26" xfId="0" applyNumberFormat="1" applyFont="1" applyFill="1" applyBorder="1" applyAlignment="1">
      <alignment horizontal="center"/>
    </xf>
    <xf numFmtId="43" fontId="57" fillId="0" borderId="26" xfId="0" applyNumberFormat="1" applyFont="1" applyFill="1" applyBorder="1" applyAlignment="1">
      <alignment horizontal="center"/>
    </xf>
    <xf numFmtId="0" fontId="11" fillId="0" borderId="0" xfId="0" applyFont="1" applyFill="1" applyBorder="1"/>
    <xf numFmtId="3" fontId="111" fillId="8" borderId="22" xfId="0" quotePrefix="1" applyNumberFormat="1" applyFont="1" applyFill="1" applyBorder="1" applyAlignment="1">
      <alignment horizontal="center" vertical="center" wrapText="1"/>
    </xf>
    <xf numFmtId="0" fontId="72" fillId="0" borderId="30" xfId="0" applyFont="1" applyBorder="1" applyAlignment="1">
      <alignment vertical="center"/>
    </xf>
    <xf numFmtId="177" fontId="112" fillId="10" borderId="31" xfId="0" applyNumberFormat="1" applyFont="1" applyFill="1" applyBorder="1" applyAlignment="1">
      <alignment vertical="center"/>
    </xf>
    <xf numFmtId="14" fontId="118" fillId="13" borderId="19" xfId="40" applyNumberFormat="1" applyFont="1" applyFill="1" applyBorder="1" applyAlignment="1" applyProtection="1">
      <alignment horizontal="center"/>
      <protection hidden="1"/>
    </xf>
    <xf numFmtId="177" fontId="112" fillId="10" borderId="32" xfId="0" applyNumberFormat="1" applyFont="1" applyFill="1" applyBorder="1" applyAlignment="1">
      <alignment horizontal="right" vertical="center"/>
    </xf>
    <xf numFmtId="0" fontId="57" fillId="7" borderId="26" xfId="0" applyFont="1" applyFill="1" applyBorder="1" applyAlignment="1">
      <alignment horizontal="center" vertical="center"/>
    </xf>
    <xf numFmtId="14" fontId="22" fillId="13" borderId="20" xfId="0" applyNumberFormat="1" applyFont="1" applyFill="1" applyBorder="1" applyAlignment="1" applyProtection="1">
      <alignment horizontal="center"/>
      <protection hidden="1"/>
    </xf>
    <xf numFmtId="14" fontId="22" fillId="13" borderId="13" xfId="40" applyNumberFormat="1" applyFont="1" applyFill="1" applyBorder="1" applyAlignment="1" applyProtection="1">
      <alignment horizontal="center"/>
      <protection hidden="1"/>
    </xf>
    <xf numFmtId="166" fontId="119" fillId="0" borderId="0" xfId="85" applyFont="1"/>
    <xf numFmtId="167" fontId="119" fillId="0" borderId="0" xfId="85" applyNumberFormat="1" applyFont="1"/>
    <xf numFmtId="0" fontId="120" fillId="0" borderId="0" xfId="0" applyFont="1"/>
    <xf numFmtId="14" fontId="121" fillId="0" borderId="0" xfId="0" applyNumberFormat="1" applyFont="1" applyBorder="1"/>
    <xf numFmtId="14" fontId="110" fillId="0" borderId="0" xfId="0" applyNumberFormat="1" applyFont="1" applyFill="1"/>
    <xf numFmtId="193" fontId="38" fillId="0" borderId="0" xfId="0" applyNumberFormat="1" applyFont="1" applyBorder="1"/>
    <xf numFmtId="0" fontId="57" fillId="13" borderId="26" xfId="0" applyFont="1" applyFill="1" applyBorder="1" applyAlignment="1">
      <alignment vertical="center"/>
    </xf>
    <xf numFmtId="183" fontId="57" fillId="13" borderId="26" xfId="14" applyNumberFormat="1" applyFont="1" applyFill="1" applyBorder="1" applyAlignment="1">
      <alignment vertical="center"/>
    </xf>
    <xf numFmtId="0" fontId="115" fillId="13" borderId="26" xfId="28" applyFont="1" applyFill="1" applyBorder="1" applyAlignment="1">
      <alignment horizontal="left" vertical="center"/>
    </xf>
    <xf numFmtId="166" fontId="57" fillId="13" borderId="26" xfId="85" applyFont="1" applyFill="1" applyBorder="1" applyAlignment="1">
      <alignment horizontal="left" vertical="center"/>
    </xf>
    <xf numFmtId="0" fontId="112" fillId="22" borderId="26" xfId="0" applyFont="1" applyFill="1" applyBorder="1" applyAlignment="1">
      <alignment horizontal="center" vertical="center"/>
    </xf>
    <xf numFmtId="167" fontId="112" fillId="19" borderId="26" xfId="85" applyNumberFormat="1" applyFont="1" applyFill="1" applyBorder="1" applyAlignment="1">
      <alignment horizontal="center" vertical="center" wrapText="1"/>
    </xf>
    <xf numFmtId="0" fontId="37" fillId="13" borderId="0" xfId="0" applyFont="1" applyFill="1" applyAlignment="1">
      <alignment horizontal="center"/>
    </xf>
    <xf numFmtId="166" fontId="112" fillId="22" borderId="26" xfId="0" applyNumberFormat="1" applyFont="1" applyFill="1" applyBorder="1" applyAlignment="1">
      <alignment vertical="center"/>
    </xf>
    <xf numFmtId="0" fontId="112" fillId="13" borderId="26" xfId="0" applyFont="1" applyFill="1" applyBorder="1"/>
    <xf numFmtId="0" fontId="112" fillId="13" borderId="26" xfId="0" applyFont="1" applyFill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3" xfId="0" pivotButton="1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3" xfId="0" applyNumberFormat="1" applyBorder="1"/>
    <xf numFmtId="0" fontId="0" fillId="0" borderId="36" xfId="0" applyNumberFormat="1" applyBorder="1"/>
    <xf numFmtId="0" fontId="0" fillId="0" borderId="37" xfId="0" applyNumberFormat="1" applyBorder="1"/>
    <xf numFmtId="0" fontId="0" fillId="0" borderId="38" xfId="0" applyBorder="1"/>
    <xf numFmtId="0" fontId="0" fillId="0" borderId="39" xfId="0" applyBorder="1"/>
    <xf numFmtId="0" fontId="0" fillId="0" borderId="39" xfId="0" applyNumberFormat="1" applyBorder="1"/>
    <xf numFmtId="0" fontId="0" fillId="0" borderId="40" xfId="0" applyNumberFormat="1" applyBorder="1"/>
    <xf numFmtId="0" fontId="0" fillId="0" borderId="41" xfId="0" applyBorder="1"/>
    <xf numFmtId="0" fontId="0" fillId="0" borderId="41" xfId="0" applyNumberFormat="1" applyBorder="1"/>
    <xf numFmtId="0" fontId="0" fillId="0" borderId="42" xfId="0" applyNumberFormat="1" applyBorder="1"/>
    <xf numFmtId="0" fontId="0" fillId="0" borderId="43" xfId="0" applyNumberFormat="1" applyBorder="1"/>
    <xf numFmtId="166" fontId="0" fillId="0" borderId="36" xfId="0" applyNumberFormat="1" applyFont="1" applyBorder="1"/>
    <xf numFmtId="166" fontId="0" fillId="0" borderId="0" xfId="0" applyNumberFormat="1" applyFont="1"/>
    <xf numFmtId="166" fontId="0" fillId="0" borderId="42" xfId="0" applyNumberFormat="1" applyFont="1" applyBorder="1"/>
    <xf numFmtId="0" fontId="0" fillId="0" borderId="44" xfId="0" applyBorder="1"/>
    <xf numFmtId="0" fontId="0" fillId="0" borderId="45" xfId="0" applyBorder="1"/>
    <xf numFmtId="166" fontId="0" fillId="0" borderId="33" xfId="0" applyNumberFormat="1" applyFont="1" applyBorder="1"/>
    <xf numFmtId="166" fontId="0" fillId="0" borderId="34" xfId="0" applyNumberFormat="1" applyFont="1" applyBorder="1"/>
    <xf numFmtId="166" fontId="0" fillId="0" borderId="35" xfId="0" applyNumberFormat="1" applyFont="1" applyBorder="1"/>
    <xf numFmtId="166" fontId="0" fillId="0" borderId="38" xfId="0" applyNumberFormat="1" applyFont="1" applyBorder="1"/>
    <xf numFmtId="166" fontId="0" fillId="0" borderId="21" xfId="0" applyNumberFormat="1" applyFont="1" applyBorder="1"/>
    <xf numFmtId="166" fontId="0" fillId="0" borderId="46" xfId="0" applyNumberFormat="1" applyFont="1" applyBorder="1"/>
    <xf numFmtId="166" fontId="0" fillId="0" borderId="45" xfId="0" applyNumberFormat="1" applyFont="1" applyBorder="1"/>
    <xf numFmtId="166" fontId="0" fillId="0" borderId="47" xfId="0" applyNumberFormat="1" applyFont="1" applyBorder="1"/>
    <xf numFmtId="166" fontId="0" fillId="0" borderId="48" xfId="0" applyNumberFormat="1" applyFont="1" applyBorder="1"/>
    <xf numFmtId="0" fontId="106" fillId="5" borderId="22" xfId="0" applyFont="1" applyFill="1" applyBorder="1" applyAlignment="1">
      <alignment horizontal="center" vertical="center"/>
    </xf>
    <xf numFmtId="0" fontId="55" fillId="7" borderId="22" xfId="0" applyFont="1" applyFill="1" applyBorder="1" applyAlignment="1">
      <alignment horizontal="center"/>
    </xf>
    <xf numFmtId="167" fontId="108" fillId="6" borderId="22" xfId="85" applyNumberFormat="1" applyFont="1" applyFill="1" applyBorder="1" applyAlignment="1" applyProtection="1">
      <alignment horizontal="center" vertical="center"/>
    </xf>
    <xf numFmtId="0" fontId="55" fillId="7" borderId="22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67" fontId="86" fillId="6" borderId="0" xfId="85" applyNumberFormat="1" applyFont="1" applyFill="1" applyBorder="1" applyAlignment="1" applyProtection="1">
      <alignment horizontal="center" vertical="center"/>
    </xf>
    <xf numFmtId="0" fontId="10" fillId="0" borderId="0" xfId="0" applyFont="1" applyBorder="1" applyAlignment="1">
      <alignment vertical="top" wrapText="1"/>
    </xf>
    <xf numFmtId="168" fontId="6" fillId="0" borderId="0" xfId="0" applyNumberFormat="1" applyFont="1" applyBorder="1" applyAlignment="1">
      <alignment horizontal="left"/>
    </xf>
    <xf numFmtId="193" fontId="81" fillId="0" borderId="0" xfId="0" applyNumberFormat="1" applyFont="1" applyFill="1" applyBorder="1" applyAlignment="1">
      <alignment horizontal="left"/>
    </xf>
    <xf numFmtId="0" fontId="86" fillId="5" borderId="0" xfId="0" applyFont="1" applyFill="1" applyBorder="1" applyAlignment="1">
      <alignment horizontal="center" vertical="center"/>
    </xf>
    <xf numFmtId="0" fontId="55" fillId="7" borderId="49" xfId="0" applyFont="1" applyFill="1" applyBorder="1" applyAlignment="1">
      <alignment horizontal="center"/>
    </xf>
    <xf numFmtId="0" fontId="55" fillId="7" borderId="29" xfId="0" applyFont="1" applyFill="1" applyBorder="1" applyAlignment="1">
      <alignment horizontal="center"/>
    </xf>
    <xf numFmtId="0" fontId="55" fillId="7" borderId="49" xfId="0" applyFont="1" applyFill="1" applyBorder="1" applyAlignment="1">
      <alignment horizontal="center" vertical="center"/>
    </xf>
    <xf numFmtId="0" fontId="55" fillId="7" borderId="29" xfId="0" applyFont="1" applyFill="1" applyBorder="1" applyAlignment="1">
      <alignment horizontal="center" vertical="center"/>
    </xf>
    <xf numFmtId="0" fontId="57" fillId="7" borderId="22" xfId="0" applyFont="1" applyFill="1" applyBorder="1" applyAlignment="1">
      <alignment horizontal="center"/>
    </xf>
    <xf numFmtId="168" fontId="42" fillId="0" borderId="0" xfId="0" applyNumberFormat="1" applyFont="1" applyFill="1" applyBorder="1" applyAlignment="1">
      <alignment horizontal="left"/>
    </xf>
    <xf numFmtId="167" fontId="109" fillId="4" borderId="22" xfId="85" applyNumberFormat="1" applyFont="1" applyFill="1" applyBorder="1" applyAlignment="1" applyProtection="1">
      <alignment horizontal="center" vertical="center"/>
    </xf>
    <xf numFmtId="0" fontId="104" fillId="5" borderId="22" xfId="0" applyFont="1" applyFill="1" applyBorder="1" applyAlignment="1">
      <alignment horizontal="center" vertical="center"/>
    </xf>
    <xf numFmtId="168" fontId="37" fillId="0" borderId="0" xfId="0" applyNumberFormat="1" applyFont="1" applyBorder="1" applyAlignment="1">
      <alignment horizontal="right"/>
    </xf>
    <xf numFmtId="167" fontId="86" fillId="4" borderId="0" xfId="85" applyNumberFormat="1" applyFont="1" applyFill="1" applyBorder="1" applyAlignment="1" applyProtection="1">
      <alignment horizontal="center" vertical="center"/>
    </xf>
    <xf numFmtId="0" fontId="98" fillId="5" borderId="26" xfId="0" applyFont="1" applyFill="1" applyBorder="1" applyAlignment="1">
      <alignment horizontal="center" vertical="center"/>
    </xf>
    <xf numFmtId="0" fontId="57" fillId="7" borderId="26" xfId="0" applyFont="1" applyFill="1" applyBorder="1" applyAlignment="1">
      <alignment horizontal="center" vertical="center"/>
    </xf>
    <xf numFmtId="0" fontId="59" fillId="0" borderId="0" xfId="0" applyFont="1" applyBorder="1" applyAlignment="1">
      <alignment vertical="top" wrapText="1"/>
    </xf>
    <xf numFmtId="167" fontId="112" fillId="6" borderId="26" xfId="85" applyNumberFormat="1" applyFont="1" applyFill="1" applyBorder="1" applyAlignment="1" applyProtection="1">
      <alignment horizontal="center" vertical="center"/>
    </xf>
    <xf numFmtId="0" fontId="37" fillId="0" borderId="0" xfId="0" applyFont="1" applyFill="1" applyBorder="1" applyAlignment="1">
      <alignment horizontal="center" vertical="center"/>
    </xf>
    <xf numFmtId="0" fontId="66" fillId="15" borderId="27" xfId="27" applyFont="1" applyFill="1" applyBorder="1" applyAlignment="1">
      <alignment horizontal="left" vertical="center" wrapText="1"/>
    </xf>
    <xf numFmtId="0" fontId="66" fillId="15" borderId="50" xfId="27" applyFont="1" applyFill="1" applyBorder="1" applyAlignment="1">
      <alignment horizontal="left" vertical="center" wrapText="1"/>
    </xf>
    <xf numFmtId="0" fontId="66" fillId="15" borderId="28" xfId="27" applyFont="1" applyFill="1" applyBorder="1" applyAlignment="1">
      <alignment horizontal="left" vertical="center" wrapText="1"/>
    </xf>
    <xf numFmtId="0" fontId="66" fillId="15" borderId="27" xfId="27" applyFont="1" applyFill="1" applyBorder="1" applyAlignment="1">
      <alignment horizontal="left" vertical="center"/>
    </xf>
    <xf numFmtId="0" fontId="66" fillId="15" borderId="50" xfId="27" applyFont="1" applyFill="1" applyBorder="1" applyAlignment="1">
      <alignment horizontal="left" vertical="center"/>
    </xf>
    <xf numFmtId="0" fontId="66" fillId="15" borderId="28" xfId="27" applyFont="1" applyFill="1" applyBorder="1" applyAlignment="1">
      <alignment horizontal="left" vertical="center"/>
    </xf>
    <xf numFmtId="0" fontId="62" fillId="0" borderId="12" xfId="0" applyFont="1" applyBorder="1" applyAlignment="1">
      <alignment horizontal="center"/>
    </xf>
    <xf numFmtId="0" fontId="57" fillId="0" borderId="12" xfId="0" applyFont="1" applyBorder="1" applyAlignment="1">
      <alignment horizontal="center"/>
    </xf>
    <xf numFmtId="183" fontId="98" fillId="6" borderId="0" xfId="85" applyNumberFormat="1" applyFont="1" applyFill="1" applyBorder="1" applyAlignment="1" applyProtection="1">
      <alignment horizontal="center" vertical="center"/>
    </xf>
    <xf numFmtId="41" fontId="98" fillId="6" borderId="0" xfId="85" applyNumberFormat="1" applyFont="1" applyFill="1" applyBorder="1" applyAlignment="1" applyProtection="1">
      <alignment horizontal="center" vertical="center"/>
    </xf>
    <xf numFmtId="168" fontId="37" fillId="0" borderId="0" xfId="0" applyNumberFormat="1" applyFont="1" applyBorder="1" applyAlignment="1">
      <alignment horizontal="left"/>
    </xf>
    <xf numFmtId="0" fontId="37" fillId="2" borderId="0" xfId="0" applyFont="1" applyFill="1" applyAlignment="1">
      <alignment horizontal="center" vertical="center"/>
    </xf>
    <xf numFmtId="167" fontId="37" fillId="2" borderId="0" xfId="85" applyNumberFormat="1" applyFont="1" applyFill="1" applyBorder="1" applyAlignment="1" applyProtection="1">
      <alignment horizontal="center" vertical="center"/>
    </xf>
    <xf numFmtId="167" fontId="98" fillId="6" borderId="0" xfId="85" applyNumberFormat="1" applyFont="1" applyFill="1" applyBorder="1" applyAlignment="1" applyProtection="1">
      <alignment horizontal="center"/>
    </xf>
    <xf numFmtId="0" fontId="112" fillId="6" borderId="0" xfId="0" applyFont="1" applyFill="1" applyBorder="1" applyAlignment="1">
      <alignment horizontal="center" vertical="center"/>
    </xf>
    <xf numFmtId="9" fontId="112" fillId="6" borderId="0" xfId="62" applyFont="1" applyFill="1" applyBorder="1" applyAlignment="1" applyProtection="1">
      <alignment horizontal="right" vertical="center"/>
    </xf>
    <xf numFmtId="0" fontId="87" fillId="6" borderId="0" xfId="0" applyFont="1" applyFill="1" applyBorder="1" applyAlignment="1">
      <alignment horizontal="center" vertical="center"/>
    </xf>
    <xf numFmtId="9" fontId="87" fillId="6" borderId="0" xfId="62" applyFont="1" applyFill="1" applyBorder="1" applyAlignment="1" applyProtection="1">
      <alignment horizontal="right" vertical="center"/>
    </xf>
    <xf numFmtId="0" fontId="19" fillId="0" borderId="0" xfId="0" applyFont="1" applyBorder="1" applyAlignment="1">
      <alignment horizontal="left" vertical="center"/>
    </xf>
    <xf numFmtId="193" fontId="37" fillId="0" borderId="0" xfId="0" applyNumberFormat="1" applyFont="1" applyAlignment="1">
      <alignment horizontal="center"/>
    </xf>
    <xf numFmtId="3" fontId="111" fillId="8" borderId="26" xfId="0" applyNumberFormat="1" applyFont="1" applyFill="1" applyBorder="1" applyAlignment="1">
      <alignment horizontal="center" vertical="center"/>
    </xf>
    <xf numFmtId="166" fontId="113" fillId="10" borderId="26" xfId="0" applyNumberFormat="1" applyFont="1" applyFill="1" applyBorder="1" applyAlignment="1">
      <alignment horizontal="right" vertical="center"/>
    </xf>
    <xf numFmtId="168" fontId="42" fillId="0" borderId="0" xfId="0" applyNumberFormat="1" applyFont="1" applyBorder="1" applyAlignment="1">
      <alignment horizontal="left"/>
    </xf>
    <xf numFmtId="3" fontId="111" fillId="8" borderId="26" xfId="0" applyNumberFormat="1" applyFont="1" applyFill="1" applyBorder="1" applyAlignment="1">
      <alignment horizontal="center" vertical="center" wrapText="1"/>
    </xf>
    <xf numFmtId="166" fontId="95" fillId="10" borderId="49" xfId="0" applyNumberFormat="1" applyFont="1" applyFill="1" applyBorder="1" applyAlignment="1">
      <alignment horizontal="center" vertical="center"/>
    </xf>
    <xf numFmtId="166" fontId="95" fillId="10" borderId="51" xfId="0" applyNumberFormat="1" applyFont="1" applyFill="1" applyBorder="1" applyAlignment="1">
      <alignment horizontal="center" vertical="center"/>
    </xf>
    <xf numFmtId="166" fontId="95" fillId="10" borderId="29" xfId="0" applyNumberFormat="1" applyFont="1" applyFill="1" applyBorder="1" applyAlignment="1">
      <alignment horizontal="center" vertical="center"/>
    </xf>
    <xf numFmtId="0" fontId="95" fillId="10" borderId="49" xfId="0" applyFont="1" applyFill="1" applyBorder="1" applyAlignment="1">
      <alignment horizontal="center" vertical="center"/>
    </xf>
    <xf numFmtId="0" fontId="95" fillId="10" borderId="29" xfId="0" applyFont="1" applyFill="1" applyBorder="1" applyAlignment="1">
      <alignment horizontal="center" vertical="center"/>
    </xf>
    <xf numFmtId="168" fontId="35" fillId="0" borderId="0" xfId="0" applyNumberFormat="1" applyFont="1" applyBorder="1" applyAlignment="1">
      <alignment horizontal="left"/>
    </xf>
    <xf numFmtId="0" fontId="112" fillId="10" borderId="26" xfId="0" applyFont="1" applyFill="1" applyBorder="1" applyAlignment="1">
      <alignment horizontal="center" vertical="center"/>
    </xf>
    <xf numFmtId="166" fontId="112" fillId="22" borderId="26" xfId="0" applyNumberFormat="1" applyFont="1" applyFill="1" applyBorder="1" applyAlignment="1">
      <alignment horizontal="center" vertical="center"/>
    </xf>
    <xf numFmtId="168" fontId="57" fillId="0" borderId="26" xfId="0" applyNumberFormat="1" applyFont="1" applyBorder="1" applyAlignment="1">
      <alignment horizontal="left"/>
    </xf>
    <xf numFmtId="166" fontId="112" fillId="10" borderId="26" xfId="0" applyNumberFormat="1" applyFont="1" applyFill="1" applyBorder="1" applyAlignment="1">
      <alignment horizontal="center" vertical="center"/>
    </xf>
    <xf numFmtId="168" fontId="57" fillId="0" borderId="0" xfId="0" applyNumberFormat="1" applyFont="1" applyBorder="1" applyAlignment="1">
      <alignment horizontal="left"/>
    </xf>
    <xf numFmtId="3" fontId="111" fillId="8" borderId="22" xfId="0" applyNumberFormat="1" applyFont="1" applyFill="1" applyBorder="1" applyAlignment="1">
      <alignment horizontal="center" vertical="center" wrapText="1"/>
    </xf>
    <xf numFmtId="3" fontId="111" fillId="8" borderId="22" xfId="0" applyNumberFormat="1" applyFont="1" applyFill="1" applyBorder="1" applyAlignment="1">
      <alignment horizontal="center" vertical="center"/>
    </xf>
    <xf numFmtId="0" fontId="112" fillId="10" borderId="49" xfId="0" applyFont="1" applyFill="1" applyBorder="1" applyAlignment="1">
      <alignment horizontal="center" vertical="center" wrapText="1"/>
    </xf>
    <xf numFmtId="0" fontId="112" fillId="10" borderId="29" xfId="0" applyFont="1" applyFill="1" applyBorder="1" applyAlignment="1">
      <alignment horizontal="center" vertical="center" wrapText="1"/>
    </xf>
    <xf numFmtId="0" fontId="112" fillId="10" borderId="22" xfId="0" applyFont="1" applyFill="1" applyBorder="1" applyAlignment="1">
      <alignment horizontal="right" vertical="center" wrapText="1"/>
    </xf>
    <xf numFmtId="168" fontId="46" fillId="0" borderId="0" xfId="0" applyNumberFormat="1" applyFont="1" applyBorder="1" applyAlignment="1">
      <alignment horizontal="right"/>
    </xf>
    <xf numFmtId="177" fontId="112" fillId="10" borderId="52" xfId="0" applyNumberFormat="1" applyFont="1" applyFill="1" applyBorder="1" applyAlignment="1">
      <alignment horizontal="right" vertical="center"/>
    </xf>
    <xf numFmtId="177" fontId="112" fillId="10" borderId="31" xfId="0" applyNumberFormat="1" applyFont="1" applyFill="1" applyBorder="1" applyAlignment="1">
      <alignment horizontal="right" vertical="center"/>
    </xf>
    <xf numFmtId="177" fontId="112" fillId="10" borderId="22" xfId="0" applyNumberFormat="1" applyFont="1" applyFill="1" applyBorder="1" applyAlignment="1">
      <alignment horizontal="center" vertical="center"/>
    </xf>
    <xf numFmtId="177" fontId="112" fillId="10" borderId="49" xfId="0" applyNumberFormat="1" applyFont="1" applyFill="1" applyBorder="1" applyAlignment="1">
      <alignment horizontal="center" vertical="center"/>
    </xf>
    <xf numFmtId="177" fontId="112" fillId="10" borderId="51" xfId="0" applyNumberFormat="1" applyFont="1" applyFill="1" applyBorder="1" applyAlignment="1">
      <alignment horizontal="center" vertical="center"/>
    </xf>
    <xf numFmtId="177" fontId="112" fillId="10" borderId="29" xfId="0" applyNumberFormat="1" applyFont="1" applyFill="1" applyBorder="1" applyAlignment="1">
      <alignment horizontal="center" vertical="center"/>
    </xf>
    <xf numFmtId="3" fontId="66" fillId="8" borderId="3" xfId="0" applyNumberFormat="1" applyFont="1" applyFill="1" applyBorder="1" applyAlignment="1">
      <alignment horizontal="center" vertical="center"/>
    </xf>
    <xf numFmtId="3" fontId="66" fillId="8" borderId="3" xfId="0" applyNumberFormat="1" applyFont="1" applyFill="1" applyBorder="1" applyAlignment="1">
      <alignment horizontal="center" vertical="center" wrapText="1"/>
    </xf>
    <xf numFmtId="177" fontId="112" fillId="10" borderId="26" xfId="0" applyNumberFormat="1" applyFont="1" applyFill="1" applyBorder="1" applyAlignment="1">
      <alignment horizontal="right" vertical="center"/>
    </xf>
    <xf numFmtId="3" fontId="111" fillId="8" borderId="3" xfId="0" applyNumberFormat="1" applyFont="1" applyFill="1" applyBorder="1" applyAlignment="1">
      <alignment horizontal="center" vertical="center"/>
    </xf>
    <xf numFmtId="177" fontId="112" fillId="10" borderId="26" xfId="0" applyNumberFormat="1" applyFont="1" applyFill="1" applyBorder="1" applyAlignment="1">
      <alignment horizontal="center" vertical="center"/>
    </xf>
    <xf numFmtId="0" fontId="112" fillId="10" borderId="27" xfId="0" applyFont="1" applyFill="1" applyBorder="1" applyAlignment="1">
      <alignment horizontal="right" vertical="center" wrapText="1"/>
    </xf>
    <xf numFmtId="0" fontId="112" fillId="10" borderId="28" xfId="0" applyFont="1" applyFill="1" applyBorder="1" applyAlignment="1">
      <alignment horizontal="right" vertical="center" wrapText="1"/>
    </xf>
    <xf numFmtId="177" fontId="112" fillId="10" borderId="27" xfId="0" applyNumberFormat="1" applyFont="1" applyFill="1" applyBorder="1" applyAlignment="1">
      <alignment horizontal="center" vertical="center"/>
    </xf>
    <xf numFmtId="177" fontId="112" fillId="10" borderId="50" xfId="0" applyNumberFormat="1" applyFont="1" applyFill="1" applyBorder="1" applyAlignment="1">
      <alignment horizontal="center" vertical="center"/>
    </xf>
    <xf numFmtId="177" fontId="112" fillId="10" borderId="28" xfId="0" applyNumberFormat="1" applyFont="1" applyFill="1" applyBorder="1" applyAlignment="1">
      <alignment horizontal="center" vertical="center"/>
    </xf>
    <xf numFmtId="0" fontId="112" fillId="10" borderId="26" xfId="0" applyFont="1" applyFill="1" applyBorder="1" applyAlignment="1">
      <alignment horizontal="right" vertical="center" wrapText="1"/>
    </xf>
    <xf numFmtId="0" fontId="112" fillId="10" borderId="26" xfId="0" applyFont="1" applyFill="1" applyBorder="1" applyAlignment="1">
      <alignment horizontal="center" vertical="center" wrapText="1"/>
    </xf>
    <xf numFmtId="168" fontId="6" fillId="0" borderId="0" xfId="0" applyNumberFormat="1" applyFont="1" applyBorder="1" applyAlignment="1">
      <alignment horizontal="center"/>
    </xf>
    <xf numFmtId="3" fontId="87" fillId="8" borderId="22" xfId="0" applyNumberFormat="1" applyFont="1" applyFill="1" applyBorder="1" applyAlignment="1">
      <alignment horizontal="center" vertical="center"/>
    </xf>
    <xf numFmtId="168" fontId="20" fillId="0" borderId="0" xfId="0" applyNumberFormat="1" applyFont="1" applyBorder="1" applyAlignment="1">
      <alignment horizontal="center"/>
    </xf>
    <xf numFmtId="0" fontId="87" fillId="10" borderId="22" xfId="0" applyFont="1" applyFill="1" applyBorder="1" applyAlignment="1">
      <alignment horizontal="right" vertical="center" wrapText="1"/>
    </xf>
    <xf numFmtId="177" fontId="87" fillId="10" borderId="22" xfId="0" applyNumberFormat="1" applyFont="1" applyFill="1" applyBorder="1" applyAlignment="1">
      <alignment horizontal="center" vertical="center"/>
    </xf>
    <xf numFmtId="3" fontId="87" fillId="8" borderId="22" xfId="0" applyNumberFormat="1" applyFont="1" applyFill="1" applyBorder="1" applyAlignment="1">
      <alignment horizontal="center" vertical="center" wrapText="1"/>
    </xf>
  </cellXfs>
  <cellStyles count="118">
    <cellStyle name="A3 297 x 420 mm" xfId="1"/>
    <cellStyle name="Moeda" xfId="2" builtinId="4"/>
    <cellStyle name="Moeda 2" xfId="3"/>
    <cellStyle name="Moeda 3" xfId="4"/>
    <cellStyle name="Moeda 3 2" xfId="5"/>
    <cellStyle name="Moeda 3 3" xfId="6"/>
    <cellStyle name="Moeda 3 4" xfId="7"/>
    <cellStyle name="Moeda 4" xfId="8"/>
    <cellStyle name="Moeda 5" xfId="9"/>
    <cellStyle name="Moeda 6" xfId="10"/>
    <cellStyle name="Moeda 7" xfId="11"/>
    <cellStyle name="Moeda 8" xfId="12"/>
    <cellStyle name="Moeda 9" xfId="13"/>
    <cellStyle name="Normal" xfId="0" builtinId="0"/>
    <cellStyle name="Normal 10" xfId="14"/>
    <cellStyle name="Normal 10 2" xfId="15"/>
    <cellStyle name="Normal 11" xfId="16"/>
    <cellStyle name="Normal 11 2" xfId="17"/>
    <cellStyle name="Normal 11 3" xfId="18"/>
    <cellStyle name="Normal 12" xfId="19"/>
    <cellStyle name="Normal 13" xfId="20"/>
    <cellStyle name="Normal 14" xfId="21"/>
    <cellStyle name="Normal 15" xfId="22"/>
    <cellStyle name="Normal 16" xfId="23"/>
    <cellStyle name="Normal 17" xfId="24"/>
    <cellStyle name="Normal 18" xfId="25"/>
    <cellStyle name="Normal 19" xfId="26"/>
    <cellStyle name="Normal 2" xfId="27"/>
    <cellStyle name="Normal 2 2" xfId="28"/>
    <cellStyle name="Normal 2 2 2" xfId="29"/>
    <cellStyle name="Normal 2 3" xfId="30"/>
    <cellStyle name="Normal 2 4" xfId="31"/>
    <cellStyle name="Normal 2 5" xfId="32"/>
    <cellStyle name="Normal 20" xfId="33"/>
    <cellStyle name="Normal 21" xfId="34"/>
    <cellStyle name="Normal 22" xfId="35"/>
    <cellStyle name="Normal 23" xfId="36"/>
    <cellStyle name="Normal 23 2" xfId="37"/>
    <cellStyle name="Normal 24" xfId="38"/>
    <cellStyle name="Normal 25" xfId="39"/>
    <cellStyle name="Normal 26" xfId="40"/>
    <cellStyle name="Normal 3" xfId="41"/>
    <cellStyle name="Normal 3 2" xfId="42"/>
    <cellStyle name="Normal 3 3" xfId="43"/>
    <cellStyle name="Normal 3 4" xfId="44"/>
    <cellStyle name="Normal 3 5" xfId="45"/>
    <cellStyle name="Normal 4" xfId="46"/>
    <cellStyle name="Normal 4 2" xfId="47"/>
    <cellStyle name="Normal 4 3" xfId="48"/>
    <cellStyle name="Normal 5" xfId="49"/>
    <cellStyle name="Normal 5 2" xfId="50"/>
    <cellStyle name="Normal 5 3" xfId="51"/>
    <cellStyle name="Normal 6" xfId="52"/>
    <cellStyle name="Normal 6 2" xfId="53"/>
    <cellStyle name="Normal 6 3" xfId="54"/>
    <cellStyle name="Normal 7" xfId="55"/>
    <cellStyle name="Normal 7 2" xfId="56"/>
    <cellStyle name="Normal 7 3" xfId="57"/>
    <cellStyle name="Normal 8" xfId="58"/>
    <cellStyle name="Normal 8 2" xfId="59"/>
    <cellStyle name="Normal 9" xfId="60"/>
    <cellStyle name="Normal 9 2" xfId="61"/>
    <cellStyle name="Porcentagem" xfId="62" builtinId="5"/>
    <cellStyle name="Porcentagem 10" xfId="63"/>
    <cellStyle name="Porcentagem 11" xfId="64"/>
    <cellStyle name="Porcentagem 12" xfId="65"/>
    <cellStyle name="Porcentagem 13" xfId="66"/>
    <cellStyle name="Porcentagem 14" xfId="67"/>
    <cellStyle name="Porcentagem 15" xfId="68"/>
    <cellStyle name="Porcentagem 16" xfId="69"/>
    <cellStyle name="Porcentagem 17" xfId="70"/>
    <cellStyle name="Porcentagem 18" xfId="71"/>
    <cellStyle name="Porcentagem 19" xfId="72"/>
    <cellStyle name="Porcentagem 2" xfId="73"/>
    <cellStyle name="Porcentagem 2 2" xfId="74"/>
    <cellStyle name="Porcentagem 20" xfId="75"/>
    <cellStyle name="Porcentagem 21" xfId="76"/>
    <cellStyle name="Porcentagem 22" xfId="77"/>
    <cellStyle name="Porcentagem 3" xfId="78"/>
    <cellStyle name="Porcentagem 4" xfId="79"/>
    <cellStyle name="Porcentagem 5" xfId="80"/>
    <cellStyle name="Porcentagem 6" xfId="81"/>
    <cellStyle name="Porcentagem 7" xfId="82"/>
    <cellStyle name="Porcentagem 8" xfId="83"/>
    <cellStyle name="Porcentagem 9" xfId="84"/>
    <cellStyle name="Vírgula" xfId="85" builtinId="3"/>
    <cellStyle name="Vírgula 10" xfId="86"/>
    <cellStyle name="Vírgula 11" xfId="87"/>
    <cellStyle name="Vírgula 12" xfId="88"/>
    <cellStyle name="Vírgula 13" xfId="89"/>
    <cellStyle name="Vírgula 14" xfId="90"/>
    <cellStyle name="Vírgula 15" xfId="91"/>
    <cellStyle name="Vírgula 16" xfId="92"/>
    <cellStyle name="Vírgula 17" xfId="93"/>
    <cellStyle name="Vírgula 18" xfId="94"/>
    <cellStyle name="Vírgula 19" xfId="95"/>
    <cellStyle name="Vírgula 2" xfId="96"/>
    <cellStyle name="Vírgula 2 2" xfId="97"/>
    <cellStyle name="Vírgula 2 3" xfId="98"/>
    <cellStyle name="Vírgula 2 4" xfId="99"/>
    <cellStyle name="Vírgula 20" xfId="100"/>
    <cellStyle name="Vírgula 21" xfId="101"/>
    <cellStyle name="Vírgula 22" xfId="102"/>
    <cellStyle name="Vírgula 23" xfId="103"/>
    <cellStyle name="Vírgula 24" xfId="104"/>
    <cellStyle name="Vírgula 25" xfId="105"/>
    <cellStyle name="Vírgula 3" xfId="106"/>
    <cellStyle name="Vírgula 3 2" xfId="107"/>
    <cellStyle name="Vírgula 3 2 2" xfId="108"/>
    <cellStyle name="Vírgula 3 3" xfId="109"/>
    <cellStyle name="Vírgula 3 4" xfId="110"/>
    <cellStyle name="Vírgula 4" xfId="111"/>
    <cellStyle name="Vírgula 4 2" xfId="112"/>
    <cellStyle name="Vírgula 5" xfId="113"/>
    <cellStyle name="Vírgula 6" xfId="114"/>
    <cellStyle name="Vírgula 7" xfId="115"/>
    <cellStyle name="Vírgula 8" xfId="116"/>
    <cellStyle name="Vírgula 9" xfId="117"/>
  </cellStyles>
  <dxfs count="13">
    <dxf>
      <numFmt numFmtId="166" formatCode="_-* #,##0.00_-;\-* #,##0.00_-;_-* \-??_-;_-@_-"/>
    </dxf>
    <dxf>
      <numFmt numFmtId="27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66" formatCode="_-* #,##0.00_-;\-* #,##0.00_-;_-* \-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66" formatCode="_-* #,##0.00_-;\-* #,##0.00_-;_-* \-??_-;_-@_-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font>
        <color theme="0" tint="-0.24994659260841701"/>
      </font>
    </dxf>
  </dxfs>
  <tableStyles count="1" defaultTableStyle="TableStyleMedium2" defaultPivotStyle="PivotStyleLight16">
    <tableStyle name="Estilo de Tabela 1" pivot="0" count="1">
      <tableStyleElement type="firstRowStripe" dxfId="1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1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444"/>
            </a:solidFill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0" i="0" u="none" strike="noStrike" baseline="0">
                    <a:solidFill>
                      <a:srgbClr val="003366"/>
                    </a:solidFill>
                    <a:latin typeface="Kuro"/>
                    <a:ea typeface="Kuro"/>
                    <a:cs typeface="Kuro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'16.1-Perfil Divida'!$B$7:$B$9</c:f>
              <c:strCache>
                <c:ptCount val="3"/>
                <c:pt idx="0">
                  <c:v>Curto prazo Até Dez/2016</c:v>
                </c:pt>
                <c:pt idx="1">
                  <c:v>Curto prazo 2017</c:v>
                </c:pt>
                <c:pt idx="2">
                  <c:v>Longo prazo 2018 a 2025</c:v>
                </c:pt>
              </c:strCache>
            </c:strRef>
          </c:cat>
          <c:val>
            <c:numRef>
              <c:f>'16.1-Perfil Divida'!$G$7:$G$9</c:f>
              <c:numCache>
                <c:formatCode>0%</c:formatCode>
                <c:ptCount val="3"/>
                <c:pt idx="0">
                  <c:v>0.1949730515249587</c:v>
                </c:pt>
                <c:pt idx="1">
                  <c:v>0.36825883891481609</c:v>
                </c:pt>
                <c:pt idx="2">
                  <c:v>0.43676810956022522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axId val="232961152"/>
        <c:axId val="232961712"/>
      </c:barChart>
      <c:catAx>
        <c:axId val="23296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ysClr val="window" lastClr="FFFFFF"/>
          </a:solidFill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3366"/>
                </a:solidFill>
                <a:latin typeface="Kuro"/>
                <a:ea typeface="Kuro"/>
                <a:cs typeface="Kuro"/>
              </a:defRPr>
            </a:pPr>
            <a:endParaRPr lang="pt-BR"/>
          </a:p>
        </c:txPr>
        <c:crossAx val="232961712"/>
        <c:crosses val="autoZero"/>
        <c:auto val="1"/>
        <c:lblAlgn val="ctr"/>
        <c:lblOffset val="100"/>
        <c:noMultiLvlLbl val="0"/>
      </c:catAx>
      <c:valAx>
        <c:axId val="232961712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extTo"/>
        <c:crossAx val="2329611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17"/>
    </mc:Choice>
    <mc:Fallback>
      <c:style val="17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444"/>
            </a:solidFill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0" i="0" u="none" strike="noStrike" baseline="0">
                    <a:solidFill>
                      <a:srgbClr val="003366"/>
                    </a:solidFill>
                    <a:latin typeface="Kuro"/>
                    <a:ea typeface="Kuro"/>
                    <a:cs typeface="Kuro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('16.1-Perfil Divida'!$B$18,'16.1-Perfil Divida'!$B$19)</c:f>
              <c:strCache>
                <c:ptCount val="2"/>
                <c:pt idx="0">
                  <c:v>R$</c:v>
                </c:pt>
                <c:pt idx="1">
                  <c:v>US$</c:v>
                </c:pt>
              </c:strCache>
            </c:strRef>
          </c:cat>
          <c:val>
            <c:numRef>
              <c:f>('16.1-Perfil Divida'!$G$18,'16.1-Perfil Divida'!$G$19)</c:f>
              <c:numCache>
                <c:formatCode>0%</c:formatCode>
                <c:ptCount val="2"/>
                <c:pt idx="0">
                  <c:v>0.15997977874450081</c:v>
                </c:pt>
                <c:pt idx="1">
                  <c:v>0.84002022125549913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5"/>
        <c:axId val="232963952"/>
        <c:axId val="232964512"/>
      </c:barChart>
      <c:catAx>
        <c:axId val="23296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3366"/>
                </a:solidFill>
                <a:latin typeface="Kuro"/>
                <a:ea typeface="Kuro"/>
                <a:cs typeface="Kuro"/>
              </a:defRPr>
            </a:pPr>
            <a:endParaRPr lang="pt-BR"/>
          </a:p>
        </c:txPr>
        <c:crossAx val="232964512"/>
        <c:crosses val="autoZero"/>
        <c:auto val="1"/>
        <c:lblAlgn val="ctr"/>
        <c:lblOffset val="100"/>
        <c:noMultiLvlLbl val="0"/>
      </c:catAx>
      <c:valAx>
        <c:axId val="232964512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extTo"/>
        <c:crossAx val="232963952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16717701953922"/>
          <c:y val="9.2395042547932626E-2"/>
          <c:w val="0.68214749198016911"/>
          <c:h val="0.88097972058425433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Lbls>
            <c:dLbl>
              <c:idx val="0"/>
              <c:layout>
                <c:manualLayout>
                  <c:x val="-0.18764006351057969"/>
                  <c:y val="0.22033282681770042"/>
                </c:manualLayout>
              </c:layout>
              <c:spPr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6271864165127506"/>
                  <c:y val="-0.14399115899986187"/>
                </c:manualLayout>
              </c:layout>
              <c:spPr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0.1051527818281974"/>
                  <c:y val="-0.18101211032831421"/>
                </c:manualLayout>
              </c:layout>
              <c:spPr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0.13492206992644437"/>
                  <c:y val="-2.8598425196850394E-2"/>
                </c:manualLayout>
              </c:layout>
              <c:spPr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0.1639162697255436"/>
                  <c:y val="0.23441580328774692"/>
                </c:manualLayout>
              </c:layout>
              <c:spPr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'16.1-Perfil Divida'!$B$55:$B$59</c:f>
              <c:strCache>
                <c:ptCount val="5"/>
                <c:pt idx="0">
                  <c:v>Até Dez2016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 a 2025</c:v>
                </c:pt>
              </c:strCache>
            </c:strRef>
          </c:cat>
          <c:val>
            <c:numRef>
              <c:f>'16.1-Perfil Divida'!$G$55:$G$59</c:f>
              <c:numCache>
                <c:formatCode>0.0%</c:formatCode>
                <c:ptCount val="5"/>
                <c:pt idx="0">
                  <c:v>0.1949730515249587</c:v>
                </c:pt>
                <c:pt idx="1">
                  <c:v>0.36825883891481609</c:v>
                </c:pt>
                <c:pt idx="2">
                  <c:v>0.12405589095586408</c:v>
                </c:pt>
                <c:pt idx="3">
                  <c:v>8.0263114520455398E-2</c:v>
                </c:pt>
                <c:pt idx="4">
                  <c:v>0.23244910408390576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'16.1-Perfil Divida'!$B$55:$B$59</c:f>
              <c:strCache>
                <c:ptCount val="5"/>
                <c:pt idx="0">
                  <c:v>Até Dez2016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 a 2025</c:v>
                </c:pt>
              </c:strCache>
            </c:strRef>
          </c:cat>
          <c:val>
            <c:numRef>
              <c:f>'16.1-Perfil Divida'!$G$53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'16.1-Perfil Divida'!$B$55:$B$59</c:f>
              <c:strCache>
                <c:ptCount val="5"/>
                <c:pt idx="0">
                  <c:v>Até Dez2016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 a 2025</c:v>
                </c:pt>
              </c:strCache>
            </c:strRef>
          </c:cat>
          <c:val>
            <c:numRef>
              <c:f>'16.1-Perfil Divida'!$B$53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'16.1-Perfil Divida'!$B$55:$B$59</c:f>
              <c:strCache>
                <c:ptCount val="5"/>
                <c:pt idx="0">
                  <c:v>Até Dez2016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 a 2025</c:v>
                </c:pt>
              </c:strCache>
            </c:strRef>
          </c:cat>
          <c:val>
            <c:numRef>
              <c:f>'16.1-Perfil Divida'!$B$55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'16.1-Perfil Divida'!$B$55:$B$59</c:f>
              <c:strCache>
                <c:ptCount val="5"/>
                <c:pt idx="0">
                  <c:v>Até Dez2016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 a 2025</c:v>
                </c:pt>
              </c:strCache>
            </c:strRef>
          </c:cat>
          <c:val>
            <c:numRef>
              <c:f>'16.1-Perfil Divida'!$B$56</c:f>
              <c:numCache>
                <c:formatCode>General</c:formatCode>
                <c:ptCount val="1"/>
                <c:pt idx="0">
                  <c:v>2017</c:v>
                </c:pt>
              </c:numCache>
            </c:numRef>
          </c:val>
        </c:ser>
        <c:ser>
          <c:idx val="5"/>
          <c:order val="5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'16.1-Perfil Divida'!$B$55:$B$59</c:f>
              <c:strCache>
                <c:ptCount val="5"/>
                <c:pt idx="0">
                  <c:v>Até Dez2016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 a 2025</c:v>
                </c:pt>
              </c:strCache>
            </c:strRef>
          </c:cat>
          <c:val>
            <c:numRef>
              <c:f>'16.1-Perfil Divida'!$B$57</c:f>
              <c:numCache>
                <c:formatCode>General</c:formatCode>
                <c:ptCount val="1"/>
                <c:pt idx="0">
                  <c:v>2018</c:v>
                </c:pt>
              </c:numCache>
            </c:numRef>
          </c:val>
        </c:ser>
        <c:ser>
          <c:idx val="6"/>
          <c:order val="6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'16.1-Perfil Divida'!$B$55:$B$59</c:f>
              <c:strCache>
                <c:ptCount val="5"/>
                <c:pt idx="0">
                  <c:v>Até Dez2016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 a 2025</c:v>
                </c:pt>
              </c:strCache>
            </c:strRef>
          </c:cat>
          <c:val>
            <c:numRef>
              <c:f>'16.1-Perfil Divida'!$B$58</c:f>
              <c:numCache>
                <c:formatCode>General</c:formatCode>
                <c:ptCount val="1"/>
                <c:pt idx="0">
                  <c:v>2019</c:v>
                </c:pt>
              </c:numCache>
            </c:numRef>
          </c:val>
        </c:ser>
        <c:ser>
          <c:idx val="7"/>
          <c:order val="7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'16.1-Perfil Divida'!$B$55:$B$59</c:f>
              <c:strCache>
                <c:ptCount val="5"/>
                <c:pt idx="0">
                  <c:v>Até Dez2016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 a 2025</c:v>
                </c:pt>
              </c:strCache>
            </c:strRef>
          </c:cat>
          <c:val>
            <c:numRef>
              <c:f>'16.1-Perfil Divida'!$B$59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Evolução Endividamento</a:t>
            </a:r>
          </a:p>
        </c:rich>
      </c:tx>
      <c:layout>
        <c:manualLayout>
          <c:xMode val="edge"/>
          <c:yMode val="edge"/>
          <c:x val="0.40350503256364711"/>
          <c:y val="4.575152243900546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206048400255474E-2"/>
          <c:y val="0.12266666666666666"/>
          <c:w val="0.91188859829466251"/>
          <c:h val="0.7437245144356955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#,##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'16.1-Perfil Divida'!$B$55:$B$59</c:f>
              <c:strCache>
                <c:ptCount val="5"/>
                <c:pt idx="0">
                  <c:v>Até Dez2016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 a 2025</c:v>
                </c:pt>
              </c:strCache>
            </c:strRef>
          </c:cat>
          <c:val>
            <c:numRef>
              <c:f>'16.1-Perfil Divida'!$F$55:$F$59</c:f>
              <c:numCache>
                <c:formatCode>_-* #,##0_-;\-* #,##0_-;_-* \-??_-;_-@_-</c:formatCode>
                <c:ptCount val="5"/>
                <c:pt idx="0">
                  <c:v>67508.397810274779</c:v>
                </c:pt>
                <c:pt idx="1">
                  <c:v>127507.69401292813</c:v>
                </c:pt>
                <c:pt idx="2">
                  <c:v>42953.702431458703</c:v>
                </c:pt>
                <c:pt idx="3">
                  <c:v>27790.682979821577</c:v>
                </c:pt>
                <c:pt idx="4">
                  <c:v>80484.284707056009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5"/>
        <c:axId val="234737472"/>
        <c:axId val="234738032"/>
      </c:barChart>
      <c:catAx>
        <c:axId val="23473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234738032"/>
        <c:crosses val="autoZero"/>
        <c:auto val="1"/>
        <c:lblAlgn val="ctr"/>
        <c:lblOffset val="100"/>
        <c:noMultiLvlLbl val="0"/>
      </c:catAx>
      <c:valAx>
        <c:axId val="234738032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Em mil R$</a:t>
                </a:r>
              </a:p>
            </c:rich>
          </c:tx>
          <c:overlay val="0"/>
        </c:title>
        <c:numFmt formatCode="_-* #,##0_-;\-* #,##0_-;_-* \-??_-;_-@_-" sourceLinked="1"/>
        <c:majorTickMark val="out"/>
        <c:minorTickMark val="none"/>
        <c:tickLblPos val="nextTo"/>
        <c:crossAx val="2347374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17"/>
    </mc:Choice>
    <mc:Fallback>
      <c:style val="17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Endividamento em Moeda Captada</a:t>
            </a:r>
          </a:p>
        </c:rich>
      </c:tx>
      <c:layout>
        <c:manualLayout>
          <c:xMode val="edge"/>
          <c:yMode val="edge"/>
          <c:x val="0.11263969171483623"/>
          <c:y val="4.733727810650887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712909441233142"/>
          <c:y val="0.21025641025641026"/>
          <c:w val="0.56458574181117538"/>
          <c:h val="0.70295857988165678"/>
        </c:manualLayout>
      </c:layout>
      <c:barChart>
        <c:barDir val="bar"/>
        <c:grouping val="clustered"/>
        <c:varyColors val="0"/>
        <c:ser>
          <c:idx val="0"/>
          <c:order val="0"/>
          <c:tx>
            <c:v>Endividamento em Moeda</c:v>
          </c:tx>
          <c:spPr>
            <a:solidFill>
              <a:srgbClr val="004444"/>
            </a:solidFill>
          </c:spPr>
          <c:invertIfNegative val="0"/>
          <c:dLbls>
            <c:dLbl>
              <c:idx val="1"/>
              <c:numFmt formatCode="#,##0" sourceLinked="0"/>
              <c:spPr/>
              <c:txPr>
                <a:bodyPr/>
                <a:lstStyle/>
                <a:p>
                  <a:pPr>
                    <a:defRPr sz="1100" b="0" i="0" u="none" strike="noStrike" baseline="0">
                      <a:solidFill>
                        <a:srgbClr val="003366"/>
                      </a:solidFill>
                      <a:latin typeface="Kuro"/>
                      <a:ea typeface="Kuro"/>
                      <a:cs typeface="Kuro"/>
                    </a:defRPr>
                  </a:pPr>
                  <a:endParaRPr lang="pt-B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100" b="0" i="0" u="none" strike="noStrike" baseline="0">
                    <a:solidFill>
                      <a:srgbClr val="003366"/>
                    </a:solidFill>
                    <a:latin typeface="Kuro"/>
                    <a:ea typeface="Kuro"/>
                    <a:cs typeface="Kuro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'16.1-Perfil Divida'!$K$24:$L$24</c:f>
              <c:strCache>
                <c:ptCount val="2"/>
                <c:pt idx="0">
                  <c:v>R$</c:v>
                </c:pt>
                <c:pt idx="1">
                  <c:v>U$</c:v>
                </c:pt>
              </c:strCache>
            </c:strRef>
          </c:cat>
          <c:val>
            <c:numRef>
              <c:f>'16.1-Perfil Divida'!$K$26:$L$26</c:f>
              <c:numCache>
                <c:formatCode>_-* #,##0_-;\-* #,##0_-;_-* \-??_-;_-@_-</c:formatCode>
                <c:ptCount val="2"/>
                <c:pt idx="0">
                  <c:v>55392.160406849755</c:v>
                </c:pt>
                <c:pt idx="1">
                  <c:v>90374.608189009523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740272"/>
        <c:axId val="234740832"/>
      </c:barChart>
      <c:catAx>
        <c:axId val="234740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3366"/>
                </a:solidFill>
                <a:latin typeface="Kuro"/>
                <a:ea typeface="Kuro"/>
                <a:cs typeface="Kuro"/>
              </a:defRPr>
            </a:pPr>
            <a:endParaRPr lang="pt-BR"/>
          </a:p>
        </c:txPr>
        <c:crossAx val="234740832"/>
        <c:crosses val="autoZero"/>
        <c:auto val="1"/>
        <c:lblAlgn val="ctr"/>
        <c:lblOffset val="100"/>
        <c:noMultiLvlLbl val="0"/>
      </c:catAx>
      <c:valAx>
        <c:axId val="234740832"/>
        <c:scaling>
          <c:orientation val="minMax"/>
        </c:scaling>
        <c:delete val="1"/>
        <c:axPos val="b"/>
        <c:numFmt formatCode="_-* #,##0_-;\-* #,##0_-;_-* \-??_-;_-@_-" sourceLinked="1"/>
        <c:majorTickMark val="out"/>
        <c:minorTickMark val="none"/>
        <c:tickLblPos val="nextTo"/>
        <c:crossAx val="234740272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Endividamento por Moeda Captada</a:t>
            </a:r>
          </a:p>
        </c:rich>
      </c:tx>
      <c:layout>
        <c:manualLayout>
          <c:xMode val="edge"/>
          <c:yMode val="edge"/>
          <c:x val="0.36589367976600179"/>
          <c:y val="4.545448266335128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5838410470184433E-2"/>
          <c:y val="0.16744323106464384"/>
          <c:w val="0.85864942221588814"/>
          <c:h val="0.642771628029331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'16.1-Perfil Divida'!$Q$69</c:f>
              <c:strCache>
                <c:ptCount val="1"/>
                <c:pt idx="0">
                  <c:v>US$</c:v>
                </c:pt>
              </c:strCache>
            </c:strRef>
          </c:tx>
          <c:invertIfNegative val="0"/>
          <c:dLbls>
            <c:numFmt formatCode="#,##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'16.1-Perfil Divida'!$R$67:$V$68</c:f>
              <c:strCach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2020/2025</c:v>
                </c:pt>
              </c:strCache>
            </c:strRef>
          </c:cat>
          <c:val>
            <c:numRef>
              <c:f>'16.1-Perfil Divida'!$R$69:$V$69</c:f>
              <c:numCache>
                <c:formatCode>_-* #,##0.00_-;\-* #,##0.00_-;_-* \-??_-;_-@_-</c:formatCode>
                <c:ptCount val="5"/>
                <c:pt idx="0">
                  <c:v>19164.84610265493</c:v>
                </c:pt>
                <c:pt idx="1">
                  <c:v>33222.40485244873</c:v>
                </c:pt>
                <c:pt idx="2">
                  <c:v>9368.0284209071342</c:v>
                </c:pt>
                <c:pt idx="3">
                  <c:v>5652.8148696910284</c:v>
                </c:pt>
                <c:pt idx="4">
                  <c:v>18323.118788486558</c:v>
                </c:pt>
              </c:numCache>
            </c:numRef>
          </c:val>
        </c:ser>
        <c:ser>
          <c:idx val="1"/>
          <c:order val="1"/>
          <c:tx>
            <c:strRef>
              <c:f>'16.1-Perfil Divida'!$Q$70</c:f>
              <c:strCache>
                <c:ptCount val="1"/>
                <c:pt idx="0">
                  <c:v>R$</c:v>
                </c:pt>
              </c:strCache>
            </c:strRef>
          </c:tx>
          <c:invertIfNegative val="0"/>
          <c:dLbls>
            <c:numFmt formatCode="#,##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'16.1-Perfil Divida'!$R$67:$V$68</c:f>
              <c:strCach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2020/2025</c:v>
                </c:pt>
              </c:strCache>
            </c:strRef>
          </c:cat>
          <c:val>
            <c:numRef>
              <c:f>'16.1-Perfil Divida'!$R$70:$V$70</c:f>
              <c:numCache>
                <c:formatCode>_-* #,##0.00_-;\-* #,##0.00_-;_-* \-??_-;_-@_-</c:formatCode>
                <c:ptCount val="5"/>
                <c:pt idx="0">
                  <c:v>3862.433608246185</c:v>
                </c:pt>
                <c:pt idx="1">
                  <c:v>14800.573999481829</c:v>
                </c:pt>
                <c:pt idx="2">
                  <c:v>11107.556516476705</c:v>
                </c:pt>
                <c:pt idx="3">
                  <c:v>8626.4690830795753</c:v>
                </c:pt>
                <c:pt idx="4">
                  <c:v>18365.114733750004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744192"/>
        <c:axId val="234744752"/>
      </c:barChart>
      <c:catAx>
        <c:axId val="234744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234744752"/>
        <c:crosses val="autoZero"/>
        <c:auto val="1"/>
        <c:lblAlgn val="ctr"/>
        <c:lblOffset val="100"/>
        <c:noMultiLvlLbl val="0"/>
      </c:catAx>
      <c:valAx>
        <c:axId val="234744752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Em Moeda Origem</a:t>
                </a:r>
              </a:p>
            </c:rich>
          </c:tx>
          <c:overlay val="0"/>
        </c:title>
        <c:numFmt formatCode="_-* #,##0.00_-;\-* #,##0.00_-;_-* \-??_-;_-@_-" sourceLinked="1"/>
        <c:majorTickMark val="out"/>
        <c:minorTickMark val="none"/>
        <c:tickLblPos val="nextTo"/>
        <c:crossAx val="23474419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6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pt-BR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0</xdr:row>
      <xdr:rowOff>0</xdr:rowOff>
    </xdr:from>
    <xdr:to>
      <xdr:col>2</xdr:col>
      <xdr:colOff>1943100</xdr:colOff>
      <xdr:row>2</xdr:row>
      <xdr:rowOff>9525</xdr:rowOff>
    </xdr:to>
    <xdr:pic>
      <xdr:nvPicPr>
        <xdr:cNvPr id="1015304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0"/>
          <a:ext cx="19240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0</xdr:rowOff>
    </xdr:from>
    <xdr:to>
      <xdr:col>3</xdr:col>
      <xdr:colOff>457200</xdr:colOff>
      <xdr:row>1</xdr:row>
      <xdr:rowOff>323850</xdr:rowOff>
    </xdr:to>
    <xdr:pic>
      <xdr:nvPicPr>
        <xdr:cNvPr id="9624828" name="8ED06A1F-2D54-4E3D-973A-49946C67E7C5" descr="Descrição: cid:34244601-5704-42D1-BD13-2ABA39D1C921@masutti.com.b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95325"/>
          <a:ext cx="1466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0</xdr:row>
      <xdr:rowOff>0</xdr:rowOff>
    </xdr:from>
    <xdr:to>
      <xdr:col>2</xdr:col>
      <xdr:colOff>1943100</xdr:colOff>
      <xdr:row>2</xdr:row>
      <xdr:rowOff>9525</xdr:rowOff>
    </xdr:to>
    <xdr:pic>
      <xdr:nvPicPr>
        <xdr:cNvPr id="920204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0"/>
          <a:ext cx="19240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0</xdr:row>
      <xdr:rowOff>0</xdr:rowOff>
    </xdr:from>
    <xdr:to>
      <xdr:col>2</xdr:col>
      <xdr:colOff>1943100</xdr:colOff>
      <xdr:row>1</xdr:row>
      <xdr:rowOff>238125</xdr:rowOff>
    </xdr:to>
    <xdr:pic>
      <xdr:nvPicPr>
        <xdr:cNvPr id="9203067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0"/>
          <a:ext cx="19240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3</xdr:col>
      <xdr:colOff>666750</xdr:colOff>
      <xdr:row>2</xdr:row>
      <xdr:rowOff>47625</xdr:rowOff>
    </xdr:to>
    <xdr:pic>
      <xdr:nvPicPr>
        <xdr:cNvPr id="9204091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0"/>
          <a:ext cx="19335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0</xdr:row>
      <xdr:rowOff>57150</xdr:rowOff>
    </xdr:from>
    <xdr:to>
      <xdr:col>10</xdr:col>
      <xdr:colOff>9525</xdr:colOff>
      <xdr:row>4</xdr:row>
      <xdr:rowOff>57150</xdr:rowOff>
    </xdr:to>
    <xdr:pic>
      <xdr:nvPicPr>
        <xdr:cNvPr id="9205494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5325" y="57150"/>
          <a:ext cx="1533525" cy="99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361950</xdr:colOff>
      <xdr:row>38</xdr:row>
      <xdr:rowOff>133350</xdr:rowOff>
    </xdr:from>
    <xdr:to>
      <xdr:col>10</xdr:col>
      <xdr:colOff>38100</xdr:colOff>
      <xdr:row>47</xdr:row>
      <xdr:rowOff>152400</xdr:rowOff>
    </xdr:to>
    <xdr:pic>
      <xdr:nvPicPr>
        <xdr:cNvPr id="9205495" name="Imagem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7429500"/>
          <a:ext cx="2667000" cy="1666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0</xdr:rowOff>
    </xdr:from>
    <xdr:to>
      <xdr:col>3</xdr:col>
      <xdr:colOff>819150</xdr:colOff>
      <xdr:row>2</xdr:row>
      <xdr:rowOff>19050</xdr:rowOff>
    </xdr:to>
    <xdr:pic>
      <xdr:nvPicPr>
        <xdr:cNvPr id="9206239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0"/>
          <a:ext cx="19240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0</xdr:row>
      <xdr:rowOff>57150</xdr:rowOff>
    </xdr:from>
    <xdr:to>
      <xdr:col>10</xdr:col>
      <xdr:colOff>9525</xdr:colOff>
      <xdr:row>4</xdr:row>
      <xdr:rowOff>57150</xdr:rowOff>
    </xdr:to>
    <xdr:pic>
      <xdr:nvPicPr>
        <xdr:cNvPr id="9207163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5325" y="57150"/>
          <a:ext cx="1533525" cy="99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114300</xdr:colOff>
      <xdr:row>1</xdr:row>
      <xdr:rowOff>171450</xdr:rowOff>
    </xdr:to>
    <xdr:pic>
      <xdr:nvPicPr>
        <xdr:cNvPr id="9208187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0"/>
          <a:ext cx="19240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0</xdr:colOff>
      <xdr:row>1</xdr:row>
      <xdr:rowOff>180975</xdr:rowOff>
    </xdr:to>
    <xdr:pic>
      <xdr:nvPicPr>
        <xdr:cNvPr id="9209211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0"/>
          <a:ext cx="19240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3</xdr:col>
      <xdr:colOff>19050</xdr:colOff>
      <xdr:row>2</xdr:row>
      <xdr:rowOff>9525</xdr:rowOff>
    </xdr:to>
    <xdr:pic>
      <xdr:nvPicPr>
        <xdr:cNvPr id="9210235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0"/>
          <a:ext cx="19240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0</xdr:colOff>
      <xdr:row>2</xdr:row>
      <xdr:rowOff>19050</xdr:rowOff>
    </xdr:to>
    <xdr:pic>
      <xdr:nvPicPr>
        <xdr:cNvPr id="9149828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0"/>
          <a:ext cx="19240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0</xdr:rowOff>
    </xdr:from>
    <xdr:to>
      <xdr:col>3</xdr:col>
      <xdr:colOff>9525</xdr:colOff>
      <xdr:row>2</xdr:row>
      <xdr:rowOff>0</xdr:rowOff>
    </xdr:to>
    <xdr:pic>
      <xdr:nvPicPr>
        <xdr:cNvPr id="9211259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0"/>
          <a:ext cx="19240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0</xdr:rowOff>
    </xdr:from>
    <xdr:to>
      <xdr:col>2</xdr:col>
      <xdr:colOff>104775</xdr:colOff>
      <xdr:row>2</xdr:row>
      <xdr:rowOff>0</xdr:rowOff>
    </xdr:to>
    <xdr:pic>
      <xdr:nvPicPr>
        <xdr:cNvPr id="9625852" name="Image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0"/>
          <a:ext cx="19240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0</xdr:row>
      <xdr:rowOff>0</xdr:rowOff>
    </xdr:from>
    <xdr:to>
      <xdr:col>2</xdr:col>
      <xdr:colOff>2162175</xdr:colOff>
      <xdr:row>2</xdr:row>
      <xdr:rowOff>104775</xdr:rowOff>
    </xdr:to>
    <xdr:pic>
      <xdr:nvPicPr>
        <xdr:cNvPr id="9212283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0"/>
          <a:ext cx="21431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2143125</xdr:colOff>
      <xdr:row>2</xdr:row>
      <xdr:rowOff>104775</xdr:rowOff>
    </xdr:to>
    <xdr:pic>
      <xdr:nvPicPr>
        <xdr:cNvPr id="9213320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0"/>
          <a:ext cx="21431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352425</xdr:colOff>
      <xdr:row>0</xdr:row>
      <xdr:rowOff>114300</xdr:rowOff>
    </xdr:from>
    <xdr:to>
      <xdr:col>13</xdr:col>
      <xdr:colOff>514350</xdr:colOff>
      <xdr:row>4</xdr:row>
      <xdr:rowOff>123825</xdr:rowOff>
    </xdr:to>
    <xdr:pic>
      <xdr:nvPicPr>
        <xdr:cNvPr id="9214331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1350" y="114300"/>
          <a:ext cx="1476375" cy="80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381000</xdr:colOff>
      <xdr:row>0</xdr:row>
      <xdr:rowOff>57150</xdr:rowOff>
    </xdr:from>
    <xdr:to>
      <xdr:col>14</xdr:col>
      <xdr:colOff>0</xdr:colOff>
      <xdr:row>4</xdr:row>
      <xdr:rowOff>57150</xdr:rowOff>
    </xdr:to>
    <xdr:pic>
      <xdr:nvPicPr>
        <xdr:cNvPr id="9215355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9925" y="57150"/>
          <a:ext cx="1476375" cy="7905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1</xdr:col>
      <xdr:colOff>2162175</xdr:colOff>
      <xdr:row>2</xdr:row>
      <xdr:rowOff>76200</xdr:rowOff>
    </xdr:to>
    <xdr:pic>
      <xdr:nvPicPr>
        <xdr:cNvPr id="9869485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0"/>
          <a:ext cx="21431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0</xdr:rowOff>
    </xdr:from>
    <xdr:to>
      <xdr:col>1</xdr:col>
      <xdr:colOff>2171700</xdr:colOff>
      <xdr:row>2</xdr:row>
      <xdr:rowOff>76200</xdr:rowOff>
    </xdr:to>
    <xdr:pic>
      <xdr:nvPicPr>
        <xdr:cNvPr id="9216389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0"/>
          <a:ext cx="21431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0</xdr:row>
      <xdr:rowOff>9525</xdr:rowOff>
    </xdr:from>
    <xdr:to>
      <xdr:col>1</xdr:col>
      <xdr:colOff>2228850</xdr:colOff>
      <xdr:row>2</xdr:row>
      <xdr:rowOff>95250</xdr:rowOff>
    </xdr:to>
    <xdr:pic>
      <xdr:nvPicPr>
        <xdr:cNvPr id="9217403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525"/>
          <a:ext cx="21431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2143125</xdr:colOff>
      <xdr:row>2</xdr:row>
      <xdr:rowOff>66675</xdr:rowOff>
    </xdr:to>
    <xdr:pic>
      <xdr:nvPicPr>
        <xdr:cNvPr id="9218427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0"/>
          <a:ext cx="21431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2143125</xdr:colOff>
      <xdr:row>2</xdr:row>
      <xdr:rowOff>47625</xdr:rowOff>
    </xdr:to>
    <xdr:pic>
      <xdr:nvPicPr>
        <xdr:cNvPr id="9219463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0"/>
          <a:ext cx="21431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695325</xdr:colOff>
      <xdr:row>0</xdr:row>
      <xdr:rowOff>57150</xdr:rowOff>
    </xdr:from>
    <xdr:to>
      <xdr:col>9</xdr:col>
      <xdr:colOff>981075</xdr:colOff>
      <xdr:row>3</xdr:row>
      <xdr:rowOff>0</xdr:rowOff>
    </xdr:to>
    <xdr:pic>
      <xdr:nvPicPr>
        <xdr:cNvPr id="9618168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5575" y="57150"/>
          <a:ext cx="0" cy="8096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495300</xdr:colOff>
      <xdr:row>1</xdr:row>
      <xdr:rowOff>28575</xdr:rowOff>
    </xdr:from>
    <xdr:to>
      <xdr:col>11</xdr:col>
      <xdr:colOff>9525</xdr:colOff>
      <xdr:row>3</xdr:row>
      <xdr:rowOff>0</xdr:rowOff>
    </xdr:to>
    <xdr:pic>
      <xdr:nvPicPr>
        <xdr:cNvPr id="9618169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5575" y="238125"/>
          <a:ext cx="9525" cy="628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561975</xdr:colOff>
      <xdr:row>1</xdr:row>
      <xdr:rowOff>161925</xdr:rowOff>
    </xdr:from>
    <xdr:to>
      <xdr:col>7</xdr:col>
      <xdr:colOff>1162050</xdr:colOff>
      <xdr:row>2</xdr:row>
      <xdr:rowOff>95250</xdr:rowOff>
    </xdr:to>
    <xdr:pic>
      <xdr:nvPicPr>
        <xdr:cNvPr id="9618170" name="8ED06A1F-2D54-4E3D-973A-49946C67E7C5" descr="Descrição: cid:34244601-5704-42D1-BD13-2ABA39D1C921@masutti.com.b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371475"/>
          <a:ext cx="155257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0</xdr:rowOff>
    </xdr:from>
    <xdr:to>
      <xdr:col>1</xdr:col>
      <xdr:colOff>2200275</xdr:colOff>
      <xdr:row>2</xdr:row>
      <xdr:rowOff>38100</xdr:rowOff>
    </xdr:to>
    <xdr:pic>
      <xdr:nvPicPr>
        <xdr:cNvPr id="10370075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0"/>
          <a:ext cx="21431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0</xdr:rowOff>
    </xdr:from>
    <xdr:to>
      <xdr:col>1</xdr:col>
      <xdr:colOff>2200275</xdr:colOff>
      <xdr:row>2</xdr:row>
      <xdr:rowOff>38100</xdr:rowOff>
    </xdr:to>
    <xdr:pic>
      <xdr:nvPicPr>
        <xdr:cNvPr id="10081384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0"/>
          <a:ext cx="21431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0</xdr:rowOff>
    </xdr:from>
    <xdr:to>
      <xdr:col>1</xdr:col>
      <xdr:colOff>2190750</xdr:colOff>
      <xdr:row>2</xdr:row>
      <xdr:rowOff>38100</xdr:rowOff>
    </xdr:to>
    <xdr:pic>
      <xdr:nvPicPr>
        <xdr:cNvPr id="9220475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0"/>
          <a:ext cx="21431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0</xdr:rowOff>
    </xdr:from>
    <xdr:to>
      <xdr:col>1</xdr:col>
      <xdr:colOff>1962150</xdr:colOff>
      <xdr:row>2</xdr:row>
      <xdr:rowOff>38100</xdr:rowOff>
    </xdr:to>
    <xdr:pic>
      <xdr:nvPicPr>
        <xdr:cNvPr id="9221499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0"/>
          <a:ext cx="19240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22</xdr:row>
      <xdr:rowOff>76200</xdr:rowOff>
    </xdr:from>
    <xdr:to>
      <xdr:col>2</xdr:col>
      <xdr:colOff>514350</xdr:colOff>
      <xdr:row>32</xdr:row>
      <xdr:rowOff>0</xdr:rowOff>
    </xdr:to>
    <xdr:graphicFrame macro="">
      <xdr:nvGraphicFramePr>
        <xdr:cNvPr id="10022502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561975</xdr:colOff>
      <xdr:row>22</xdr:row>
      <xdr:rowOff>133350</xdr:rowOff>
    </xdr:from>
    <xdr:to>
      <xdr:col>4</xdr:col>
      <xdr:colOff>285750</xdr:colOff>
      <xdr:row>31</xdr:row>
      <xdr:rowOff>28575</xdr:rowOff>
    </xdr:to>
    <xdr:graphicFrame macro="">
      <xdr:nvGraphicFramePr>
        <xdr:cNvPr id="10022503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85725</xdr:colOff>
      <xdr:row>73</xdr:row>
      <xdr:rowOff>66675</xdr:rowOff>
    </xdr:from>
    <xdr:to>
      <xdr:col>2</xdr:col>
      <xdr:colOff>695325</xdr:colOff>
      <xdr:row>84</xdr:row>
      <xdr:rowOff>85725</xdr:rowOff>
    </xdr:to>
    <xdr:graphicFrame macro="">
      <xdr:nvGraphicFramePr>
        <xdr:cNvPr id="10022504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1924050</xdr:colOff>
      <xdr:row>2</xdr:row>
      <xdr:rowOff>0</xdr:rowOff>
    </xdr:to>
    <xdr:pic>
      <xdr:nvPicPr>
        <xdr:cNvPr id="10022505" name="Imagem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0"/>
          <a:ext cx="19240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809625</xdr:colOff>
      <xdr:row>73</xdr:row>
      <xdr:rowOff>171450</xdr:rowOff>
    </xdr:from>
    <xdr:to>
      <xdr:col>6</xdr:col>
      <xdr:colOff>457200</xdr:colOff>
      <xdr:row>84</xdr:row>
      <xdr:rowOff>9525</xdr:rowOff>
    </xdr:to>
    <xdr:graphicFrame macro="">
      <xdr:nvGraphicFramePr>
        <xdr:cNvPr id="10022506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457200</xdr:colOff>
      <xdr:row>22</xdr:row>
      <xdr:rowOff>142875</xdr:rowOff>
    </xdr:from>
    <xdr:to>
      <xdr:col>7</xdr:col>
      <xdr:colOff>285750</xdr:colOff>
      <xdr:row>31</xdr:row>
      <xdr:rowOff>38100</xdr:rowOff>
    </xdr:to>
    <xdr:graphicFrame macro="">
      <xdr:nvGraphicFramePr>
        <xdr:cNvPr id="10022507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28575</xdr:colOff>
      <xdr:row>65</xdr:row>
      <xdr:rowOff>28575</xdr:rowOff>
    </xdr:from>
    <xdr:to>
      <xdr:col>6</xdr:col>
      <xdr:colOff>590550</xdr:colOff>
      <xdr:row>72</xdr:row>
      <xdr:rowOff>123825</xdr:rowOff>
    </xdr:to>
    <xdr:graphicFrame macro="">
      <xdr:nvGraphicFramePr>
        <xdr:cNvPr id="10022508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1924050</xdr:colOff>
      <xdr:row>2</xdr:row>
      <xdr:rowOff>57150</xdr:rowOff>
    </xdr:to>
    <xdr:pic>
      <xdr:nvPicPr>
        <xdr:cNvPr id="9226619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0"/>
          <a:ext cx="19240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1924050</xdr:colOff>
      <xdr:row>2</xdr:row>
      <xdr:rowOff>66675</xdr:rowOff>
    </xdr:to>
    <xdr:pic>
      <xdr:nvPicPr>
        <xdr:cNvPr id="922764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0"/>
          <a:ext cx="19240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1</xdr:col>
      <xdr:colOff>1943100</xdr:colOff>
      <xdr:row>2</xdr:row>
      <xdr:rowOff>47625</xdr:rowOff>
    </xdr:to>
    <xdr:pic>
      <xdr:nvPicPr>
        <xdr:cNvPr id="9228671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0"/>
          <a:ext cx="19240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95250</xdr:rowOff>
    </xdr:from>
    <xdr:to>
      <xdr:col>7</xdr:col>
      <xdr:colOff>1352550</xdr:colOff>
      <xdr:row>4</xdr:row>
      <xdr:rowOff>19050</xdr:rowOff>
    </xdr:to>
    <xdr:pic>
      <xdr:nvPicPr>
        <xdr:cNvPr id="9229691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5250"/>
          <a:ext cx="1343025" cy="8667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95250</xdr:rowOff>
    </xdr:from>
    <xdr:to>
      <xdr:col>7</xdr:col>
      <xdr:colOff>1352550</xdr:colOff>
      <xdr:row>4</xdr:row>
      <xdr:rowOff>19050</xdr:rowOff>
    </xdr:to>
    <xdr:pic>
      <xdr:nvPicPr>
        <xdr:cNvPr id="9230715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95250"/>
          <a:ext cx="1343025" cy="8667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628650</xdr:colOff>
      <xdr:row>0</xdr:row>
      <xdr:rowOff>123825</xdr:rowOff>
    </xdr:from>
    <xdr:to>
      <xdr:col>11</xdr:col>
      <xdr:colOff>1047750</xdr:colOff>
      <xdr:row>4</xdr:row>
      <xdr:rowOff>190500</xdr:rowOff>
    </xdr:to>
    <xdr:pic>
      <xdr:nvPicPr>
        <xdr:cNvPr id="9422141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2825" y="123825"/>
          <a:ext cx="1533525" cy="8477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628650</xdr:colOff>
      <xdr:row>0</xdr:row>
      <xdr:rowOff>123825</xdr:rowOff>
    </xdr:from>
    <xdr:to>
      <xdr:col>11</xdr:col>
      <xdr:colOff>1047750</xdr:colOff>
      <xdr:row>4</xdr:row>
      <xdr:rowOff>190500</xdr:rowOff>
    </xdr:to>
    <xdr:pic>
      <xdr:nvPicPr>
        <xdr:cNvPr id="9441591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2825" y="123825"/>
          <a:ext cx="1533525" cy="8477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CIO/Google%20Drive/01_Controladoria/01_Custo%20Gerencial%20Safra/99_Backup/Proje&#231;&#227;o%20Safra%202015-2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oogle%20Drive/02_Contabil/01_Endividamento/FinanLinear-Automatic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AO"/>
      <sheetName val="RESUMO"/>
      <sheetName val="RESULTADO"/>
      <sheetName val="compos_custo"/>
      <sheetName val="BD_COMPRAS"/>
      <sheetName val="FRETE"/>
      <sheetName val="FOLHA"/>
      <sheetName val="GERENCIAL"/>
      <sheetName val="Plan1"/>
      <sheetName val="Plan2"/>
      <sheetName val="c_pagar"/>
      <sheetName val="vcambial"/>
      <sheetName val="pgtos"/>
      <sheetName val="Plan3"/>
      <sheetName val="pgto_bcos"/>
      <sheetName val="indices"/>
    </sheetNames>
    <sheetDataSet>
      <sheetData sheetId="0"/>
      <sheetData sheetId="1">
        <row r="203">
          <cell r="E203">
            <v>15038</v>
          </cell>
        </row>
        <row r="208">
          <cell r="E208">
            <v>20107</v>
          </cell>
        </row>
        <row r="213">
          <cell r="E213">
            <v>6167.5</v>
          </cell>
        </row>
        <row r="218">
          <cell r="E218">
            <v>378</v>
          </cell>
        </row>
        <row r="223">
          <cell r="E223">
            <v>25014.880000000001</v>
          </cell>
        </row>
        <row r="233">
          <cell r="E233">
            <v>521</v>
          </cell>
        </row>
      </sheetData>
      <sheetData sheetId="2">
        <row r="13">
          <cell r="D13">
            <v>115</v>
          </cell>
          <cell r="N13">
            <v>7687.0221760201384</v>
          </cell>
        </row>
        <row r="19">
          <cell r="D19">
            <v>2250</v>
          </cell>
          <cell r="H19">
            <v>420</v>
          </cell>
        </row>
        <row r="25">
          <cell r="H25">
            <v>16.68</v>
          </cell>
        </row>
        <row r="37">
          <cell r="D37">
            <v>45</v>
          </cell>
          <cell r="H37">
            <v>40</v>
          </cell>
        </row>
        <row r="43">
          <cell r="D43">
            <v>45</v>
          </cell>
          <cell r="H43">
            <v>45</v>
          </cell>
        </row>
        <row r="49">
          <cell r="N49">
            <v>2220.1359165779854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ULAÇÃO"/>
      <sheetName val="OperCusteio"/>
      <sheetName val="OperInvest"/>
      <sheetName val="Securit"/>
      <sheetName val="Basa"/>
      <sheetName val="Vencimento"/>
      <sheetName val="VALOR ATUAL"/>
      <sheetName val="TabGraf"/>
      <sheetName val="ResOperações"/>
      <sheetName val="IGP-M"/>
      <sheetName val="Índices-M"/>
      <sheetName val="Índices-D"/>
      <sheetName val="Formulas"/>
      <sheetName val="REnegociaçãoBB"/>
    </sheetNames>
    <sheetDataSet>
      <sheetData sheetId="0"/>
      <sheetData sheetId="1">
        <row r="2">
          <cell r="C2" t="str">
            <v>DATA VCTO</v>
          </cell>
          <cell r="F2" t="str">
            <v>Banco</v>
          </cell>
          <cell r="R2" t="str">
            <v>VALOR PARC N/DATA</v>
          </cell>
        </row>
        <row r="3">
          <cell r="C3"/>
          <cell r="F3"/>
          <cell r="R3"/>
        </row>
        <row r="4">
          <cell r="C4">
            <v>42401</v>
          </cell>
          <cell r="F4" t="str">
            <v>Amaggi</v>
          </cell>
          <cell r="R4">
            <v>0</v>
          </cell>
        </row>
        <row r="5">
          <cell r="C5">
            <v>42045</v>
          </cell>
          <cell r="F5" t="str">
            <v>Basa</v>
          </cell>
          <cell r="R5">
            <v>0</v>
          </cell>
        </row>
        <row r="6">
          <cell r="C6">
            <v>42045</v>
          </cell>
          <cell r="F6" t="str">
            <v>Basa</v>
          </cell>
          <cell r="R6">
            <v>0</v>
          </cell>
        </row>
        <row r="7">
          <cell r="C7">
            <v>42045</v>
          </cell>
          <cell r="F7" t="str">
            <v>Basa</v>
          </cell>
          <cell r="R7">
            <v>0</v>
          </cell>
        </row>
        <row r="8">
          <cell r="C8">
            <v>42073</v>
          </cell>
          <cell r="F8" t="str">
            <v>Basa</v>
          </cell>
          <cell r="R8">
            <v>0</v>
          </cell>
        </row>
        <row r="9">
          <cell r="C9">
            <v>42439</v>
          </cell>
          <cell r="F9" t="str">
            <v>Basa</v>
          </cell>
          <cell r="R9">
            <v>0</v>
          </cell>
        </row>
        <row r="10">
          <cell r="C10">
            <v>42776</v>
          </cell>
          <cell r="F10" t="str">
            <v>Basa</v>
          </cell>
          <cell r="R10">
            <v>21247.902219584892</v>
          </cell>
        </row>
        <row r="11">
          <cell r="C11">
            <v>42776</v>
          </cell>
          <cell r="F11" t="str">
            <v>Basa</v>
          </cell>
          <cell r="R11">
            <v>96158.076445947256</v>
          </cell>
        </row>
        <row r="12">
          <cell r="C12">
            <v>42804</v>
          </cell>
          <cell r="F12" t="str">
            <v>Basa</v>
          </cell>
          <cell r="R12">
            <v>115038</v>
          </cell>
        </row>
        <row r="13">
          <cell r="C13">
            <v>43169</v>
          </cell>
          <cell r="F13" t="str">
            <v>Basa</v>
          </cell>
          <cell r="R13">
            <v>20916</v>
          </cell>
        </row>
        <row r="14">
          <cell r="C14">
            <v>43534</v>
          </cell>
          <cell r="F14" t="str">
            <v>Basa</v>
          </cell>
          <cell r="R14">
            <v>20916</v>
          </cell>
        </row>
        <row r="15">
          <cell r="C15">
            <v>43900</v>
          </cell>
          <cell r="F15" t="str">
            <v>Basa</v>
          </cell>
          <cell r="R15">
            <v>31374</v>
          </cell>
        </row>
        <row r="16">
          <cell r="C16">
            <v>44265</v>
          </cell>
          <cell r="F16" t="str">
            <v>Basa</v>
          </cell>
          <cell r="R16">
            <v>62748</v>
          </cell>
        </row>
        <row r="17">
          <cell r="C17">
            <v>44630</v>
          </cell>
          <cell r="F17" t="str">
            <v>Basa</v>
          </cell>
          <cell r="R17">
            <v>83664</v>
          </cell>
        </row>
        <row r="18">
          <cell r="C18">
            <v>44995</v>
          </cell>
          <cell r="F18" t="str">
            <v>Basa</v>
          </cell>
          <cell r="R18">
            <v>177786</v>
          </cell>
        </row>
        <row r="19">
          <cell r="C19">
            <v>45361</v>
          </cell>
          <cell r="F19" t="str">
            <v>Basa</v>
          </cell>
          <cell r="R19">
            <v>533358</v>
          </cell>
        </row>
        <row r="20">
          <cell r="C20">
            <v>41029</v>
          </cell>
          <cell r="F20" t="str">
            <v>Bbass</v>
          </cell>
          <cell r="R20">
            <v>0</v>
          </cell>
        </row>
        <row r="21">
          <cell r="C21">
            <v>41267</v>
          </cell>
          <cell r="F21" t="str">
            <v>Bbass</v>
          </cell>
          <cell r="R21">
            <v>0</v>
          </cell>
        </row>
        <row r="22">
          <cell r="C22">
            <v>41394</v>
          </cell>
          <cell r="F22" t="str">
            <v>Bbass</v>
          </cell>
          <cell r="R22">
            <v>0</v>
          </cell>
        </row>
        <row r="23">
          <cell r="C23">
            <v>41759</v>
          </cell>
          <cell r="F23" t="str">
            <v>Bbass</v>
          </cell>
          <cell r="R23">
            <v>0</v>
          </cell>
        </row>
        <row r="24">
          <cell r="C24">
            <v>42124</v>
          </cell>
          <cell r="F24" t="str">
            <v>Bbass</v>
          </cell>
          <cell r="R24">
            <v>0</v>
          </cell>
        </row>
        <row r="25">
          <cell r="C25">
            <v>42428</v>
          </cell>
          <cell r="F25" t="str">
            <v>Bbass</v>
          </cell>
          <cell r="R25">
            <v>0</v>
          </cell>
        </row>
        <row r="26">
          <cell r="C26">
            <v>42459</v>
          </cell>
          <cell r="F26" t="str">
            <v>Bbass</v>
          </cell>
          <cell r="R26">
            <v>0</v>
          </cell>
        </row>
        <row r="27">
          <cell r="C27">
            <v>41236</v>
          </cell>
          <cell r="F27" t="str">
            <v>BBD2</v>
          </cell>
          <cell r="R27">
            <v>0</v>
          </cell>
        </row>
        <row r="28">
          <cell r="C28">
            <v>41416</v>
          </cell>
          <cell r="F28" t="str">
            <v>BBD2</v>
          </cell>
          <cell r="R28">
            <v>0</v>
          </cell>
        </row>
        <row r="29">
          <cell r="C29">
            <v>41596</v>
          </cell>
          <cell r="F29" t="str">
            <v>BBD2</v>
          </cell>
          <cell r="R29">
            <v>0</v>
          </cell>
        </row>
        <row r="30">
          <cell r="C30">
            <v>41596</v>
          </cell>
          <cell r="F30" t="str">
            <v>BBD2</v>
          </cell>
          <cell r="R30">
            <v>0</v>
          </cell>
        </row>
        <row r="31">
          <cell r="C31">
            <v>41596</v>
          </cell>
          <cell r="F31" t="str">
            <v>BBD2</v>
          </cell>
          <cell r="R31">
            <v>0</v>
          </cell>
        </row>
        <row r="32">
          <cell r="C32">
            <v>41775</v>
          </cell>
          <cell r="F32" t="str">
            <v>BBD2</v>
          </cell>
          <cell r="R32">
            <v>0</v>
          </cell>
        </row>
        <row r="33">
          <cell r="C33">
            <v>41955</v>
          </cell>
          <cell r="F33" t="str">
            <v>BBD2</v>
          </cell>
          <cell r="R33">
            <v>0</v>
          </cell>
        </row>
        <row r="34">
          <cell r="C34">
            <v>42135</v>
          </cell>
          <cell r="F34" t="str">
            <v>BBD2</v>
          </cell>
          <cell r="R34">
            <v>0</v>
          </cell>
        </row>
        <row r="35">
          <cell r="C35">
            <v>42314</v>
          </cell>
          <cell r="F35" t="str">
            <v>BBD2</v>
          </cell>
          <cell r="R35">
            <v>0</v>
          </cell>
        </row>
        <row r="36">
          <cell r="C36">
            <v>42494</v>
          </cell>
          <cell r="F36" t="str">
            <v>BBD2</v>
          </cell>
          <cell r="R36">
            <v>0</v>
          </cell>
        </row>
        <row r="37">
          <cell r="C37">
            <v>42674</v>
          </cell>
          <cell r="F37" t="str">
            <v>BBD2</v>
          </cell>
          <cell r="R37">
            <v>5366625.6865447974</v>
          </cell>
        </row>
        <row r="38">
          <cell r="C38">
            <v>41353</v>
          </cell>
          <cell r="F38" t="str">
            <v>BBDCCE</v>
          </cell>
          <cell r="R38">
            <v>0</v>
          </cell>
        </row>
        <row r="39">
          <cell r="C39">
            <v>41537</v>
          </cell>
          <cell r="F39" t="str">
            <v>BBDCCE</v>
          </cell>
          <cell r="R39">
            <v>0</v>
          </cell>
        </row>
        <row r="40">
          <cell r="C40">
            <v>41718</v>
          </cell>
          <cell r="F40" t="str">
            <v>BBDCCE</v>
          </cell>
          <cell r="R40">
            <v>0</v>
          </cell>
        </row>
        <row r="41">
          <cell r="C41">
            <v>41904</v>
          </cell>
          <cell r="F41" t="str">
            <v>BBDCCE</v>
          </cell>
          <cell r="R41">
            <v>0</v>
          </cell>
        </row>
        <row r="42">
          <cell r="C42">
            <v>42083</v>
          </cell>
          <cell r="F42" t="str">
            <v>BBDCCE</v>
          </cell>
          <cell r="R42">
            <v>0</v>
          </cell>
        </row>
        <row r="43">
          <cell r="C43">
            <v>42268</v>
          </cell>
          <cell r="F43" t="str">
            <v>BBDCCE</v>
          </cell>
          <cell r="R43">
            <v>0</v>
          </cell>
        </row>
        <row r="44">
          <cell r="C44">
            <v>42005</v>
          </cell>
          <cell r="F44" t="str">
            <v>BBDCCE</v>
          </cell>
          <cell r="R44">
            <v>0</v>
          </cell>
        </row>
        <row r="45">
          <cell r="C45">
            <v>42192</v>
          </cell>
          <cell r="F45" t="str">
            <v>BBDCCE</v>
          </cell>
          <cell r="R45">
            <v>0</v>
          </cell>
        </row>
        <row r="46">
          <cell r="C46">
            <v>42370</v>
          </cell>
          <cell r="F46" t="str">
            <v>BBDCCE</v>
          </cell>
          <cell r="R46">
            <v>0</v>
          </cell>
        </row>
        <row r="47">
          <cell r="C47">
            <v>42552</v>
          </cell>
          <cell r="F47" t="str">
            <v>BBDCCE</v>
          </cell>
          <cell r="R47">
            <v>0</v>
          </cell>
        </row>
        <row r="48">
          <cell r="C48">
            <v>42736</v>
          </cell>
          <cell r="F48" t="str">
            <v>BBDCCE</v>
          </cell>
          <cell r="R48">
            <v>35795.951351365547</v>
          </cell>
        </row>
        <row r="49">
          <cell r="C49">
            <v>42912</v>
          </cell>
          <cell r="F49" t="str">
            <v>BBDCCE</v>
          </cell>
          <cell r="R49">
            <v>5290499.9788379995</v>
          </cell>
        </row>
        <row r="50">
          <cell r="C50">
            <v>42215</v>
          </cell>
          <cell r="F50" t="str">
            <v>BBDCCE</v>
          </cell>
          <cell r="R50">
            <v>0</v>
          </cell>
        </row>
        <row r="51">
          <cell r="C51">
            <v>42157</v>
          </cell>
          <cell r="F51" t="str">
            <v>BBDCCE</v>
          </cell>
          <cell r="R51">
            <v>0</v>
          </cell>
        </row>
        <row r="52">
          <cell r="C52">
            <v>42338</v>
          </cell>
          <cell r="F52" t="str">
            <v>BBDCCE</v>
          </cell>
          <cell r="R52">
            <v>0</v>
          </cell>
        </row>
        <row r="53">
          <cell r="C53">
            <v>42517</v>
          </cell>
          <cell r="F53" t="str">
            <v>BBDCCE</v>
          </cell>
          <cell r="R53">
            <v>0</v>
          </cell>
        </row>
        <row r="54">
          <cell r="C54">
            <v>42697</v>
          </cell>
          <cell r="F54" t="str">
            <v>BBDCCE</v>
          </cell>
          <cell r="R54">
            <v>5984369.6041304665</v>
          </cell>
        </row>
        <row r="55">
          <cell r="C55">
            <v>42877</v>
          </cell>
          <cell r="F55" t="str">
            <v>BBDCCE</v>
          </cell>
          <cell r="R55">
            <v>0</v>
          </cell>
        </row>
        <row r="56">
          <cell r="C56">
            <v>43059</v>
          </cell>
          <cell r="F56" t="str">
            <v>BBDCCE</v>
          </cell>
          <cell r="R56">
            <v>5925360.0105809998</v>
          </cell>
        </row>
        <row r="57">
          <cell r="C57">
            <v>42399</v>
          </cell>
          <cell r="F57" t="str">
            <v>BBDCUST</v>
          </cell>
          <cell r="R57">
            <v>0</v>
          </cell>
        </row>
        <row r="58">
          <cell r="C58">
            <v>42584</v>
          </cell>
          <cell r="F58" t="str">
            <v>BBDCUST</v>
          </cell>
          <cell r="R58">
            <v>0</v>
          </cell>
        </row>
        <row r="59">
          <cell r="C59">
            <v>42399</v>
          </cell>
          <cell r="F59" t="str">
            <v>BBDGIRO</v>
          </cell>
          <cell r="R59">
            <v>0</v>
          </cell>
        </row>
        <row r="60">
          <cell r="C60">
            <v>42765</v>
          </cell>
          <cell r="F60" t="str">
            <v>BBDGIRO</v>
          </cell>
          <cell r="R60">
            <v>192500</v>
          </cell>
        </row>
        <row r="61">
          <cell r="C61">
            <v>42155</v>
          </cell>
          <cell r="F61" t="str">
            <v>Bunge</v>
          </cell>
          <cell r="R61">
            <v>0</v>
          </cell>
        </row>
        <row r="62">
          <cell r="C62">
            <v>42155</v>
          </cell>
          <cell r="F62" t="str">
            <v>Bunge</v>
          </cell>
          <cell r="R62">
            <v>0</v>
          </cell>
        </row>
        <row r="63">
          <cell r="C63">
            <v>42128</v>
          </cell>
          <cell r="F63" t="str">
            <v>Cargill</v>
          </cell>
          <cell r="R63">
            <v>0</v>
          </cell>
        </row>
        <row r="64">
          <cell r="C64">
            <v>42430</v>
          </cell>
          <cell r="F64" t="str">
            <v>Cargill</v>
          </cell>
          <cell r="R64">
            <v>0</v>
          </cell>
        </row>
        <row r="65">
          <cell r="C65">
            <v>42646</v>
          </cell>
          <cell r="F65" t="str">
            <v>Cargill</v>
          </cell>
          <cell r="R65">
            <v>17147480.239198618</v>
          </cell>
        </row>
        <row r="66">
          <cell r="C66">
            <v>42492</v>
          </cell>
          <cell r="F66" t="str">
            <v>Cargill</v>
          </cell>
          <cell r="R66">
            <v>0</v>
          </cell>
        </row>
        <row r="67">
          <cell r="C67">
            <v>42737</v>
          </cell>
          <cell r="F67" t="str">
            <v>Cargill</v>
          </cell>
          <cell r="R67">
            <v>9398292.3408401869</v>
          </cell>
        </row>
        <row r="68">
          <cell r="C68">
            <v>42034</v>
          </cell>
          <cell r="F68" t="str">
            <v>cef</v>
          </cell>
          <cell r="R68">
            <v>0</v>
          </cell>
        </row>
        <row r="69">
          <cell r="C69">
            <v>42034</v>
          </cell>
          <cell r="F69" t="str">
            <v>cef</v>
          </cell>
          <cell r="R69">
            <v>0</v>
          </cell>
        </row>
        <row r="70">
          <cell r="C70">
            <v>42188</v>
          </cell>
          <cell r="F70" t="str">
            <v>cef</v>
          </cell>
          <cell r="R70">
            <v>0</v>
          </cell>
        </row>
        <row r="71">
          <cell r="C71">
            <v>42188</v>
          </cell>
          <cell r="F71" t="str">
            <v>cef</v>
          </cell>
          <cell r="R71">
            <v>0</v>
          </cell>
        </row>
        <row r="72">
          <cell r="C72">
            <v>42455</v>
          </cell>
          <cell r="F72" t="str">
            <v>cef</v>
          </cell>
          <cell r="R72">
            <v>0</v>
          </cell>
        </row>
        <row r="73">
          <cell r="C73">
            <v>42455</v>
          </cell>
          <cell r="F73" t="str">
            <v>cef</v>
          </cell>
          <cell r="R73">
            <v>0</v>
          </cell>
        </row>
        <row r="74">
          <cell r="C74">
            <v>42456</v>
          </cell>
          <cell r="F74" t="str">
            <v>cef</v>
          </cell>
          <cell r="R74">
            <v>0</v>
          </cell>
        </row>
        <row r="75">
          <cell r="C75">
            <v>42456</v>
          </cell>
          <cell r="F75" t="str">
            <v>cef</v>
          </cell>
          <cell r="R75">
            <v>0</v>
          </cell>
        </row>
        <row r="76">
          <cell r="C76">
            <v>42142</v>
          </cell>
          <cell r="F76" t="str">
            <v>Fibra</v>
          </cell>
          <cell r="R76">
            <v>0</v>
          </cell>
        </row>
        <row r="77">
          <cell r="C77">
            <v>42142</v>
          </cell>
          <cell r="F77" t="str">
            <v>Fibra</v>
          </cell>
          <cell r="R77">
            <v>0</v>
          </cell>
        </row>
        <row r="78">
          <cell r="C78">
            <v>42212</v>
          </cell>
          <cell r="F78" t="str">
            <v>Fibra</v>
          </cell>
          <cell r="R78">
            <v>0</v>
          </cell>
        </row>
        <row r="79">
          <cell r="C79">
            <v>42272</v>
          </cell>
          <cell r="F79" t="str">
            <v>Fibra</v>
          </cell>
          <cell r="R79">
            <v>0</v>
          </cell>
        </row>
        <row r="80">
          <cell r="C80">
            <v>42257</v>
          </cell>
          <cell r="F80" t="str">
            <v>Fibra</v>
          </cell>
          <cell r="R80">
            <v>0</v>
          </cell>
        </row>
        <row r="81">
          <cell r="C81">
            <v>42306</v>
          </cell>
          <cell r="F81" t="str">
            <v>Itau</v>
          </cell>
          <cell r="R81">
            <v>0</v>
          </cell>
        </row>
        <row r="82">
          <cell r="C82">
            <v>42527</v>
          </cell>
          <cell r="F82" t="str">
            <v>Itau BBA</v>
          </cell>
          <cell r="R82">
            <v>0</v>
          </cell>
        </row>
        <row r="83">
          <cell r="C83">
            <v>42709</v>
          </cell>
          <cell r="F83" t="str">
            <v>Itau BBA</v>
          </cell>
          <cell r="R83">
            <v>172459.98646093192</v>
          </cell>
        </row>
        <row r="84">
          <cell r="C84">
            <v>42765</v>
          </cell>
          <cell r="F84" t="str">
            <v>Itau BBA</v>
          </cell>
          <cell r="R84">
            <v>15871500</v>
          </cell>
        </row>
        <row r="85">
          <cell r="C85">
            <v>42353</v>
          </cell>
          <cell r="F85" t="str">
            <v>MET LIFE</v>
          </cell>
          <cell r="R85">
            <v>0</v>
          </cell>
        </row>
        <row r="86">
          <cell r="C86">
            <v>42536</v>
          </cell>
          <cell r="F86" t="str">
            <v>MET LIFE</v>
          </cell>
          <cell r="R86">
            <v>0</v>
          </cell>
        </row>
        <row r="87">
          <cell r="C87">
            <v>42719</v>
          </cell>
          <cell r="F87" t="str">
            <v>MET LIFE</v>
          </cell>
          <cell r="R87">
            <v>5242227.4502641093</v>
          </cell>
        </row>
        <row r="88">
          <cell r="C88">
            <v>42901</v>
          </cell>
          <cell r="F88" t="str">
            <v>MET LIFE</v>
          </cell>
          <cell r="R88">
            <v>0</v>
          </cell>
        </row>
        <row r="89">
          <cell r="C89">
            <v>43084</v>
          </cell>
          <cell r="F89" t="str">
            <v>MET LIFE</v>
          </cell>
          <cell r="R89">
            <v>4761450</v>
          </cell>
        </row>
        <row r="90">
          <cell r="C90">
            <v>43266</v>
          </cell>
          <cell r="F90" t="str">
            <v>MET LIFE</v>
          </cell>
          <cell r="R90">
            <v>0</v>
          </cell>
        </row>
        <row r="91">
          <cell r="C91">
            <v>43449</v>
          </cell>
          <cell r="F91" t="str">
            <v>MET LIFE</v>
          </cell>
          <cell r="R91">
            <v>4761450</v>
          </cell>
        </row>
        <row r="92">
          <cell r="C92">
            <v>43631</v>
          </cell>
          <cell r="F92" t="str">
            <v>MET LIFE</v>
          </cell>
          <cell r="R92">
            <v>0</v>
          </cell>
        </row>
        <row r="93">
          <cell r="C93">
            <v>43814</v>
          </cell>
          <cell r="F93" t="str">
            <v>MET LIFE</v>
          </cell>
          <cell r="R93">
            <v>4761450</v>
          </cell>
        </row>
        <row r="94">
          <cell r="C94">
            <v>43997</v>
          </cell>
          <cell r="F94" t="str">
            <v>MET LIFE</v>
          </cell>
          <cell r="R94">
            <v>0</v>
          </cell>
        </row>
        <row r="95">
          <cell r="C95">
            <v>44180</v>
          </cell>
          <cell r="F95" t="str">
            <v>MET LIFE</v>
          </cell>
          <cell r="R95">
            <v>4761450</v>
          </cell>
        </row>
        <row r="96">
          <cell r="C96">
            <v>44362</v>
          </cell>
          <cell r="F96" t="str">
            <v>MET LIFE</v>
          </cell>
          <cell r="R96">
            <v>0</v>
          </cell>
        </row>
        <row r="97">
          <cell r="C97">
            <v>44545</v>
          </cell>
          <cell r="F97" t="str">
            <v>MET LIFE</v>
          </cell>
          <cell r="R97">
            <v>4761450</v>
          </cell>
        </row>
        <row r="98">
          <cell r="C98">
            <v>44727</v>
          </cell>
          <cell r="F98" t="str">
            <v>MET LIFE</v>
          </cell>
          <cell r="R98">
            <v>0</v>
          </cell>
        </row>
        <row r="99">
          <cell r="C99">
            <v>44910</v>
          </cell>
          <cell r="F99" t="str">
            <v>MET LIFE</v>
          </cell>
          <cell r="R99">
            <v>4761450</v>
          </cell>
        </row>
        <row r="100">
          <cell r="C100">
            <v>45092</v>
          </cell>
          <cell r="F100" t="str">
            <v>MET LIFE</v>
          </cell>
          <cell r="R100">
            <v>0</v>
          </cell>
        </row>
        <row r="101">
          <cell r="C101">
            <v>45275</v>
          </cell>
          <cell r="F101" t="str">
            <v>MET LIFE</v>
          </cell>
          <cell r="R101">
            <v>4761450</v>
          </cell>
        </row>
        <row r="102">
          <cell r="C102">
            <v>45458</v>
          </cell>
          <cell r="F102" t="str">
            <v>MET LIFE</v>
          </cell>
          <cell r="R102">
            <v>0</v>
          </cell>
        </row>
        <row r="103">
          <cell r="C103">
            <v>45641</v>
          </cell>
          <cell r="F103" t="str">
            <v>MET LIFE</v>
          </cell>
          <cell r="R103">
            <v>4761450</v>
          </cell>
        </row>
        <row r="104">
          <cell r="C104">
            <v>45823</v>
          </cell>
          <cell r="F104" t="str">
            <v>MET LIFE</v>
          </cell>
          <cell r="R104">
            <v>0</v>
          </cell>
        </row>
        <row r="105">
          <cell r="C105">
            <v>46006</v>
          </cell>
          <cell r="F105" t="str">
            <v>MET LIFE</v>
          </cell>
          <cell r="R105">
            <v>4761450</v>
          </cell>
        </row>
        <row r="106">
          <cell r="C106">
            <v>42353</v>
          </cell>
          <cell r="F106" t="str">
            <v>MET LIFE</v>
          </cell>
          <cell r="R106">
            <v>0</v>
          </cell>
        </row>
        <row r="107">
          <cell r="C107">
            <v>42536</v>
          </cell>
          <cell r="F107" t="str">
            <v>MET LIFE</v>
          </cell>
          <cell r="R107">
            <v>0</v>
          </cell>
        </row>
        <row r="108">
          <cell r="C108">
            <v>42719</v>
          </cell>
          <cell r="F108" t="str">
            <v>MET LIFE</v>
          </cell>
          <cell r="R108">
            <v>1747409.1500880364</v>
          </cell>
        </row>
        <row r="109">
          <cell r="C109">
            <v>42901</v>
          </cell>
          <cell r="F109" t="str">
            <v>MET LIFE</v>
          </cell>
          <cell r="R109">
            <v>0</v>
          </cell>
        </row>
        <row r="110">
          <cell r="C110">
            <v>43084</v>
          </cell>
          <cell r="F110" t="str">
            <v>MET LIFE</v>
          </cell>
          <cell r="R110">
            <v>1587150</v>
          </cell>
        </row>
        <row r="111">
          <cell r="C111">
            <v>43266</v>
          </cell>
          <cell r="F111" t="str">
            <v>MET LIFE</v>
          </cell>
          <cell r="R111">
            <v>0</v>
          </cell>
        </row>
        <row r="112">
          <cell r="C112">
            <v>43449</v>
          </cell>
          <cell r="F112" t="str">
            <v>MET LIFE</v>
          </cell>
          <cell r="R112">
            <v>1587150</v>
          </cell>
        </row>
        <row r="113">
          <cell r="C113">
            <v>43631</v>
          </cell>
          <cell r="F113" t="str">
            <v>MET LIFE</v>
          </cell>
          <cell r="R113">
            <v>0</v>
          </cell>
        </row>
        <row r="114">
          <cell r="C114">
            <v>43814</v>
          </cell>
          <cell r="F114" t="str">
            <v>MET LIFE</v>
          </cell>
          <cell r="R114">
            <v>1587150</v>
          </cell>
        </row>
        <row r="115">
          <cell r="C115">
            <v>43997</v>
          </cell>
          <cell r="F115" t="str">
            <v>MET LIFE</v>
          </cell>
          <cell r="R115">
            <v>0</v>
          </cell>
        </row>
        <row r="116">
          <cell r="C116">
            <v>44180</v>
          </cell>
          <cell r="F116" t="str">
            <v>MET LIFE</v>
          </cell>
          <cell r="R116">
            <v>1587150</v>
          </cell>
        </row>
        <row r="117">
          <cell r="C117">
            <v>44362</v>
          </cell>
          <cell r="F117" t="str">
            <v>MET LIFE</v>
          </cell>
          <cell r="R117">
            <v>0</v>
          </cell>
        </row>
        <row r="118">
          <cell r="C118">
            <v>44545</v>
          </cell>
          <cell r="F118" t="str">
            <v>MET LIFE</v>
          </cell>
          <cell r="R118">
            <v>1587150</v>
          </cell>
        </row>
        <row r="119">
          <cell r="C119">
            <v>44727</v>
          </cell>
          <cell r="F119" t="str">
            <v>MET LIFE</v>
          </cell>
          <cell r="R119">
            <v>0</v>
          </cell>
        </row>
        <row r="120">
          <cell r="C120">
            <v>44910</v>
          </cell>
          <cell r="F120" t="str">
            <v>MET LIFE</v>
          </cell>
          <cell r="R120">
            <v>1587150</v>
          </cell>
        </row>
        <row r="121">
          <cell r="C121">
            <v>45092</v>
          </cell>
          <cell r="F121" t="str">
            <v>MET LIFE</v>
          </cell>
          <cell r="R121">
            <v>0</v>
          </cell>
        </row>
        <row r="122">
          <cell r="C122">
            <v>45275</v>
          </cell>
          <cell r="F122" t="str">
            <v>MET LIFE</v>
          </cell>
          <cell r="R122">
            <v>1587150</v>
          </cell>
        </row>
        <row r="123">
          <cell r="C123">
            <v>45458</v>
          </cell>
          <cell r="F123" t="str">
            <v>MET LIFE</v>
          </cell>
          <cell r="R123">
            <v>0</v>
          </cell>
        </row>
        <row r="124">
          <cell r="C124">
            <v>45641</v>
          </cell>
          <cell r="F124" t="str">
            <v>MET LIFE</v>
          </cell>
          <cell r="R124">
            <v>1587150</v>
          </cell>
        </row>
        <row r="125">
          <cell r="C125">
            <v>45823</v>
          </cell>
          <cell r="F125" t="str">
            <v>MET LIFE</v>
          </cell>
          <cell r="R125">
            <v>0</v>
          </cell>
        </row>
        <row r="126">
          <cell r="C126">
            <v>46006</v>
          </cell>
          <cell r="F126" t="str">
            <v>MET LIFE</v>
          </cell>
          <cell r="R126">
            <v>1587150</v>
          </cell>
        </row>
        <row r="127">
          <cell r="C127">
            <v>41440</v>
          </cell>
          <cell r="F127" t="str">
            <v>Metr</v>
          </cell>
          <cell r="R127">
            <v>0</v>
          </cell>
        </row>
        <row r="128">
          <cell r="C128">
            <v>41623</v>
          </cell>
          <cell r="F128" t="str">
            <v>Metr</v>
          </cell>
          <cell r="R128">
            <v>0</v>
          </cell>
        </row>
        <row r="129">
          <cell r="C129">
            <v>41805</v>
          </cell>
          <cell r="F129" t="str">
            <v>Metr</v>
          </cell>
          <cell r="R129">
            <v>0</v>
          </cell>
        </row>
        <row r="130">
          <cell r="C130">
            <v>41988</v>
          </cell>
          <cell r="F130" t="str">
            <v>Metr</v>
          </cell>
          <cell r="R130">
            <v>0</v>
          </cell>
        </row>
        <row r="131">
          <cell r="C131">
            <v>42170</v>
          </cell>
          <cell r="F131" t="str">
            <v>Metr</v>
          </cell>
          <cell r="R131">
            <v>0</v>
          </cell>
        </row>
        <row r="132">
          <cell r="C132">
            <v>42353</v>
          </cell>
          <cell r="F132" t="str">
            <v>Metr</v>
          </cell>
          <cell r="R132">
            <v>0</v>
          </cell>
        </row>
        <row r="133">
          <cell r="C133">
            <v>42536</v>
          </cell>
          <cell r="F133" t="str">
            <v>Metr</v>
          </cell>
          <cell r="R133">
            <v>0</v>
          </cell>
        </row>
        <row r="134">
          <cell r="C134">
            <v>42719</v>
          </cell>
          <cell r="F134" t="str">
            <v>Metr</v>
          </cell>
          <cell r="R134">
            <v>0</v>
          </cell>
        </row>
        <row r="135">
          <cell r="C135">
            <v>42901</v>
          </cell>
          <cell r="F135" t="str">
            <v>Metr</v>
          </cell>
          <cell r="R135">
            <v>0</v>
          </cell>
        </row>
        <row r="136">
          <cell r="C136">
            <v>43084</v>
          </cell>
          <cell r="F136" t="str">
            <v>Metr</v>
          </cell>
          <cell r="R136">
            <v>5078880</v>
          </cell>
        </row>
        <row r="137">
          <cell r="C137">
            <v>43266</v>
          </cell>
          <cell r="F137" t="str">
            <v>Metr</v>
          </cell>
          <cell r="R137">
            <v>0</v>
          </cell>
        </row>
        <row r="138">
          <cell r="C138">
            <v>43449</v>
          </cell>
          <cell r="F138" t="str">
            <v>Metr</v>
          </cell>
          <cell r="R138">
            <v>5078880</v>
          </cell>
        </row>
        <row r="139">
          <cell r="C139">
            <v>43631</v>
          </cell>
          <cell r="F139" t="str">
            <v>Metr</v>
          </cell>
          <cell r="R139">
            <v>0</v>
          </cell>
        </row>
        <row r="140">
          <cell r="C140">
            <v>43814</v>
          </cell>
          <cell r="F140" t="str">
            <v>Metr</v>
          </cell>
          <cell r="R140">
            <v>5078880</v>
          </cell>
        </row>
        <row r="141">
          <cell r="C141">
            <v>43997</v>
          </cell>
          <cell r="F141" t="str">
            <v>Metr</v>
          </cell>
          <cell r="R141">
            <v>0</v>
          </cell>
        </row>
        <row r="142">
          <cell r="C142">
            <v>44180</v>
          </cell>
          <cell r="F142" t="str">
            <v>Metr</v>
          </cell>
          <cell r="R142">
            <v>5078880</v>
          </cell>
        </row>
        <row r="143">
          <cell r="C143">
            <v>44362</v>
          </cell>
          <cell r="F143" t="str">
            <v>Metr</v>
          </cell>
          <cell r="R143">
            <v>0</v>
          </cell>
        </row>
        <row r="144">
          <cell r="C144">
            <v>44545</v>
          </cell>
          <cell r="F144" t="str">
            <v>Metr</v>
          </cell>
          <cell r="R144">
            <v>5078880</v>
          </cell>
        </row>
        <row r="145">
          <cell r="C145">
            <v>44727</v>
          </cell>
          <cell r="F145" t="str">
            <v>Metr</v>
          </cell>
          <cell r="R145">
            <v>0</v>
          </cell>
        </row>
        <row r="146">
          <cell r="C146">
            <v>44910</v>
          </cell>
          <cell r="F146" t="str">
            <v>Metr</v>
          </cell>
          <cell r="R146">
            <v>5078880</v>
          </cell>
        </row>
        <row r="147">
          <cell r="C147">
            <v>41440</v>
          </cell>
          <cell r="F147" t="str">
            <v>Metr</v>
          </cell>
          <cell r="R147">
            <v>0</v>
          </cell>
        </row>
        <row r="148">
          <cell r="C148">
            <v>41623</v>
          </cell>
          <cell r="F148" t="str">
            <v>Metr</v>
          </cell>
          <cell r="R148">
            <v>0</v>
          </cell>
        </row>
        <row r="149">
          <cell r="C149">
            <v>41805</v>
          </cell>
          <cell r="F149" t="str">
            <v>Metr</v>
          </cell>
          <cell r="R149">
            <v>0</v>
          </cell>
        </row>
        <row r="150">
          <cell r="C150">
            <v>41988</v>
          </cell>
          <cell r="F150" t="str">
            <v>Metr</v>
          </cell>
          <cell r="R150">
            <v>0</v>
          </cell>
        </row>
        <row r="151">
          <cell r="C151">
            <v>42170</v>
          </cell>
          <cell r="F151" t="str">
            <v>Metr</v>
          </cell>
          <cell r="R151">
            <v>0</v>
          </cell>
        </row>
        <row r="152">
          <cell r="C152">
            <v>42353</v>
          </cell>
          <cell r="F152" t="str">
            <v>Metr</v>
          </cell>
          <cell r="R152">
            <v>0</v>
          </cell>
        </row>
        <row r="153">
          <cell r="C153">
            <v>42536</v>
          </cell>
          <cell r="F153" t="str">
            <v>Metr</v>
          </cell>
          <cell r="R153">
            <v>0</v>
          </cell>
        </row>
        <row r="154">
          <cell r="C154">
            <v>42719</v>
          </cell>
          <cell r="F154" t="str">
            <v>Metr</v>
          </cell>
          <cell r="R154">
            <v>0</v>
          </cell>
        </row>
        <row r="155">
          <cell r="C155">
            <v>42901</v>
          </cell>
          <cell r="F155" t="str">
            <v>Metr</v>
          </cell>
          <cell r="R155">
            <v>0</v>
          </cell>
        </row>
        <row r="156">
          <cell r="C156">
            <v>43084</v>
          </cell>
          <cell r="F156" t="str">
            <v>Metr</v>
          </cell>
          <cell r="R156">
            <v>2856870</v>
          </cell>
        </row>
        <row r="157">
          <cell r="C157">
            <v>43266</v>
          </cell>
          <cell r="F157" t="str">
            <v>Metr</v>
          </cell>
          <cell r="R157">
            <v>0</v>
          </cell>
        </row>
        <row r="158">
          <cell r="C158">
            <v>43449</v>
          </cell>
          <cell r="F158" t="str">
            <v>Metr</v>
          </cell>
          <cell r="R158">
            <v>2856870</v>
          </cell>
        </row>
        <row r="159">
          <cell r="C159">
            <v>43631</v>
          </cell>
          <cell r="F159" t="str">
            <v>Metr</v>
          </cell>
          <cell r="R159">
            <v>0</v>
          </cell>
        </row>
        <row r="160">
          <cell r="C160">
            <v>43814</v>
          </cell>
          <cell r="F160" t="str">
            <v>Metr</v>
          </cell>
          <cell r="R160">
            <v>2856870</v>
          </cell>
        </row>
        <row r="161">
          <cell r="C161">
            <v>43997</v>
          </cell>
          <cell r="F161" t="str">
            <v>Metr</v>
          </cell>
          <cell r="R161">
            <v>0</v>
          </cell>
        </row>
        <row r="162">
          <cell r="C162">
            <v>44180</v>
          </cell>
          <cell r="F162" t="str">
            <v>Metr</v>
          </cell>
          <cell r="R162">
            <v>2856870</v>
          </cell>
        </row>
        <row r="163">
          <cell r="C163">
            <v>44362</v>
          </cell>
          <cell r="F163" t="str">
            <v>Metr</v>
          </cell>
          <cell r="R163">
            <v>0</v>
          </cell>
        </row>
        <row r="164">
          <cell r="C164">
            <v>44545</v>
          </cell>
          <cell r="F164" t="str">
            <v>Metr</v>
          </cell>
          <cell r="R164">
            <v>2856870</v>
          </cell>
        </row>
        <row r="165">
          <cell r="C165">
            <v>44727</v>
          </cell>
          <cell r="F165" t="str">
            <v>Metr</v>
          </cell>
          <cell r="R165">
            <v>0</v>
          </cell>
        </row>
        <row r="166">
          <cell r="C166">
            <v>44910</v>
          </cell>
          <cell r="F166" t="str">
            <v>Metr</v>
          </cell>
          <cell r="R166">
            <v>2856870</v>
          </cell>
        </row>
        <row r="167">
          <cell r="C167">
            <v>41623</v>
          </cell>
          <cell r="F167" t="str">
            <v>Metr</v>
          </cell>
          <cell r="R167">
            <v>0</v>
          </cell>
        </row>
        <row r="168">
          <cell r="C168">
            <v>41805</v>
          </cell>
          <cell r="F168" t="str">
            <v>Metr</v>
          </cell>
          <cell r="R168">
            <v>0</v>
          </cell>
        </row>
        <row r="169">
          <cell r="C169">
            <v>41988</v>
          </cell>
          <cell r="F169" t="str">
            <v>Metr</v>
          </cell>
          <cell r="R169">
            <v>0</v>
          </cell>
        </row>
        <row r="170">
          <cell r="C170">
            <v>42170</v>
          </cell>
          <cell r="F170" t="str">
            <v>Metr</v>
          </cell>
          <cell r="R170">
            <v>0</v>
          </cell>
        </row>
        <row r="171">
          <cell r="C171">
            <v>42353</v>
          </cell>
          <cell r="F171" t="str">
            <v>Metr</v>
          </cell>
          <cell r="R171">
            <v>0</v>
          </cell>
        </row>
        <row r="172">
          <cell r="C172">
            <v>42536</v>
          </cell>
          <cell r="F172" t="str">
            <v>Metr</v>
          </cell>
          <cell r="R172">
            <v>0</v>
          </cell>
        </row>
        <row r="173">
          <cell r="C173">
            <v>42719</v>
          </cell>
          <cell r="F173" t="str">
            <v>Metr</v>
          </cell>
          <cell r="R173">
            <v>6553577.5331998952</v>
          </cell>
        </row>
        <row r="174">
          <cell r="C174">
            <v>42901</v>
          </cell>
          <cell r="F174" t="str">
            <v>Metr</v>
          </cell>
          <cell r="R174">
            <v>0</v>
          </cell>
        </row>
        <row r="175">
          <cell r="C175">
            <v>43084</v>
          </cell>
          <cell r="F175" t="str">
            <v>Metr</v>
          </cell>
          <cell r="R175">
            <v>6348600</v>
          </cell>
        </row>
        <row r="176">
          <cell r="C176">
            <v>43266</v>
          </cell>
          <cell r="F176" t="str">
            <v>Metr</v>
          </cell>
          <cell r="R176"/>
        </row>
        <row r="177">
          <cell r="C177">
            <v>43449</v>
          </cell>
          <cell r="F177" t="str">
            <v>Metr</v>
          </cell>
          <cell r="R177">
            <v>6348600</v>
          </cell>
        </row>
        <row r="178">
          <cell r="C178">
            <v>42123</v>
          </cell>
          <cell r="F178" t="str">
            <v>Original</v>
          </cell>
          <cell r="R178">
            <v>0</v>
          </cell>
        </row>
        <row r="179">
          <cell r="C179">
            <v>42507</v>
          </cell>
          <cell r="F179" t="str">
            <v>Original</v>
          </cell>
          <cell r="R179">
            <v>0</v>
          </cell>
        </row>
        <row r="180">
          <cell r="C180">
            <v>42041</v>
          </cell>
          <cell r="F180" t="str">
            <v>Pine</v>
          </cell>
          <cell r="R180">
            <v>0</v>
          </cell>
        </row>
        <row r="181">
          <cell r="C181">
            <v>42219</v>
          </cell>
          <cell r="F181" t="str">
            <v>Pine</v>
          </cell>
          <cell r="R181">
            <v>0</v>
          </cell>
        </row>
        <row r="182">
          <cell r="C182">
            <v>42093</v>
          </cell>
          <cell r="F182" t="str">
            <v>Pine</v>
          </cell>
          <cell r="R182">
            <v>0</v>
          </cell>
        </row>
        <row r="183">
          <cell r="C183">
            <v>42277</v>
          </cell>
          <cell r="F183" t="str">
            <v>Pine</v>
          </cell>
          <cell r="R183">
            <v>0</v>
          </cell>
        </row>
        <row r="184">
          <cell r="C184">
            <v>42062</v>
          </cell>
          <cell r="F184" t="str">
            <v>Pine</v>
          </cell>
          <cell r="R184">
            <v>0</v>
          </cell>
        </row>
        <row r="185">
          <cell r="C185">
            <v>42093</v>
          </cell>
          <cell r="F185" t="str">
            <v>Pine</v>
          </cell>
          <cell r="R185">
            <v>0</v>
          </cell>
        </row>
        <row r="186">
          <cell r="C186">
            <v>42124</v>
          </cell>
          <cell r="F186" t="str">
            <v>Pine</v>
          </cell>
          <cell r="R186">
            <v>0</v>
          </cell>
        </row>
        <row r="187">
          <cell r="C187">
            <v>42398</v>
          </cell>
          <cell r="F187" t="str">
            <v>RBB</v>
          </cell>
          <cell r="R187">
            <v>0</v>
          </cell>
        </row>
        <row r="188">
          <cell r="C188">
            <v>42766</v>
          </cell>
          <cell r="F188" t="str">
            <v>RBB</v>
          </cell>
          <cell r="R188">
            <v>13332973.591493346</v>
          </cell>
        </row>
        <row r="189">
          <cell r="C189">
            <v>42947</v>
          </cell>
          <cell r="F189" t="str">
            <v>RBB</v>
          </cell>
          <cell r="R189">
            <v>6548811.7629067441</v>
          </cell>
        </row>
        <row r="190">
          <cell r="C190">
            <v>42663</v>
          </cell>
          <cell r="F190" t="str">
            <v>Fibra</v>
          </cell>
          <cell r="R190">
            <v>16666961.542200554</v>
          </cell>
        </row>
        <row r="191">
          <cell r="C191">
            <v>43039</v>
          </cell>
          <cell r="F191" t="str">
            <v>RBB</v>
          </cell>
          <cell r="R191">
            <v>8165337.5431279428</v>
          </cell>
        </row>
        <row r="192">
          <cell r="C192">
            <v>43040</v>
          </cell>
          <cell r="F192" t="str">
            <v>Cargill</v>
          </cell>
          <cell r="R192">
            <v>16172049.293841187</v>
          </cell>
        </row>
        <row r="193">
          <cell r="C193">
            <v>42704</v>
          </cell>
          <cell r="F193" t="str">
            <v>BBDCCE</v>
          </cell>
          <cell r="R193">
            <v>151739.5005461332</v>
          </cell>
        </row>
        <row r="194">
          <cell r="C194">
            <v>42886</v>
          </cell>
          <cell r="F194" t="str">
            <v>BBDCCE</v>
          </cell>
          <cell r="R194">
            <v>4094847</v>
          </cell>
        </row>
        <row r="195">
          <cell r="C195">
            <v>43069</v>
          </cell>
          <cell r="F195" t="str">
            <v>BBDCCE</v>
          </cell>
          <cell r="R195">
            <v>0</v>
          </cell>
        </row>
        <row r="196">
          <cell r="C196">
            <v>43252</v>
          </cell>
          <cell r="F196" t="str">
            <v>BBDCCE</v>
          </cell>
          <cell r="R196">
            <v>4094847</v>
          </cell>
        </row>
        <row r="197">
          <cell r="C197">
            <v>43434</v>
          </cell>
          <cell r="F197" t="str">
            <v>BBDCCE</v>
          </cell>
          <cell r="R197">
            <v>0</v>
          </cell>
        </row>
        <row r="198">
          <cell r="C198">
            <v>43616</v>
          </cell>
          <cell r="F198" t="str">
            <v>BBDCCE</v>
          </cell>
          <cell r="R198">
            <v>4094847</v>
          </cell>
        </row>
        <row r="199">
          <cell r="C199">
            <v>42855</v>
          </cell>
          <cell r="F199" t="str">
            <v>BB</v>
          </cell>
          <cell r="R199">
            <v>3068097.1592682591</v>
          </cell>
        </row>
        <row r="200">
          <cell r="C200">
            <v>43220</v>
          </cell>
          <cell r="F200" t="str">
            <v>BB</v>
          </cell>
          <cell r="R200">
            <v>3000882.88</v>
          </cell>
        </row>
        <row r="201">
          <cell r="C201">
            <v>43585</v>
          </cell>
          <cell r="F201" t="str">
            <v>BB</v>
          </cell>
          <cell r="R201">
            <v>3000882.8800000004</v>
          </cell>
        </row>
        <row r="202">
          <cell r="C202">
            <v>43951</v>
          </cell>
          <cell r="F202" t="str">
            <v>BB</v>
          </cell>
          <cell r="R202">
            <v>3000882.8800000004</v>
          </cell>
        </row>
        <row r="203">
          <cell r="C203">
            <v>44285</v>
          </cell>
          <cell r="F203" t="str">
            <v>BB</v>
          </cell>
          <cell r="R203">
            <v>3000882.8800000008</v>
          </cell>
        </row>
        <row r="204">
          <cell r="C204">
            <v>42762</v>
          </cell>
          <cell r="D204">
            <v>42580</v>
          </cell>
          <cell r="F204" t="str">
            <v>Pine</v>
          </cell>
          <cell r="R204">
            <v>500711.82879739907</v>
          </cell>
        </row>
        <row r="205">
          <cell r="C205">
            <v>42884</v>
          </cell>
          <cell r="F205" t="str">
            <v>Pine</v>
          </cell>
          <cell r="R205">
            <v>3166666.6635200004</v>
          </cell>
        </row>
        <row r="206">
          <cell r="C206">
            <v>43129</v>
          </cell>
          <cell r="F206" t="str">
            <v>Pine</v>
          </cell>
          <cell r="R206">
            <v>3166666.6635199999</v>
          </cell>
        </row>
        <row r="207">
          <cell r="C207">
            <v>43248</v>
          </cell>
          <cell r="F207" t="str">
            <v>Pine</v>
          </cell>
          <cell r="R207">
            <v>3166665.3547199992</v>
          </cell>
        </row>
        <row r="208">
          <cell r="C208"/>
          <cell r="F208"/>
          <cell r="R208"/>
        </row>
        <row r="209">
          <cell r="C209"/>
          <cell r="F209"/>
          <cell r="R209"/>
        </row>
        <row r="210">
          <cell r="C210"/>
          <cell r="F210"/>
          <cell r="R210"/>
        </row>
        <row r="211">
          <cell r="C211"/>
          <cell r="F211"/>
          <cell r="R211"/>
        </row>
        <row r="212">
          <cell r="C212"/>
          <cell r="F212"/>
          <cell r="R212"/>
        </row>
      </sheetData>
      <sheetData sheetId="2">
        <row r="3">
          <cell r="C3" t="str">
            <v>DATA VCTO</v>
          </cell>
          <cell r="F3" t="str">
            <v>Banco</v>
          </cell>
          <cell r="R3" t="str">
            <v>VALOR PARC N/DATA</v>
          </cell>
        </row>
        <row r="4">
          <cell r="C4">
            <v>37424</v>
          </cell>
          <cell r="F4" t="str">
            <v>CNH</v>
          </cell>
          <cell r="R4">
            <v>0</v>
          </cell>
        </row>
        <row r="5">
          <cell r="C5">
            <v>37606</v>
          </cell>
          <cell r="F5" t="str">
            <v>CNH</v>
          </cell>
          <cell r="R5">
            <v>0</v>
          </cell>
        </row>
        <row r="6">
          <cell r="C6">
            <v>37788</v>
          </cell>
          <cell r="F6" t="str">
            <v>CNH</v>
          </cell>
          <cell r="R6">
            <v>0</v>
          </cell>
        </row>
        <row r="7">
          <cell r="C7">
            <v>37970</v>
          </cell>
          <cell r="F7" t="str">
            <v>CNH</v>
          </cell>
          <cell r="R7">
            <v>0</v>
          </cell>
        </row>
        <row r="8">
          <cell r="C8">
            <v>38153</v>
          </cell>
          <cell r="F8" t="str">
            <v>CNH</v>
          </cell>
          <cell r="R8">
            <v>0</v>
          </cell>
        </row>
        <row r="9">
          <cell r="C9">
            <v>38336</v>
          </cell>
          <cell r="F9" t="str">
            <v>CNH</v>
          </cell>
          <cell r="R9">
            <v>0</v>
          </cell>
        </row>
        <row r="10">
          <cell r="C10">
            <v>39248</v>
          </cell>
          <cell r="F10" t="str">
            <v>CNH</v>
          </cell>
          <cell r="R10">
            <v>0</v>
          </cell>
        </row>
        <row r="11">
          <cell r="C11">
            <v>39433</v>
          </cell>
          <cell r="F11" t="str">
            <v>CNH</v>
          </cell>
          <cell r="R11">
            <v>0</v>
          </cell>
        </row>
        <row r="12">
          <cell r="C12">
            <v>39615</v>
          </cell>
          <cell r="F12" t="str">
            <v>CNH</v>
          </cell>
          <cell r="R12">
            <v>0</v>
          </cell>
        </row>
        <row r="13">
          <cell r="C13">
            <v>39979</v>
          </cell>
          <cell r="F13" t="str">
            <v>CNH</v>
          </cell>
          <cell r="R13">
            <v>0</v>
          </cell>
        </row>
        <row r="14">
          <cell r="C14">
            <v>40162</v>
          </cell>
          <cell r="F14" t="str">
            <v>CNH</v>
          </cell>
          <cell r="R14">
            <v>0</v>
          </cell>
        </row>
        <row r="15">
          <cell r="C15">
            <v>40344</v>
          </cell>
          <cell r="F15" t="str">
            <v>CNH</v>
          </cell>
          <cell r="R15">
            <v>0</v>
          </cell>
        </row>
        <row r="16">
          <cell r="C16">
            <v>40527</v>
          </cell>
          <cell r="F16" t="str">
            <v>CNH</v>
          </cell>
          <cell r="R16">
            <v>0</v>
          </cell>
        </row>
        <row r="17">
          <cell r="C17">
            <v>40709</v>
          </cell>
          <cell r="F17" t="str">
            <v>CNH</v>
          </cell>
          <cell r="R17">
            <v>0</v>
          </cell>
        </row>
        <row r="18">
          <cell r="C18">
            <v>40892</v>
          </cell>
          <cell r="F18" t="str">
            <v>CNH</v>
          </cell>
          <cell r="R18">
            <v>0</v>
          </cell>
        </row>
        <row r="19">
          <cell r="C19">
            <v>41075</v>
          </cell>
          <cell r="F19" t="str">
            <v>CNH</v>
          </cell>
          <cell r="R19">
            <v>0</v>
          </cell>
        </row>
        <row r="20">
          <cell r="C20">
            <v>41258</v>
          </cell>
          <cell r="F20" t="str">
            <v>CNH</v>
          </cell>
          <cell r="R20">
            <v>0</v>
          </cell>
        </row>
        <row r="21">
          <cell r="C21">
            <v>41440</v>
          </cell>
          <cell r="F21" t="str">
            <v>CNH</v>
          </cell>
          <cell r="R21">
            <v>0</v>
          </cell>
        </row>
        <row r="22">
          <cell r="C22">
            <v>41623</v>
          </cell>
          <cell r="F22" t="str">
            <v>CNH</v>
          </cell>
          <cell r="R22">
            <v>0</v>
          </cell>
        </row>
        <row r="23">
          <cell r="C23">
            <v>41805</v>
          </cell>
          <cell r="F23" t="str">
            <v>CNH</v>
          </cell>
          <cell r="R23">
            <v>0</v>
          </cell>
        </row>
        <row r="24">
          <cell r="C24">
            <v>41988</v>
          </cell>
          <cell r="F24" t="str">
            <v>CNH</v>
          </cell>
          <cell r="R24">
            <v>0</v>
          </cell>
        </row>
        <row r="25">
          <cell r="C25">
            <v>42170</v>
          </cell>
          <cell r="F25" t="str">
            <v>CNH</v>
          </cell>
          <cell r="R25">
            <v>0</v>
          </cell>
        </row>
        <row r="26">
          <cell r="C26">
            <v>37561</v>
          </cell>
          <cell r="F26" t="str">
            <v>BB</v>
          </cell>
          <cell r="R26">
            <v>0</v>
          </cell>
        </row>
        <row r="27">
          <cell r="C27">
            <v>37926</v>
          </cell>
          <cell r="F27" t="str">
            <v>BB</v>
          </cell>
          <cell r="R27">
            <v>0</v>
          </cell>
        </row>
        <row r="28">
          <cell r="C28">
            <v>38292</v>
          </cell>
          <cell r="F28" t="str">
            <v>BB</v>
          </cell>
          <cell r="R28">
            <v>0</v>
          </cell>
        </row>
        <row r="29">
          <cell r="C29">
            <v>38657</v>
          </cell>
          <cell r="F29" t="str">
            <v>BB</v>
          </cell>
          <cell r="R29">
            <v>0</v>
          </cell>
        </row>
        <row r="30">
          <cell r="C30">
            <v>40118</v>
          </cell>
          <cell r="F30" t="str">
            <v>BB</v>
          </cell>
          <cell r="R30">
            <v>0</v>
          </cell>
        </row>
        <row r="31">
          <cell r="C31">
            <v>40148</v>
          </cell>
          <cell r="F31" t="str">
            <v>BB</v>
          </cell>
          <cell r="R31">
            <v>0</v>
          </cell>
        </row>
        <row r="32">
          <cell r="C32">
            <v>40483</v>
          </cell>
          <cell r="F32" t="str">
            <v>BB</v>
          </cell>
          <cell r="R32">
            <v>0</v>
          </cell>
        </row>
        <row r="33">
          <cell r="C33">
            <v>40513</v>
          </cell>
          <cell r="F33" t="str">
            <v>BB</v>
          </cell>
          <cell r="R33">
            <v>0</v>
          </cell>
        </row>
        <row r="34">
          <cell r="C34">
            <v>40848</v>
          </cell>
          <cell r="F34" t="str">
            <v>BB</v>
          </cell>
          <cell r="R34">
            <v>0</v>
          </cell>
        </row>
        <row r="35">
          <cell r="C35">
            <v>40878</v>
          </cell>
          <cell r="F35" t="str">
            <v>BB</v>
          </cell>
          <cell r="R35">
            <v>0</v>
          </cell>
        </row>
        <row r="36">
          <cell r="C36">
            <v>41214</v>
          </cell>
          <cell r="F36" t="str">
            <v>BB</v>
          </cell>
          <cell r="R36">
            <v>0</v>
          </cell>
        </row>
        <row r="37">
          <cell r="C37">
            <v>41579</v>
          </cell>
          <cell r="F37" t="str">
            <v>BB</v>
          </cell>
          <cell r="R37">
            <v>0</v>
          </cell>
        </row>
        <row r="38">
          <cell r="C38">
            <v>41944</v>
          </cell>
          <cell r="F38" t="str">
            <v>BB</v>
          </cell>
          <cell r="R38">
            <v>0</v>
          </cell>
        </row>
        <row r="39">
          <cell r="C39">
            <v>42309</v>
          </cell>
          <cell r="F39" t="str">
            <v>BB</v>
          </cell>
          <cell r="R39">
            <v>0</v>
          </cell>
        </row>
        <row r="40">
          <cell r="C40">
            <v>37302</v>
          </cell>
          <cell r="F40" t="str">
            <v>CNH</v>
          </cell>
          <cell r="R40">
            <v>0</v>
          </cell>
        </row>
        <row r="41">
          <cell r="C41">
            <v>37483</v>
          </cell>
          <cell r="F41" t="str">
            <v>CNH</v>
          </cell>
          <cell r="R41">
            <v>0</v>
          </cell>
        </row>
        <row r="42">
          <cell r="C42">
            <v>37669</v>
          </cell>
          <cell r="F42" t="str">
            <v>CNH</v>
          </cell>
          <cell r="R42">
            <v>0</v>
          </cell>
        </row>
        <row r="43">
          <cell r="C43">
            <v>37848</v>
          </cell>
          <cell r="F43" t="str">
            <v>CNH</v>
          </cell>
          <cell r="R43">
            <v>0</v>
          </cell>
        </row>
        <row r="44">
          <cell r="C44">
            <v>38032</v>
          </cell>
          <cell r="F44" t="str">
            <v>CNH</v>
          </cell>
          <cell r="R44">
            <v>0</v>
          </cell>
        </row>
        <row r="45">
          <cell r="C45">
            <v>38214</v>
          </cell>
          <cell r="F45" t="str">
            <v>CNH</v>
          </cell>
          <cell r="R45">
            <v>0</v>
          </cell>
        </row>
        <row r="46">
          <cell r="C46">
            <v>38398</v>
          </cell>
          <cell r="F46" t="str">
            <v>CNH</v>
          </cell>
          <cell r="R46">
            <v>0</v>
          </cell>
        </row>
        <row r="47">
          <cell r="C47">
            <v>38763</v>
          </cell>
          <cell r="F47" t="str">
            <v>CNH</v>
          </cell>
          <cell r="R47">
            <v>0</v>
          </cell>
        </row>
        <row r="48">
          <cell r="C48">
            <v>39128</v>
          </cell>
          <cell r="F48" t="str">
            <v>CNH</v>
          </cell>
          <cell r="R48">
            <v>0</v>
          </cell>
        </row>
        <row r="49">
          <cell r="C49">
            <v>39433</v>
          </cell>
          <cell r="F49" t="str">
            <v>CNH</v>
          </cell>
          <cell r="R49">
            <v>0</v>
          </cell>
        </row>
        <row r="50">
          <cell r="C50">
            <v>39493</v>
          </cell>
          <cell r="F50" t="str">
            <v>CNH</v>
          </cell>
          <cell r="R50">
            <v>0</v>
          </cell>
        </row>
        <row r="51">
          <cell r="C51">
            <v>39948</v>
          </cell>
          <cell r="F51" t="str">
            <v>CNH</v>
          </cell>
          <cell r="R51"/>
        </row>
        <row r="52">
          <cell r="C52">
            <v>40042</v>
          </cell>
          <cell r="F52" t="str">
            <v>CNH</v>
          </cell>
          <cell r="R52">
            <v>0</v>
          </cell>
        </row>
        <row r="53">
          <cell r="C53">
            <v>40226</v>
          </cell>
          <cell r="F53" t="str">
            <v>CNH</v>
          </cell>
          <cell r="R53">
            <v>0</v>
          </cell>
        </row>
        <row r="54">
          <cell r="C54">
            <v>40406</v>
          </cell>
          <cell r="F54" t="str">
            <v>CNH</v>
          </cell>
          <cell r="R54">
            <v>0</v>
          </cell>
        </row>
        <row r="55">
          <cell r="C55">
            <v>40589</v>
          </cell>
          <cell r="F55" t="str">
            <v>CNH</v>
          </cell>
          <cell r="R55">
            <v>0</v>
          </cell>
        </row>
        <row r="56">
          <cell r="C56">
            <v>40770</v>
          </cell>
          <cell r="F56" t="str">
            <v>CNH</v>
          </cell>
          <cell r="R56">
            <v>0</v>
          </cell>
        </row>
        <row r="57">
          <cell r="C57">
            <v>40954</v>
          </cell>
          <cell r="F57" t="str">
            <v>CNH</v>
          </cell>
          <cell r="R57">
            <v>0</v>
          </cell>
        </row>
        <row r="58">
          <cell r="C58">
            <v>41136</v>
          </cell>
          <cell r="F58" t="str">
            <v>CNH</v>
          </cell>
          <cell r="R58">
            <v>0</v>
          </cell>
        </row>
        <row r="59">
          <cell r="C59">
            <v>41320</v>
          </cell>
          <cell r="F59" t="str">
            <v>CNH</v>
          </cell>
          <cell r="R59">
            <v>0</v>
          </cell>
        </row>
        <row r="60">
          <cell r="C60">
            <v>41501</v>
          </cell>
          <cell r="F60" t="str">
            <v>CNH</v>
          </cell>
          <cell r="R60">
            <v>0</v>
          </cell>
        </row>
        <row r="61">
          <cell r="C61">
            <v>41687</v>
          </cell>
          <cell r="F61" t="str">
            <v>CNH</v>
          </cell>
          <cell r="R61">
            <v>0</v>
          </cell>
        </row>
        <row r="62">
          <cell r="C62">
            <v>41866</v>
          </cell>
          <cell r="F62" t="str">
            <v>CNH</v>
          </cell>
          <cell r="R62">
            <v>0</v>
          </cell>
        </row>
        <row r="63">
          <cell r="C63">
            <v>42051</v>
          </cell>
          <cell r="F63" t="str">
            <v>CNH</v>
          </cell>
          <cell r="R63">
            <v>0</v>
          </cell>
        </row>
        <row r="64">
          <cell r="C64">
            <v>42233</v>
          </cell>
          <cell r="F64" t="str">
            <v>CNH</v>
          </cell>
          <cell r="R64">
            <v>0</v>
          </cell>
        </row>
        <row r="65">
          <cell r="C65">
            <v>42415</v>
          </cell>
          <cell r="F65" t="str">
            <v>CNH</v>
          </cell>
          <cell r="R65">
            <v>0</v>
          </cell>
        </row>
        <row r="66">
          <cell r="C66">
            <v>42597</v>
          </cell>
          <cell r="F66" t="str">
            <v>CNH</v>
          </cell>
          <cell r="R66">
            <v>91794.831250000003</v>
          </cell>
        </row>
        <row r="67">
          <cell r="C67">
            <v>37483</v>
          </cell>
          <cell r="F67" t="str">
            <v>CNH</v>
          </cell>
          <cell r="R67">
            <v>0</v>
          </cell>
        </row>
        <row r="68">
          <cell r="C68">
            <v>37669</v>
          </cell>
          <cell r="F68" t="str">
            <v>CNH</v>
          </cell>
          <cell r="R68">
            <v>0</v>
          </cell>
        </row>
        <row r="69">
          <cell r="C69">
            <v>37848</v>
          </cell>
          <cell r="F69" t="str">
            <v>CNH</v>
          </cell>
          <cell r="R69">
            <v>0</v>
          </cell>
        </row>
        <row r="70">
          <cell r="C70">
            <v>38032</v>
          </cell>
          <cell r="F70" t="str">
            <v>CNH</v>
          </cell>
          <cell r="R70">
            <v>0</v>
          </cell>
        </row>
        <row r="71">
          <cell r="C71">
            <v>38214</v>
          </cell>
          <cell r="F71" t="str">
            <v>CNH</v>
          </cell>
          <cell r="R71">
            <v>0</v>
          </cell>
        </row>
        <row r="72">
          <cell r="C72">
            <v>38398</v>
          </cell>
          <cell r="F72" t="str">
            <v>CNH</v>
          </cell>
          <cell r="R72">
            <v>0</v>
          </cell>
        </row>
        <row r="73">
          <cell r="C73">
            <v>38763</v>
          </cell>
          <cell r="F73" t="str">
            <v>CNH</v>
          </cell>
          <cell r="R73">
            <v>0</v>
          </cell>
        </row>
        <row r="74">
          <cell r="C74">
            <v>39128</v>
          </cell>
          <cell r="F74" t="str">
            <v>CNH</v>
          </cell>
          <cell r="R74">
            <v>0</v>
          </cell>
        </row>
        <row r="75">
          <cell r="C75">
            <v>39433</v>
          </cell>
          <cell r="F75" t="str">
            <v>CNH</v>
          </cell>
          <cell r="R75">
            <v>0</v>
          </cell>
        </row>
        <row r="76">
          <cell r="C76">
            <v>39493</v>
          </cell>
          <cell r="F76" t="str">
            <v>CNH</v>
          </cell>
          <cell r="R76">
            <v>0</v>
          </cell>
        </row>
        <row r="77">
          <cell r="C77">
            <v>40042</v>
          </cell>
          <cell r="F77" t="str">
            <v>CNH</v>
          </cell>
          <cell r="R77">
            <v>0</v>
          </cell>
        </row>
        <row r="78">
          <cell r="C78">
            <v>40226</v>
          </cell>
          <cell r="F78" t="str">
            <v>CNH</v>
          </cell>
          <cell r="R78">
            <v>0</v>
          </cell>
        </row>
        <row r="79">
          <cell r="C79">
            <v>40406</v>
          </cell>
          <cell r="F79" t="str">
            <v>CNH</v>
          </cell>
          <cell r="R79">
            <v>0</v>
          </cell>
        </row>
        <row r="80">
          <cell r="C80">
            <v>40589</v>
          </cell>
          <cell r="F80" t="str">
            <v>CNH</v>
          </cell>
          <cell r="R80">
            <v>0</v>
          </cell>
        </row>
        <row r="81">
          <cell r="C81">
            <v>40770</v>
          </cell>
          <cell r="F81" t="str">
            <v>CNH</v>
          </cell>
          <cell r="R81">
            <v>0</v>
          </cell>
        </row>
        <row r="82">
          <cell r="C82">
            <v>40954</v>
          </cell>
          <cell r="F82" t="str">
            <v>CNH</v>
          </cell>
          <cell r="R82">
            <v>0</v>
          </cell>
        </row>
        <row r="83">
          <cell r="C83">
            <v>41136</v>
          </cell>
          <cell r="F83" t="str">
            <v>CNH</v>
          </cell>
          <cell r="R83">
            <v>0</v>
          </cell>
        </row>
        <row r="84">
          <cell r="C84">
            <v>41320</v>
          </cell>
          <cell r="F84" t="str">
            <v>CNH</v>
          </cell>
          <cell r="R84">
            <v>0</v>
          </cell>
        </row>
        <row r="85">
          <cell r="C85">
            <v>41501</v>
          </cell>
          <cell r="F85" t="str">
            <v>CNH</v>
          </cell>
          <cell r="R85">
            <v>0</v>
          </cell>
        </row>
        <row r="86">
          <cell r="C86">
            <v>41687</v>
          </cell>
          <cell r="F86" t="str">
            <v>CNH</v>
          </cell>
          <cell r="R86">
            <v>0</v>
          </cell>
        </row>
        <row r="87">
          <cell r="C87">
            <v>41866</v>
          </cell>
          <cell r="F87" t="str">
            <v>CNH</v>
          </cell>
          <cell r="R87">
            <v>0</v>
          </cell>
        </row>
        <row r="88">
          <cell r="C88">
            <v>42051</v>
          </cell>
          <cell r="F88" t="str">
            <v>CNH</v>
          </cell>
          <cell r="R88">
            <v>0</v>
          </cell>
        </row>
        <row r="89">
          <cell r="C89">
            <v>42233</v>
          </cell>
          <cell r="F89" t="str">
            <v>CNH</v>
          </cell>
          <cell r="R89">
            <v>0</v>
          </cell>
        </row>
        <row r="90">
          <cell r="C90">
            <v>42415</v>
          </cell>
          <cell r="F90" t="str">
            <v>CNH</v>
          </cell>
          <cell r="R90">
            <v>0</v>
          </cell>
        </row>
        <row r="91">
          <cell r="C91">
            <v>42597</v>
          </cell>
          <cell r="F91" t="str">
            <v>CNH</v>
          </cell>
          <cell r="R91">
            <v>0</v>
          </cell>
        </row>
        <row r="92">
          <cell r="C92">
            <v>37697</v>
          </cell>
          <cell r="F92" t="str">
            <v>CNH</v>
          </cell>
          <cell r="R92">
            <v>0</v>
          </cell>
        </row>
        <row r="93">
          <cell r="C93">
            <v>37879</v>
          </cell>
          <cell r="F93" t="str">
            <v>CNH</v>
          </cell>
          <cell r="R93">
            <v>0</v>
          </cell>
        </row>
        <row r="94">
          <cell r="C94">
            <v>38061</v>
          </cell>
          <cell r="F94" t="str">
            <v>CNH</v>
          </cell>
          <cell r="R94">
            <v>0</v>
          </cell>
        </row>
        <row r="95">
          <cell r="C95">
            <v>38245</v>
          </cell>
          <cell r="F95" t="str">
            <v>CNH</v>
          </cell>
          <cell r="R95">
            <v>0</v>
          </cell>
        </row>
        <row r="96">
          <cell r="C96">
            <v>38426</v>
          </cell>
          <cell r="F96" t="str">
            <v>CNH</v>
          </cell>
          <cell r="R96">
            <v>0</v>
          </cell>
        </row>
        <row r="97">
          <cell r="C97">
            <v>38791</v>
          </cell>
          <cell r="F97" t="str">
            <v>CNH</v>
          </cell>
          <cell r="R97">
            <v>0</v>
          </cell>
        </row>
        <row r="98">
          <cell r="C98">
            <v>39156</v>
          </cell>
          <cell r="F98" t="str">
            <v>CNH</v>
          </cell>
          <cell r="R98">
            <v>0</v>
          </cell>
        </row>
        <row r="99">
          <cell r="C99">
            <v>39433</v>
          </cell>
          <cell r="F99" t="str">
            <v>CNH</v>
          </cell>
          <cell r="R99">
            <v>0</v>
          </cell>
        </row>
        <row r="100">
          <cell r="C100">
            <v>39522</v>
          </cell>
          <cell r="F100" t="str">
            <v>CNH</v>
          </cell>
          <cell r="R100">
            <v>0</v>
          </cell>
        </row>
        <row r="101">
          <cell r="C101">
            <v>40071</v>
          </cell>
          <cell r="F101" t="str">
            <v>CNH</v>
          </cell>
          <cell r="R101">
            <v>0</v>
          </cell>
        </row>
        <row r="102">
          <cell r="C102">
            <v>40252</v>
          </cell>
          <cell r="F102" t="str">
            <v>CNH</v>
          </cell>
          <cell r="R102">
            <v>0</v>
          </cell>
        </row>
        <row r="103">
          <cell r="C103">
            <v>40436</v>
          </cell>
          <cell r="F103" t="str">
            <v>CNH</v>
          </cell>
          <cell r="R103">
            <v>0</v>
          </cell>
        </row>
        <row r="104">
          <cell r="C104">
            <v>40617</v>
          </cell>
          <cell r="F104" t="str">
            <v>CNH</v>
          </cell>
          <cell r="R104">
            <v>0</v>
          </cell>
        </row>
        <row r="105">
          <cell r="C105">
            <v>40801</v>
          </cell>
          <cell r="F105" t="str">
            <v>CNH</v>
          </cell>
          <cell r="R105">
            <v>0</v>
          </cell>
        </row>
        <row r="106">
          <cell r="C106">
            <v>40983</v>
          </cell>
          <cell r="F106" t="str">
            <v>CNH</v>
          </cell>
          <cell r="R106">
            <v>0</v>
          </cell>
        </row>
        <row r="107">
          <cell r="C107">
            <v>41169</v>
          </cell>
          <cell r="F107" t="str">
            <v>CNH</v>
          </cell>
          <cell r="R107">
            <v>0</v>
          </cell>
        </row>
        <row r="108">
          <cell r="C108">
            <v>41348</v>
          </cell>
          <cell r="F108" t="str">
            <v>CNH</v>
          </cell>
          <cell r="R108">
            <v>0</v>
          </cell>
        </row>
        <row r="109">
          <cell r="C109">
            <v>41533</v>
          </cell>
          <cell r="F109" t="str">
            <v>CNH</v>
          </cell>
          <cell r="R109">
            <v>0</v>
          </cell>
        </row>
        <row r="110">
          <cell r="C110">
            <v>41715</v>
          </cell>
          <cell r="F110" t="str">
            <v>CNH</v>
          </cell>
          <cell r="R110">
            <v>0</v>
          </cell>
        </row>
        <row r="111">
          <cell r="C111">
            <v>41897</v>
          </cell>
          <cell r="F111" t="str">
            <v>CNH</v>
          </cell>
          <cell r="R111">
            <v>0</v>
          </cell>
        </row>
        <row r="112">
          <cell r="C112">
            <v>42079</v>
          </cell>
          <cell r="F112" t="str">
            <v>CNH</v>
          </cell>
          <cell r="R112">
            <v>0</v>
          </cell>
        </row>
        <row r="113">
          <cell r="C113">
            <v>42262</v>
          </cell>
          <cell r="F113" t="str">
            <v>CNH</v>
          </cell>
          <cell r="R113">
            <v>0</v>
          </cell>
        </row>
        <row r="114">
          <cell r="C114">
            <v>42444</v>
          </cell>
          <cell r="F114" t="str">
            <v>CNH</v>
          </cell>
          <cell r="R114">
            <v>0</v>
          </cell>
        </row>
        <row r="115">
          <cell r="C115">
            <v>42628</v>
          </cell>
          <cell r="F115" t="str">
            <v>CNH</v>
          </cell>
          <cell r="R115">
            <v>203200.6709836006</v>
          </cell>
        </row>
        <row r="116">
          <cell r="C116">
            <v>37697</v>
          </cell>
          <cell r="F116" t="str">
            <v>CNH</v>
          </cell>
          <cell r="R116">
            <v>0</v>
          </cell>
        </row>
        <row r="117">
          <cell r="C117">
            <v>37879</v>
          </cell>
          <cell r="F117" t="str">
            <v>CNH</v>
          </cell>
          <cell r="R117">
            <v>0</v>
          </cell>
        </row>
        <row r="118">
          <cell r="C118">
            <v>38061</v>
          </cell>
          <cell r="F118" t="str">
            <v>CNH</v>
          </cell>
          <cell r="R118">
            <v>0</v>
          </cell>
        </row>
        <row r="119">
          <cell r="C119">
            <v>38245</v>
          </cell>
          <cell r="F119" t="str">
            <v>CNH</v>
          </cell>
          <cell r="R119">
            <v>0</v>
          </cell>
        </row>
        <row r="120">
          <cell r="C120">
            <v>38426</v>
          </cell>
          <cell r="F120" t="str">
            <v>CNH</v>
          </cell>
          <cell r="R120">
            <v>0</v>
          </cell>
        </row>
        <row r="121">
          <cell r="C121">
            <v>38791</v>
          </cell>
          <cell r="F121" t="str">
            <v>CNH</v>
          </cell>
          <cell r="R121">
            <v>0</v>
          </cell>
        </row>
        <row r="122">
          <cell r="C122">
            <v>39156</v>
          </cell>
          <cell r="F122" t="str">
            <v>CNH</v>
          </cell>
          <cell r="R122">
            <v>0</v>
          </cell>
        </row>
        <row r="123">
          <cell r="C123">
            <v>39433</v>
          </cell>
          <cell r="F123" t="str">
            <v>CNH</v>
          </cell>
          <cell r="R123">
            <v>0</v>
          </cell>
        </row>
        <row r="124">
          <cell r="C124">
            <v>39522</v>
          </cell>
          <cell r="F124" t="str">
            <v>CNH</v>
          </cell>
          <cell r="R124">
            <v>0</v>
          </cell>
        </row>
        <row r="125">
          <cell r="C125">
            <v>40071</v>
          </cell>
          <cell r="F125" t="str">
            <v>CNH</v>
          </cell>
          <cell r="R125">
            <v>0</v>
          </cell>
        </row>
        <row r="126">
          <cell r="C126">
            <v>40252</v>
          </cell>
          <cell r="F126" t="str">
            <v>CNH</v>
          </cell>
          <cell r="R126">
            <v>0</v>
          </cell>
        </row>
        <row r="127">
          <cell r="C127">
            <v>40436</v>
          </cell>
          <cell r="F127" t="str">
            <v>CNH</v>
          </cell>
          <cell r="R127">
            <v>0</v>
          </cell>
        </row>
        <row r="128">
          <cell r="C128">
            <v>40617</v>
          </cell>
          <cell r="F128" t="str">
            <v>CNH</v>
          </cell>
          <cell r="R128">
            <v>0</v>
          </cell>
        </row>
        <row r="129">
          <cell r="C129">
            <v>40801</v>
          </cell>
          <cell r="F129" t="str">
            <v>CNH</v>
          </cell>
          <cell r="R129">
            <v>0</v>
          </cell>
        </row>
        <row r="130">
          <cell r="C130">
            <v>40983</v>
          </cell>
          <cell r="F130" t="str">
            <v>CNH</v>
          </cell>
          <cell r="R130">
            <v>0</v>
          </cell>
        </row>
        <row r="131">
          <cell r="C131">
            <v>41167</v>
          </cell>
          <cell r="F131" t="str">
            <v>CNH</v>
          </cell>
          <cell r="R131">
            <v>0</v>
          </cell>
        </row>
        <row r="132">
          <cell r="C132">
            <v>41348</v>
          </cell>
          <cell r="F132" t="str">
            <v>CNH</v>
          </cell>
          <cell r="R132">
            <v>0</v>
          </cell>
        </row>
        <row r="133">
          <cell r="C133">
            <v>41532</v>
          </cell>
          <cell r="F133" t="str">
            <v>CNH</v>
          </cell>
          <cell r="R133">
            <v>0</v>
          </cell>
        </row>
        <row r="134">
          <cell r="C134">
            <v>41713</v>
          </cell>
          <cell r="F134" t="str">
            <v>CNH</v>
          </cell>
          <cell r="R134">
            <v>0</v>
          </cell>
        </row>
        <row r="135">
          <cell r="C135">
            <v>41897</v>
          </cell>
          <cell r="F135" t="str">
            <v>CNH</v>
          </cell>
          <cell r="R135">
            <v>0</v>
          </cell>
        </row>
        <row r="136">
          <cell r="C136">
            <v>42078</v>
          </cell>
          <cell r="F136" t="str">
            <v>CNH</v>
          </cell>
          <cell r="R136">
            <v>0</v>
          </cell>
        </row>
        <row r="137">
          <cell r="C137">
            <v>42262</v>
          </cell>
          <cell r="F137" t="str">
            <v>CNH</v>
          </cell>
          <cell r="R137">
            <v>0</v>
          </cell>
        </row>
        <row r="138">
          <cell r="C138">
            <v>37970</v>
          </cell>
          <cell r="F138" t="str">
            <v>CNH</v>
          </cell>
          <cell r="R138">
            <v>0</v>
          </cell>
        </row>
        <row r="139">
          <cell r="C139">
            <v>38153</v>
          </cell>
          <cell r="F139" t="str">
            <v>CNH</v>
          </cell>
          <cell r="R139">
            <v>0</v>
          </cell>
        </row>
        <row r="140">
          <cell r="C140">
            <v>38336</v>
          </cell>
          <cell r="F140" t="str">
            <v>CNH</v>
          </cell>
          <cell r="R140">
            <v>0</v>
          </cell>
        </row>
        <row r="141">
          <cell r="C141">
            <v>39248</v>
          </cell>
          <cell r="F141" t="str">
            <v>CNH</v>
          </cell>
          <cell r="R141">
            <v>0</v>
          </cell>
        </row>
        <row r="142">
          <cell r="C142">
            <v>39433</v>
          </cell>
          <cell r="F142" t="str">
            <v>CNH</v>
          </cell>
          <cell r="R142">
            <v>0</v>
          </cell>
        </row>
        <row r="143">
          <cell r="C143">
            <v>39615</v>
          </cell>
          <cell r="F143" t="str">
            <v>CNH</v>
          </cell>
          <cell r="R143">
            <v>0</v>
          </cell>
        </row>
        <row r="144">
          <cell r="C144">
            <v>39979</v>
          </cell>
          <cell r="F144" t="str">
            <v>CNH</v>
          </cell>
          <cell r="R144">
            <v>0</v>
          </cell>
        </row>
        <row r="145">
          <cell r="C145">
            <v>40162</v>
          </cell>
          <cell r="F145" t="str">
            <v>CNH</v>
          </cell>
          <cell r="R145">
            <v>0</v>
          </cell>
        </row>
        <row r="146">
          <cell r="C146">
            <v>40344</v>
          </cell>
          <cell r="F146" t="str">
            <v>CNH</v>
          </cell>
          <cell r="R146">
            <v>0</v>
          </cell>
        </row>
        <row r="147">
          <cell r="C147">
            <v>40527</v>
          </cell>
          <cell r="F147" t="str">
            <v>CNH</v>
          </cell>
          <cell r="R147">
            <v>0</v>
          </cell>
        </row>
        <row r="148">
          <cell r="C148">
            <v>40709</v>
          </cell>
          <cell r="F148" t="str">
            <v>CNH</v>
          </cell>
          <cell r="R148">
            <v>0</v>
          </cell>
        </row>
        <row r="149">
          <cell r="C149">
            <v>40892</v>
          </cell>
          <cell r="F149" t="str">
            <v>CNH</v>
          </cell>
          <cell r="R149">
            <v>0</v>
          </cell>
        </row>
        <row r="150">
          <cell r="C150">
            <v>41075</v>
          </cell>
          <cell r="F150" t="str">
            <v>CNH</v>
          </cell>
          <cell r="R150">
            <v>0</v>
          </cell>
        </row>
        <row r="151">
          <cell r="C151">
            <v>41258</v>
          </cell>
          <cell r="F151" t="str">
            <v>CNH</v>
          </cell>
          <cell r="R151">
            <v>0</v>
          </cell>
        </row>
        <row r="152">
          <cell r="C152">
            <v>41440</v>
          </cell>
          <cell r="F152" t="str">
            <v>CNH</v>
          </cell>
          <cell r="R152">
            <v>0</v>
          </cell>
        </row>
        <row r="153">
          <cell r="C153">
            <v>41623</v>
          </cell>
          <cell r="F153" t="str">
            <v>CNH</v>
          </cell>
          <cell r="R153">
            <v>0</v>
          </cell>
        </row>
        <row r="154">
          <cell r="C154">
            <v>41805</v>
          </cell>
          <cell r="F154" t="str">
            <v>CNH</v>
          </cell>
          <cell r="R154">
            <v>0</v>
          </cell>
        </row>
        <row r="155">
          <cell r="C155">
            <v>41988</v>
          </cell>
          <cell r="F155" t="str">
            <v>CNH</v>
          </cell>
          <cell r="R155">
            <v>0</v>
          </cell>
        </row>
        <row r="156">
          <cell r="C156">
            <v>42170</v>
          </cell>
          <cell r="F156" t="str">
            <v>CNH</v>
          </cell>
          <cell r="R156">
            <v>0</v>
          </cell>
        </row>
        <row r="157">
          <cell r="C157">
            <v>42353</v>
          </cell>
          <cell r="F157" t="str">
            <v>CNH</v>
          </cell>
          <cell r="R157">
            <v>0</v>
          </cell>
        </row>
        <row r="158">
          <cell r="C158">
            <v>42536</v>
          </cell>
          <cell r="F158" t="str">
            <v>CNH</v>
          </cell>
          <cell r="R158">
            <v>0</v>
          </cell>
        </row>
        <row r="159">
          <cell r="C159">
            <v>38124</v>
          </cell>
          <cell r="F159" t="str">
            <v>CNH</v>
          </cell>
          <cell r="R159">
            <v>0</v>
          </cell>
        </row>
        <row r="160">
          <cell r="C160">
            <v>38307</v>
          </cell>
          <cell r="F160" t="str">
            <v>CNH</v>
          </cell>
          <cell r="R160">
            <v>0</v>
          </cell>
        </row>
        <row r="161">
          <cell r="C161">
            <v>39217</v>
          </cell>
          <cell r="F161" t="str">
            <v>CNH</v>
          </cell>
          <cell r="R161">
            <v>0</v>
          </cell>
        </row>
        <row r="162">
          <cell r="C162">
            <v>39433</v>
          </cell>
          <cell r="F162" t="str">
            <v>CNH</v>
          </cell>
          <cell r="R162">
            <v>0</v>
          </cell>
        </row>
        <row r="163">
          <cell r="C163">
            <v>39583</v>
          </cell>
          <cell r="F163" t="str">
            <v>CNH</v>
          </cell>
          <cell r="R163">
            <v>0</v>
          </cell>
        </row>
        <row r="164">
          <cell r="C164">
            <v>39769</v>
          </cell>
          <cell r="F164" t="str">
            <v>CNH</v>
          </cell>
          <cell r="R164">
            <v>0</v>
          </cell>
        </row>
        <row r="165">
          <cell r="C165">
            <v>40133</v>
          </cell>
          <cell r="F165" t="str">
            <v>CNH</v>
          </cell>
          <cell r="R165">
            <v>0</v>
          </cell>
        </row>
        <row r="166">
          <cell r="C166">
            <v>40285</v>
          </cell>
          <cell r="F166" t="str">
            <v>CNH</v>
          </cell>
          <cell r="R166">
            <v>0</v>
          </cell>
        </row>
        <row r="167">
          <cell r="C167">
            <v>40315</v>
          </cell>
          <cell r="F167" t="str">
            <v>CNH</v>
          </cell>
          <cell r="R167">
            <v>0</v>
          </cell>
        </row>
        <row r="168">
          <cell r="C168">
            <v>40498</v>
          </cell>
          <cell r="F168" t="str">
            <v>CNH</v>
          </cell>
          <cell r="R168">
            <v>0</v>
          </cell>
        </row>
        <row r="169">
          <cell r="C169">
            <v>40679</v>
          </cell>
          <cell r="F169" t="str">
            <v>CNH</v>
          </cell>
          <cell r="R169">
            <v>0</v>
          </cell>
        </row>
        <row r="170">
          <cell r="C170">
            <v>40863</v>
          </cell>
          <cell r="F170" t="str">
            <v>CNH</v>
          </cell>
          <cell r="R170">
            <v>0</v>
          </cell>
        </row>
        <row r="171">
          <cell r="C171">
            <v>41044</v>
          </cell>
          <cell r="F171" t="str">
            <v>CNH</v>
          </cell>
          <cell r="R171">
            <v>0</v>
          </cell>
        </row>
        <row r="172">
          <cell r="C172">
            <v>41229</v>
          </cell>
          <cell r="F172" t="str">
            <v>CNH</v>
          </cell>
          <cell r="R172">
            <v>0</v>
          </cell>
        </row>
        <row r="173">
          <cell r="C173">
            <v>41409</v>
          </cell>
          <cell r="F173" t="str">
            <v>CNH</v>
          </cell>
          <cell r="R173">
            <v>0</v>
          </cell>
        </row>
        <row r="174">
          <cell r="C174">
            <v>41596</v>
          </cell>
          <cell r="F174" t="str">
            <v>CNH</v>
          </cell>
          <cell r="R174">
            <v>0</v>
          </cell>
        </row>
        <row r="175">
          <cell r="C175">
            <v>41774</v>
          </cell>
          <cell r="F175" t="str">
            <v>CNH</v>
          </cell>
          <cell r="R175">
            <v>0</v>
          </cell>
        </row>
        <row r="176">
          <cell r="C176">
            <v>41960</v>
          </cell>
          <cell r="F176" t="str">
            <v>CNH</v>
          </cell>
          <cell r="R176">
            <v>0</v>
          </cell>
        </row>
        <row r="177">
          <cell r="C177">
            <v>42139</v>
          </cell>
          <cell r="F177" t="str">
            <v>CNH</v>
          </cell>
          <cell r="R177">
            <v>0</v>
          </cell>
        </row>
        <row r="178">
          <cell r="C178">
            <v>38124</v>
          </cell>
          <cell r="F178" t="str">
            <v>CNH</v>
          </cell>
          <cell r="R178">
            <v>0</v>
          </cell>
        </row>
        <row r="179">
          <cell r="C179">
            <v>38307</v>
          </cell>
          <cell r="F179" t="str">
            <v>CNH</v>
          </cell>
          <cell r="R179">
            <v>0</v>
          </cell>
        </row>
        <row r="180">
          <cell r="C180">
            <v>39433</v>
          </cell>
          <cell r="F180" t="str">
            <v>CNH</v>
          </cell>
          <cell r="R180">
            <v>0</v>
          </cell>
        </row>
        <row r="181">
          <cell r="C181">
            <v>39583</v>
          </cell>
          <cell r="F181" t="str">
            <v>CNH</v>
          </cell>
          <cell r="R181">
            <v>0</v>
          </cell>
        </row>
        <row r="182">
          <cell r="C182">
            <v>40133</v>
          </cell>
          <cell r="F182" t="str">
            <v>CNH</v>
          </cell>
          <cell r="R182">
            <v>0</v>
          </cell>
        </row>
        <row r="183">
          <cell r="C183">
            <v>40283</v>
          </cell>
          <cell r="F183" t="str">
            <v>CNH</v>
          </cell>
          <cell r="R183">
            <v>0</v>
          </cell>
        </row>
        <row r="184">
          <cell r="C184">
            <v>40315</v>
          </cell>
          <cell r="F184" t="str">
            <v>CNH</v>
          </cell>
          <cell r="R184">
            <v>0</v>
          </cell>
        </row>
        <row r="185">
          <cell r="C185">
            <v>40498</v>
          </cell>
          <cell r="F185" t="str">
            <v>CNH</v>
          </cell>
          <cell r="R185">
            <v>0</v>
          </cell>
        </row>
        <row r="186">
          <cell r="C186">
            <v>40679</v>
          </cell>
          <cell r="F186" t="str">
            <v>CNH</v>
          </cell>
          <cell r="R186">
            <v>0</v>
          </cell>
        </row>
        <row r="187">
          <cell r="C187">
            <v>40862</v>
          </cell>
          <cell r="F187" t="str">
            <v>CNH</v>
          </cell>
          <cell r="R187">
            <v>0</v>
          </cell>
        </row>
        <row r="188">
          <cell r="C188">
            <v>41044</v>
          </cell>
          <cell r="F188" t="str">
            <v>CNH</v>
          </cell>
          <cell r="R188">
            <v>0</v>
          </cell>
        </row>
        <row r="189">
          <cell r="C189">
            <v>41228</v>
          </cell>
          <cell r="F189" t="str">
            <v>CNH</v>
          </cell>
          <cell r="R189">
            <v>0</v>
          </cell>
        </row>
        <row r="190">
          <cell r="C190">
            <v>41409</v>
          </cell>
          <cell r="F190" t="str">
            <v>CNH</v>
          </cell>
          <cell r="R190">
            <v>0</v>
          </cell>
        </row>
        <row r="191">
          <cell r="C191">
            <v>41593</v>
          </cell>
          <cell r="F191" t="str">
            <v>CNH</v>
          </cell>
          <cell r="R191">
            <v>0</v>
          </cell>
        </row>
        <row r="192">
          <cell r="C192">
            <v>41774</v>
          </cell>
          <cell r="F192" t="str">
            <v>CNH</v>
          </cell>
          <cell r="R192">
            <v>0</v>
          </cell>
        </row>
        <row r="193">
          <cell r="C193">
            <v>41960</v>
          </cell>
          <cell r="F193" t="str">
            <v>CNH</v>
          </cell>
          <cell r="R193">
            <v>0</v>
          </cell>
        </row>
        <row r="194">
          <cell r="C194">
            <v>42139</v>
          </cell>
          <cell r="F194" t="str">
            <v>CNH</v>
          </cell>
          <cell r="R194">
            <v>0</v>
          </cell>
        </row>
        <row r="195">
          <cell r="C195">
            <v>42324</v>
          </cell>
          <cell r="F195" t="str">
            <v>CNH</v>
          </cell>
          <cell r="R195">
            <v>0</v>
          </cell>
        </row>
        <row r="196">
          <cell r="C196">
            <v>42506</v>
          </cell>
          <cell r="F196" t="str">
            <v>CNH</v>
          </cell>
          <cell r="R196">
            <v>0</v>
          </cell>
        </row>
        <row r="197">
          <cell r="C197">
            <v>38306</v>
          </cell>
          <cell r="F197" t="str">
            <v>CNH</v>
          </cell>
          <cell r="R197">
            <v>0</v>
          </cell>
        </row>
        <row r="198">
          <cell r="C198">
            <v>38852</v>
          </cell>
          <cell r="F198" t="str">
            <v>CNH</v>
          </cell>
          <cell r="R198">
            <v>0</v>
          </cell>
        </row>
        <row r="199">
          <cell r="C199">
            <v>39217</v>
          </cell>
          <cell r="F199" t="str">
            <v>CNH</v>
          </cell>
          <cell r="R199">
            <v>0</v>
          </cell>
        </row>
        <row r="200">
          <cell r="C200">
            <v>39433</v>
          </cell>
          <cell r="F200" t="str">
            <v>CNH</v>
          </cell>
          <cell r="R200">
            <v>0</v>
          </cell>
        </row>
        <row r="201">
          <cell r="C201">
            <v>39583</v>
          </cell>
          <cell r="F201" t="str">
            <v>CNH</v>
          </cell>
          <cell r="R201">
            <v>0</v>
          </cell>
        </row>
        <row r="202">
          <cell r="C202">
            <v>40071</v>
          </cell>
          <cell r="F202" t="str">
            <v>CNH</v>
          </cell>
          <cell r="R202">
            <v>0</v>
          </cell>
        </row>
        <row r="203">
          <cell r="C203">
            <v>40133</v>
          </cell>
          <cell r="F203" t="str">
            <v>CNH</v>
          </cell>
          <cell r="R203">
            <v>0</v>
          </cell>
        </row>
        <row r="204">
          <cell r="C204">
            <v>40315</v>
          </cell>
          <cell r="F204" t="str">
            <v>CNH</v>
          </cell>
          <cell r="R204">
            <v>0</v>
          </cell>
        </row>
        <row r="205">
          <cell r="C205">
            <v>40436</v>
          </cell>
          <cell r="F205" t="str">
            <v>CNH</v>
          </cell>
          <cell r="R205">
            <v>0</v>
          </cell>
        </row>
        <row r="206">
          <cell r="C206">
            <v>40498</v>
          </cell>
          <cell r="F206" t="str">
            <v>CNH</v>
          </cell>
          <cell r="R206">
            <v>0</v>
          </cell>
        </row>
        <row r="207">
          <cell r="C207">
            <v>40679</v>
          </cell>
          <cell r="F207" t="str">
            <v>CNH</v>
          </cell>
          <cell r="R207">
            <v>0</v>
          </cell>
        </row>
        <row r="208">
          <cell r="C208">
            <v>40801</v>
          </cell>
          <cell r="F208" t="str">
            <v>CNH</v>
          </cell>
          <cell r="R208">
            <v>0</v>
          </cell>
        </row>
        <row r="209">
          <cell r="C209">
            <v>40862</v>
          </cell>
          <cell r="F209" t="str">
            <v>CNH</v>
          </cell>
          <cell r="R209">
            <v>0</v>
          </cell>
        </row>
        <row r="210">
          <cell r="C210">
            <v>41044</v>
          </cell>
          <cell r="F210" t="str">
            <v>CNH</v>
          </cell>
          <cell r="R210">
            <v>0</v>
          </cell>
        </row>
        <row r="211">
          <cell r="C211">
            <v>41228</v>
          </cell>
          <cell r="F211" t="str">
            <v>CNH</v>
          </cell>
          <cell r="R211">
            <v>0</v>
          </cell>
        </row>
        <row r="212">
          <cell r="C212">
            <v>41409</v>
          </cell>
          <cell r="F212" t="str">
            <v>CNH</v>
          </cell>
          <cell r="R212">
            <v>0</v>
          </cell>
        </row>
        <row r="213">
          <cell r="C213">
            <v>41593</v>
          </cell>
          <cell r="F213" t="str">
            <v>CNH</v>
          </cell>
          <cell r="R213">
            <v>0</v>
          </cell>
        </row>
        <row r="214">
          <cell r="C214">
            <v>41774</v>
          </cell>
          <cell r="F214" t="str">
            <v>CNH</v>
          </cell>
          <cell r="R214">
            <v>0</v>
          </cell>
        </row>
        <row r="215">
          <cell r="C215">
            <v>41960</v>
          </cell>
          <cell r="F215" t="str">
            <v>CNH</v>
          </cell>
          <cell r="R215">
            <v>0</v>
          </cell>
        </row>
        <row r="216">
          <cell r="C216">
            <v>42139</v>
          </cell>
          <cell r="F216" t="str">
            <v>CNH</v>
          </cell>
          <cell r="R216">
            <v>0</v>
          </cell>
        </row>
        <row r="217">
          <cell r="C217">
            <v>42324</v>
          </cell>
          <cell r="F217" t="str">
            <v>CNH</v>
          </cell>
          <cell r="R217">
            <v>0</v>
          </cell>
        </row>
        <row r="218">
          <cell r="C218">
            <v>39433</v>
          </cell>
          <cell r="F218" t="str">
            <v>CNH</v>
          </cell>
          <cell r="R218">
            <v>0</v>
          </cell>
        </row>
        <row r="219">
          <cell r="C219">
            <v>39583</v>
          </cell>
          <cell r="F219" t="str">
            <v>CNH</v>
          </cell>
          <cell r="R219">
            <v>0</v>
          </cell>
        </row>
        <row r="220">
          <cell r="C220">
            <v>40133</v>
          </cell>
          <cell r="F220" t="str">
            <v>CNH</v>
          </cell>
          <cell r="R220">
            <v>0</v>
          </cell>
        </row>
        <row r="221">
          <cell r="C221">
            <v>40283</v>
          </cell>
          <cell r="F221" t="str">
            <v>CNH</v>
          </cell>
          <cell r="R221">
            <v>0</v>
          </cell>
        </row>
        <row r="222">
          <cell r="C222">
            <v>40313</v>
          </cell>
          <cell r="F222" t="str">
            <v>CNH</v>
          </cell>
          <cell r="R222">
            <v>0</v>
          </cell>
        </row>
        <row r="223">
          <cell r="C223">
            <v>40498</v>
          </cell>
          <cell r="F223" t="str">
            <v>CNH</v>
          </cell>
          <cell r="R223">
            <v>0</v>
          </cell>
        </row>
        <row r="224">
          <cell r="C224">
            <v>40679</v>
          </cell>
          <cell r="F224" t="str">
            <v>CNH</v>
          </cell>
          <cell r="R224">
            <v>0</v>
          </cell>
        </row>
        <row r="225">
          <cell r="C225">
            <v>40863</v>
          </cell>
          <cell r="F225" t="str">
            <v>CNH</v>
          </cell>
          <cell r="R225">
            <v>0</v>
          </cell>
        </row>
        <row r="226">
          <cell r="C226">
            <v>41044</v>
          </cell>
          <cell r="F226" t="str">
            <v>CNH</v>
          </cell>
          <cell r="R226">
            <v>0</v>
          </cell>
        </row>
        <row r="227">
          <cell r="C227">
            <v>41228</v>
          </cell>
          <cell r="F227" t="str">
            <v>CNH</v>
          </cell>
          <cell r="R227">
            <v>0</v>
          </cell>
        </row>
        <row r="228">
          <cell r="C228">
            <v>41409</v>
          </cell>
          <cell r="F228" t="str">
            <v>CNH</v>
          </cell>
          <cell r="R228">
            <v>0</v>
          </cell>
        </row>
        <row r="229">
          <cell r="C229">
            <v>41593</v>
          </cell>
          <cell r="F229" t="str">
            <v>CNH</v>
          </cell>
          <cell r="R229">
            <v>0</v>
          </cell>
        </row>
        <row r="230">
          <cell r="C230">
            <v>41774</v>
          </cell>
          <cell r="F230" t="str">
            <v>CNH</v>
          </cell>
          <cell r="R230">
            <v>0</v>
          </cell>
        </row>
        <row r="231">
          <cell r="C231">
            <v>41960</v>
          </cell>
          <cell r="F231" t="str">
            <v>CNH</v>
          </cell>
          <cell r="R231">
            <v>0</v>
          </cell>
        </row>
        <row r="232">
          <cell r="C232">
            <v>42139</v>
          </cell>
          <cell r="F232" t="str">
            <v>CNH</v>
          </cell>
          <cell r="R232">
            <v>0</v>
          </cell>
        </row>
        <row r="233">
          <cell r="C233">
            <v>42324</v>
          </cell>
          <cell r="F233" t="str">
            <v>CNH</v>
          </cell>
          <cell r="R233">
            <v>0</v>
          </cell>
        </row>
        <row r="234">
          <cell r="C234">
            <v>42506</v>
          </cell>
          <cell r="F234" t="str">
            <v>CNH</v>
          </cell>
          <cell r="R234">
            <v>0</v>
          </cell>
        </row>
        <row r="235">
          <cell r="C235">
            <v>42690</v>
          </cell>
          <cell r="F235" t="str">
            <v>CNH</v>
          </cell>
          <cell r="R235">
            <v>0</v>
          </cell>
        </row>
        <row r="236">
          <cell r="C236">
            <v>42870</v>
          </cell>
          <cell r="F236" t="str">
            <v>CNH</v>
          </cell>
          <cell r="R236">
            <v>251829.31666666671</v>
          </cell>
        </row>
        <row r="237">
          <cell r="C237">
            <v>39433</v>
          </cell>
          <cell r="F237" t="str">
            <v>CNH</v>
          </cell>
          <cell r="R237">
            <v>0</v>
          </cell>
        </row>
        <row r="238">
          <cell r="C238">
            <v>39583</v>
          </cell>
          <cell r="F238" t="str">
            <v>CNH</v>
          </cell>
          <cell r="R238">
            <v>0</v>
          </cell>
        </row>
        <row r="239">
          <cell r="C239">
            <v>40133</v>
          </cell>
          <cell r="F239" t="str">
            <v>CNH</v>
          </cell>
          <cell r="R239">
            <v>0</v>
          </cell>
        </row>
        <row r="240">
          <cell r="C240">
            <v>40283</v>
          </cell>
          <cell r="F240" t="str">
            <v>CNH</v>
          </cell>
          <cell r="R240">
            <v>0</v>
          </cell>
        </row>
        <row r="241">
          <cell r="C241">
            <v>40313</v>
          </cell>
          <cell r="F241" t="str">
            <v>CNH</v>
          </cell>
          <cell r="R241">
            <v>0</v>
          </cell>
        </row>
        <row r="242">
          <cell r="C242">
            <v>40498</v>
          </cell>
          <cell r="F242" t="str">
            <v>CNH</v>
          </cell>
          <cell r="R242">
            <v>0</v>
          </cell>
        </row>
        <row r="243">
          <cell r="C243">
            <v>40679</v>
          </cell>
          <cell r="F243" t="str">
            <v>CNH</v>
          </cell>
          <cell r="R243">
            <v>0</v>
          </cell>
        </row>
        <row r="244">
          <cell r="C244">
            <v>40863</v>
          </cell>
          <cell r="F244" t="str">
            <v>CNH</v>
          </cell>
          <cell r="R244">
            <v>0</v>
          </cell>
        </row>
        <row r="245">
          <cell r="C245">
            <v>41044</v>
          </cell>
          <cell r="F245" t="str">
            <v>CNH</v>
          </cell>
          <cell r="R245">
            <v>0</v>
          </cell>
        </row>
        <row r="246">
          <cell r="C246">
            <v>41229</v>
          </cell>
          <cell r="F246" t="str">
            <v>CNH</v>
          </cell>
          <cell r="R246">
            <v>0</v>
          </cell>
        </row>
        <row r="247">
          <cell r="C247">
            <v>41409</v>
          </cell>
          <cell r="F247" t="str">
            <v>CNH</v>
          </cell>
          <cell r="R247">
            <v>0</v>
          </cell>
        </row>
        <row r="248">
          <cell r="C248">
            <v>41596</v>
          </cell>
          <cell r="F248" t="str">
            <v>CNH</v>
          </cell>
          <cell r="R248">
            <v>0</v>
          </cell>
        </row>
        <row r="249">
          <cell r="C249">
            <v>41774</v>
          </cell>
          <cell r="F249" t="str">
            <v>CNH</v>
          </cell>
          <cell r="R249">
            <v>0</v>
          </cell>
        </row>
        <row r="250">
          <cell r="C250">
            <v>41959</v>
          </cell>
          <cell r="F250" t="str">
            <v>CNH</v>
          </cell>
          <cell r="R250">
            <v>0</v>
          </cell>
        </row>
        <row r="251">
          <cell r="C251">
            <v>42139</v>
          </cell>
          <cell r="F251" t="str">
            <v>CNH</v>
          </cell>
          <cell r="R251">
            <v>0</v>
          </cell>
        </row>
        <row r="252">
          <cell r="C252">
            <v>42324</v>
          </cell>
          <cell r="F252" t="str">
            <v>CNH</v>
          </cell>
          <cell r="R252">
            <v>0</v>
          </cell>
        </row>
        <row r="253">
          <cell r="C253">
            <v>42505</v>
          </cell>
          <cell r="F253" t="str">
            <v>CNH</v>
          </cell>
          <cell r="R253">
            <v>0</v>
          </cell>
        </row>
        <row r="254">
          <cell r="C254">
            <v>38791</v>
          </cell>
          <cell r="F254" t="str">
            <v>CNH</v>
          </cell>
          <cell r="R254">
            <v>0</v>
          </cell>
        </row>
        <row r="255">
          <cell r="C255">
            <v>39156</v>
          </cell>
          <cell r="F255" t="str">
            <v>CNH</v>
          </cell>
          <cell r="R255">
            <v>0</v>
          </cell>
        </row>
        <row r="256">
          <cell r="C256">
            <v>39433</v>
          </cell>
          <cell r="F256" t="str">
            <v>CNH</v>
          </cell>
          <cell r="R256">
            <v>0</v>
          </cell>
        </row>
        <row r="257">
          <cell r="C257">
            <v>39524</v>
          </cell>
          <cell r="F257" t="str">
            <v>CNH</v>
          </cell>
          <cell r="R257">
            <v>0</v>
          </cell>
        </row>
        <row r="258">
          <cell r="C258">
            <v>40071</v>
          </cell>
          <cell r="F258" t="str">
            <v>CNH</v>
          </cell>
          <cell r="R258">
            <v>0</v>
          </cell>
        </row>
        <row r="259">
          <cell r="C259">
            <v>40252</v>
          </cell>
          <cell r="F259" t="str">
            <v>CNH</v>
          </cell>
          <cell r="R259">
            <v>0</v>
          </cell>
        </row>
        <row r="260">
          <cell r="C260">
            <v>40436</v>
          </cell>
          <cell r="F260" t="str">
            <v>CNH</v>
          </cell>
          <cell r="R260">
            <v>0</v>
          </cell>
        </row>
        <row r="261">
          <cell r="C261">
            <v>40617</v>
          </cell>
          <cell r="F261" t="str">
            <v>CNH</v>
          </cell>
          <cell r="R261">
            <v>0</v>
          </cell>
        </row>
        <row r="262">
          <cell r="C262">
            <v>40801</v>
          </cell>
          <cell r="F262" t="str">
            <v>CNH</v>
          </cell>
          <cell r="R262">
            <v>0</v>
          </cell>
        </row>
        <row r="263">
          <cell r="C263">
            <v>40983</v>
          </cell>
          <cell r="F263" t="str">
            <v>CNH</v>
          </cell>
          <cell r="R263">
            <v>0</v>
          </cell>
        </row>
        <row r="264">
          <cell r="C264">
            <v>41169</v>
          </cell>
          <cell r="F264" t="str">
            <v>CNH</v>
          </cell>
          <cell r="R264">
            <v>0</v>
          </cell>
        </row>
        <row r="265">
          <cell r="C265">
            <v>41348</v>
          </cell>
          <cell r="F265" t="str">
            <v>CNH</v>
          </cell>
          <cell r="R265">
            <v>0</v>
          </cell>
        </row>
        <row r="266">
          <cell r="C266">
            <v>41533</v>
          </cell>
          <cell r="F266" t="str">
            <v>CNH</v>
          </cell>
          <cell r="R266">
            <v>0</v>
          </cell>
        </row>
        <row r="267">
          <cell r="C267">
            <v>41715</v>
          </cell>
          <cell r="F267" t="str">
            <v>CNH</v>
          </cell>
          <cell r="R267">
            <v>0</v>
          </cell>
        </row>
        <row r="268">
          <cell r="C268">
            <v>41897</v>
          </cell>
          <cell r="F268" t="str">
            <v>CNH</v>
          </cell>
          <cell r="R268">
            <v>0</v>
          </cell>
        </row>
        <row r="269">
          <cell r="C269">
            <v>42079</v>
          </cell>
          <cell r="F269" t="str">
            <v>CNH</v>
          </cell>
          <cell r="R269">
            <v>0</v>
          </cell>
        </row>
        <row r="270">
          <cell r="C270">
            <v>42262</v>
          </cell>
          <cell r="F270" t="str">
            <v>CNH</v>
          </cell>
          <cell r="R270">
            <v>0</v>
          </cell>
        </row>
        <row r="271">
          <cell r="C271">
            <v>42444</v>
          </cell>
          <cell r="F271" t="str">
            <v>CNH</v>
          </cell>
          <cell r="R271">
            <v>0</v>
          </cell>
        </row>
        <row r="272">
          <cell r="C272">
            <v>42628</v>
          </cell>
          <cell r="F272" t="str">
            <v>CNH</v>
          </cell>
          <cell r="R272">
            <v>40864.142240106339</v>
          </cell>
        </row>
        <row r="273">
          <cell r="C273">
            <v>42809</v>
          </cell>
          <cell r="F273" t="str">
            <v>CNH</v>
          </cell>
          <cell r="R273">
            <v>0</v>
          </cell>
        </row>
        <row r="274">
          <cell r="C274">
            <v>42993</v>
          </cell>
          <cell r="F274" t="str">
            <v>CNH</v>
          </cell>
          <cell r="R274">
            <v>38039.928888888884</v>
          </cell>
        </row>
        <row r="275">
          <cell r="C275">
            <v>40784</v>
          </cell>
          <cell r="F275" t="str">
            <v>RBB</v>
          </cell>
          <cell r="R275">
            <v>0</v>
          </cell>
        </row>
        <row r="276">
          <cell r="C276">
            <v>41151</v>
          </cell>
          <cell r="F276" t="str">
            <v>RBB</v>
          </cell>
          <cell r="R276">
            <v>0</v>
          </cell>
        </row>
        <row r="277">
          <cell r="C277">
            <v>41515</v>
          </cell>
          <cell r="F277" t="str">
            <v>RBB</v>
          </cell>
          <cell r="R277">
            <v>0</v>
          </cell>
        </row>
        <row r="278">
          <cell r="C278">
            <v>41880</v>
          </cell>
          <cell r="F278" t="str">
            <v>RBB</v>
          </cell>
          <cell r="R278">
            <v>0</v>
          </cell>
        </row>
        <row r="279">
          <cell r="C279">
            <v>42245</v>
          </cell>
          <cell r="F279" t="str">
            <v>RBB</v>
          </cell>
          <cell r="R279">
            <v>0</v>
          </cell>
        </row>
        <row r="280">
          <cell r="C280">
            <v>42612</v>
          </cell>
          <cell r="F280" t="str">
            <v>RBB</v>
          </cell>
          <cell r="R280">
            <v>1913228.2719859104</v>
          </cell>
        </row>
        <row r="281">
          <cell r="C281">
            <v>42976</v>
          </cell>
          <cell r="F281" t="str">
            <v>RBB</v>
          </cell>
          <cell r="R281">
            <v>1587150</v>
          </cell>
        </row>
        <row r="282">
          <cell r="C282">
            <v>40678</v>
          </cell>
          <cell r="F282" t="str">
            <v>BJD1</v>
          </cell>
          <cell r="R282">
            <v>0</v>
          </cell>
        </row>
        <row r="283">
          <cell r="C283">
            <v>41044</v>
          </cell>
          <cell r="F283" t="str">
            <v>BJD1</v>
          </cell>
          <cell r="R283">
            <v>0</v>
          </cell>
        </row>
        <row r="284">
          <cell r="C284">
            <v>41409</v>
          </cell>
          <cell r="F284" t="str">
            <v>BJD1</v>
          </cell>
          <cell r="R284">
            <v>0</v>
          </cell>
        </row>
        <row r="285">
          <cell r="C285">
            <v>41774</v>
          </cell>
          <cell r="F285" t="str">
            <v>BJD1</v>
          </cell>
          <cell r="R285">
            <v>0</v>
          </cell>
        </row>
        <row r="286">
          <cell r="C286">
            <v>42139</v>
          </cell>
          <cell r="F286" t="str">
            <v>BJD1</v>
          </cell>
          <cell r="R286">
            <v>0</v>
          </cell>
        </row>
        <row r="287">
          <cell r="C287">
            <v>40739</v>
          </cell>
          <cell r="F287" t="str">
            <v>BBD</v>
          </cell>
          <cell r="R287">
            <v>0</v>
          </cell>
        </row>
        <row r="288">
          <cell r="C288">
            <v>41105</v>
          </cell>
          <cell r="F288" t="str">
            <v>BBD</v>
          </cell>
          <cell r="R288">
            <v>0</v>
          </cell>
        </row>
        <row r="289">
          <cell r="C289">
            <v>41470</v>
          </cell>
          <cell r="F289" t="str">
            <v>BBD</v>
          </cell>
          <cell r="R289">
            <v>0</v>
          </cell>
        </row>
        <row r="290">
          <cell r="C290">
            <v>41835</v>
          </cell>
          <cell r="F290" t="str">
            <v>BBD</v>
          </cell>
          <cell r="R290">
            <v>0</v>
          </cell>
        </row>
        <row r="291">
          <cell r="C291">
            <v>42200</v>
          </cell>
          <cell r="F291" t="str">
            <v>BBD</v>
          </cell>
          <cell r="R291">
            <v>0</v>
          </cell>
        </row>
        <row r="292">
          <cell r="C292">
            <v>42566</v>
          </cell>
          <cell r="F292" t="str">
            <v>BBD</v>
          </cell>
          <cell r="R292">
            <v>0</v>
          </cell>
        </row>
        <row r="293">
          <cell r="C293">
            <v>40436</v>
          </cell>
          <cell r="F293" t="str">
            <v>BBD</v>
          </cell>
          <cell r="R293">
            <v>0</v>
          </cell>
        </row>
        <row r="294">
          <cell r="C294">
            <v>40527</v>
          </cell>
          <cell r="F294" t="str">
            <v>BBD</v>
          </cell>
          <cell r="R294">
            <v>0</v>
          </cell>
        </row>
        <row r="295">
          <cell r="C295">
            <v>40558</v>
          </cell>
          <cell r="F295" t="str">
            <v>BBD</v>
          </cell>
          <cell r="R295">
            <v>0</v>
          </cell>
        </row>
        <row r="296">
          <cell r="C296">
            <v>40589</v>
          </cell>
          <cell r="F296" t="str">
            <v>BBD</v>
          </cell>
          <cell r="R296">
            <v>0</v>
          </cell>
        </row>
        <row r="297">
          <cell r="C297">
            <v>40617</v>
          </cell>
          <cell r="F297" t="str">
            <v>BBD</v>
          </cell>
          <cell r="R297">
            <v>0</v>
          </cell>
        </row>
        <row r="298">
          <cell r="C298">
            <v>40648</v>
          </cell>
          <cell r="F298" t="str">
            <v>BBD</v>
          </cell>
          <cell r="R298">
            <v>0</v>
          </cell>
        </row>
        <row r="299">
          <cell r="C299">
            <v>40678</v>
          </cell>
          <cell r="F299" t="str">
            <v>BBD</v>
          </cell>
          <cell r="R299">
            <v>0</v>
          </cell>
        </row>
        <row r="300">
          <cell r="C300">
            <v>40709</v>
          </cell>
          <cell r="F300" t="str">
            <v>BBD</v>
          </cell>
          <cell r="R300">
            <v>0</v>
          </cell>
        </row>
        <row r="301">
          <cell r="C301">
            <v>40739</v>
          </cell>
          <cell r="F301" t="str">
            <v>BBD</v>
          </cell>
          <cell r="R301">
            <v>0</v>
          </cell>
        </row>
        <row r="302">
          <cell r="C302">
            <v>40770</v>
          </cell>
          <cell r="F302" t="str">
            <v>BBD</v>
          </cell>
          <cell r="R302">
            <v>0</v>
          </cell>
        </row>
        <row r="303">
          <cell r="C303">
            <v>40801</v>
          </cell>
          <cell r="F303" t="str">
            <v>BBD</v>
          </cell>
          <cell r="R303">
            <v>0</v>
          </cell>
        </row>
        <row r="304">
          <cell r="C304">
            <v>40831</v>
          </cell>
          <cell r="F304" t="str">
            <v>BBD</v>
          </cell>
          <cell r="R304">
            <v>0</v>
          </cell>
        </row>
        <row r="305">
          <cell r="C305">
            <v>40862</v>
          </cell>
          <cell r="F305" t="str">
            <v>BBD</v>
          </cell>
          <cell r="R305">
            <v>0</v>
          </cell>
        </row>
        <row r="306">
          <cell r="C306">
            <v>40892</v>
          </cell>
          <cell r="F306" t="str">
            <v>BBD</v>
          </cell>
          <cell r="R306">
            <v>0</v>
          </cell>
        </row>
        <row r="307">
          <cell r="C307">
            <v>40923</v>
          </cell>
          <cell r="F307" t="str">
            <v>BBD</v>
          </cell>
          <cell r="R307">
            <v>0</v>
          </cell>
        </row>
        <row r="308">
          <cell r="C308">
            <v>40954</v>
          </cell>
          <cell r="F308" t="str">
            <v>BBD</v>
          </cell>
          <cell r="R308">
            <v>0</v>
          </cell>
        </row>
        <row r="309">
          <cell r="C309">
            <v>40983</v>
          </cell>
          <cell r="F309" t="str">
            <v>BBD</v>
          </cell>
          <cell r="R309">
            <v>0</v>
          </cell>
        </row>
        <row r="310">
          <cell r="C310">
            <v>41014</v>
          </cell>
          <cell r="F310" t="str">
            <v>BBD</v>
          </cell>
          <cell r="R310">
            <v>0</v>
          </cell>
        </row>
        <row r="311">
          <cell r="C311">
            <v>41044</v>
          </cell>
          <cell r="F311" t="str">
            <v>BBD</v>
          </cell>
          <cell r="R311">
            <v>0</v>
          </cell>
        </row>
        <row r="312">
          <cell r="C312">
            <v>41075</v>
          </cell>
          <cell r="F312" t="str">
            <v>BBD</v>
          </cell>
          <cell r="R312">
            <v>0</v>
          </cell>
        </row>
        <row r="313">
          <cell r="C313">
            <v>41105</v>
          </cell>
          <cell r="F313" t="str">
            <v>BBD</v>
          </cell>
          <cell r="R313">
            <v>0</v>
          </cell>
        </row>
        <row r="314">
          <cell r="C314">
            <v>41136</v>
          </cell>
          <cell r="F314" t="str">
            <v>BBD</v>
          </cell>
          <cell r="R314">
            <v>0</v>
          </cell>
        </row>
        <row r="315">
          <cell r="C315">
            <v>41167</v>
          </cell>
          <cell r="F315" t="str">
            <v>BBD</v>
          </cell>
          <cell r="R315">
            <v>0</v>
          </cell>
        </row>
        <row r="316">
          <cell r="C316">
            <v>41197</v>
          </cell>
          <cell r="F316" t="str">
            <v>BBD</v>
          </cell>
          <cell r="R316">
            <v>0</v>
          </cell>
        </row>
        <row r="317">
          <cell r="C317">
            <v>41228</v>
          </cell>
          <cell r="F317" t="str">
            <v>BBD</v>
          </cell>
          <cell r="R317">
            <v>0</v>
          </cell>
        </row>
        <row r="318">
          <cell r="C318">
            <v>41258</v>
          </cell>
          <cell r="F318" t="str">
            <v>BBD</v>
          </cell>
          <cell r="R318">
            <v>0</v>
          </cell>
        </row>
        <row r="319">
          <cell r="C319">
            <v>41289</v>
          </cell>
          <cell r="F319" t="str">
            <v>BBD</v>
          </cell>
          <cell r="R319">
            <v>0</v>
          </cell>
        </row>
        <row r="320">
          <cell r="C320">
            <v>41320</v>
          </cell>
          <cell r="F320" t="str">
            <v>BBD</v>
          </cell>
          <cell r="R320">
            <v>0</v>
          </cell>
        </row>
        <row r="321">
          <cell r="C321">
            <v>41348</v>
          </cell>
          <cell r="F321" t="str">
            <v>BBD</v>
          </cell>
          <cell r="R321">
            <v>0</v>
          </cell>
        </row>
        <row r="322">
          <cell r="C322">
            <v>41379</v>
          </cell>
          <cell r="F322" t="str">
            <v>BBD</v>
          </cell>
          <cell r="R322">
            <v>0</v>
          </cell>
        </row>
        <row r="323">
          <cell r="C323">
            <v>41409</v>
          </cell>
          <cell r="F323" t="str">
            <v>BBD</v>
          </cell>
          <cell r="R323">
            <v>0</v>
          </cell>
        </row>
        <row r="324">
          <cell r="C324">
            <v>41440</v>
          </cell>
          <cell r="F324" t="str">
            <v>BBD</v>
          </cell>
          <cell r="R324">
            <v>0</v>
          </cell>
        </row>
        <row r="325">
          <cell r="C325">
            <v>41470</v>
          </cell>
          <cell r="F325" t="str">
            <v>BBD</v>
          </cell>
          <cell r="R325">
            <v>0</v>
          </cell>
        </row>
        <row r="326">
          <cell r="C326">
            <v>41501</v>
          </cell>
          <cell r="F326" t="str">
            <v>BBD</v>
          </cell>
          <cell r="R326">
            <v>0</v>
          </cell>
        </row>
        <row r="327">
          <cell r="C327">
            <v>41532</v>
          </cell>
          <cell r="F327" t="str">
            <v>BBD</v>
          </cell>
          <cell r="R327">
            <v>0</v>
          </cell>
        </row>
        <row r="328">
          <cell r="C328">
            <v>41562</v>
          </cell>
          <cell r="F328" t="str">
            <v>BBD</v>
          </cell>
          <cell r="R328">
            <v>0</v>
          </cell>
        </row>
        <row r="329">
          <cell r="C329">
            <v>41593</v>
          </cell>
          <cell r="F329" t="str">
            <v>BBD</v>
          </cell>
          <cell r="R329">
            <v>0</v>
          </cell>
        </row>
        <row r="330">
          <cell r="C330">
            <v>41623</v>
          </cell>
          <cell r="F330" t="str">
            <v>BBD</v>
          </cell>
          <cell r="R330">
            <v>0</v>
          </cell>
        </row>
        <row r="331">
          <cell r="C331">
            <v>41654</v>
          </cell>
          <cell r="F331" t="str">
            <v>BBD</v>
          </cell>
          <cell r="R331">
            <v>0</v>
          </cell>
        </row>
        <row r="332">
          <cell r="C332">
            <v>41685</v>
          </cell>
          <cell r="F332" t="str">
            <v>BBD</v>
          </cell>
          <cell r="R332">
            <v>0</v>
          </cell>
        </row>
        <row r="333">
          <cell r="C333">
            <v>41713</v>
          </cell>
          <cell r="F333" t="str">
            <v>BBD</v>
          </cell>
          <cell r="R333">
            <v>0</v>
          </cell>
        </row>
        <row r="334">
          <cell r="C334">
            <v>41744</v>
          </cell>
          <cell r="F334" t="str">
            <v>BBD</v>
          </cell>
          <cell r="R334">
            <v>0</v>
          </cell>
        </row>
        <row r="335">
          <cell r="C335">
            <v>41774</v>
          </cell>
          <cell r="F335" t="str">
            <v>BBD</v>
          </cell>
          <cell r="R335">
            <v>0</v>
          </cell>
        </row>
        <row r="336">
          <cell r="C336">
            <v>41805</v>
          </cell>
          <cell r="F336" t="str">
            <v>BBD</v>
          </cell>
          <cell r="R336">
            <v>0</v>
          </cell>
        </row>
        <row r="337">
          <cell r="C337">
            <v>41835</v>
          </cell>
          <cell r="F337" t="str">
            <v>BBD</v>
          </cell>
          <cell r="R337">
            <v>0</v>
          </cell>
        </row>
        <row r="338">
          <cell r="C338">
            <v>41866</v>
          </cell>
          <cell r="F338" t="str">
            <v>BBD</v>
          </cell>
          <cell r="R338">
            <v>0</v>
          </cell>
        </row>
        <row r="339">
          <cell r="C339">
            <v>41897</v>
          </cell>
          <cell r="F339" t="str">
            <v>BBD</v>
          </cell>
          <cell r="R339">
            <v>0</v>
          </cell>
        </row>
        <row r="340">
          <cell r="C340">
            <v>41927</v>
          </cell>
          <cell r="F340" t="str">
            <v>BBD</v>
          </cell>
          <cell r="R340">
            <v>0</v>
          </cell>
        </row>
        <row r="341">
          <cell r="C341">
            <v>41958</v>
          </cell>
          <cell r="F341" t="str">
            <v>BBD</v>
          </cell>
          <cell r="R341">
            <v>0</v>
          </cell>
        </row>
        <row r="342">
          <cell r="C342">
            <v>41988</v>
          </cell>
          <cell r="F342" t="str">
            <v>BBD</v>
          </cell>
          <cell r="R342">
            <v>0</v>
          </cell>
        </row>
        <row r="343">
          <cell r="C343">
            <v>42019</v>
          </cell>
          <cell r="F343" t="str">
            <v>BBD</v>
          </cell>
          <cell r="R343">
            <v>0</v>
          </cell>
        </row>
        <row r="344">
          <cell r="C344">
            <v>42050</v>
          </cell>
          <cell r="F344" t="str">
            <v>BBD</v>
          </cell>
          <cell r="R344">
            <v>0</v>
          </cell>
        </row>
        <row r="345">
          <cell r="C345">
            <v>42078</v>
          </cell>
          <cell r="F345" t="str">
            <v>BBD</v>
          </cell>
          <cell r="R345">
            <v>0</v>
          </cell>
        </row>
        <row r="346">
          <cell r="C346">
            <v>42109</v>
          </cell>
          <cell r="F346" t="str">
            <v>BBD</v>
          </cell>
          <cell r="R346">
            <v>0</v>
          </cell>
        </row>
        <row r="347">
          <cell r="C347">
            <v>42139</v>
          </cell>
          <cell r="F347" t="str">
            <v>BBD</v>
          </cell>
          <cell r="R347">
            <v>0</v>
          </cell>
        </row>
        <row r="348">
          <cell r="C348">
            <v>42170</v>
          </cell>
          <cell r="F348" t="str">
            <v>BBD</v>
          </cell>
          <cell r="R348">
            <v>0</v>
          </cell>
        </row>
        <row r="349">
          <cell r="C349">
            <v>40770</v>
          </cell>
          <cell r="F349" t="str">
            <v>BBD</v>
          </cell>
          <cell r="R349">
            <v>0</v>
          </cell>
        </row>
        <row r="350">
          <cell r="C350">
            <v>41136</v>
          </cell>
          <cell r="F350" t="str">
            <v>BBD</v>
          </cell>
          <cell r="R350">
            <v>0</v>
          </cell>
        </row>
        <row r="351">
          <cell r="C351">
            <v>41501</v>
          </cell>
          <cell r="F351" t="str">
            <v>BBD</v>
          </cell>
          <cell r="R351">
            <v>0</v>
          </cell>
        </row>
        <row r="352">
          <cell r="C352">
            <v>41866</v>
          </cell>
          <cell r="F352" t="str">
            <v>BBD</v>
          </cell>
          <cell r="R352">
            <v>0</v>
          </cell>
        </row>
        <row r="353">
          <cell r="C353">
            <v>42231</v>
          </cell>
          <cell r="F353" t="str">
            <v>BBD</v>
          </cell>
          <cell r="R353">
            <v>0</v>
          </cell>
        </row>
        <row r="354">
          <cell r="C354">
            <v>42597</v>
          </cell>
          <cell r="F354" t="str">
            <v>BBD</v>
          </cell>
          <cell r="R354">
            <v>0</v>
          </cell>
        </row>
        <row r="355">
          <cell r="C355">
            <v>40662</v>
          </cell>
          <cell r="F355" t="str">
            <v>RBB</v>
          </cell>
          <cell r="R355">
            <v>0</v>
          </cell>
        </row>
        <row r="356">
          <cell r="C356">
            <v>41029</v>
          </cell>
          <cell r="F356" t="str">
            <v>RBB</v>
          </cell>
          <cell r="R356">
            <v>0</v>
          </cell>
        </row>
        <row r="357">
          <cell r="C357">
            <v>41394</v>
          </cell>
          <cell r="F357" t="str">
            <v>RBB</v>
          </cell>
          <cell r="R357">
            <v>0</v>
          </cell>
        </row>
        <row r="358">
          <cell r="C358">
            <v>41759</v>
          </cell>
          <cell r="F358" t="str">
            <v>RBB</v>
          </cell>
          <cell r="R358">
            <v>0</v>
          </cell>
        </row>
        <row r="359">
          <cell r="C359">
            <v>42124</v>
          </cell>
          <cell r="F359" t="str">
            <v>RBB</v>
          </cell>
          <cell r="R359">
            <v>0</v>
          </cell>
        </row>
        <row r="360">
          <cell r="C360">
            <v>40678</v>
          </cell>
          <cell r="F360" t="str">
            <v>BJD1</v>
          </cell>
          <cell r="R360">
            <v>0</v>
          </cell>
        </row>
        <row r="361">
          <cell r="C361">
            <v>41044</v>
          </cell>
          <cell r="F361" t="str">
            <v>BJD1</v>
          </cell>
          <cell r="R361">
            <v>0</v>
          </cell>
        </row>
        <row r="362">
          <cell r="C362">
            <v>41409</v>
          </cell>
          <cell r="F362" t="str">
            <v>BJD1</v>
          </cell>
          <cell r="R362">
            <v>0</v>
          </cell>
        </row>
        <row r="363">
          <cell r="C363">
            <v>41774</v>
          </cell>
          <cell r="F363" t="str">
            <v>BJD1</v>
          </cell>
          <cell r="R363">
            <v>0</v>
          </cell>
        </row>
        <row r="364">
          <cell r="C364">
            <v>42139</v>
          </cell>
          <cell r="F364" t="str">
            <v>BJD1</v>
          </cell>
          <cell r="R364">
            <v>0</v>
          </cell>
        </row>
        <row r="365">
          <cell r="C365">
            <v>41044</v>
          </cell>
          <cell r="F365" t="str">
            <v>BJD1</v>
          </cell>
          <cell r="R365">
            <v>0</v>
          </cell>
        </row>
        <row r="366">
          <cell r="C366">
            <v>41409</v>
          </cell>
          <cell r="F366" t="str">
            <v>BJD1</v>
          </cell>
          <cell r="R366">
            <v>0</v>
          </cell>
        </row>
        <row r="367">
          <cell r="C367">
            <v>41774</v>
          </cell>
          <cell r="F367" t="str">
            <v>BJD1</v>
          </cell>
          <cell r="R367">
            <v>0</v>
          </cell>
        </row>
        <row r="368">
          <cell r="C368">
            <v>42139</v>
          </cell>
          <cell r="F368" t="str">
            <v>BJD1</v>
          </cell>
          <cell r="R368">
            <v>0</v>
          </cell>
        </row>
        <row r="369">
          <cell r="C369">
            <v>42505</v>
          </cell>
          <cell r="F369" t="str">
            <v>BJD1</v>
          </cell>
          <cell r="R369">
            <v>0</v>
          </cell>
        </row>
        <row r="370">
          <cell r="C370">
            <v>40678</v>
          </cell>
          <cell r="F370" t="str">
            <v>BJD1</v>
          </cell>
          <cell r="R370">
            <v>0</v>
          </cell>
        </row>
        <row r="371">
          <cell r="C371">
            <v>41044</v>
          </cell>
          <cell r="F371" t="str">
            <v>BJD1</v>
          </cell>
          <cell r="R371">
            <v>0</v>
          </cell>
        </row>
        <row r="372">
          <cell r="C372">
            <v>41409</v>
          </cell>
          <cell r="F372" t="str">
            <v>BJD1</v>
          </cell>
          <cell r="R372">
            <v>0</v>
          </cell>
        </row>
        <row r="373">
          <cell r="C373">
            <v>41774</v>
          </cell>
          <cell r="F373" t="str">
            <v>BJD1</v>
          </cell>
          <cell r="R373">
            <v>0</v>
          </cell>
        </row>
        <row r="374">
          <cell r="C374">
            <v>42139</v>
          </cell>
          <cell r="F374" t="str">
            <v>BJD1</v>
          </cell>
          <cell r="R374">
            <v>0</v>
          </cell>
        </row>
        <row r="375">
          <cell r="C375">
            <v>40770</v>
          </cell>
          <cell r="F375" t="str">
            <v>CAT</v>
          </cell>
          <cell r="R375">
            <v>0</v>
          </cell>
        </row>
        <row r="376">
          <cell r="C376">
            <v>40801</v>
          </cell>
          <cell r="F376" t="str">
            <v>CAT</v>
          </cell>
          <cell r="R376">
            <v>0</v>
          </cell>
        </row>
        <row r="377">
          <cell r="C377">
            <v>40831</v>
          </cell>
          <cell r="F377" t="str">
            <v>CAT</v>
          </cell>
          <cell r="R377">
            <v>0</v>
          </cell>
        </row>
        <row r="378">
          <cell r="C378">
            <v>40862</v>
          </cell>
          <cell r="F378" t="str">
            <v>CAT</v>
          </cell>
          <cell r="R378">
            <v>0</v>
          </cell>
        </row>
        <row r="379">
          <cell r="C379">
            <v>40892</v>
          </cell>
          <cell r="F379" t="str">
            <v>CAT</v>
          </cell>
          <cell r="R379">
            <v>0</v>
          </cell>
        </row>
        <row r="380">
          <cell r="C380">
            <v>40923</v>
          </cell>
          <cell r="F380" t="str">
            <v>CAT</v>
          </cell>
          <cell r="R380">
            <v>0</v>
          </cell>
        </row>
        <row r="381">
          <cell r="C381">
            <v>40954</v>
          </cell>
          <cell r="F381" t="str">
            <v>CAT</v>
          </cell>
          <cell r="R381">
            <v>0</v>
          </cell>
        </row>
        <row r="382">
          <cell r="C382">
            <v>40983</v>
          </cell>
          <cell r="F382" t="str">
            <v>CAT</v>
          </cell>
          <cell r="R382">
            <v>0</v>
          </cell>
        </row>
        <row r="383">
          <cell r="C383">
            <v>41014</v>
          </cell>
          <cell r="F383" t="str">
            <v>CAT</v>
          </cell>
          <cell r="R383">
            <v>0</v>
          </cell>
        </row>
        <row r="384">
          <cell r="C384">
            <v>41044</v>
          </cell>
          <cell r="F384" t="str">
            <v>CAT</v>
          </cell>
          <cell r="R384">
            <v>0</v>
          </cell>
        </row>
        <row r="385">
          <cell r="C385">
            <v>41075</v>
          </cell>
          <cell r="F385" t="str">
            <v>CAT</v>
          </cell>
          <cell r="R385">
            <v>0</v>
          </cell>
        </row>
        <row r="386">
          <cell r="C386">
            <v>41105</v>
          </cell>
          <cell r="F386" t="str">
            <v>CAT</v>
          </cell>
          <cell r="R386">
            <v>0</v>
          </cell>
        </row>
        <row r="387">
          <cell r="C387">
            <v>41136</v>
          </cell>
          <cell r="F387" t="str">
            <v>CAT</v>
          </cell>
          <cell r="R387">
            <v>0</v>
          </cell>
        </row>
        <row r="388">
          <cell r="C388">
            <v>41167</v>
          </cell>
          <cell r="F388" t="str">
            <v>CAT</v>
          </cell>
          <cell r="R388">
            <v>0</v>
          </cell>
        </row>
        <row r="389">
          <cell r="C389">
            <v>41197</v>
          </cell>
          <cell r="F389" t="str">
            <v>CAT</v>
          </cell>
          <cell r="R389">
            <v>0</v>
          </cell>
        </row>
        <row r="390">
          <cell r="C390">
            <v>41228</v>
          </cell>
          <cell r="F390" t="str">
            <v>CAT</v>
          </cell>
          <cell r="R390">
            <v>0</v>
          </cell>
        </row>
        <row r="391">
          <cell r="C391">
            <v>41258</v>
          </cell>
          <cell r="F391" t="str">
            <v>CAT</v>
          </cell>
          <cell r="R391">
            <v>0</v>
          </cell>
        </row>
        <row r="392">
          <cell r="C392">
            <v>41289</v>
          </cell>
          <cell r="F392" t="str">
            <v>CAT</v>
          </cell>
          <cell r="R392">
            <v>0</v>
          </cell>
        </row>
        <row r="393">
          <cell r="C393">
            <v>41320</v>
          </cell>
          <cell r="F393" t="str">
            <v>CAT</v>
          </cell>
          <cell r="R393">
            <v>0</v>
          </cell>
        </row>
        <row r="394">
          <cell r="C394">
            <v>41348</v>
          </cell>
          <cell r="F394" t="str">
            <v>CAT</v>
          </cell>
          <cell r="R394">
            <v>0</v>
          </cell>
        </row>
        <row r="395">
          <cell r="C395">
            <v>41379</v>
          </cell>
          <cell r="F395" t="str">
            <v>CAT</v>
          </cell>
          <cell r="R395">
            <v>0</v>
          </cell>
        </row>
        <row r="396">
          <cell r="C396">
            <v>41409</v>
          </cell>
          <cell r="F396" t="str">
            <v>CAT</v>
          </cell>
          <cell r="R396">
            <v>0</v>
          </cell>
        </row>
        <row r="397">
          <cell r="C397">
            <v>41440</v>
          </cell>
          <cell r="F397" t="str">
            <v>CAT</v>
          </cell>
          <cell r="R397">
            <v>0</v>
          </cell>
        </row>
        <row r="398">
          <cell r="C398">
            <v>41470</v>
          </cell>
          <cell r="F398" t="str">
            <v>CAT</v>
          </cell>
          <cell r="R398">
            <v>0</v>
          </cell>
        </row>
        <row r="399">
          <cell r="C399">
            <v>41501</v>
          </cell>
          <cell r="F399" t="str">
            <v>CAT</v>
          </cell>
          <cell r="R399">
            <v>0</v>
          </cell>
        </row>
        <row r="400">
          <cell r="C400">
            <v>41532</v>
          </cell>
          <cell r="F400" t="str">
            <v>CAT</v>
          </cell>
          <cell r="R400">
            <v>0</v>
          </cell>
        </row>
        <row r="401">
          <cell r="C401">
            <v>41562</v>
          </cell>
          <cell r="F401" t="str">
            <v>CAT</v>
          </cell>
          <cell r="R401">
            <v>0</v>
          </cell>
        </row>
        <row r="402">
          <cell r="C402">
            <v>41593</v>
          </cell>
          <cell r="F402" t="str">
            <v>CAT</v>
          </cell>
          <cell r="R402">
            <v>0</v>
          </cell>
        </row>
        <row r="403">
          <cell r="C403">
            <v>41623</v>
          </cell>
          <cell r="F403" t="str">
            <v>CAT</v>
          </cell>
          <cell r="R403">
            <v>0</v>
          </cell>
        </row>
        <row r="404">
          <cell r="C404">
            <v>41654</v>
          </cell>
          <cell r="F404" t="str">
            <v>CAT</v>
          </cell>
          <cell r="R404">
            <v>0</v>
          </cell>
        </row>
        <row r="405">
          <cell r="C405">
            <v>41685</v>
          </cell>
          <cell r="F405" t="str">
            <v>CAT</v>
          </cell>
          <cell r="R405">
            <v>0</v>
          </cell>
        </row>
        <row r="406">
          <cell r="C406">
            <v>41713</v>
          </cell>
          <cell r="F406" t="str">
            <v>CAT</v>
          </cell>
          <cell r="R406">
            <v>0</v>
          </cell>
        </row>
        <row r="407">
          <cell r="C407">
            <v>41744</v>
          </cell>
          <cell r="F407" t="str">
            <v>CAT</v>
          </cell>
          <cell r="R407">
            <v>0</v>
          </cell>
        </row>
        <row r="408">
          <cell r="C408">
            <v>41774</v>
          </cell>
          <cell r="F408" t="str">
            <v>CAT</v>
          </cell>
          <cell r="R408">
            <v>0</v>
          </cell>
        </row>
        <row r="409">
          <cell r="C409">
            <v>41805</v>
          </cell>
          <cell r="F409" t="str">
            <v>CAT</v>
          </cell>
          <cell r="R409">
            <v>0</v>
          </cell>
        </row>
        <row r="410">
          <cell r="C410">
            <v>41835</v>
          </cell>
          <cell r="F410" t="str">
            <v>CAT</v>
          </cell>
          <cell r="R410">
            <v>0</v>
          </cell>
        </row>
        <row r="411">
          <cell r="C411">
            <v>41866</v>
          </cell>
          <cell r="F411" t="str">
            <v>CAT</v>
          </cell>
          <cell r="R411">
            <v>0</v>
          </cell>
        </row>
        <row r="412">
          <cell r="C412">
            <v>41897</v>
          </cell>
          <cell r="F412" t="str">
            <v>CAT</v>
          </cell>
          <cell r="R412">
            <v>0</v>
          </cell>
        </row>
        <row r="413">
          <cell r="C413">
            <v>41927</v>
          </cell>
          <cell r="F413" t="str">
            <v>CAT</v>
          </cell>
          <cell r="R413">
            <v>0</v>
          </cell>
        </row>
        <row r="414">
          <cell r="C414">
            <v>41958</v>
          </cell>
          <cell r="F414" t="str">
            <v>CAT</v>
          </cell>
          <cell r="R414">
            <v>0</v>
          </cell>
        </row>
        <row r="415">
          <cell r="C415">
            <v>41988</v>
          </cell>
          <cell r="F415" t="str">
            <v>CAT</v>
          </cell>
          <cell r="R415">
            <v>0</v>
          </cell>
        </row>
        <row r="416">
          <cell r="C416">
            <v>42019</v>
          </cell>
          <cell r="F416" t="str">
            <v>CAT</v>
          </cell>
          <cell r="R416">
            <v>0</v>
          </cell>
        </row>
        <row r="417">
          <cell r="C417">
            <v>42050</v>
          </cell>
          <cell r="F417" t="str">
            <v>CAT</v>
          </cell>
          <cell r="R417">
            <v>0</v>
          </cell>
        </row>
        <row r="418">
          <cell r="C418">
            <v>42078</v>
          </cell>
          <cell r="F418" t="str">
            <v>CAT</v>
          </cell>
          <cell r="R418">
            <v>0</v>
          </cell>
        </row>
        <row r="419">
          <cell r="C419">
            <v>42109</v>
          </cell>
          <cell r="F419" t="str">
            <v>CAT</v>
          </cell>
          <cell r="R419">
            <v>0</v>
          </cell>
        </row>
        <row r="420">
          <cell r="C420">
            <v>42139</v>
          </cell>
          <cell r="F420" t="str">
            <v>CAT</v>
          </cell>
          <cell r="R420">
            <v>0</v>
          </cell>
        </row>
        <row r="421">
          <cell r="C421">
            <v>40770</v>
          </cell>
          <cell r="F421" t="str">
            <v>CAT</v>
          </cell>
          <cell r="R421">
            <v>0</v>
          </cell>
        </row>
        <row r="422">
          <cell r="C422">
            <v>40801</v>
          </cell>
          <cell r="F422" t="str">
            <v>CAT</v>
          </cell>
          <cell r="R422">
            <v>0</v>
          </cell>
        </row>
        <row r="423">
          <cell r="C423">
            <v>40831</v>
          </cell>
          <cell r="F423" t="str">
            <v>CAT</v>
          </cell>
          <cell r="R423">
            <v>0</v>
          </cell>
        </row>
        <row r="424">
          <cell r="C424">
            <v>40862</v>
          </cell>
          <cell r="F424" t="str">
            <v>CAT</v>
          </cell>
          <cell r="R424">
            <v>0</v>
          </cell>
        </row>
        <row r="425">
          <cell r="C425">
            <v>40892</v>
          </cell>
          <cell r="F425" t="str">
            <v>CAT</v>
          </cell>
          <cell r="R425">
            <v>0</v>
          </cell>
        </row>
        <row r="426">
          <cell r="C426">
            <v>40923</v>
          </cell>
          <cell r="F426" t="str">
            <v>CAT</v>
          </cell>
          <cell r="R426">
            <v>0</v>
          </cell>
        </row>
        <row r="427">
          <cell r="C427">
            <v>40954</v>
          </cell>
          <cell r="F427" t="str">
            <v>CAT</v>
          </cell>
          <cell r="R427">
            <v>0</v>
          </cell>
        </row>
        <row r="428">
          <cell r="C428">
            <v>40983</v>
          </cell>
          <cell r="F428" t="str">
            <v>CAT</v>
          </cell>
          <cell r="R428">
            <v>0</v>
          </cell>
        </row>
        <row r="429">
          <cell r="C429">
            <v>41014</v>
          </cell>
          <cell r="F429" t="str">
            <v>CAT</v>
          </cell>
          <cell r="R429">
            <v>0</v>
          </cell>
        </row>
        <row r="430">
          <cell r="C430">
            <v>41044</v>
          </cell>
          <cell r="F430" t="str">
            <v>CAT</v>
          </cell>
          <cell r="R430">
            <v>0</v>
          </cell>
        </row>
        <row r="431">
          <cell r="C431">
            <v>41075</v>
          </cell>
          <cell r="F431" t="str">
            <v>CAT</v>
          </cell>
          <cell r="R431">
            <v>0</v>
          </cell>
        </row>
        <row r="432">
          <cell r="C432">
            <v>41105</v>
          </cell>
          <cell r="F432" t="str">
            <v>CAT</v>
          </cell>
          <cell r="R432">
            <v>0</v>
          </cell>
        </row>
        <row r="433">
          <cell r="C433">
            <v>41136</v>
          </cell>
          <cell r="F433" t="str">
            <v>CAT</v>
          </cell>
          <cell r="R433">
            <v>0</v>
          </cell>
        </row>
        <row r="434">
          <cell r="C434">
            <v>41167</v>
          </cell>
          <cell r="F434" t="str">
            <v>CAT</v>
          </cell>
          <cell r="R434">
            <v>0</v>
          </cell>
        </row>
        <row r="435">
          <cell r="C435">
            <v>41197</v>
          </cell>
          <cell r="F435" t="str">
            <v>CAT</v>
          </cell>
          <cell r="R435">
            <v>0</v>
          </cell>
        </row>
        <row r="436">
          <cell r="C436">
            <v>41228</v>
          </cell>
          <cell r="F436" t="str">
            <v>CAT</v>
          </cell>
          <cell r="R436">
            <v>0</v>
          </cell>
        </row>
        <row r="437">
          <cell r="C437">
            <v>41258</v>
          </cell>
          <cell r="F437" t="str">
            <v>CAT</v>
          </cell>
          <cell r="R437">
            <v>0</v>
          </cell>
        </row>
        <row r="438">
          <cell r="C438">
            <v>41289</v>
          </cell>
          <cell r="F438" t="str">
            <v>CAT</v>
          </cell>
          <cell r="R438">
            <v>0</v>
          </cell>
        </row>
        <row r="439">
          <cell r="C439">
            <v>41320</v>
          </cell>
          <cell r="F439" t="str">
            <v>CAT</v>
          </cell>
          <cell r="R439">
            <v>0</v>
          </cell>
        </row>
        <row r="440">
          <cell r="C440">
            <v>41348</v>
          </cell>
          <cell r="F440" t="str">
            <v>CAT</v>
          </cell>
          <cell r="R440">
            <v>0</v>
          </cell>
        </row>
        <row r="441">
          <cell r="C441">
            <v>41379</v>
          </cell>
          <cell r="F441" t="str">
            <v>CAT</v>
          </cell>
          <cell r="R441">
            <v>0</v>
          </cell>
        </row>
        <row r="442">
          <cell r="C442">
            <v>41409</v>
          </cell>
          <cell r="F442" t="str">
            <v>CAT</v>
          </cell>
          <cell r="R442">
            <v>0</v>
          </cell>
        </row>
        <row r="443">
          <cell r="C443">
            <v>41440</v>
          </cell>
          <cell r="F443" t="str">
            <v>CAT</v>
          </cell>
          <cell r="R443">
            <v>0</v>
          </cell>
        </row>
        <row r="444">
          <cell r="C444">
            <v>41470</v>
          </cell>
          <cell r="F444" t="str">
            <v>CAT</v>
          </cell>
          <cell r="R444">
            <v>0</v>
          </cell>
        </row>
        <row r="445">
          <cell r="C445">
            <v>41501</v>
          </cell>
          <cell r="F445" t="str">
            <v>CAT</v>
          </cell>
          <cell r="R445">
            <v>0</v>
          </cell>
        </row>
        <row r="446">
          <cell r="C446">
            <v>41532</v>
          </cell>
          <cell r="F446" t="str">
            <v>CAT</v>
          </cell>
          <cell r="R446">
            <v>0</v>
          </cell>
        </row>
        <row r="447">
          <cell r="C447">
            <v>41562</v>
          </cell>
          <cell r="F447" t="str">
            <v>CAT</v>
          </cell>
          <cell r="R447">
            <v>0</v>
          </cell>
        </row>
        <row r="448">
          <cell r="C448">
            <v>41593</v>
          </cell>
          <cell r="F448" t="str">
            <v>CAT</v>
          </cell>
          <cell r="R448">
            <v>0</v>
          </cell>
        </row>
        <row r="449">
          <cell r="C449">
            <v>41623</v>
          </cell>
          <cell r="F449" t="str">
            <v>CAT</v>
          </cell>
          <cell r="R449">
            <v>0</v>
          </cell>
        </row>
        <row r="450">
          <cell r="C450">
            <v>41654</v>
          </cell>
          <cell r="F450" t="str">
            <v>CAT</v>
          </cell>
          <cell r="R450">
            <v>0</v>
          </cell>
        </row>
        <row r="451">
          <cell r="C451">
            <v>41685</v>
          </cell>
          <cell r="F451" t="str">
            <v>CAT</v>
          </cell>
          <cell r="R451">
            <v>0</v>
          </cell>
        </row>
        <row r="452">
          <cell r="C452">
            <v>41713</v>
          </cell>
          <cell r="F452" t="str">
            <v>CAT</v>
          </cell>
          <cell r="R452">
            <v>0</v>
          </cell>
        </row>
        <row r="453">
          <cell r="C453">
            <v>41744</v>
          </cell>
          <cell r="F453" t="str">
            <v>CAT</v>
          </cell>
          <cell r="R453">
            <v>0</v>
          </cell>
        </row>
        <row r="454">
          <cell r="C454">
            <v>41774</v>
          </cell>
          <cell r="F454" t="str">
            <v>CAT</v>
          </cell>
          <cell r="R454">
            <v>0</v>
          </cell>
        </row>
        <row r="455">
          <cell r="C455">
            <v>41805</v>
          </cell>
          <cell r="F455" t="str">
            <v>CAT</v>
          </cell>
          <cell r="R455">
            <v>0</v>
          </cell>
        </row>
        <row r="456">
          <cell r="C456">
            <v>41835</v>
          </cell>
          <cell r="F456" t="str">
            <v>CAT</v>
          </cell>
          <cell r="R456">
            <v>0</v>
          </cell>
        </row>
        <row r="457">
          <cell r="C457">
            <v>41866</v>
          </cell>
          <cell r="F457" t="str">
            <v>CAT</v>
          </cell>
          <cell r="R457">
            <v>0</v>
          </cell>
        </row>
        <row r="458">
          <cell r="C458">
            <v>41897</v>
          </cell>
          <cell r="F458" t="str">
            <v>CAT</v>
          </cell>
          <cell r="R458">
            <v>0</v>
          </cell>
        </row>
        <row r="459">
          <cell r="C459">
            <v>41927</v>
          </cell>
          <cell r="F459" t="str">
            <v>CAT</v>
          </cell>
          <cell r="R459">
            <v>0</v>
          </cell>
        </row>
        <row r="460">
          <cell r="C460">
            <v>41958</v>
          </cell>
          <cell r="F460" t="str">
            <v>CAT</v>
          </cell>
          <cell r="R460">
            <v>0</v>
          </cell>
        </row>
        <row r="461">
          <cell r="C461">
            <v>41988</v>
          </cell>
          <cell r="F461" t="str">
            <v>CAT</v>
          </cell>
          <cell r="R461">
            <v>0</v>
          </cell>
        </row>
        <row r="462">
          <cell r="C462">
            <v>42019</v>
          </cell>
          <cell r="F462" t="str">
            <v>CAT</v>
          </cell>
          <cell r="R462">
            <v>0</v>
          </cell>
        </row>
        <row r="463">
          <cell r="C463">
            <v>42050</v>
          </cell>
          <cell r="F463" t="str">
            <v>CAT</v>
          </cell>
          <cell r="R463">
            <v>0</v>
          </cell>
        </row>
        <row r="464">
          <cell r="C464">
            <v>42078</v>
          </cell>
          <cell r="F464" t="str">
            <v>CAT</v>
          </cell>
          <cell r="R464">
            <v>0</v>
          </cell>
        </row>
        <row r="465">
          <cell r="C465">
            <v>42109</v>
          </cell>
          <cell r="F465" t="str">
            <v>CAT</v>
          </cell>
          <cell r="R465">
            <v>0</v>
          </cell>
        </row>
        <row r="466">
          <cell r="C466">
            <v>42139</v>
          </cell>
          <cell r="F466" t="str">
            <v>CAT</v>
          </cell>
          <cell r="R466">
            <v>0</v>
          </cell>
        </row>
        <row r="467">
          <cell r="C467">
            <v>40770</v>
          </cell>
          <cell r="F467" t="str">
            <v>CAT</v>
          </cell>
          <cell r="R467">
            <v>0</v>
          </cell>
        </row>
        <row r="468">
          <cell r="C468">
            <v>40801</v>
          </cell>
          <cell r="F468" t="str">
            <v>CAT</v>
          </cell>
          <cell r="R468">
            <v>0</v>
          </cell>
        </row>
        <row r="469">
          <cell r="C469">
            <v>40831</v>
          </cell>
          <cell r="F469" t="str">
            <v>CAT</v>
          </cell>
          <cell r="R469">
            <v>0</v>
          </cell>
        </row>
        <row r="470">
          <cell r="C470">
            <v>40862</v>
          </cell>
          <cell r="F470" t="str">
            <v>CAT</v>
          </cell>
          <cell r="R470">
            <v>0</v>
          </cell>
        </row>
        <row r="471">
          <cell r="C471">
            <v>40892</v>
          </cell>
          <cell r="F471" t="str">
            <v>CAT</v>
          </cell>
          <cell r="R471">
            <v>0</v>
          </cell>
        </row>
        <row r="472">
          <cell r="C472">
            <v>40923</v>
          </cell>
          <cell r="F472" t="str">
            <v>CAT</v>
          </cell>
          <cell r="R472">
            <v>0</v>
          </cell>
        </row>
        <row r="473">
          <cell r="C473">
            <v>40954</v>
          </cell>
          <cell r="F473" t="str">
            <v>CAT</v>
          </cell>
          <cell r="R473">
            <v>0</v>
          </cell>
        </row>
        <row r="474">
          <cell r="C474">
            <v>40983</v>
          </cell>
          <cell r="F474" t="str">
            <v>CAT</v>
          </cell>
          <cell r="R474">
            <v>0</v>
          </cell>
        </row>
        <row r="475">
          <cell r="C475">
            <v>41014</v>
          </cell>
          <cell r="F475" t="str">
            <v>CAT</v>
          </cell>
          <cell r="R475">
            <v>0</v>
          </cell>
        </row>
        <row r="476">
          <cell r="C476">
            <v>41044</v>
          </cell>
          <cell r="F476" t="str">
            <v>CAT</v>
          </cell>
          <cell r="R476">
            <v>0</v>
          </cell>
        </row>
        <row r="477">
          <cell r="C477">
            <v>41075</v>
          </cell>
          <cell r="F477" t="str">
            <v>CAT</v>
          </cell>
          <cell r="R477">
            <v>0</v>
          </cell>
        </row>
        <row r="478">
          <cell r="C478">
            <v>41105</v>
          </cell>
          <cell r="F478" t="str">
            <v>CAT</v>
          </cell>
          <cell r="R478">
            <v>0</v>
          </cell>
        </row>
        <row r="479">
          <cell r="C479">
            <v>41136</v>
          </cell>
          <cell r="F479" t="str">
            <v>CAT</v>
          </cell>
          <cell r="R479">
            <v>0</v>
          </cell>
        </row>
        <row r="480">
          <cell r="C480">
            <v>41167</v>
          </cell>
          <cell r="F480" t="str">
            <v>CAT</v>
          </cell>
          <cell r="R480">
            <v>0</v>
          </cell>
        </row>
        <row r="481">
          <cell r="C481">
            <v>41197</v>
          </cell>
          <cell r="F481" t="str">
            <v>CAT</v>
          </cell>
          <cell r="R481">
            <v>0</v>
          </cell>
        </row>
        <row r="482">
          <cell r="C482">
            <v>41228</v>
          </cell>
          <cell r="F482" t="str">
            <v>CAT</v>
          </cell>
          <cell r="R482">
            <v>0</v>
          </cell>
        </row>
        <row r="483">
          <cell r="C483">
            <v>41258</v>
          </cell>
          <cell r="F483" t="str">
            <v>CAT</v>
          </cell>
          <cell r="R483">
            <v>0</v>
          </cell>
        </row>
        <row r="484">
          <cell r="C484">
            <v>41289</v>
          </cell>
          <cell r="F484" t="str">
            <v>CAT</v>
          </cell>
          <cell r="R484">
            <v>0</v>
          </cell>
        </row>
        <row r="485">
          <cell r="C485">
            <v>41320</v>
          </cell>
          <cell r="F485" t="str">
            <v>CAT</v>
          </cell>
          <cell r="R485">
            <v>0</v>
          </cell>
        </row>
        <row r="486">
          <cell r="C486">
            <v>41348</v>
          </cell>
          <cell r="F486" t="str">
            <v>CAT</v>
          </cell>
          <cell r="R486">
            <v>0</v>
          </cell>
        </row>
        <row r="487">
          <cell r="C487">
            <v>41379</v>
          </cell>
          <cell r="F487" t="str">
            <v>CAT</v>
          </cell>
          <cell r="R487">
            <v>0</v>
          </cell>
        </row>
        <row r="488">
          <cell r="C488">
            <v>41409</v>
          </cell>
          <cell r="F488" t="str">
            <v>CAT</v>
          </cell>
          <cell r="R488">
            <v>0</v>
          </cell>
        </row>
        <row r="489">
          <cell r="C489">
            <v>41440</v>
          </cell>
          <cell r="F489" t="str">
            <v>CAT</v>
          </cell>
          <cell r="R489">
            <v>0</v>
          </cell>
        </row>
        <row r="490">
          <cell r="C490">
            <v>41470</v>
          </cell>
          <cell r="F490" t="str">
            <v>CAT</v>
          </cell>
          <cell r="R490">
            <v>0</v>
          </cell>
        </row>
        <row r="491">
          <cell r="C491">
            <v>41501</v>
          </cell>
          <cell r="F491" t="str">
            <v>CAT</v>
          </cell>
          <cell r="R491">
            <v>0</v>
          </cell>
        </row>
        <row r="492">
          <cell r="C492">
            <v>41532</v>
          </cell>
          <cell r="F492" t="str">
            <v>CAT</v>
          </cell>
          <cell r="R492">
            <v>0</v>
          </cell>
        </row>
        <row r="493">
          <cell r="C493">
            <v>41562</v>
          </cell>
          <cell r="F493" t="str">
            <v>CAT</v>
          </cell>
          <cell r="R493">
            <v>0</v>
          </cell>
        </row>
        <row r="494">
          <cell r="C494">
            <v>41593</v>
          </cell>
          <cell r="F494" t="str">
            <v>CAT</v>
          </cell>
          <cell r="R494">
            <v>0</v>
          </cell>
        </row>
        <row r="495">
          <cell r="C495">
            <v>41623</v>
          </cell>
          <cell r="F495" t="str">
            <v>CAT</v>
          </cell>
          <cell r="R495">
            <v>0</v>
          </cell>
        </row>
        <row r="496">
          <cell r="C496">
            <v>41654</v>
          </cell>
          <cell r="F496" t="str">
            <v>CAT</v>
          </cell>
          <cell r="R496">
            <v>0</v>
          </cell>
        </row>
        <row r="497">
          <cell r="C497">
            <v>41685</v>
          </cell>
          <cell r="F497" t="str">
            <v>CAT</v>
          </cell>
          <cell r="R497">
            <v>0</v>
          </cell>
        </row>
        <row r="498">
          <cell r="C498">
            <v>41713</v>
          </cell>
          <cell r="F498" t="str">
            <v>CAT</v>
          </cell>
          <cell r="R498">
            <v>0</v>
          </cell>
        </row>
        <row r="499">
          <cell r="C499">
            <v>41744</v>
          </cell>
          <cell r="F499" t="str">
            <v>CAT</v>
          </cell>
          <cell r="R499">
            <v>0</v>
          </cell>
        </row>
        <row r="500">
          <cell r="C500">
            <v>41774</v>
          </cell>
          <cell r="F500" t="str">
            <v>CAT</v>
          </cell>
          <cell r="R500">
            <v>0</v>
          </cell>
        </row>
        <row r="501">
          <cell r="C501">
            <v>41805</v>
          </cell>
          <cell r="F501" t="str">
            <v>CAT</v>
          </cell>
          <cell r="R501">
            <v>0</v>
          </cell>
        </row>
        <row r="502">
          <cell r="C502">
            <v>41835</v>
          </cell>
          <cell r="F502" t="str">
            <v>CAT</v>
          </cell>
          <cell r="R502">
            <v>0</v>
          </cell>
        </row>
        <row r="503">
          <cell r="C503">
            <v>41866</v>
          </cell>
          <cell r="F503" t="str">
            <v>CAT</v>
          </cell>
          <cell r="R503">
            <v>0</v>
          </cell>
        </row>
        <row r="504">
          <cell r="C504">
            <v>41897</v>
          </cell>
          <cell r="F504" t="str">
            <v>CAT</v>
          </cell>
          <cell r="R504">
            <v>0</v>
          </cell>
        </row>
        <row r="505">
          <cell r="C505">
            <v>41927</v>
          </cell>
          <cell r="F505" t="str">
            <v>CAT</v>
          </cell>
          <cell r="R505">
            <v>0</v>
          </cell>
        </row>
        <row r="506">
          <cell r="C506">
            <v>41958</v>
          </cell>
          <cell r="F506" t="str">
            <v>CAT</v>
          </cell>
          <cell r="R506">
            <v>0</v>
          </cell>
        </row>
        <row r="507">
          <cell r="C507">
            <v>41988</v>
          </cell>
          <cell r="F507" t="str">
            <v>CAT</v>
          </cell>
          <cell r="R507">
            <v>0</v>
          </cell>
        </row>
        <row r="508">
          <cell r="C508">
            <v>42019</v>
          </cell>
          <cell r="F508" t="str">
            <v>CAT</v>
          </cell>
          <cell r="R508">
            <v>0</v>
          </cell>
        </row>
        <row r="509">
          <cell r="C509">
            <v>42050</v>
          </cell>
          <cell r="F509" t="str">
            <v>CAT</v>
          </cell>
          <cell r="R509">
            <v>0</v>
          </cell>
        </row>
        <row r="510">
          <cell r="C510">
            <v>42078</v>
          </cell>
          <cell r="F510" t="str">
            <v>CAT</v>
          </cell>
          <cell r="R510">
            <v>0</v>
          </cell>
        </row>
        <row r="511">
          <cell r="C511">
            <v>42109</v>
          </cell>
          <cell r="F511" t="str">
            <v>CAT</v>
          </cell>
          <cell r="R511">
            <v>0</v>
          </cell>
        </row>
        <row r="512">
          <cell r="C512">
            <v>42139</v>
          </cell>
          <cell r="F512" t="str">
            <v>CAT</v>
          </cell>
          <cell r="R512">
            <v>0</v>
          </cell>
        </row>
        <row r="513">
          <cell r="C513">
            <v>40954</v>
          </cell>
          <cell r="F513" t="str">
            <v>BBD</v>
          </cell>
          <cell r="R513">
            <v>0</v>
          </cell>
        </row>
        <row r="514">
          <cell r="C514">
            <v>41320</v>
          </cell>
          <cell r="F514" t="str">
            <v>BBD</v>
          </cell>
          <cell r="R514">
            <v>0</v>
          </cell>
        </row>
        <row r="515">
          <cell r="C515">
            <v>41685</v>
          </cell>
          <cell r="F515" t="str">
            <v>BBD</v>
          </cell>
          <cell r="R515">
            <v>0</v>
          </cell>
        </row>
        <row r="516">
          <cell r="C516">
            <v>42050</v>
          </cell>
          <cell r="F516" t="str">
            <v>BBD</v>
          </cell>
          <cell r="R516">
            <v>0</v>
          </cell>
        </row>
        <row r="517">
          <cell r="C517">
            <v>42415</v>
          </cell>
          <cell r="F517" t="str">
            <v>BBD</v>
          </cell>
          <cell r="R517">
            <v>0</v>
          </cell>
        </row>
        <row r="518">
          <cell r="C518">
            <v>42781</v>
          </cell>
          <cell r="F518" t="str">
            <v>BBD</v>
          </cell>
          <cell r="R518">
            <v>341816.19632142613</v>
          </cell>
        </row>
        <row r="519">
          <cell r="C519">
            <v>40954</v>
          </cell>
          <cell r="F519" t="str">
            <v>BBD</v>
          </cell>
          <cell r="R519">
            <v>0</v>
          </cell>
        </row>
        <row r="520">
          <cell r="C520">
            <v>41320</v>
          </cell>
          <cell r="F520" t="str">
            <v>BBD</v>
          </cell>
          <cell r="R520">
            <v>0</v>
          </cell>
        </row>
        <row r="521">
          <cell r="C521">
            <v>41685</v>
          </cell>
          <cell r="F521" t="str">
            <v>BBD</v>
          </cell>
          <cell r="R521">
            <v>0</v>
          </cell>
        </row>
        <row r="522">
          <cell r="C522">
            <v>42050</v>
          </cell>
          <cell r="F522" t="str">
            <v>BBD</v>
          </cell>
          <cell r="R522">
            <v>0</v>
          </cell>
        </row>
        <row r="523">
          <cell r="C523">
            <v>42415</v>
          </cell>
          <cell r="F523" t="str">
            <v>BBD</v>
          </cell>
          <cell r="R523">
            <v>0</v>
          </cell>
        </row>
        <row r="524">
          <cell r="C524">
            <v>42781</v>
          </cell>
          <cell r="F524" t="str">
            <v>BBD</v>
          </cell>
          <cell r="R524">
            <v>43963.756443813923</v>
          </cell>
        </row>
        <row r="525">
          <cell r="C525">
            <v>40954</v>
          </cell>
          <cell r="F525" t="str">
            <v>BBD</v>
          </cell>
          <cell r="R525">
            <v>0</v>
          </cell>
        </row>
        <row r="526">
          <cell r="C526">
            <v>41320</v>
          </cell>
          <cell r="F526" t="str">
            <v>BBD</v>
          </cell>
          <cell r="R526">
            <v>0</v>
          </cell>
        </row>
        <row r="527">
          <cell r="C527">
            <v>41685</v>
          </cell>
          <cell r="F527" t="str">
            <v>BBD</v>
          </cell>
          <cell r="R527">
            <v>0</v>
          </cell>
        </row>
        <row r="528">
          <cell r="C528">
            <v>42050</v>
          </cell>
          <cell r="F528" t="str">
            <v>BBD</v>
          </cell>
          <cell r="R528">
            <v>0</v>
          </cell>
        </row>
        <row r="529">
          <cell r="C529">
            <v>42415</v>
          </cell>
          <cell r="F529" t="str">
            <v>BBD</v>
          </cell>
          <cell r="R529">
            <v>0</v>
          </cell>
        </row>
        <row r="530">
          <cell r="C530">
            <v>42781</v>
          </cell>
          <cell r="F530" t="str">
            <v>BBD</v>
          </cell>
          <cell r="R530">
            <v>196886.12908114147</v>
          </cell>
        </row>
        <row r="531">
          <cell r="C531">
            <v>40954</v>
          </cell>
          <cell r="F531" t="str">
            <v>BBD</v>
          </cell>
          <cell r="R531">
            <v>0</v>
          </cell>
        </row>
        <row r="532">
          <cell r="C532">
            <v>41320</v>
          </cell>
          <cell r="F532" t="str">
            <v>BBD</v>
          </cell>
          <cell r="R532">
            <v>0</v>
          </cell>
        </row>
        <row r="533">
          <cell r="C533">
            <v>41685</v>
          </cell>
          <cell r="F533" t="str">
            <v>BBD</v>
          </cell>
          <cell r="R533">
            <v>0</v>
          </cell>
        </row>
        <row r="534">
          <cell r="C534">
            <v>42050</v>
          </cell>
          <cell r="F534" t="str">
            <v>BBD</v>
          </cell>
          <cell r="R534">
            <v>0</v>
          </cell>
        </row>
        <row r="535">
          <cell r="C535">
            <v>42415</v>
          </cell>
          <cell r="F535" t="str">
            <v>BBD</v>
          </cell>
          <cell r="R535">
            <v>0</v>
          </cell>
        </row>
        <row r="536">
          <cell r="C536">
            <v>42781</v>
          </cell>
          <cell r="F536" t="str">
            <v>BBD</v>
          </cell>
          <cell r="R536">
            <v>25323.123711636821</v>
          </cell>
        </row>
        <row r="537">
          <cell r="C537">
            <v>40954</v>
          </cell>
          <cell r="F537" t="str">
            <v>BBD</v>
          </cell>
          <cell r="R537">
            <v>0</v>
          </cell>
        </row>
        <row r="538">
          <cell r="C538">
            <v>41320</v>
          </cell>
          <cell r="F538" t="str">
            <v>BBD</v>
          </cell>
          <cell r="R538">
            <v>0</v>
          </cell>
        </row>
        <row r="539">
          <cell r="C539">
            <v>41685</v>
          </cell>
          <cell r="F539" t="str">
            <v>BBD</v>
          </cell>
          <cell r="R539">
            <v>0</v>
          </cell>
        </row>
        <row r="540">
          <cell r="C540">
            <v>42050</v>
          </cell>
          <cell r="F540" t="str">
            <v>BBD</v>
          </cell>
          <cell r="R540">
            <v>0</v>
          </cell>
        </row>
        <row r="541">
          <cell r="C541">
            <v>42415</v>
          </cell>
          <cell r="F541" t="str">
            <v>BBD</v>
          </cell>
          <cell r="R541">
            <v>0</v>
          </cell>
        </row>
        <row r="542">
          <cell r="C542">
            <v>42781</v>
          </cell>
          <cell r="F542" t="str">
            <v>BBD</v>
          </cell>
          <cell r="R542">
            <v>15961.370341097447</v>
          </cell>
        </row>
        <row r="543">
          <cell r="C543">
            <v>40801</v>
          </cell>
          <cell r="F543" t="str">
            <v>Lage</v>
          </cell>
          <cell r="R543">
            <v>0</v>
          </cell>
        </row>
        <row r="544">
          <cell r="C544">
            <v>40833</v>
          </cell>
          <cell r="F544" t="str">
            <v>Lage</v>
          </cell>
          <cell r="R544">
            <v>0</v>
          </cell>
        </row>
        <row r="545">
          <cell r="C545">
            <v>40863</v>
          </cell>
          <cell r="F545" t="str">
            <v>Lage</v>
          </cell>
          <cell r="R545">
            <v>0</v>
          </cell>
        </row>
        <row r="546">
          <cell r="C546">
            <v>40892</v>
          </cell>
          <cell r="F546" t="str">
            <v>Lage</v>
          </cell>
          <cell r="R546">
            <v>0</v>
          </cell>
        </row>
        <row r="547">
          <cell r="C547">
            <v>40924</v>
          </cell>
          <cell r="F547" t="str">
            <v>Lage</v>
          </cell>
          <cell r="R547">
            <v>0</v>
          </cell>
        </row>
        <row r="548">
          <cell r="C548">
            <v>40954</v>
          </cell>
          <cell r="F548" t="str">
            <v>Lage</v>
          </cell>
          <cell r="R548">
            <v>0</v>
          </cell>
        </row>
        <row r="549">
          <cell r="C549">
            <v>40983</v>
          </cell>
          <cell r="F549" t="str">
            <v>Lage</v>
          </cell>
          <cell r="R549">
            <v>0</v>
          </cell>
        </row>
        <row r="550">
          <cell r="C550">
            <v>41015</v>
          </cell>
          <cell r="F550" t="str">
            <v>Lage</v>
          </cell>
          <cell r="R550">
            <v>0</v>
          </cell>
        </row>
        <row r="551">
          <cell r="C551">
            <v>41044</v>
          </cell>
          <cell r="F551" t="str">
            <v>Lage</v>
          </cell>
          <cell r="R551">
            <v>0</v>
          </cell>
        </row>
        <row r="552">
          <cell r="C552">
            <v>41075</v>
          </cell>
          <cell r="F552" t="str">
            <v>Lage</v>
          </cell>
          <cell r="R552">
            <v>0</v>
          </cell>
        </row>
        <row r="553">
          <cell r="C553">
            <v>41106</v>
          </cell>
          <cell r="F553" t="str">
            <v>Lage</v>
          </cell>
          <cell r="R553">
            <v>0</v>
          </cell>
        </row>
        <row r="554">
          <cell r="C554">
            <v>41136</v>
          </cell>
          <cell r="F554" t="str">
            <v>Lage</v>
          </cell>
          <cell r="R554">
            <v>0</v>
          </cell>
        </row>
        <row r="555">
          <cell r="C555">
            <v>41169</v>
          </cell>
          <cell r="F555" t="str">
            <v>Lage</v>
          </cell>
          <cell r="R555">
            <v>0</v>
          </cell>
        </row>
        <row r="556">
          <cell r="C556">
            <v>41197</v>
          </cell>
          <cell r="F556" t="str">
            <v>Lage</v>
          </cell>
          <cell r="R556">
            <v>0</v>
          </cell>
        </row>
        <row r="557">
          <cell r="C557">
            <v>41229</v>
          </cell>
          <cell r="F557" t="str">
            <v>Lage</v>
          </cell>
          <cell r="R557">
            <v>0</v>
          </cell>
        </row>
        <row r="558">
          <cell r="C558">
            <v>41260</v>
          </cell>
          <cell r="F558" t="str">
            <v>Lage</v>
          </cell>
          <cell r="R558">
            <v>0</v>
          </cell>
        </row>
        <row r="559">
          <cell r="C559">
            <v>41289</v>
          </cell>
          <cell r="F559" t="str">
            <v>Lage</v>
          </cell>
          <cell r="R559">
            <v>0</v>
          </cell>
        </row>
        <row r="560">
          <cell r="C560">
            <v>41320</v>
          </cell>
          <cell r="F560" t="str">
            <v>Lage</v>
          </cell>
          <cell r="R560">
            <v>0</v>
          </cell>
        </row>
        <row r="561">
          <cell r="C561">
            <v>41348</v>
          </cell>
          <cell r="F561" t="str">
            <v>Lage</v>
          </cell>
          <cell r="R561">
            <v>0</v>
          </cell>
        </row>
        <row r="562">
          <cell r="C562">
            <v>41379</v>
          </cell>
          <cell r="F562" t="str">
            <v>Lage</v>
          </cell>
          <cell r="R562">
            <v>0</v>
          </cell>
        </row>
        <row r="563">
          <cell r="C563">
            <v>41409</v>
          </cell>
          <cell r="F563" t="str">
            <v>Lage</v>
          </cell>
          <cell r="R563">
            <v>0</v>
          </cell>
        </row>
        <row r="564">
          <cell r="C564">
            <v>41442</v>
          </cell>
          <cell r="F564" t="str">
            <v>Lage</v>
          </cell>
          <cell r="R564">
            <v>0</v>
          </cell>
        </row>
        <row r="565">
          <cell r="C565">
            <v>41470</v>
          </cell>
          <cell r="F565" t="str">
            <v>Lage</v>
          </cell>
          <cell r="R565">
            <v>0</v>
          </cell>
        </row>
        <row r="566">
          <cell r="C566">
            <v>41501</v>
          </cell>
          <cell r="F566" t="str">
            <v>Lage</v>
          </cell>
          <cell r="R566">
            <v>0</v>
          </cell>
        </row>
        <row r="567">
          <cell r="C567">
            <v>41533</v>
          </cell>
          <cell r="F567" t="str">
            <v>Lage</v>
          </cell>
          <cell r="R567">
            <v>0</v>
          </cell>
        </row>
        <row r="568">
          <cell r="C568">
            <v>41562</v>
          </cell>
          <cell r="F568" t="str">
            <v>Lage</v>
          </cell>
          <cell r="R568">
            <v>0</v>
          </cell>
        </row>
        <row r="569">
          <cell r="C569">
            <v>41596</v>
          </cell>
          <cell r="F569" t="str">
            <v>Lage</v>
          </cell>
          <cell r="R569">
            <v>0</v>
          </cell>
        </row>
        <row r="570">
          <cell r="C570">
            <v>41624</v>
          </cell>
          <cell r="F570" t="str">
            <v>Lage</v>
          </cell>
          <cell r="R570">
            <v>0</v>
          </cell>
        </row>
        <row r="571">
          <cell r="C571">
            <v>41654</v>
          </cell>
          <cell r="F571" t="str">
            <v>Lage</v>
          </cell>
          <cell r="R571">
            <v>0</v>
          </cell>
        </row>
        <row r="572">
          <cell r="C572">
            <v>41687</v>
          </cell>
          <cell r="F572" t="str">
            <v>Lage</v>
          </cell>
          <cell r="R572">
            <v>0</v>
          </cell>
        </row>
        <row r="573">
          <cell r="C573">
            <v>41715</v>
          </cell>
          <cell r="F573" t="str">
            <v>Lage</v>
          </cell>
          <cell r="R573">
            <v>0</v>
          </cell>
        </row>
        <row r="574">
          <cell r="C574">
            <v>41744</v>
          </cell>
          <cell r="F574" t="str">
            <v>Lage</v>
          </cell>
          <cell r="R574">
            <v>0</v>
          </cell>
        </row>
        <row r="575">
          <cell r="C575">
            <v>41774</v>
          </cell>
          <cell r="F575" t="str">
            <v>Lage</v>
          </cell>
          <cell r="R575">
            <v>0</v>
          </cell>
        </row>
        <row r="576">
          <cell r="C576">
            <v>41806</v>
          </cell>
          <cell r="F576" t="str">
            <v>Lage</v>
          </cell>
          <cell r="R576">
            <v>0</v>
          </cell>
        </row>
        <row r="577">
          <cell r="C577">
            <v>41835</v>
          </cell>
          <cell r="F577" t="str">
            <v>Lage</v>
          </cell>
          <cell r="R577">
            <v>0</v>
          </cell>
        </row>
        <row r="578">
          <cell r="C578">
            <v>41866</v>
          </cell>
          <cell r="F578" t="str">
            <v>Lage</v>
          </cell>
          <cell r="R578">
            <v>0</v>
          </cell>
        </row>
        <row r="579">
          <cell r="C579">
            <v>41897</v>
          </cell>
          <cell r="F579" t="str">
            <v>Lage</v>
          </cell>
          <cell r="R579">
            <v>0</v>
          </cell>
        </row>
        <row r="580">
          <cell r="C580">
            <v>41927</v>
          </cell>
          <cell r="F580" t="str">
            <v>Lage</v>
          </cell>
          <cell r="R580">
            <v>0</v>
          </cell>
        </row>
        <row r="581">
          <cell r="C581">
            <v>41960</v>
          </cell>
          <cell r="F581" t="str">
            <v>Lage</v>
          </cell>
          <cell r="R581">
            <v>0</v>
          </cell>
        </row>
        <row r="582">
          <cell r="C582">
            <v>41988</v>
          </cell>
          <cell r="F582" t="str">
            <v>Lage</v>
          </cell>
          <cell r="R582">
            <v>0</v>
          </cell>
        </row>
        <row r="583">
          <cell r="C583">
            <v>42019</v>
          </cell>
          <cell r="F583" t="str">
            <v>Lage</v>
          </cell>
          <cell r="R583">
            <v>0</v>
          </cell>
        </row>
        <row r="584">
          <cell r="C584">
            <v>42053</v>
          </cell>
          <cell r="F584" t="str">
            <v>Lage</v>
          </cell>
          <cell r="R584">
            <v>0</v>
          </cell>
        </row>
        <row r="585">
          <cell r="C585">
            <v>42079</v>
          </cell>
          <cell r="F585" t="str">
            <v>Lage</v>
          </cell>
          <cell r="R585">
            <v>0</v>
          </cell>
        </row>
        <row r="586">
          <cell r="C586">
            <v>42109</v>
          </cell>
          <cell r="F586" t="str">
            <v>Lage</v>
          </cell>
          <cell r="R586">
            <v>0</v>
          </cell>
        </row>
        <row r="587">
          <cell r="C587">
            <v>42139</v>
          </cell>
          <cell r="F587" t="str">
            <v>Lage</v>
          </cell>
          <cell r="R587">
            <v>0</v>
          </cell>
        </row>
        <row r="588">
          <cell r="C588">
            <v>42170</v>
          </cell>
          <cell r="F588" t="str">
            <v>Lage</v>
          </cell>
          <cell r="R588">
            <v>0</v>
          </cell>
        </row>
        <row r="589">
          <cell r="C589">
            <v>42200</v>
          </cell>
          <cell r="F589" t="str">
            <v>Lage</v>
          </cell>
          <cell r="R589">
            <v>0</v>
          </cell>
        </row>
        <row r="590">
          <cell r="C590">
            <v>42233</v>
          </cell>
          <cell r="F590" t="str">
            <v>Lage</v>
          </cell>
          <cell r="R590">
            <v>0</v>
          </cell>
        </row>
        <row r="591">
          <cell r="C591">
            <v>42262</v>
          </cell>
          <cell r="F591" t="str">
            <v>Lage</v>
          </cell>
          <cell r="R591">
            <v>0</v>
          </cell>
        </row>
        <row r="592">
          <cell r="C592">
            <v>42292</v>
          </cell>
          <cell r="F592" t="str">
            <v>Lage</v>
          </cell>
          <cell r="R592">
            <v>0</v>
          </cell>
        </row>
        <row r="593">
          <cell r="C593">
            <v>42324</v>
          </cell>
          <cell r="F593" t="str">
            <v>Lage</v>
          </cell>
          <cell r="R593">
            <v>0</v>
          </cell>
        </row>
        <row r="594">
          <cell r="C594">
            <v>42353</v>
          </cell>
          <cell r="F594" t="str">
            <v>Lage</v>
          </cell>
          <cell r="R594">
            <v>0</v>
          </cell>
        </row>
        <row r="595">
          <cell r="C595">
            <v>42384</v>
          </cell>
          <cell r="F595" t="str">
            <v>Lage</v>
          </cell>
          <cell r="R595">
            <v>0</v>
          </cell>
        </row>
        <row r="596">
          <cell r="C596">
            <v>42415</v>
          </cell>
          <cell r="F596" t="str">
            <v>Lage</v>
          </cell>
          <cell r="R596">
            <v>0</v>
          </cell>
        </row>
        <row r="597">
          <cell r="C597">
            <v>42444</v>
          </cell>
          <cell r="F597" t="str">
            <v>Lage</v>
          </cell>
          <cell r="R597">
            <v>0</v>
          </cell>
        </row>
        <row r="598">
          <cell r="C598">
            <v>42475</v>
          </cell>
          <cell r="F598" t="str">
            <v>Lage</v>
          </cell>
          <cell r="R598">
            <v>0</v>
          </cell>
        </row>
        <row r="599">
          <cell r="C599">
            <v>42506</v>
          </cell>
          <cell r="F599" t="str">
            <v>Lage</v>
          </cell>
          <cell r="R599">
            <v>0</v>
          </cell>
        </row>
        <row r="600">
          <cell r="C600">
            <v>42536</v>
          </cell>
          <cell r="F600" t="str">
            <v>Lage</v>
          </cell>
          <cell r="R600">
            <v>0</v>
          </cell>
        </row>
        <row r="601">
          <cell r="C601">
            <v>41197</v>
          </cell>
          <cell r="F601" t="str">
            <v>BJD1</v>
          </cell>
          <cell r="R601">
            <v>0</v>
          </cell>
        </row>
        <row r="602">
          <cell r="C602">
            <v>41562</v>
          </cell>
          <cell r="F602" t="str">
            <v>BJD1</v>
          </cell>
          <cell r="R602">
            <v>0</v>
          </cell>
        </row>
        <row r="603">
          <cell r="C603">
            <v>41927</v>
          </cell>
          <cell r="F603" t="str">
            <v>BJD1</v>
          </cell>
          <cell r="R603">
            <v>0</v>
          </cell>
        </row>
        <row r="604">
          <cell r="C604">
            <v>42292</v>
          </cell>
          <cell r="F604" t="str">
            <v>BJD1</v>
          </cell>
          <cell r="R604">
            <v>0</v>
          </cell>
        </row>
        <row r="605">
          <cell r="C605">
            <v>41197</v>
          </cell>
          <cell r="F605" t="str">
            <v>BJD1</v>
          </cell>
          <cell r="R605">
            <v>0</v>
          </cell>
        </row>
        <row r="606">
          <cell r="C606">
            <v>42658</v>
          </cell>
          <cell r="F606" t="str">
            <v>BJD1</v>
          </cell>
          <cell r="R606">
            <v>524196.19025420275</v>
          </cell>
        </row>
        <row r="607">
          <cell r="C607">
            <v>41562</v>
          </cell>
          <cell r="F607" t="str">
            <v>BJD1</v>
          </cell>
          <cell r="R607">
            <v>0</v>
          </cell>
        </row>
        <row r="608">
          <cell r="C608">
            <v>41927</v>
          </cell>
          <cell r="F608" t="str">
            <v>BJD1</v>
          </cell>
          <cell r="R608">
            <v>0</v>
          </cell>
        </row>
        <row r="609">
          <cell r="C609">
            <v>42292</v>
          </cell>
          <cell r="F609" t="str">
            <v>BJD1</v>
          </cell>
          <cell r="R609">
            <v>0</v>
          </cell>
        </row>
        <row r="610">
          <cell r="C610">
            <v>42658</v>
          </cell>
          <cell r="F610" t="str">
            <v>BJD1</v>
          </cell>
          <cell r="R610">
            <v>448971.34807324054</v>
          </cell>
        </row>
        <row r="611">
          <cell r="C611">
            <v>40760</v>
          </cell>
          <cell r="F611" t="str">
            <v>BBD</v>
          </cell>
          <cell r="R611">
            <v>0</v>
          </cell>
        </row>
        <row r="612">
          <cell r="C612">
            <v>40791</v>
          </cell>
          <cell r="F612" t="str">
            <v>BBD</v>
          </cell>
          <cell r="R612">
            <v>0</v>
          </cell>
        </row>
        <row r="613">
          <cell r="C613">
            <v>40821</v>
          </cell>
          <cell r="F613" t="str">
            <v>BBD</v>
          </cell>
          <cell r="R613">
            <v>0</v>
          </cell>
        </row>
        <row r="614">
          <cell r="C614">
            <v>40852</v>
          </cell>
          <cell r="F614" t="str">
            <v>BBD</v>
          </cell>
          <cell r="R614">
            <v>0</v>
          </cell>
        </row>
        <row r="615">
          <cell r="C615">
            <v>40882</v>
          </cell>
          <cell r="F615" t="str">
            <v>BBD</v>
          </cell>
          <cell r="R615">
            <v>0</v>
          </cell>
        </row>
        <row r="616">
          <cell r="C616">
            <v>40913</v>
          </cell>
          <cell r="F616" t="str">
            <v>BBD</v>
          </cell>
          <cell r="R616">
            <v>0</v>
          </cell>
        </row>
        <row r="617">
          <cell r="C617">
            <v>40944</v>
          </cell>
          <cell r="F617" t="str">
            <v>BBD</v>
          </cell>
          <cell r="R617">
            <v>0</v>
          </cell>
        </row>
        <row r="618">
          <cell r="C618">
            <v>40973</v>
          </cell>
          <cell r="F618" t="str">
            <v>BBD</v>
          </cell>
          <cell r="R618">
            <v>0</v>
          </cell>
        </row>
        <row r="619">
          <cell r="C619">
            <v>41004</v>
          </cell>
          <cell r="F619" t="str">
            <v>BBD</v>
          </cell>
          <cell r="R619">
            <v>0</v>
          </cell>
        </row>
        <row r="620">
          <cell r="C620">
            <v>41034</v>
          </cell>
          <cell r="F620" t="str">
            <v>BBD</v>
          </cell>
          <cell r="R620">
            <v>0</v>
          </cell>
        </row>
        <row r="621">
          <cell r="C621">
            <v>41065</v>
          </cell>
          <cell r="F621" t="str">
            <v>BBD</v>
          </cell>
          <cell r="R621">
            <v>0</v>
          </cell>
        </row>
        <row r="622">
          <cell r="C622">
            <v>41095</v>
          </cell>
          <cell r="F622" t="str">
            <v>BBD</v>
          </cell>
          <cell r="R622">
            <v>0</v>
          </cell>
        </row>
        <row r="623">
          <cell r="C623">
            <v>41126</v>
          </cell>
          <cell r="F623" t="str">
            <v>BBD</v>
          </cell>
          <cell r="R623">
            <v>0</v>
          </cell>
        </row>
        <row r="624">
          <cell r="C624">
            <v>41157</v>
          </cell>
          <cell r="F624" t="str">
            <v>BBD</v>
          </cell>
          <cell r="R624">
            <v>0</v>
          </cell>
        </row>
        <row r="625">
          <cell r="C625">
            <v>41187</v>
          </cell>
          <cell r="F625" t="str">
            <v>BBD</v>
          </cell>
          <cell r="R625">
            <v>0</v>
          </cell>
        </row>
        <row r="626">
          <cell r="C626">
            <v>41218</v>
          </cell>
          <cell r="F626" t="str">
            <v>BBD</v>
          </cell>
          <cell r="R626">
            <v>0</v>
          </cell>
        </row>
        <row r="627">
          <cell r="C627">
            <v>41248</v>
          </cell>
          <cell r="F627" t="str">
            <v>BBD</v>
          </cell>
          <cell r="R627">
            <v>0</v>
          </cell>
        </row>
        <row r="628">
          <cell r="C628">
            <v>41279</v>
          </cell>
          <cell r="F628" t="str">
            <v>BBD</v>
          </cell>
          <cell r="R628">
            <v>0</v>
          </cell>
        </row>
        <row r="629">
          <cell r="C629">
            <v>41310</v>
          </cell>
          <cell r="F629" t="str">
            <v>BBD</v>
          </cell>
          <cell r="R629">
            <v>0</v>
          </cell>
        </row>
        <row r="630">
          <cell r="C630">
            <v>41338</v>
          </cell>
          <cell r="F630" t="str">
            <v>BBD</v>
          </cell>
          <cell r="R630">
            <v>0</v>
          </cell>
        </row>
        <row r="631">
          <cell r="C631">
            <v>41369</v>
          </cell>
          <cell r="F631" t="str">
            <v>BBD</v>
          </cell>
          <cell r="R631">
            <v>0</v>
          </cell>
        </row>
        <row r="632">
          <cell r="C632">
            <v>41399</v>
          </cell>
          <cell r="F632" t="str">
            <v>BBD</v>
          </cell>
          <cell r="R632">
            <v>0</v>
          </cell>
        </row>
        <row r="633">
          <cell r="C633">
            <v>41430</v>
          </cell>
          <cell r="F633" t="str">
            <v>BBD</v>
          </cell>
          <cell r="R633">
            <v>0</v>
          </cell>
        </row>
        <row r="634">
          <cell r="C634">
            <v>41460</v>
          </cell>
          <cell r="F634" t="str">
            <v>BBD</v>
          </cell>
          <cell r="R634">
            <v>0</v>
          </cell>
        </row>
        <row r="635">
          <cell r="C635">
            <v>41491</v>
          </cell>
          <cell r="F635" t="str">
            <v>BBD</v>
          </cell>
          <cell r="R635">
            <v>0</v>
          </cell>
        </row>
        <row r="636">
          <cell r="C636">
            <v>41522</v>
          </cell>
          <cell r="F636" t="str">
            <v>BBD</v>
          </cell>
          <cell r="R636">
            <v>0</v>
          </cell>
        </row>
        <row r="637">
          <cell r="C637">
            <v>41552</v>
          </cell>
          <cell r="F637" t="str">
            <v>BBD</v>
          </cell>
          <cell r="R637">
            <v>0</v>
          </cell>
        </row>
        <row r="638">
          <cell r="C638">
            <v>41583</v>
          </cell>
          <cell r="F638" t="str">
            <v>BBD</v>
          </cell>
          <cell r="R638">
            <v>0</v>
          </cell>
        </row>
        <row r="639">
          <cell r="C639">
            <v>41613</v>
          </cell>
          <cell r="F639" t="str">
            <v>BBD</v>
          </cell>
          <cell r="R639">
            <v>0</v>
          </cell>
        </row>
        <row r="640">
          <cell r="C640">
            <v>41644</v>
          </cell>
          <cell r="F640" t="str">
            <v>BBD</v>
          </cell>
          <cell r="R640">
            <v>0</v>
          </cell>
        </row>
        <row r="641">
          <cell r="C641">
            <v>41675</v>
          </cell>
          <cell r="F641" t="str">
            <v>BBD</v>
          </cell>
          <cell r="R641">
            <v>0</v>
          </cell>
        </row>
        <row r="642">
          <cell r="C642">
            <v>41703</v>
          </cell>
          <cell r="F642" t="str">
            <v>BBD</v>
          </cell>
          <cell r="R642">
            <v>0</v>
          </cell>
        </row>
        <row r="643">
          <cell r="C643">
            <v>41734</v>
          </cell>
          <cell r="F643" t="str">
            <v>BBD</v>
          </cell>
          <cell r="R643">
            <v>0</v>
          </cell>
        </row>
        <row r="644">
          <cell r="C644">
            <v>41764</v>
          </cell>
          <cell r="F644" t="str">
            <v>BBD</v>
          </cell>
          <cell r="R644">
            <v>0</v>
          </cell>
        </row>
        <row r="645">
          <cell r="C645">
            <v>41795</v>
          </cell>
          <cell r="F645" t="str">
            <v>BBD</v>
          </cell>
          <cell r="R645">
            <v>0</v>
          </cell>
        </row>
        <row r="646">
          <cell r="C646">
            <v>41825</v>
          </cell>
          <cell r="F646" t="str">
            <v>BBD</v>
          </cell>
          <cell r="R646">
            <v>0</v>
          </cell>
        </row>
        <row r="647">
          <cell r="C647">
            <v>41856</v>
          </cell>
          <cell r="F647" t="str">
            <v>BBD</v>
          </cell>
          <cell r="R647">
            <v>0</v>
          </cell>
        </row>
        <row r="648">
          <cell r="C648">
            <v>41887</v>
          </cell>
          <cell r="F648" t="str">
            <v>BBD</v>
          </cell>
          <cell r="R648">
            <v>0</v>
          </cell>
        </row>
        <row r="649">
          <cell r="C649">
            <v>41917</v>
          </cell>
          <cell r="F649" t="str">
            <v>BBD</v>
          </cell>
          <cell r="R649">
            <v>0</v>
          </cell>
        </row>
        <row r="650">
          <cell r="C650">
            <v>41948</v>
          </cell>
          <cell r="F650" t="str">
            <v>BBD</v>
          </cell>
          <cell r="R650">
            <v>0</v>
          </cell>
        </row>
        <row r="651">
          <cell r="C651">
            <v>41978</v>
          </cell>
          <cell r="F651" t="str">
            <v>BBD</v>
          </cell>
          <cell r="R651">
            <v>0</v>
          </cell>
        </row>
        <row r="652">
          <cell r="C652">
            <v>42009</v>
          </cell>
          <cell r="F652" t="str">
            <v>BBD</v>
          </cell>
          <cell r="R652">
            <v>0</v>
          </cell>
        </row>
        <row r="653">
          <cell r="C653">
            <v>42040</v>
          </cell>
          <cell r="F653" t="str">
            <v>BBD</v>
          </cell>
          <cell r="R653">
            <v>0</v>
          </cell>
        </row>
        <row r="654">
          <cell r="C654">
            <v>42068</v>
          </cell>
          <cell r="F654" t="str">
            <v>BBD</v>
          </cell>
          <cell r="R654">
            <v>0</v>
          </cell>
        </row>
        <row r="655">
          <cell r="C655">
            <v>42099</v>
          </cell>
          <cell r="F655" t="str">
            <v>BBD</v>
          </cell>
          <cell r="R655">
            <v>0</v>
          </cell>
        </row>
        <row r="656">
          <cell r="C656">
            <v>42129</v>
          </cell>
          <cell r="F656" t="str">
            <v>BBD</v>
          </cell>
          <cell r="R656">
            <v>0</v>
          </cell>
        </row>
        <row r="657">
          <cell r="C657">
            <v>42160</v>
          </cell>
          <cell r="F657" t="str">
            <v>BBD</v>
          </cell>
          <cell r="R657">
            <v>0</v>
          </cell>
        </row>
        <row r="658">
          <cell r="C658">
            <v>42190</v>
          </cell>
          <cell r="F658" t="str">
            <v>BBD</v>
          </cell>
          <cell r="R658">
            <v>0</v>
          </cell>
        </row>
        <row r="659">
          <cell r="C659">
            <v>41075</v>
          </cell>
          <cell r="F659" t="str">
            <v>BBD</v>
          </cell>
          <cell r="R659">
            <v>0</v>
          </cell>
        </row>
        <row r="660">
          <cell r="C660">
            <v>41440</v>
          </cell>
          <cell r="F660" t="str">
            <v>BBD</v>
          </cell>
          <cell r="R660">
            <v>0</v>
          </cell>
        </row>
        <row r="661">
          <cell r="C661">
            <v>41805</v>
          </cell>
          <cell r="F661" t="str">
            <v>BBD</v>
          </cell>
          <cell r="R661">
            <v>0</v>
          </cell>
        </row>
        <row r="662">
          <cell r="C662">
            <v>42170</v>
          </cell>
          <cell r="F662" t="str">
            <v>BBD</v>
          </cell>
          <cell r="R662">
            <v>0</v>
          </cell>
        </row>
        <row r="663">
          <cell r="C663">
            <v>42536</v>
          </cell>
          <cell r="F663" t="str">
            <v>BBD</v>
          </cell>
          <cell r="R663">
            <v>0</v>
          </cell>
        </row>
        <row r="664">
          <cell r="C664">
            <v>42901</v>
          </cell>
          <cell r="F664" t="str">
            <v>BBD</v>
          </cell>
          <cell r="R664">
            <v>380130.17551983841</v>
          </cell>
        </row>
        <row r="665">
          <cell r="C665">
            <v>41136</v>
          </cell>
          <cell r="F665" t="str">
            <v>BBD</v>
          </cell>
          <cell r="R665">
            <v>0</v>
          </cell>
        </row>
        <row r="666">
          <cell r="C666">
            <v>41501</v>
          </cell>
          <cell r="F666" t="str">
            <v>BBD</v>
          </cell>
          <cell r="R666">
            <v>0</v>
          </cell>
        </row>
        <row r="667">
          <cell r="C667">
            <v>41866</v>
          </cell>
          <cell r="F667" t="str">
            <v>BBD</v>
          </cell>
          <cell r="R667">
            <v>0</v>
          </cell>
        </row>
        <row r="668">
          <cell r="C668">
            <v>42231</v>
          </cell>
          <cell r="F668" t="str">
            <v>BBD</v>
          </cell>
          <cell r="R668">
            <v>0</v>
          </cell>
        </row>
        <row r="669">
          <cell r="C669">
            <v>42597</v>
          </cell>
          <cell r="F669" t="str">
            <v>BBD</v>
          </cell>
          <cell r="R669">
            <v>0</v>
          </cell>
        </row>
        <row r="670">
          <cell r="C670">
            <v>42962</v>
          </cell>
          <cell r="F670" t="str">
            <v>BBD</v>
          </cell>
          <cell r="R670">
            <v>471000</v>
          </cell>
        </row>
        <row r="671">
          <cell r="C671">
            <v>41136</v>
          </cell>
          <cell r="F671" t="str">
            <v>BBD</v>
          </cell>
          <cell r="R671">
            <v>0</v>
          </cell>
        </row>
        <row r="672">
          <cell r="C672">
            <v>41501</v>
          </cell>
          <cell r="F672" t="str">
            <v>BBD</v>
          </cell>
          <cell r="R672">
            <v>0</v>
          </cell>
        </row>
        <row r="673">
          <cell r="C673">
            <v>41866</v>
          </cell>
          <cell r="F673" t="str">
            <v>BBD</v>
          </cell>
          <cell r="R673">
            <v>0</v>
          </cell>
        </row>
        <row r="674">
          <cell r="C674">
            <v>42231</v>
          </cell>
          <cell r="F674" t="str">
            <v>BBD</v>
          </cell>
          <cell r="R674">
            <v>0</v>
          </cell>
        </row>
        <row r="675">
          <cell r="C675">
            <v>42597</v>
          </cell>
          <cell r="F675" t="str">
            <v>BBD</v>
          </cell>
          <cell r="R675">
            <v>0</v>
          </cell>
        </row>
        <row r="676">
          <cell r="C676">
            <v>42962</v>
          </cell>
          <cell r="F676" t="str">
            <v>BBD</v>
          </cell>
          <cell r="R676">
            <v>93600</v>
          </cell>
        </row>
        <row r="677">
          <cell r="C677">
            <v>41258</v>
          </cell>
          <cell r="F677" t="str">
            <v>BBD</v>
          </cell>
          <cell r="R677">
            <v>0</v>
          </cell>
        </row>
        <row r="678">
          <cell r="C678">
            <v>41623</v>
          </cell>
          <cell r="F678" t="str">
            <v>BBD</v>
          </cell>
          <cell r="R678">
            <v>0</v>
          </cell>
        </row>
        <row r="679">
          <cell r="C679">
            <v>41988</v>
          </cell>
          <cell r="F679" t="str">
            <v>BBD</v>
          </cell>
          <cell r="R679">
            <v>0</v>
          </cell>
        </row>
        <row r="680">
          <cell r="C680">
            <v>42353</v>
          </cell>
          <cell r="F680" t="str">
            <v>BBD</v>
          </cell>
          <cell r="R680">
            <v>0</v>
          </cell>
        </row>
        <row r="681">
          <cell r="C681">
            <v>42719</v>
          </cell>
          <cell r="F681" t="str">
            <v>BBD</v>
          </cell>
          <cell r="R681">
            <v>162197.32508278787</v>
          </cell>
        </row>
        <row r="682">
          <cell r="C682">
            <v>43084</v>
          </cell>
          <cell r="F682" t="str">
            <v>BBD</v>
          </cell>
          <cell r="R682">
            <v>149850</v>
          </cell>
        </row>
        <row r="683">
          <cell r="C683">
            <v>41167</v>
          </cell>
          <cell r="F683" t="str">
            <v>BBD</v>
          </cell>
          <cell r="R683">
            <v>0</v>
          </cell>
        </row>
        <row r="684">
          <cell r="C684">
            <v>41532</v>
          </cell>
          <cell r="F684" t="str">
            <v>BBD</v>
          </cell>
          <cell r="R684">
            <v>0</v>
          </cell>
        </row>
        <row r="685">
          <cell r="C685">
            <v>41897</v>
          </cell>
          <cell r="F685" t="str">
            <v>BBD</v>
          </cell>
          <cell r="R685">
            <v>0</v>
          </cell>
        </row>
        <row r="686">
          <cell r="C686">
            <v>42262</v>
          </cell>
          <cell r="F686" t="str">
            <v>BBD</v>
          </cell>
          <cell r="R686">
            <v>0</v>
          </cell>
        </row>
        <row r="687">
          <cell r="C687">
            <v>42628</v>
          </cell>
          <cell r="F687" t="str">
            <v>BBD</v>
          </cell>
          <cell r="R687">
            <v>52198.41449374341</v>
          </cell>
        </row>
        <row r="688">
          <cell r="C688">
            <v>42993</v>
          </cell>
          <cell r="F688" t="str">
            <v>BBD</v>
          </cell>
          <cell r="R688">
            <v>46800</v>
          </cell>
        </row>
        <row r="689">
          <cell r="C689">
            <v>41049</v>
          </cell>
          <cell r="F689" t="str">
            <v>BBD</v>
          </cell>
          <cell r="R689">
            <v>0</v>
          </cell>
        </row>
        <row r="690">
          <cell r="C690">
            <v>41080</v>
          </cell>
          <cell r="F690" t="str">
            <v>BBD</v>
          </cell>
          <cell r="R690">
            <v>0</v>
          </cell>
        </row>
        <row r="691">
          <cell r="C691">
            <v>41110</v>
          </cell>
          <cell r="F691" t="str">
            <v>BBD</v>
          </cell>
          <cell r="R691">
            <v>0</v>
          </cell>
        </row>
        <row r="692">
          <cell r="C692">
            <v>41141</v>
          </cell>
          <cell r="F692" t="str">
            <v>BBD</v>
          </cell>
          <cell r="R692">
            <v>0</v>
          </cell>
        </row>
        <row r="693">
          <cell r="C693">
            <v>41172</v>
          </cell>
          <cell r="F693" t="str">
            <v>BBD</v>
          </cell>
          <cell r="R693">
            <v>0</v>
          </cell>
        </row>
        <row r="694">
          <cell r="C694">
            <v>41202</v>
          </cell>
          <cell r="F694" t="str">
            <v>BBD</v>
          </cell>
          <cell r="R694">
            <v>0</v>
          </cell>
        </row>
        <row r="695">
          <cell r="C695">
            <v>41233</v>
          </cell>
          <cell r="F695" t="str">
            <v>BBD</v>
          </cell>
          <cell r="R695">
            <v>0</v>
          </cell>
        </row>
        <row r="696">
          <cell r="C696">
            <v>41263</v>
          </cell>
          <cell r="F696" t="str">
            <v>BBD</v>
          </cell>
          <cell r="R696">
            <v>0</v>
          </cell>
        </row>
        <row r="697">
          <cell r="C697">
            <v>41294</v>
          </cell>
          <cell r="F697" t="str">
            <v>BBD</v>
          </cell>
          <cell r="R697">
            <v>0</v>
          </cell>
        </row>
        <row r="698">
          <cell r="C698">
            <v>41325</v>
          </cell>
          <cell r="F698" t="str">
            <v>BBD</v>
          </cell>
          <cell r="R698">
            <v>0</v>
          </cell>
        </row>
        <row r="699">
          <cell r="C699">
            <v>41353</v>
          </cell>
          <cell r="F699" t="str">
            <v>BBD</v>
          </cell>
          <cell r="R699">
            <v>0</v>
          </cell>
        </row>
        <row r="700">
          <cell r="C700">
            <v>41384</v>
          </cell>
          <cell r="F700" t="str">
            <v>BBD</v>
          </cell>
          <cell r="R700">
            <v>0</v>
          </cell>
        </row>
        <row r="701">
          <cell r="C701">
            <v>41414</v>
          </cell>
          <cell r="F701" t="str">
            <v>BBD</v>
          </cell>
          <cell r="R701">
            <v>0</v>
          </cell>
        </row>
        <row r="702">
          <cell r="C702">
            <v>41445</v>
          </cell>
          <cell r="F702" t="str">
            <v>BBD</v>
          </cell>
          <cell r="R702">
            <v>0</v>
          </cell>
        </row>
        <row r="703">
          <cell r="C703">
            <v>41475</v>
          </cell>
          <cell r="F703" t="str">
            <v>BBD</v>
          </cell>
          <cell r="R703">
            <v>0</v>
          </cell>
        </row>
        <row r="704">
          <cell r="C704">
            <v>41506</v>
          </cell>
          <cell r="F704" t="str">
            <v>BBD</v>
          </cell>
          <cell r="R704">
            <v>0</v>
          </cell>
        </row>
        <row r="705">
          <cell r="C705">
            <v>41537</v>
          </cell>
          <cell r="F705" t="str">
            <v>BBD</v>
          </cell>
          <cell r="R705">
            <v>0</v>
          </cell>
        </row>
        <row r="706">
          <cell r="C706">
            <v>41567</v>
          </cell>
          <cell r="F706" t="str">
            <v>BBD</v>
          </cell>
          <cell r="R706">
            <v>0</v>
          </cell>
        </row>
        <row r="707">
          <cell r="C707">
            <v>41598</v>
          </cell>
          <cell r="F707" t="str">
            <v>BBD</v>
          </cell>
          <cell r="R707">
            <v>0</v>
          </cell>
        </row>
        <row r="708">
          <cell r="C708">
            <v>41628</v>
          </cell>
          <cell r="F708" t="str">
            <v>BBD</v>
          </cell>
          <cell r="R708">
            <v>0</v>
          </cell>
        </row>
        <row r="709">
          <cell r="C709">
            <v>41659</v>
          </cell>
          <cell r="F709" t="str">
            <v>BBD</v>
          </cell>
          <cell r="R709">
            <v>0</v>
          </cell>
        </row>
        <row r="710">
          <cell r="C710">
            <v>41690</v>
          </cell>
          <cell r="F710" t="str">
            <v>BBD</v>
          </cell>
          <cell r="R710">
            <v>0</v>
          </cell>
        </row>
        <row r="711">
          <cell r="C711">
            <v>41718</v>
          </cell>
          <cell r="F711" t="str">
            <v>BBD</v>
          </cell>
          <cell r="R711">
            <v>0</v>
          </cell>
        </row>
        <row r="712">
          <cell r="C712">
            <v>41749</v>
          </cell>
          <cell r="F712" t="str">
            <v>BBD</v>
          </cell>
          <cell r="R712">
            <v>0</v>
          </cell>
        </row>
        <row r="713">
          <cell r="C713">
            <v>41779</v>
          </cell>
          <cell r="F713" t="str">
            <v>BBD</v>
          </cell>
          <cell r="R713">
            <v>0</v>
          </cell>
        </row>
        <row r="714">
          <cell r="C714">
            <v>41810</v>
          </cell>
          <cell r="F714" t="str">
            <v>BBD</v>
          </cell>
          <cell r="R714">
            <v>0</v>
          </cell>
        </row>
        <row r="715">
          <cell r="C715">
            <v>41840</v>
          </cell>
          <cell r="F715" t="str">
            <v>BBD</v>
          </cell>
          <cell r="R715">
            <v>0</v>
          </cell>
        </row>
        <row r="716">
          <cell r="C716">
            <v>41871</v>
          </cell>
          <cell r="F716" t="str">
            <v>BBD</v>
          </cell>
          <cell r="R716">
            <v>0</v>
          </cell>
        </row>
        <row r="717">
          <cell r="C717">
            <v>41902</v>
          </cell>
          <cell r="F717" t="str">
            <v>BBD</v>
          </cell>
          <cell r="R717">
            <v>0</v>
          </cell>
        </row>
        <row r="718">
          <cell r="C718">
            <v>41932</v>
          </cell>
          <cell r="F718" t="str">
            <v>BBD</v>
          </cell>
          <cell r="R718">
            <v>0</v>
          </cell>
        </row>
        <row r="719">
          <cell r="C719">
            <v>41963</v>
          </cell>
          <cell r="F719" t="str">
            <v>BBD</v>
          </cell>
          <cell r="R719">
            <v>0</v>
          </cell>
        </row>
        <row r="720">
          <cell r="C720">
            <v>41993</v>
          </cell>
          <cell r="F720" t="str">
            <v>BBD</v>
          </cell>
          <cell r="R720">
            <v>0</v>
          </cell>
        </row>
        <row r="721">
          <cell r="C721">
            <v>42024</v>
          </cell>
          <cell r="F721" t="str">
            <v>BBD</v>
          </cell>
          <cell r="R721">
            <v>0</v>
          </cell>
        </row>
        <row r="722">
          <cell r="C722">
            <v>42055</v>
          </cell>
          <cell r="F722" t="str">
            <v>BBD</v>
          </cell>
          <cell r="R722">
            <v>0</v>
          </cell>
        </row>
        <row r="723">
          <cell r="C723">
            <v>42083</v>
          </cell>
          <cell r="F723" t="str">
            <v>BBD</v>
          </cell>
          <cell r="R723">
            <v>0</v>
          </cell>
        </row>
        <row r="724">
          <cell r="C724">
            <v>42114</v>
          </cell>
          <cell r="F724" t="str">
            <v>BBD</v>
          </cell>
          <cell r="R724">
            <v>0</v>
          </cell>
        </row>
        <row r="725">
          <cell r="C725">
            <v>41167</v>
          </cell>
          <cell r="F725" t="str">
            <v>BBDAGR</v>
          </cell>
          <cell r="R725">
            <v>0</v>
          </cell>
        </row>
        <row r="726">
          <cell r="C726">
            <v>41258</v>
          </cell>
          <cell r="F726" t="str">
            <v>BBDAGR</v>
          </cell>
          <cell r="R726">
            <v>0</v>
          </cell>
        </row>
        <row r="727">
          <cell r="C727">
            <v>41289</v>
          </cell>
          <cell r="F727" t="str">
            <v>BBDAGR</v>
          </cell>
          <cell r="R727">
            <v>0</v>
          </cell>
        </row>
        <row r="728">
          <cell r="C728">
            <v>41320</v>
          </cell>
          <cell r="F728" t="str">
            <v>BBDAGR</v>
          </cell>
          <cell r="R728">
            <v>0</v>
          </cell>
        </row>
        <row r="729">
          <cell r="C729">
            <v>41348</v>
          </cell>
          <cell r="F729" t="str">
            <v>BBDAGR</v>
          </cell>
          <cell r="R729">
            <v>0</v>
          </cell>
        </row>
        <row r="730">
          <cell r="C730">
            <v>41379</v>
          </cell>
          <cell r="F730" t="str">
            <v>BBDAGR</v>
          </cell>
          <cell r="R730">
            <v>0</v>
          </cell>
        </row>
        <row r="731">
          <cell r="C731">
            <v>41409</v>
          </cell>
          <cell r="F731" t="str">
            <v>BBDAGR</v>
          </cell>
          <cell r="R731">
            <v>0</v>
          </cell>
        </row>
        <row r="732">
          <cell r="C732">
            <v>41440</v>
          </cell>
          <cell r="F732" t="str">
            <v>BBDAGR</v>
          </cell>
          <cell r="R732">
            <v>0</v>
          </cell>
        </row>
        <row r="733">
          <cell r="C733">
            <v>41470</v>
          </cell>
          <cell r="F733" t="str">
            <v>BBDAGR</v>
          </cell>
          <cell r="R733">
            <v>0</v>
          </cell>
        </row>
        <row r="734">
          <cell r="C734">
            <v>41501</v>
          </cell>
          <cell r="F734" t="str">
            <v>BBDAGR</v>
          </cell>
          <cell r="R734">
            <v>0</v>
          </cell>
        </row>
        <row r="735">
          <cell r="C735">
            <v>41532</v>
          </cell>
          <cell r="F735" t="str">
            <v>BBDAGR</v>
          </cell>
          <cell r="R735">
            <v>0</v>
          </cell>
        </row>
        <row r="736">
          <cell r="C736">
            <v>41562</v>
          </cell>
          <cell r="F736" t="str">
            <v>BBDAGR</v>
          </cell>
          <cell r="R736">
            <v>0</v>
          </cell>
        </row>
        <row r="737">
          <cell r="C737">
            <v>41593</v>
          </cell>
          <cell r="F737" t="str">
            <v>BBDAGR</v>
          </cell>
          <cell r="R737">
            <v>0</v>
          </cell>
        </row>
        <row r="738">
          <cell r="C738">
            <v>41623</v>
          </cell>
          <cell r="F738" t="str">
            <v>BBDAGR</v>
          </cell>
          <cell r="R738">
            <v>0</v>
          </cell>
        </row>
        <row r="739">
          <cell r="C739">
            <v>41654</v>
          </cell>
          <cell r="F739" t="str">
            <v>BBDAGR</v>
          </cell>
          <cell r="R739">
            <v>0</v>
          </cell>
        </row>
        <row r="740">
          <cell r="C740">
            <v>41685</v>
          </cell>
          <cell r="F740" t="str">
            <v>BBDAGR</v>
          </cell>
          <cell r="R740">
            <v>0</v>
          </cell>
        </row>
        <row r="741">
          <cell r="C741">
            <v>41713</v>
          </cell>
          <cell r="F741" t="str">
            <v>BBDAGR</v>
          </cell>
          <cell r="R741">
            <v>0</v>
          </cell>
        </row>
        <row r="742">
          <cell r="C742">
            <v>41744</v>
          </cell>
          <cell r="F742" t="str">
            <v>BBDAGR</v>
          </cell>
          <cell r="R742">
            <v>0</v>
          </cell>
        </row>
        <row r="743">
          <cell r="C743">
            <v>41774</v>
          </cell>
          <cell r="F743" t="str">
            <v>BBDAGR</v>
          </cell>
          <cell r="R743">
            <v>0</v>
          </cell>
        </row>
        <row r="744">
          <cell r="C744">
            <v>41805</v>
          </cell>
          <cell r="F744" t="str">
            <v>BBDAGR</v>
          </cell>
          <cell r="R744">
            <v>0</v>
          </cell>
        </row>
        <row r="745">
          <cell r="C745">
            <v>41835</v>
          </cell>
          <cell r="F745" t="str">
            <v>BBDAGR</v>
          </cell>
          <cell r="R745">
            <v>0</v>
          </cell>
        </row>
        <row r="746">
          <cell r="C746">
            <v>41866</v>
          </cell>
          <cell r="F746" t="str">
            <v>BBDAGR</v>
          </cell>
          <cell r="R746">
            <v>0</v>
          </cell>
        </row>
        <row r="747">
          <cell r="C747">
            <v>41897</v>
          </cell>
          <cell r="F747" t="str">
            <v>BBDAGR</v>
          </cell>
          <cell r="R747">
            <v>0</v>
          </cell>
        </row>
        <row r="748">
          <cell r="C748">
            <v>41927</v>
          </cell>
          <cell r="F748" t="str">
            <v>BBDAGR</v>
          </cell>
          <cell r="R748">
            <v>0</v>
          </cell>
        </row>
        <row r="749">
          <cell r="C749">
            <v>41958</v>
          </cell>
          <cell r="F749" t="str">
            <v>BBDAGR</v>
          </cell>
          <cell r="R749">
            <v>0</v>
          </cell>
        </row>
        <row r="750">
          <cell r="C750">
            <v>41988</v>
          </cell>
          <cell r="F750" t="str">
            <v>BBDAGR</v>
          </cell>
          <cell r="R750">
            <v>0</v>
          </cell>
        </row>
        <row r="751">
          <cell r="C751">
            <v>42019</v>
          </cell>
          <cell r="F751" t="str">
            <v>BBDAGR</v>
          </cell>
          <cell r="R751">
            <v>0</v>
          </cell>
        </row>
        <row r="752">
          <cell r="C752">
            <v>42050</v>
          </cell>
          <cell r="F752" t="str">
            <v>BBDAGR</v>
          </cell>
          <cell r="R752">
            <v>0</v>
          </cell>
        </row>
        <row r="753">
          <cell r="C753">
            <v>42078</v>
          </cell>
          <cell r="F753" t="str">
            <v>BBDAGR</v>
          </cell>
          <cell r="R753">
            <v>0</v>
          </cell>
        </row>
        <row r="754">
          <cell r="C754">
            <v>42109</v>
          </cell>
          <cell r="F754" t="str">
            <v>BBDAGR</v>
          </cell>
          <cell r="R754">
            <v>0</v>
          </cell>
        </row>
        <row r="755">
          <cell r="C755">
            <v>42139</v>
          </cell>
          <cell r="F755" t="str">
            <v>BBDAGR</v>
          </cell>
          <cell r="R755">
            <v>0</v>
          </cell>
        </row>
        <row r="756">
          <cell r="C756">
            <v>42170</v>
          </cell>
          <cell r="F756" t="str">
            <v>BBDAGR</v>
          </cell>
          <cell r="R756">
            <v>0</v>
          </cell>
        </row>
        <row r="757">
          <cell r="C757">
            <v>42200</v>
          </cell>
          <cell r="F757" t="str">
            <v>BBDAGR</v>
          </cell>
          <cell r="R757">
            <v>0</v>
          </cell>
        </row>
        <row r="758">
          <cell r="C758">
            <v>42231</v>
          </cell>
          <cell r="F758" t="str">
            <v>BBDAGR</v>
          </cell>
          <cell r="R758">
            <v>0</v>
          </cell>
        </row>
        <row r="759">
          <cell r="C759">
            <v>42262</v>
          </cell>
          <cell r="F759" t="str">
            <v>BBDAGR</v>
          </cell>
          <cell r="R759">
            <v>0</v>
          </cell>
        </row>
        <row r="760">
          <cell r="C760">
            <v>42292</v>
          </cell>
          <cell r="F760" t="str">
            <v>BBDAGR</v>
          </cell>
          <cell r="R760">
            <v>0</v>
          </cell>
        </row>
        <row r="761">
          <cell r="C761">
            <v>42323</v>
          </cell>
          <cell r="F761" t="str">
            <v>BBDAGR</v>
          </cell>
          <cell r="R761">
            <v>0</v>
          </cell>
        </row>
        <row r="762">
          <cell r="C762">
            <v>42353</v>
          </cell>
          <cell r="F762" t="str">
            <v>BBDAGR</v>
          </cell>
          <cell r="R762">
            <v>0</v>
          </cell>
        </row>
        <row r="763">
          <cell r="C763">
            <v>42384</v>
          </cell>
          <cell r="F763" t="str">
            <v>BBDAGR</v>
          </cell>
          <cell r="R763">
            <v>0</v>
          </cell>
        </row>
        <row r="764">
          <cell r="C764">
            <v>42415</v>
          </cell>
          <cell r="F764" t="str">
            <v>BBDAGR</v>
          </cell>
          <cell r="R764">
            <v>0</v>
          </cell>
        </row>
        <row r="765">
          <cell r="C765">
            <v>42444</v>
          </cell>
          <cell r="F765" t="str">
            <v>BBDAGR</v>
          </cell>
          <cell r="R765">
            <v>0</v>
          </cell>
        </row>
        <row r="766">
          <cell r="C766">
            <v>42475</v>
          </cell>
          <cell r="F766" t="str">
            <v>BBDAGR</v>
          </cell>
          <cell r="R766">
            <v>0</v>
          </cell>
        </row>
        <row r="767">
          <cell r="C767">
            <v>42505</v>
          </cell>
          <cell r="F767" t="str">
            <v>BBDAGR</v>
          </cell>
          <cell r="R767">
            <v>0</v>
          </cell>
        </row>
        <row r="768">
          <cell r="C768">
            <v>42536</v>
          </cell>
          <cell r="F768" t="str">
            <v>BBDAGR</v>
          </cell>
          <cell r="R768">
            <v>0</v>
          </cell>
        </row>
        <row r="769">
          <cell r="C769">
            <v>42566</v>
          </cell>
          <cell r="F769" t="str">
            <v>BBDAGR</v>
          </cell>
          <cell r="R769">
            <v>0</v>
          </cell>
        </row>
        <row r="770">
          <cell r="C770">
            <v>42597</v>
          </cell>
          <cell r="F770" t="str">
            <v>BBDAGR</v>
          </cell>
          <cell r="R770">
            <v>0</v>
          </cell>
        </row>
        <row r="771">
          <cell r="C771">
            <v>42628</v>
          </cell>
          <cell r="F771" t="str">
            <v>BBDAGR</v>
          </cell>
          <cell r="R771">
            <v>5386.3636363636333</v>
          </cell>
        </row>
        <row r="772">
          <cell r="C772">
            <v>42658</v>
          </cell>
          <cell r="F772" t="str">
            <v>BBDAGR</v>
          </cell>
          <cell r="R772">
            <v>5386.3636363636333</v>
          </cell>
        </row>
        <row r="773">
          <cell r="C773">
            <v>42689</v>
          </cell>
          <cell r="F773" t="str">
            <v>BBDAGR</v>
          </cell>
          <cell r="R773">
            <v>5386.3636363636333</v>
          </cell>
        </row>
        <row r="774">
          <cell r="C774">
            <v>42719</v>
          </cell>
          <cell r="F774" t="str">
            <v>BBDAGR</v>
          </cell>
          <cell r="R774">
            <v>5386.3636363636333</v>
          </cell>
        </row>
        <row r="775">
          <cell r="C775">
            <v>42750</v>
          </cell>
          <cell r="F775" t="str">
            <v>BBDAGR</v>
          </cell>
          <cell r="R775">
            <v>5386.3636363636333</v>
          </cell>
        </row>
        <row r="776">
          <cell r="C776">
            <v>42781</v>
          </cell>
          <cell r="F776" t="str">
            <v>BBDAGR</v>
          </cell>
          <cell r="R776">
            <v>5386.3636363636333</v>
          </cell>
        </row>
        <row r="777">
          <cell r="C777">
            <v>42809</v>
          </cell>
          <cell r="F777" t="str">
            <v>BBDAGR</v>
          </cell>
          <cell r="R777">
            <v>5386.3636363636333</v>
          </cell>
        </row>
        <row r="778">
          <cell r="C778">
            <v>42840</v>
          </cell>
          <cell r="F778" t="str">
            <v>BBDAGR</v>
          </cell>
          <cell r="R778">
            <v>5386.3636363636333</v>
          </cell>
        </row>
        <row r="779">
          <cell r="C779">
            <v>42870</v>
          </cell>
          <cell r="F779" t="str">
            <v>BBDAGR</v>
          </cell>
          <cell r="R779">
            <v>5386.3636363636333</v>
          </cell>
        </row>
        <row r="780">
          <cell r="C780">
            <v>42901</v>
          </cell>
          <cell r="F780" t="str">
            <v>BBDAGR</v>
          </cell>
          <cell r="R780">
            <v>5386.3636363636333</v>
          </cell>
        </row>
        <row r="781">
          <cell r="C781">
            <v>42931</v>
          </cell>
          <cell r="F781" t="str">
            <v>BBDAGR</v>
          </cell>
          <cell r="R781">
            <v>5386.3636363636333</v>
          </cell>
        </row>
        <row r="782">
          <cell r="C782">
            <v>42962</v>
          </cell>
          <cell r="F782" t="str">
            <v>BBDAGR</v>
          </cell>
          <cell r="R782">
            <v>5386.3636363636333</v>
          </cell>
        </row>
        <row r="783">
          <cell r="C783">
            <v>42993</v>
          </cell>
          <cell r="F783" t="str">
            <v>BBDAGR</v>
          </cell>
          <cell r="R783">
            <v>5386.3636363636342</v>
          </cell>
        </row>
        <row r="784">
          <cell r="C784">
            <v>43023</v>
          </cell>
          <cell r="F784" t="str">
            <v>BBDAGR</v>
          </cell>
          <cell r="R784">
            <v>5386.3636363636342</v>
          </cell>
        </row>
        <row r="785">
          <cell r="C785">
            <v>43054</v>
          </cell>
          <cell r="F785" t="str">
            <v>BBDAGR</v>
          </cell>
          <cell r="R785">
            <v>5386.3636363636342</v>
          </cell>
        </row>
        <row r="786">
          <cell r="C786">
            <v>43084</v>
          </cell>
          <cell r="F786" t="str">
            <v>BBDAGR</v>
          </cell>
          <cell r="R786">
            <v>5386.3636363636342</v>
          </cell>
        </row>
        <row r="787">
          <cell r="C787">
            <v>43115</v>
          </cell>
          <cell r="F787" t="str">
            <v>BBDAGR</v>
          </cell>
          <cell r="R787">
            <v>5386.3636363636351</v>
          </cell>
        </row>
        <row r="788">
          <cell r="C788">
            <v>43146</v>
          </cell>
          <cell r="F788" t="str">
            <v>BBDAGR</v>
          </cell>
          <cell r="R788">
            <v>5386.3636363636342</v>
          </cell>
        </row>
        <row r="789">
          <cell r="C789">
            <v>43174</v>
          </cell>
          <cell r="F789" t="str">
            <v>BBDAGR</v>
          </cell>
          <cell r="R789">
            <v>5386.3636363636342</v>
          </cell>
        </row>
        <row r="790">
          <cell r="C790">
            <v>43205</v>
          </cell>
          <cell r="F790" t="str">
            <v>BBDAGR</v>
          </cell>
          <cell r="R790">
            <v>5386.3636363636342</v>
          </cell>
        </row>
        <row r="791">
          <cell r="C791">
            <v>43235</v>
          </cell>
          <cell r="F791" t="str">
            <v>BBDAGR</v>
          </cell>
          <cell r="R791">
            <v>5386.3636363636342</v>
          </cell>
        </row>
        <row r="792">
          <cell r="C792">
            <v>43266</v>
          </cell>
          <cell r="F792" t="str">
            <v>BBDAGR</v>
          </cell>
          <cell r="R792">
            <v>5386.3636363636342</v>
          </cell>
        </row>
        <row r="793">
          <cell r="C793">
            <v>41197</v>
          </cell>
          <cell r="F793" t="str">
            <v>BJD1</v>
          </cell>
          <cell r="R793">
            <v>0</v>
          </cell>
        </row>
        <row r="794">
          <cell r="C794">
            <v>41562</v>
          </cell>
          <cell r="F794" t="str">
            <v>BJD1</v>
          </cell>
          <cell r="R794">
            <v>0</v>
          </cell>
        </row>
        <row r="795">
          <cell r="C795">
            <v>41927</v>
          </cell>
          <cell r="F795" t="str">
            <v>BJD1</v>
          </cell>
          <cell r="R795">
            <v>0</v>
          </cell>
        </row>
        <row r="796">
          <cell r="C796">
            <v>42292</v>
          </cell>
          <cell r="F796" t="str">
            <v>BJD1</v>
          </cell>
          <cell r="R796">
            <v>0</v>
          </cell>
        </row>
        <row r="797">
          <cell r="C797">
            <v>42658</v>
          </cell>
          <cell r="F797" t="str">
            <v>BJD1</v>
          </cell>
          <cell r="R797">
            <v>1867046.578637168</v>
          </cell>
        </row>
        <row r="798">
          <cell r="C798">
            <v>41440</v>
          </cell>
          <cell r="F798" t="str">
            <v>BBD</v>
          </cell>
          <cell r="R798">
            <v>0</v>
          </cell>
        </row>
        <row r="799">
          <cell r="C799">
            <v>41805</v>
          </cell>
          <cell r="F799" t="str">
            <v>BBD</v>
          </cell>
          <cell r="R799">
            <v>0</v>
          </cell>
        </row>
        <row r="800">
          <cell r="C800">
            <v>42170</v>
          </cell>
          <cell r="F800" t="str">
            <v>BBD</v>
          </cell>
          <cell r="R800">
            <v>0</v>
          </cell>
        </row>
        <row r="801">
          <cell r="C801">
            <v>42536</v>
          </cell>
          <cell r="F801" t="str">
            <v>BBD</v>
          </cell>
          <cell r="R801">
            <v>0</v>
          </cell>
        </row>
        <row r="802">
          <cell r="C802">
            <v>42901</v>
          </cell>
          <cell r="F802" t="str">
            <v>BBD</v>
          </cell>
          <cell r="R802">
            <v>110839.98559401445</v>
          </cell>
        </row>
        <row r="803">
          <cell r="C803">
            <v>43266</v>
          </cell>
          <cell r="F803" t="str">
            <v>BBD</v>
          </cell>
          <cell r="R803">
            <v>109200</v>
          </cell>
        </row>
        <row r="804">
          <cell r="C804">
            <v>41440</v>
          </cell>
          <cell r="F804" t="str">
            <v>BBD</v>
          </cell>
          <cell r="R804">
            <v>0</v>
          </cell>
        </row>
        <row r="805">
          <cell r="C805">
            <v>41805</v>
          </cell>
          <cell r="F805" t="str">
            <v>BBD</v>
          </cell>
          <cell r="R805">
            <v>0</v>
          </cell>
        </row>
        <row r="806">
          <cell r="C806">
            <v>42170</v>
          </cell>
          <cell r="F806" t="str">
            <v>BBD</v>
          </cell>
          <cell r="R806">
            <v>0</v>
          </cell>
        </row>
        <row r="807">
          <cell r="C807">
            <v>42536</v>
          </cell>
          <cell r="F807" t="str">
            <v>BBD</v>
          </cell>
          <cell r="R807">
            <v>0</v>
          </cell>
        </row>
        <row r="808">
          <cell r="C808">
            <v>42901</v>
          </cell>
          <cell r="F808" t="str">
            <v>BBD</v>
          </cell>
          <cell r="R808">
            <v>27405.490943575001</v>
          </cell>
        </row>
        <row r="809">
          <cell r="C809">
            <v>43266</v>
          </cell>
          <cell r="F809" t="str">
            <v>BBD</v>
          </cell>
          <cell r="R809">
            <v>27000</v>
          </cell>
        </row>
        <row r="810">
          <cell r="C810">
            <v>41440</v>
          </cell>
          <cell r="F810" t="str">
            <v>BBD</v>
          </cell>
          <cell r="R810">
            <v>0</v>
          </cell>
        </row>
        <row r="811">
          <cell r="C811">
            <v>41805</v>
          </cell>
          <cell r="F811" t="str">
            <v>BBD</v>
          </cell>
          <cell r="R811">
            <v>0</v>
          </cell>
        </row>
        <row r="812">
          <cell r="C812">
            <v>42170</v>
          </cell>
          <cell r="F812" t="str">
            <v>BBD</v>
          </cell>
          <cell r="R812">
            <v>0</v>
          </cell>
        </row>
        <row r="813">
          <cell r="C813">
            <v>42536</v>
          </cell>
          <cell r="F813" t="str">
            <v>BBD</v>
          </cell>
          <cell r="R813">
            <v>0</v>
          </cell>
        </row>
        <row r="814">
          <cell r="C814">
            <v>42901</v>
          </cell>
          <cell r="F814" t="str">
            <v>BBD</v>
          </cell>
          <cell r="R814">
            <v>59759.195529739933</v>
          </cell>
        </row>
        <row r="815">
          <cell r="C815">
            <v>43266</v>
          </cell>
          <cell r="F815" t="str">
            <v>BBD</v>
          </cell>
          <cell r="R815">
            <v>58875</v>
          </cell>
        </row>
        <row r="816">
          <cell r="C816">
            <v>41440</v>
          </cell>
          <cell r="F816" t="str">
            <v>BBD</v>
          </cell>
          <cell r="R816">
            <v>0</v>
          </cell>
        </row>
        <row r="817">
          <cell r="C817">
            <v>41805</v>
          </cell>
          <cell r="F817" t="str">
            <v>BBD</v>
          </cell>
          <cell r="R817">
            <v>0</v>
          </cell>
        </row>
        <row r="818">
          <cell r="C818">
            <v>42170</v>
          </cell>
          <cell r="F818" t="str">
            <v>BBD</v>
          </cell>
          <cell r="R818">
            <v>0</v>
          </cell>
        </row>
        <row r="819">
          <cell r="C819">
            <v>42536</v>
          </cell>
          <cell r="F819" t="str">
            <v>BBD</v>
          </cell>
          <cell r="R819">
            <v>0</v>
          </cell>
        </row>
        <row r="820">
          <cell r="C820">
            <v>42901</v>
          </cell>
          <cell r="F820" t="str">
            <v>BBD</v>
          </cell>
          <cell r="R820">
            <v>45523.565511827364</v>
          </cell>
        </row>
        <row r="821">
          <cell r="C821">
            <v>43266</v>
          </cell>
          <cell r="F821" t="str">
            <v>BBD</v>
          </cell>
          <cell r="R821">
            <v>44850</v>
          </cell>
        </row>
        <row r="822">
          <cell r="C822">
            <v>41409</v>
          </cell>
          <cell r="F822" t="str">
            <v>CNH</v>
          </cell>
          <cell r="R822">
            <v>0</v>
          </cell>
        </row>
        <row r="823">
          <cell r="C823">
            <v>41774</v>
          </cell>
          <cell r="F823" t="str">
            <v>CNH</v>
          </cell>
          <cell r="R823">
            <v>0</v>
          </cell>
        </row>
        <row r="824">
          <cell r="C824">
            <v>42139</v>
          </cell>
          <cell r="F824" t="str">
            <v>CNH</v>
          </cell>
          <cell r="R824">
            <v>0</v>
          </cell>
        </row>
        <row r="825">
          <cell r="C825">
            <v>42505</v>
          </cell>
          <cell r="F825" t="str">
            <v>CNH</v>
          </cell>
          <cell r="R825">
            <v>0</v>
          </cell>
        </row>
        <row r="826">
          <cell r="C826">
            <v>42870</v>
          </cell>
          <cell r="F826" t="str">
            <v>CNH</v>
          </cell>
          <cell r="R826">
            <v>435218.65743161045</v>
          </cell>
        </row>
        <row r="827">
          <cell r="C827">
            <v>43235</v>
          </cell>
          <cell r="F827" t="str">
            <v>CNH</v>
          </cell>
          <cell r="R827">
            <v>415125</v>
          </cell>
        </row>
        <row r="828">
          <cell r="C828">
            <v>43600</v>
          </cell>
          <cell r="F828" t="str">
            <v>CNH</v>
          </cell>
          <cell r="R828">
            <v>415125</v>
          </cell>
        </row>
        <row r="829">
          <cell r="C829">
            <v>43966</v>
          </cell>
          <cell r="F829" t="str">
            <v>CNH</v>
          </cell>
          <cell r="R829">
            <v>415125</v>
          </cell>
        </row>
        <row r="830">
          <cell r="C830">
            <v>41409</v>
          </cell>
          <cell r="F830" t="str">
            <v>CNH</v>
          </cell>
          <cell r="R830">
            <v>0</v>
          </cell>
        </row>
        <row r="831">
          <cell r="C831">
            <v>41774</v>
          </cell>
          <cell r="F831" t="str">
            <v>CNH</v>
          </cell>
          <cell r="R831">
            <v>0</v>
          </cell>
        </row>
        <row r="832">
          <cell r="C832">
            <v>42139</v>
          </cell>
          <cell r="F832" t="str">
            <v>CNH</v>
          </cell>
          <cell r="R832">
            <v>0</v>
          </cell>
        </row>
        <row r="833">
          <cell r="C833">
            <v>42505</v>
          </cell>
          <cell r="F833" t="str">
            <v>CNH</v>
          </cell>
          <cell r="R833">
            <v>0</v>
          </cell>
        </row>
        <row r="834">
          <cell r="C834">
            <v>42870</v>
          </cell>
          <cell r="F834" t="str">
            <v>CNH</v>
          </cell>
          <cell r="R834">
            <v>227109.24637475904</v>
          </cell>
        </row>
        <row r="835">
          <cell r="C835">
            <v>41562</v>
          </cell>
          <cell r="F835" t="str">
            <v>BBD</v>
          </cell>
          <cell r="R835">
            <v>0</v>
          </cell>
        </row>
        <row r="836">
          <cell r="C836">
            <v>41927</v>
          </cell>
          <cell r="F836" t="str">
            <v>BBD</v>
          </cell>
          <cell r="R836">
            <v>0</v>
          </cell>
        </row>
        <row r="837">
          <cell r="C837">
            <v>42292</v>
          </cell>
          <cell r="F837" t="str">
            <v>BBD</v>
          </cell>
          <cell r="R837">
            <v>0</v>
          </cell>
        </row>
        <row r="838">
          <cell r="C838">
            <v>42658</v>
          </cell>
          <cell r="F838" t="str">
            <v>BBD</v>
          </cell>
          <cell r="R838">
            <v>242026.34742656877</v>
          </cell>
        </row>
        <row r="839">
          <cell r="C839">
            <v>43023</v>
          </cell>
          <cell r="F839" t="str">
            <v>BBD</v>
          </cell>
          <cell r="R839">
            <v>228225</v>
          </cell>
        </row>
        <row r="840">
          <cell r="C840">
            <v>43388</v>
          </cell>
          <cell r="F840" t="str">
            <v>BBD</v>
          </cell>
          <cell r="R840">
            <v>228225</v>
          </cell>
        </row>
        <row r="841">
          <cell r="C841">
            <v>41501</v>
          </cell>
          <cell r="F841" t="str">
            <v>BBD</v>
          </cell>
          <cell r="R841">
            <v>0</v>
          </cell>
        </row>
        <row r="842">
          <cell r="C842">
            <v>41866</v>
          </cell>
          <cell r="F842" t="str">
            <v>BBD</v>
          </cell>
          <cell r="R842">
            <v>0</v>
          </cell>
        </row>
        <row r="843">
          <cell r="C843">
            <v>42231</v>
          </cell>
          <cell r="F843" t="str">
            <v>BBD</v>
          </cell>
          <cell r="R843">
            <v>0</v>
          </cell>
        </row>
        <row r="844">
          <cell r="C844">
            <v>42597</v>
          </cell>
          <cell r="F844" t="str">
            <v>BBD</v>
          </cell>
          <cell r="R844">
            <v>0</v>
          </cell>
        </row>
        <row r="845">
          <cell r="C845">
            <v>42962</v>
          </cell>
          <cell r="F845" t="str">
            <v>BBD</v>
          </cell>
          <cell r="R845">
            <v>228225</v>
          </cell>
        </row>
        <row r="846">
          <cell r="C846">
            <v>43327</v>
          </cell>
          <cell r="F846" t="str">
            <v>BBD</v>
          </cell>
          <cell r="R846">
            <v>228225</v>
          </cell>
        </row>
        <row r="847">
          <cell r="C847">
            <v>41562</v>
          </cell>
          <cell r="F847" t="str">
            <v>BBD</v>
          </cell>
          <cell r="R847">
            <v>0</v>
          </cell>
        </row>
        <row r="848">
          <cell r="C848">
            <v>41927</v>
          </cell>
          <cell r="F848" t="str">
            <v>BBD</v>
          </cell>
          <cell r="R848">
            <v>0</v>
          </cell>
        </row>
        <row r="849">
          <cell r="C849">
            <v>42292</v>
          </cell>
          <cell r="F849" t="str">
            <v>BBD</v>
          </cell>
          <cell r="R849">
            <v>0</v>
          </cell>
        </row>
        <row r="850">
          <cell r="C850">
            <v>42658</v>
          </cell>
          <cell r="F850" t="str">
            <v>BBD</v>
          </cell>
          <cell r="R850">
            <v>21211.099313645049</v>
          </cell>
        </row>
        <row r="851">
          <cell r="C851">
            <v>43023</v>
          </cell>
          <cell r="F851" t="str">
            <v>BBD</v>
          </cell>
          <cell r="R851">
            <v>19500</v>
          </cell>
        </row>
        <row r="852">
          <cell r="C852">
            <v>43388</v>
          </cell>
          <cell r="F852" t="str">
            <v>BBD</v>
          </cell>
          <cell r="R852">
            <v>19500</v>
          </cell>
        </row>
        <row r="853">
          <cell r="C853">
            <v>41562</v>
          </cell>
          <cell r="F853" t="str">
            <v>BBD</v>
          </cell>
          <cell r="R853">
            <v>0</v>
          </cell>
        </row>
        <row r="854">
          <cell r="C854">
            <v>41927</v>
          </cell>
          <cell r="F854" t="str">
            <v>BBD</v>
          </cell>
          <cell r="R854">
            <v>0</v>
          </cell>
        </row>
        <row r="855">
          <cell r="C855">
            <v>42292</v>
          </cell>
          <cell r="F855" t="str">
            <v>BBD</v>
          </cell>
          <cell r="R855">
            <v>0</v>
          </cell>
        </row>
        <row r="856">
          <cell r="C856">
            <v>42658</v>
          </cell>
          <cell r="F856" t="str">
            <v>BBD</v>
          </cell>
          <cell r="R856">
            <v>244778.82757312086</v>
          </cell>
        </row>
        <row r="857">
          <cell r="C857">
            <v>43023</v>
          </cell>
          <cell r="F857" t="str">
            <v>BBD</v>
          </cell>
          <cell r="R857">
            <v>228225</v>
          </cell>
        </row>
        <row r="858">
          <cell r="C858">
            <v>43388</v>
          </cell>
          <cell r="F858" t="str">
            <v>BBD</v>
          </cell>
          <cell r="R858">
            <v>228225</v>
          </cell>
        </row>
        <row r="859">
          <cell r="C859">
            <v>41501</v>
          </cell>
          <cell r="F859" t="str">
            <v>BBD</v>
          </cell>
          <cell r="R859">
            <v>0</v>
          </cell>
        </row>
        <row r="860">
          <cell r="C860">
            <v>41866</v>
          </cell>
          <cell r="F860" t="str">
            <v>BBD</v>
          </cell>
          <cell r="R860">
            <v>0</v>
          </cell>
        </row>
        <row r="861">
          <cell r="C861">
            <v>42231</v>
          </cell>
          <cell r="F861" t="str">
            <v>BBD</v>
          </cell>
          <cell r="R861">
            <v>0</v>
          </cell>
        </row>
        <row r="862">
          <cell r="C862">
            <v>42597</v>
          </cell>
          <cell r="F862" t="str">
            <v>BBD</v>
          </cell>
          <cell r="R862">
            <v>0</v>
          </cell>
        </row>
        <row r="863">
          <cell r="C863">
            <v>42962</v>
          </cell>
          <cell r="F863" t="str">
            <v>BBD</v>
          </cell>
          <cell r="R863">
            <v>114112.5</v>
          </cell>
        </row>
        <row r="864">
          <cell r="C864">
            <v>43327</v>
          </cell>
          <cell r="F864" t="str">
            <v>BBD</v>
          </cell>
          <cell r="R864">
            <v>114112.5</v>
          </cell>
        </row>
        <row r="865">
          <cell r="C865">
            <v>41501</v>
          </cell>
          <cell r="F865" t="str">
            <v>BBD</v>
          </cell>
          <cell r="R865">
            <v>0</v>
          </cell>
        </row>
        <row r="866">
          <cell r="C866">
            <v>41866</v>
          </cell>
          <cell r="F866" t="str">
            <v>BBD</v>
          </cell>
          <cell r="R866">
            <v>0</v>
          </cell>
        </row>
        <row r="867">
          <cell r="C867">
            <v>42231</v>
          </cell>
          <cell r="F867" t="str">
            <v>BBD</v>
          </cell>
          <cell r="R867">
            <v>0</v>
          </cell>
        </row>
        <row r="868">
          <cell r="C868">
            <v>42597</v>
          </cell>
          <cell r="F868" t="str">
            <v>BBD</v>
          </cell>
          <cell r="R868">
            <v>0</v>
          </cell>
        </row>
        <row r="869">
          <cell r="C869">
            <v>42962</v>
          </cell>
          <cell r="F869" t="str">
            <v>BBD</v>
          </cell>
          <cell r="R869">
            <v>114112.5</v>
          </cell>
        </row>
        <row r="870">
          <cell r="C870">
            <v>43327</v>
          </cell>
          <cell r="F870" t="str">
            <v>BBD</v>
          </cell>
          <cell r="R870">
            <v>114112.5</v>
          </cell>
        </row>
        <row r="871">
          <cell r="C871">
            <v>41562</v>
          </cell>
          <cell r="F871" t="str">
            <v>BJD1</v>
          </cell>
          <cell r="R871">
            <v>0</v>
          </cell>
        </row>
        <row r="872">
          <cell r="C872">
            <v>41927</v>
          </cell>
          <cell r="F872" t="str">
            <v>BJD1</v>
          </cell>
          <cell r="R872">
            <v>0</v>
          </cell>
        </row>
        <row r="873">
          <cell r="C873">
            <v>42292</v>
          </cell>
          <cell r="F873" t="str">
            <v>BJD1</v>
          </cell>
          <cell r="R873">
            <v>0</v>
          </cell>
        </row>
        <row r="874">
          <cell r="C874">
            <v>42658</v>
          </cell>
          <cell r="F874" t="str">
            <v>BJD1</v>
          </cell>
          <cell r="R874">
            <v>533152.47541943192</v>
          </cell>
        </row>
        <row r="875">
          <cell r="C875">
            <v>43023</v>
          </cell>
          <cell r="F875" t="str">
            <v>BJD1</v>
          </cell>
          <cell r="R875">
            <v>511858.95407100004</v>
          </cell>
        </row>
        <row r="876">
          <cell r="C876">
            <v>41562</v>
          </cell>
          <cell r="F876" t="str">
            <v>BBD</v>
          </cell>
          <cell r="R876">
            <v>0</v>
          </cell>
        </row>
        <row r="877">
          <cell r="C877">
            <v>41927</v>
          </cell>
          <cell r="F877" t="str">
            <v>BBD</v>
          </cell>
          <cell r="R877">
            <v>0</v>
          </cell>
        </row>
        <row r="878">
          <cell r="C878">
            <v>42292</v>
          </cell>
          <cell r="F878" t="str">
            <v>BBD</v>
          </cell>
          <cell r="R878">
            <v>0</v>
          </cell>
        </row>
        <row r="879">
          <cell r="C879">
            <v>42658</v>
          </cell>
          <cell r="F879" t="str">
            <v>BBD</v>
          </cell>
          <cell r="R879">
            <v>19949.112467346029</v>
          </cell>
        </row>
        <row r="880">
          <cell r="C880">
            <v>43023</v>
          </cell>
          <cell r="F880" t="str">
            <v>BBD</v>
          </cell>
          <cell r="R880">
            <v>18600</v>
          </cell>
        </row>
        <row r="881">
          <cell r="C881">
            <v>43388</v>
          </cell>
          <cell r="F881" t="str">
            <v>BBD</v>
          </cell>
          <cell r="R881">
            <v>18600</v>
          </cell>
        </row>
        <row r="882">
          <cell r="C882">
            <v>41774</v>
          </cell>
          <cell r="F882" t="str">
            <v>CNH</v>
          </cell>
          <cell r="R882">
            <v>0</v>
          </cell>
        </row>
        <row r="883">
          <cell r="C883">
            <v>42139</v>
          </cell>
          <cell r="F883" t="str">
            <v>CNH</v>
          </cell>
          <cell r="R883">
            <v>0</v>
          </cell>
        </row>
        <row r="884">
          <cell r="C884">
            <v>42505</v>
          </cell>
          <cell r="F884" t="str">
            <v>CNH</v>
          </cell>
          <cell r="R884">
            <v>0</v>
          </cell>
        </row>
        <row r="885">
          <cell r="C885">
            <v>42870</v>
          </cell>
          <cell r="F885" t="str">
            <v>CNH</v>
          </cell>
          <cell r="R885">
            <v>290876.38356381783</v>
          </cell>
        </row>
        <row r="886">
          <cell r="C886">
            <v>41409</v>
          </cell>
          <cell r="F886" t="str">
            <v>CNH</v>
          </cell>
          <cell r="R886">
            <v>0</v>
          </cell>
        </row>
        <row r="887">
          <cell r="C887">
            <v>41774</v>
          </cell>
          <cell r="F887" t="str">
            <v>CNH</v>
          </cell>
          <cell r="R887">
            <v>0</v>
          </cell>
        </row>
        <row r="888">
          <cell r="C888">
            <v>42139</v>
          </cell>
          <cell r="F888" t="str">
            <v>CNH</v>
          </cell>
          <cell r="R888">
            <v>0</v>
          </cell>
        </row>
        <row r="889">
          <cell r="C889">
            <v>42506</v>
          </cell>
          <cell r="F889" t="str">
            <v>CNH</v>
          </cell>
          <cell r="R889">
            <v>0</v>
          </cell>
        </row>
        <row r="890">
          <cell r="C890">
            <v>42870</v>
          </cell>
          <cell r="F890" t="str">
            <v>CNH</v>
          </cell>
          <cell r="R890">
            <v>413901.53007231117</v>
          </cell>
        </row>
        <row r="891">
          <cell r="C891">
            <v>43235</v>
          </cell>
          <cell r="F891" t="str">
            <v>CNH</v>
          </cell>
          <cell r="R891">
            <v>405000</v>
          </cell>
        </row>
        <row r="892">
          <cell r="C892">
            <v>43600</v>
          </cell>
          <cell r="F892" t="str">
            <v>CNH</v>
          </cell>
          <cell r="R892">
            <v>405000</v>
          </cell>
        </row>
        <row r="893">
          <cell r="C893">
            <v>43966</v>
          </cell>
          <cell r="F893" t="str">
            <v>CNH</v>
          </cell>
          <cell r="R893">
            <v>405000</v>
          </cell>
        </row>
        <row r="894">
          <cell r="C894">
            <v>41593</v>
          </cell>
          <cell r="F894" t="str">
            <v>BBD</v>
          </cell>
          <cell r="R894">
            <v>0</v>
          </cell>
        </row>
        <row r="895">
          <cell r="C895">
            <v>41958</v>
          </cell>
          <cell r="F895" t="str">
            <v>BBD</v>
          </cell>
          <cell r="R895">
            <v>0</v>
          </cell>
        </row>
        <row r="896">
          <cell r="C896">
            <v>42323</v>
          </cell>
          <cell r="F896" t="str">
            <v>BBD</v>
          </cell>
          <cell r="R896">
            <v>0</v>
          </cell>
        </row>
        <row r="897">
          <cell r="C897">
            <v>42689</v>
          </cell>
          <cell r="F897" t="str">
            <v>BBD</v>
          </cell>
          <cell r="R897">
            <v>54306.283574288609</v>
          </cell>
        </row>
        <row r="898">
          <cell r="C898">
            <v>43054</v>
          </cell>
          <cell r="F898" t="str">
            <v>BBD</v>
          </cell>
          <cell r="R898">
            <v>51000</v>
          </cell>
        </row>
        <row r="899">
          <cell r="C899">
            <v>43419</v>
          </cell>
          <cell r="F899" t="str">
            <v>BBD</v>
          </cell>
          <cell r="R899">
            <v>51000</v>
          </cell>
        </row>
        <row r="900">
          <cell r="C900">
            <v>41455</v>
          </cell>
          <cell r="F900" t="str">
            <v>BJD</v>
          </cell>
          <cell r="R900">
            <v>0</v>
          </cell>
        </row>
        <row r="901">
          <cell r="C901">
            <v>41820</v>
          </cell>
          <cell r="F901" t="str">
            <v>BJD</v>
          </cell>
          <cell r="R901">
            <v>0</v>
          </cell>
        </row>
        <row r="902">
          <cell r="C902">
            <v>42185</v>
          </cell>
          <cell r="F902" t="str">
            <v>BJD</v>
          </cell>
          <cell r="R902">
            <v>0</v>
          </cell>
        </row>
        <row r="903">
          <cell r="C903">
            <v>42551</v>
          </cell>
          <cell r="F903" t="str">
            <v>BJD</v>
          </cell>
          <cell r="R903">
            <v>0</v>
          </cell>
        </row>
        <row r="904">
          <cell r="C904">
            <v>42916</v>
          </cell>
          <cell r="F904" t="str">
            <v>BJD</v>
          </cell>
          <cell r="R904">
            <v>76684.272383353644</v>
          </cell>
        </row>
        <row r="905">
          <cell r="C905">
            <v>41348</v>
          </cell>
          <cell r="F905" t="str">
            <v>Volvo</v>
          </cell>
          <cell r="R905">
            <v>0</v>
          </cell>
        </row>
        <row r="906">
          <cell r="C906">
            <v>41440</v>
          </cell>
          <cell r="F906" t="str">
            <v>Volvo</v>
          </cell>
          <cell r="R906">
            <v>0</v>
          </cell>
        </row>
        <row r="907">
          <cell r="C907">
            <v>41470</v>
          </cell>
          <cell r="F907" t="str">
            <v>Volvo</v>
          </cell>
          <cell r="R907">
            <v>0</v>
          </cell>
        </row>
        <row r="908">
          <cell r="C908">
            <v>41501</v>
          </cell>
          <cell r="F908" t="str">
            <v>Volvo</v>
          </cell>
          <cell r="R908">
            <v>0</v>
          </cell>
        </row>
        <row r="909">
          <cell r="C909">
            <v>41532</v>
          </cell>
          <cell r="F909" t="str">
            <v>Volvo</v>
          </cell>
          <cell r="R909">
            <v>0</v>
          </cell>
        </row>
        <row r="910">
          <cell r="C910">
            <v>41562</v>
          </cell>
          <cell r="F910" t="str">
            <v>Volvo</v>
          </cell>
          <cell r="R910">
            <v>0</v>
          </cell>
        </row>
        <row r="911">
          <cell r="C911">
            <v>41593</v>
          </cell>
          <cell r="F911" t="str">
            <v>Volvo</v>
          </cell>
          <cell r="R911">
            <v>0</v>
          </cell>
        </row>
        <row r="912">
          <cell r="C912">
            <v>41623</v>
          </cell>
          <cell r="F912" t="str">
            <v>Volvo</v>
          </cell>
          <cell r="R912">
            <v>0</v>
          </cell>
        </row>
        <row r="913">
          <cell r="C913">
            <v>41654</v>
          </cell>
          <cell r="F913" t="str">
            <v>Volvo</v>
          </cell>
          <cell r="R913">
            <v>0</v>
          </cell>
        </row>
        <row r="914">
          <cell r="C914">
            <v>41685</v>
          </cell>
          <cell r="F914" t="str">
            <v>Volvo</v>
          </cell>
          <cell r="R914">
            <v>0</v>
          </cell>
        </row>
        <row r="915">
          <cell r="C915">
            <v>41713</v>
          </cell>
          <cell r="F915" t="str">
            <v>Volvo</v>
          </cell>
          <cell r="R915">
            <v>0</v>
          </cell>
        </row>
        <row r="916">
          <cell r="C916">
            <v>41744</v>
          </cell>
          <cell r="F916" t="str">
            <v>Volvo</v>
          </cell>
          <cell r="R916">
            <v>0</v>
          </cell>
        </row>
        <row r="917">
          <cell r="C917">
            <v>41774</v>
          </cell>
          <cell r="F917" t="str">
            <v>Volvo</v>
          </cell>
          <cell r="R917">
            <v>0</v>
          </cell>
        </row>
        <row r="918">
          <cell r="C918">
            <v>41805</v>
          </cell>
          <cell r="F918" t="str">
            <v>Volvo</v>
          </cell>
          <cell r="R918">
            <v>0</v>
          </cell>
        </row>
        <row r="919">
          <cell r="C919">
            <v>41835</v>
          </cell>
          <cell r="F919" t="str">
            <v>Volvo</v>
          </cell>
          <cell r="R919">
            <v>0</v>
          </cell>
        </row>
        <row r="920">
          <cell r="C920">
            <v>41866</v>
          </cell>
          <cell r="F920" t="str">
            <v>Volvo</v>
          </cell>
          <cell r="R920">
            <v>0</v>
          </cell>
        </row>
        <row r="921">
          <cell r="C921">
            <v>41897</v>
          </cell>
          <cell r="F921" t="str">
            <v>Volvo</v>
          </cell>
          <cell r="R921">
            <v>0</v>
          </cell>
        </row>
        <row r="922">
          <cell r="C922">
            <v>41927</v>
          </cell>
          <cell r="F922" t="str">
            <v>Volvo</v>
          </cell>
          <cell r="R922">
            <v>0</v>
          </cell>
        </row>
        <row r="923">
          <cell r="C923">
            <v>41958</v>
          </cell>
          <cell r="F923" t="str">
            <v>Volvo</v>
          </cell>
          <cell r="R923">
            <v>0</v>
          </cell>
        </row>
        <row r="924">
          <cell r="C924">
            <v>41988</v>
          </cell>
          <cell r="F924" t="str">
            <v>Volvo</v>
          </cell>
          <cell r="R924">
            <v>0</v>
          </cell>
        </row>
        <row r="925">
          <cell r="C925">
            <v>42019</v>
          </cell>
          <cell r="F925" t="str">
            <v>Volvo</v>
          </cell>
          <cell r="R925">
            <v>0</v>
          </cell>
        </row>
        <row r="926">
          <cell r="C926">
            <v>42050</v>
          </cell>
          <cell r="F926" t="str">
            <v>Volvo</v>
          </cell>
          <cell r="R926">
            <v>0</v>
          </cell>
        </row>
        <row r="927">
          <cell r="C927">
            <v>42078</v>
          </cell>
          <cell r="F927" t="str">
            <v>Volvo</v>
          </cell>
          <cell r="R927">
            <v>0</v>
          </cell>
        </row>
        <row r="928">
          <cell r="C928">
            <v>42109</v>
          </cell>
          <cell r="F928" t="str">
            <v>Volvo</v>
          </cell>
          <cell r="R928">
            <v>0</v>
          </cell>
        </row>
        <row r="929">
          <cell r="C929">
            <v>42139</v>
          </cell>
          <cell r="F929" t="str">
            <v>Volvo</v>
          </cell>
          <cell r="R929">
            <v>0</v>
          </cell>
        </row>
        <row r="930">
          <cell r="C930">
            <v>42170</v>
          </cell>
          <cell r="F930" t="str">
            <v>Volvo</v>
          </cell>
          <cell r="R930">
            <v>0</v>
          </cell>
        </row>
        <row r="931">
          <cell r="C931">
            <v>42200</v>
          </cell>
          <cell r="F931" t="str">
            <v>Volvo</v>
          </cell>
          <cell r="R931">
            <v>0</v>
          </cell>
        </row>
        <row r="932">
          <cell r="C932">
            <v>42231</v>
          </cell>
          <cell r="F932" t="str">
            <v>Volvo</v>
          </cell>
          <cell r="R932">
            <v>0</v>
          </cell>
        </row>
        <row r="933">
          <cell r="C933">
            <v>42262</v>
          </cell>
          <cell r="F933" t="str">
            <v>Volvo</v>
          </cell>
          <cell r="R933">
            <v>0</v>
          </cell>
        </row>
        <row r="934">
          <cell r="C934">
            <v>42292</v>
          </cell>
          <cell r="F934" t="str">
            <v>Volvo</v>
          </cell>
          <cell r="R934">
            <v>0</v>
          </cell>
        </row>
        <row r="935">
          <cell r="C935">
            <v>42323</v>
          </cell>
          <cell r="F935" t="str">
            <v>Volvo</v>
          </cell>
          <cell r="R935">
            <v>0</v>
          </cell>
        </row>
        <row r="936">
          <cell r="C936">
            <v>42353</v>
          </cell>
          <cell r="F936" t="str">
            <v>Volvo</v>
          </cell>
          <cell r="R936">
            <v>0</v>
          </cell>
        </row>
        <row r="937">
          <cell r="C937">
            <v>42384</v>
          </cell>
          <cell r="F937" t="str">
            <v>Volvo</v>
          </cell>
          <cell r="R937">
            <v>0</v>
          </cell>
        </row>
        <row r="938">
          <cell r="C938">
            <v>42415</v>
          </cell>
          <cell r="F938" t="str">
            <v>Volvo</v>
          </cell>
          <cell r="R938">
            <v>0</v>
          </cell>
        </row>
        <row r="939">
          <cell r="C939">
            <v>42444</v>
          </cell>
          <cell r="F939" t="str">
            <v>Volvo</v>
          </cell>
          <cell r="R939">
            <v>0</v>
          </cell>
        </row>
        <row r="940">
          <cell r="C940">
            <v>42475</v>
          </cell>
          <cell r="F940" t="str">
            <v>Volvo</v>
          </cell>
          <cell r="R940">
            <v>0</v>
          </cell>
        </row>
        <row r="941">
          <cell r="C941">
            <v>42505</v>
          </cell>
          <cell r="F941" t="str">
            <v>Volvo</v>
          </cell>
          <cell r="R941">
            <v>0</v>
          </cell>
        </row>
        <row r="942">
          <cell r="C942">
            <v>42536</v>
          </cell>
          <cell r="F942" t="str">
            <v>Volvo</v>
          </cell>
          <cell r="R942">
            <v>0</v>
          </cell>
        </row>
        <row r="943">
          <cell r="C943">
            <v>42566</v>
          </cell>
          <cell r="F943" t="str">
            <v>Volvo</v>
          </cell>
          <cell r="R943">
            <v>0</v>
          </cell>
        </row>
        <row r="944">
          <cell r="C944">
            <v>42597</v>
          </cell>
          <cell r="F944" t="str">
            <v>Volvo</v>
          </cell>
          <cell r="R944">
            <v>0</v>
          </cell>
        </row>
        <row r="945">
          <cell r="C945">
            <v>42628</v>
          </cell>
          <cell r="F945" t="str">
            <v>Volvo</v>
          </cell>
          <cell r="R945">
            <v>20000</v>
          </cell>
        </row>
        <row r="946">
          <cell r="C946">
            <v>42658</v>
          </cell>
          <cell r="F946" t="str">
            <v>Volvo</v>
          </cell>
          <cell r="R946">
            <v>20000</v>
          </cell>
        </row>
        <row r="947">
          <cell r="C947">
            <v>42689</v>
          </cell>
          <cell r="F947" t="str">
            <v>Volvo</v>
          </cell>
          <cell r="R947">
            <v>20000</v>
          </cell>
        </row>
        <row r="948">
          <cell r="C948">
            <v>42719</v>
          </cell>
          <cell r="F948" t="str">
            <v>Volvo</v>
          </cell>
          <cell r="R948">
            <v>20000</v>
          </cell>
        </row>
        <row r="949">
          <cell r="C949">
            <v>42750</v>
          </cell>
          <cell r="F949" t="str">
            <v>Volvo</v>
          </cell>
          <cell r="R949">
            <v>20000</v>
          </cell>
        </row>
        <row r="950">
          <cell r="C950">
            <v>42781</v>
          </cell>
          <cell r="F950" t="str">
            <v>Volvo</v>
          </cell>
          <cell r="R950">
            <v>20000</v>
          </cell>
        </row>
        <row r="951">
          <cell r="C951">
            <v>42809</v>
          </cell>
          <cell r="F951" t="str">
            <v>Volvo</v>
          </cell>
          <cell r="R951">
            <v>20000</v>
          </cell>
        </row>
        <row r="952">
          <cell r="C952">
            <v>42840</v>
          </cell>
          <cell r="F952" t="str">
            <v>Volvo</v>
          </cell>
          <cell r="R952">
            <v>20000</v>
          </cell>
        </row>
        <row r="953">
          <cell r="C953">
            <v>42870</v>
          </cell>
          <cell r="F953" t="str">
            <v>Volvo</v>
          </cell>
          <cell r="R953">
            <v>20000</v>
          </cell>
        </row>
        <row r="954">
          <cell r="C954">
            <v>42901</v>
          </cell>
          <cell r="F954" t="str">
            <v>Volvo</v>
          </cell>
          <cell r="R954">
            <v>20000</v>
          </cell>
        </row>
        <row r="955">
          <cell r="C955">
            <v>42931</v>
          </cell>
          <cell r="F955" t="str">
            <v>Volvo</v>
          </cell>
          <cell r="R955">
            <v>20000</v>
          </cell>
        </row>
        <row r="956">
          <cell r="C956">
            <v>42962</v>
          </cell>
          <cell r="F956" t="str">
            <v>Volvo</v>
          </cell>
          <cell r="R956">
            <v>20000</v>
          </cell>
        </row>
        <row r="957">
          <cell r="C957">
            <v>42993</v>
          </cell>
          <cell r="F957" t="str">
            <v>Volvo</v>
          </cell>
          <cell r="R957">
            <v>20000</v>
          </cell>
        </row>
        <row r="958">
          <cell r="C958">
            <v>43023</v>
          </cell>
          <cell r="F958" t="str">
            <v>Volvo</v>
          </cell>
          <cell r="R958">
            <v>20000</v>
          </cell>
        </row>
        <row r="959">
          <cell r="C959">
            <v>43054</v>
          </cell>
          <cell r="F959" t="str">
            <v>Volvo</v>
          </cell>
          <cell r="R959">
            <v>20000</v>
          </cell>
        </row>
        <row r="960">
          <cell r="C960">
            <v>43084</v>
          </cell>
          <cell r="F960" t="str">
            <v>Volvo</v>
          </cell>
          <cell r="R960">
            <v>20000</v>
          </cell>
        </row>
        <row r="961">
          <cell r="C961">
            <v>41348</v>
          </cell>
          <cell r="F961" t="str">
            <v>Volvo</v>
          </cell>
          <cell r="R961">
            <v>0</v>
          </cell>
        </row>
        <row r="962">
          <cell r="C962">
            <v>41440</v>
          </cell>
          <cell r="F962" t="str">
            <v>Volvo</v>
          </cell>
          <cell r="R962">
            <v>0</v>
          </cell>
        </row>
        <row r="963">
          <cell r="C963">
            <v>41470</v>
          </cell>
          <cell r="F963" t="str">
            <v>Volvo</v>
          </cell>
          <cell r="R963">
            <v>0</v>
          </cell>
        </row>
        <row r="964">
          <cell r="C964">
            <v>41501</v>
          </cell>
          <cell r="F964" t="str">
            <v>Volvo</v>
          </cell>
          <cell r="R964">
            <v>0</v>
          </cell>
        </row>
        <row r="965">
          <cell r="C965">
            <v>41532</v>
          </cell>
          <cell r="F965" t="str">
            <v>Volvo</v>
          </cell>
          <cell r="R965">
            <v>0</v>
          </cell>
        </row>
        <row r="966">
          <cell r="C966">
            <v>41562</v>
          </cell>
          <cell r="F966" t="str">
            <v>Volvo</v>
          </cell>
          <cell r="R966">
            <v>0</v>
          </cell>
        </row>
        <row r="967">
          <cell r="C967">
            <v>41593</v>
          </cell>
          <cell r="F967" t="str">
            <v>Volvo</v>
          </cell>
          <cell r="R967">
            <v>0</v>
          </cell>
        </row>
        <row r="968">
          <cell r="C968">
            <v>41623</v>
          </cell>
          <cell r="F968" t="str">
            <v>Volvo</v>
          </cell>
          <cell r="R968">
            <v>0</v>
          </cell>
        </row>
        <row r="969">
          <cell r="C969">
            <v>41654</v>
          </cell>
          <cell r="F969" t="str">
            <v>Volvo</v>
          </cell>
          <cell r="R969">
            <v>0</v>
          </cell>
        </row>
        <row r="970">
          <cell r="C970">
            <v>41685</v>
          </cell>
          <cell r="F970" t="str">
            <v>Volvo</v>
          </cell>
          <cell r="R970">
            <v>0</v>
          </cell>
        </row>
        <row r="971">
          <cell r="C971">
            <v>41713</v>
          </cell>
          <cell r="F971" t="str">
            <v>Volvo</v>
          </cell>
          <cell r="R971">
            <v>0</v>
          </cell>
        </row>
        <row r="972">
          <cell r="C972">
            <v>41744</v>
          </cell>
          <cell r="F972" t="str">
            <v>Volvo</v>
          </cell>
          <cell r="R972">
            <v>0</v>
          </cell>
        </row>
        <row r="973">
          <cell r="C973">
            <v>41774</v>
          </cell>
          <cell r="F973" t="str">
            <v>Volvo</v>
          </cell>
          <cell r="R973">
            <v>0</v>
          </cell>
        </row>
        <row r="974">
          <cell r="C974">
            <v>41805</v>
          </cell>
          <cell r="F974" t="str">
            <v>Volvo</v>
          </cell>
          <cell r="R974">
            <v>0</v>
          </cell>
        </row>
        <row r="975">
          <cell r="C975">
            <v>41835</v>
          </cell>
          <cell r="F975" t="str">
            <v>Volvo</v>
          </cell>
          <cell r="R975">
            <v>0</v>
          </cell>
        </row>
        <row r="976">
          <cell r="C976">
            <v>41866</v>
          </cell>
          <cell r="F976" t="str">
            <v>Volvo</v>
          </cell>
          <cell r="R976">
            <v>0</v>
          </cell>
        </row>
        <row r="977">
          <cell r="C977">
            <v>41897</v>
          </cell>
          <cell r="F977" t="str">
            <v>Volvo</v>
          </cell>
          <cell r="R977">
            <v>0</v>
          </cell>
        </row>
        <row r="978">
          <cell r="C978">
            <v>41927</v>
          </cell>
          <cell r="F978" t="str">
            <v>Volvo</v>
          </cell>
          <cell r="R978">
            <v>0</v>
          </cell>
        </row>
        <row r="979">
          <cell r="C979">
            <v>41958</v>
          </cell>
          <cell r="F979" t="str">
            <v>Volvo</v>
          </cell>
          <cell r="R979">
            <v>0</v>
          </cell>
        </row>
        <row r="980">
          <cell r="C980">
            <v>41988</v>
          </cell>
          <cell r="F980" t="str">
            <v>Volvo</v>
          </cell>
          <cell r="R980">
            <v>0</v>
          </cell>
        </row>
        <row r="981">
          <cell r="C981">
            <v>42019</v>
          </cell>
          <cell r="F981" t="str">
            <v>Volvo</v>
          </cell>
          <cell r="R981">
            <v>0</v>
          </cell>
        </row>
        <row r="982">
          <cell r="C982">
            <v>42050</v>
          </cell>
          <cell r="F982" t="str">
            <v>Volvo</v>
          </cell>
          <cell r="R982">
            <v>0</v>
          </cell>
        </row>
        <row r="983">
          <cell r="C983">
            <v>42078</v>
          </cell>
          <cell r="F983" t="str">
            <v>Volvo</v>
          </cell>
          <cell r="R983">
            <v>0</v>
          </cell>
        </row>
        <row r="984">
          <cell r="C984">
            <v>42109</v>
          </cell>
          <cell r="F984" t="str">
            <v>Volvo</v>
          </cell>
          <cell r="R984">
            <v>0</v>
          </cell>
        </row>
        <row r="985">
          <cell r="C985">
            <v>42139</v>
          </cell>
          <cell r="F985" t="str">
            <v>Volvo</v>
          </cell>
          <cell r="R985">
            <v>0</v>
          </cell>
        </row>
        <row r="986">
          <cell r="C986">
            <v>42170</v>
          </cell>
          <cell r="F986" t="str">
            <v>Volvo</v>
          </cell>
          <cell r="R986">
            <v>0</v>
          </cell>
        </row>
        <row r="987">
          <cell r="C987">
            <v>42200</v>
          </cell>
          <cell r="F987" t="str">
            <v>Volvo</v>
          </cell>
          <cell r="R987">
            <v>0</v>
          </cell>
        </row>
        <row r="988">
          <cell r="C988">
            <v>42231</v>
          </cell>
          <cell r="F988" t="str">
            <v>Volvo</v>
          </cell>
          <cell r="R988">
            <v>0</v>
          </cell>
        </row>
        <row r="989">
          <cell r="C989">
            <v>42262</v>
          </cell>
          <cell r="F989" t="str">
            <v>Volvo</v>
          </cell>
          <cell r="R989">
            <v>0</v>
          </cell>
        </row>
        <row r="990">
          <cell r="C990">
            <v>42292</v>
          </cell>
          <cell r="F990" t="str">
            <v>Volvo</v>
          </cell>
          <cell r="R990">
            <v>0</v>
          </cell>
        </row>
        <row r="991">
          <cell r="C991">
            <v>42323</v>
          </cell>
          <cell r="F991" t="str">
            <v>Volvo</v>
          </cell>
          <cell r="R991">
            <v>0</v>
          </cell>
        </row>
        <row r="992">
          <cell r="C992">
            <v>42353</v>
          </cell>
          <cell r="F992" t="str">
            <v>Volvo</v>
          </cell>
          <cell r="R992">
            <v>0</v>
          </cell>
        </row>
        <row r="993">
          <cell r="C993">
            <v>42384</v>
          </cell>
          <cell r="F993" t="str">
            <v>Volvo</v>
          </cell>
          <cell r="R993">
            <v>0</v>
          </cell>
        </row>
        <row r="994">
          <cell r="C994">
            <v>42415</v>
          </cell>
          <cell r="F994" t="str">
            <v>Volvo</v>
          </cell>
          <cell r="R994">
            <v>0</v>
          </cell>
        </row>
        <row r="995">
          <cell r="C995">
            <v>42444</v>
          </cell>
          <cell r="F995" t="str">
            <v>Volvo</v>
          </cell>
          <cell r="R995">
            <v>0</v>
          </cell>
        </row>
        <row r="996">
          <cell r="C996">
            <v>42475</v>
          </cell>
          <cell r="F996" t="str">
            <v>Volvo</v>
          </cell>
          <cell r="R996">
            <v>0</v>
          </cell>
        </row>
        <row r="997">
          <cell r="C997">
            <v>42505</v>
          </cell>
          <cell r="F997" t="str">
            <v>Volvo</v>
          </cell>
          <cell r="R997">
            <v>0</v>
          </cell>
        </row>
        <row r="998">
          <cell r="C998">
            <v>42536</v>
          </cell>
          <cell r="F998" t="str">
            <v>Volvo</v>
          </cell>
          <cell r="R998">
            <v>0</v>
          </cell>
        </row>
        <row r="999">
          <cell r="C999">
            <v>42566</v>
          </cell>
          <cell r="F999" t="str">
            <v>Volvo</v>
          </cell>
          <cell r="R999">
            <v>0</v>
          </cell>
        </row>
        <row r="1000">
          <cell r="C1000">
            <v>42597</v>
          </cell>
          <cell r="F1000" t="str">
            <v>Volvo</v>
          </cell>
          <cell r="R1000">
            <v>0</v>
          </cell>
        </row>
        <row r="1001">
          <cell r="C1001">
            <v>42628</v>
          </cell>
          <cell r="F1001" t="str">
            <v>Volvo</v>
          </cell>
          <cell r="R1001">
            <v>8000</v>
          </cell>
        </row>
        <row r="1002">
          <cell r="C1002">
            <v>42658</v>
          </cell>
          <cell r="F1002" t="str">
            <v>Volvo</v>
          </cell>
          <cell r="R1002">
            <v>8000</v>
          </cell>
        </row>
        <row r="1003">
          <cell r="C1003">
            <v>42689</v>
          </cell>
          <cell r="F1003" t="str">
            <v>Volvo</v>
          </cell>
          <cell r="R1003">
            <v>8000</v>
          </cell>
        </row>
        <row r="1004">
          <cell r="C1004">
            <v>42719</v>
          </cell>
          <cell r="F1004" t="str">
            <v>Volvo</v>
          </cell>
          <cell r="R1004">
            <v>8000</v>
          </cell>
        </row>
        <row r="1005">
          <cell r="C1005">
            <v>42750</v>
          </cell>
          <cell r="F1005" t="str">
            <v>Volvo</v>
          </cell>
          <cell r="R1005">
            <v>8000</v>
          </cell>
        </row>
        <row r="1006">
          <cell r="C1006">
            <v>42781</v>
          </cell>
          <cell r="F1006" t="str">
            <v>Volvo</v>
          </cell>
          <cell r="R1006">
            <v>8000</v>
          </cell>
        </row>
        <row r="1007">
          <cell r="C1007">
            <v>42809</v>
          </cell>
          <cell r="F1007" t="str">
            <v>Volvo</v>
          </cell>
          <cell r="R1007">
            <v>8000</v>
          </cell>
        </row>
        <row r="1008">
          <cell r="C1008">
            <v>42840</v>
          </cell>
          <cell r="F1008" t="str">
            <v>Volvo</v>
          </cell>
          <cell r="R1008">
            <v>8000</v>
          </cell>
        </row>
        <row r="1009">
          <cell r="C1009">
            <v>42870</v>
          </cell>
          <cell r="F1009" t="str">
            <v>Volvo</v>
          </cell>
          <cell r="R1009">
            <v>8000</v>
          </cell>
        </row>
        <row r="1010">
          <cell r="C1010">
            <v>42901</v>
          </cell>
          <cell r="F1010" t="str">
            <v>Volvo</v>
          </cell>
          <cell r="R1010">
            <v>8000</v>
          </cell>
        </row>
        <row r="1011">
          <cell r="C1011">
            <v>42931</v>
          </cell>
          <cell r="F1011" t="str">
            <v>Volvo</v>
          </cell>
          <cell r="R1011">
            <v>8000</v>
          </cell>
        </row>
        <row r="1012">
          <cell r="C1012">
            <v>42962</v>
          </cell>
          <cell r="F1012" t="str">
            <v>Volvo</v>
          </cell>
          <cell r="R1012">
            <v>8000</v>
          </cell>
        </row>
        <row r="1013">
          <cell r="C1013">
            <v>42993</v>
          </cell>
          <cell r="F1013" t="str">
            <v>Volvo</v>
          </cell>
          <cell r="R1013">
            <v>8000</v>
          </cell>
        </row>
        <row r="1014">
          <cell r="C1014">
            <v>43023</v>
          </cell>
          <cell r="F1014" t="str">
            <v>Volvo</v>
          </cell>
          <cell r="R1014">
            <v>8000</v>
          </cell>
        </row>
        <row r="1015">
          <cell r="C1015">
            <v>43054</v>
          </cell>
          <cell r="F1015" t="str">
            <v>Volvo</v>
          </cell>
          <cell r="R1015">
            <v>8000</v>
          </cell>
        </row>
        <row r="1016">
          <cell r="C1016">
            <v>43084</v>
          </cell>
          <cell r="F1016" t="str">
            <v>Volvo</v>
          </cell>
          <cell r="R1016">
            <v>8000</v>
          </cell>
        </row>
        <row r="1017">
          <cell r="C1017">
            <v>41348</v>
          </cell>
          <cell r="F1017" t="str">
            <v>Volvo</v>
          </cell>
          <cell r="R1017">
            <v>0</v>
          </cell>
        </row>
        <row r="1018">
          <cell r="C1018">
            <v>41440</v>
          </cell>
          <cell r="F1018" t="str">
            <v>Volvo</v>
          </cell>
          <cell r="R1018">
            <v>0</v>
          </cell>
        </row>
        <row r="1019">
          <cell r="C1019">
            <v>41470</v>
          </cell>
          <cell r="F1019" t="str">
            <v>Volvo</v>
          </cell>
          <cell r="R1019">
            <v>0</v>
          </cell>
        </row>
        <row r="1020">
          <cell r="C1020">
            <v>41501</v>
          </cell>
          <cell r="F1020" t="str">
            <v>Volvo</v>
          </cell>
          <cell r="R1020">
            <v>0</v>
          </cell>
        </row>
        <row r="1021">
          <cell r="C1021">
            <v>41532</v>
          </cell>
          <cell r="F1021" t="str">
            <v>Volvo</v>
          </cell>
          <cell r="R1021">
            <v>0</v>
          </cell>
        </row>
        <row r="1022">
          <cell r="C1022">
            <v>41562</v>
          </cell>
          <cell r="F1022" t="str">
            <v>Volvo</v>
          </cell>
          <cell r="R1022">
            <v>0</v>
          </cell>
        </row>
        <row r="1023">
          <cell r="C1023">
            <v>41593</v>
          </cell>
          <cell r="F1023" t="str">
            <v>Volvo</v>
          </cell>
          <cell r="R1023">
            <v>0</v>
          </cell>
        </row>
        <row r="1024">
          <cell r="C1024">
            <v>41623</v>
          </cell>
          <cell r="F1024" t="str">
            <v>Volvo</v>
          </cell>
          <cell r="R1024">
            <v>0</v>
          </cell>
        </row>
        <row r="1025">
          <cell r="C1025">
            <v>41654</v>
          </cell>
          <cell r="F1025" t="str">
            <v>Volvo</v>
          </cell>
          <cell r="R1025">
            <v>0</v>
          </cell>
        </row>
        <row r="1026">
          <cell r="C1026">
            <v>41685</v>
          </cell>
          <cell r="F1026" t="str">
            <v>Volvo</v>
          </cell>
          <cell r="R1026">
            <v>0</v>
          </cell>
        </row>
        <row r="1027">
          <cell r="C1027">
            <v>41713</v>
          </cell>
          <cell r="F1027" t="str">
            <v>Volvo</v>
          </cell>
          <cell r="R1027">
            <v>0</v>
          </cell>
        </row>
        <row r="1028">
          <cell r="C1028">
            <v>41744</v>
          </cell>
          <cell r="F1028" t="str">
            <v>Volvo</v>
          </cell>
          <cell r="R1028">
            <v>0</v>
          </cell>
        </row>
        <row r="1029">
          <cell r="C1029">
            <v>41774</v>
          </cell>
          <cell r="F1029" t="str">
            <v>Volvo</v>
          </cell>
          <cell r="R1029">
            <v>0</v>
          </cell>
        </row>
        <row r="1030">
          <cell r="C1030">
            <v>41805</v>
          </cell>
          <cell r="F1030" t="str">
            <v>Volvo</v>
          </cell>
          <cell r="R1030">
            <v>0</v>
          </cell>
        </row>
        <row r="1031">
          <cell r="C1031">
            <v>41835</v>
          </cell>
          <cell r="F1031" t="str">
            <v>Volvo</v>
          </cell>
          <cell r="R1031">
            <v>0</v>
          </cell>
        </row>
        <row r="1032">
          <cell r="C1032">
            <v>41866</v>
          </cell>
          <cell r="F1032" t="str">
            <v>Volvo</v>
          </cell>
          <cell r="R1032">
            <v>0</v>
          </cell>
        </row>
        <row r="1033">
          <cell r="C1033">
            <v>41897</v>
          </cell>
          <cell r="F1033" t="str">
            <v>Volvo</v>
          </cell>
          <cell r="R1033">
            <v>0</v>
          </cell>
        </row>
        <row r="1034">
          <cell r="C1034">
            <v>41927</v>
          </cell>
          <cell r="F1034" t="str">
            <v>Volvo</v>
          </cell>
          <cell r="R1034">
            <v>0</v>
          </cell>
        </row>
        <row r="1035">
          <cell r="C1035">
            <v>41958</v>
          </cell>
          <cell r="F1035" t="str">
            <v>Volvo</v>
          </cell>
          <cell r="R1035">
            <v>0</v>
          </cell>
        </row>
        <row r="1036">
          <cell r="C1036">
            <v>41988</v>
          </cell>
          <cell r="F1036" t="str">
            <v>Volvo</v>
          </cell>
          <cell r="R1036">
            <v>0</v>
          </cell>
        </row>
        <row r="1037">
          <cell r="C1037">
            <v>42019</v>
          </cell>
          <cell r="F1037" t="str">
            <v>Volvo</v>
          </cell>
          <cell r="R1037">
            <v>0</v>
          </cell>
        </row>
        <row r="1038">
          <cell r="C1038">
            <v>42050</v>
          </cell>
          <cell r="F1038" t="str">
            <v>Volvo</v>
          </cell>
          <cell r="R1038">
            <v>0</v>
          </cell>
        </row>
        <row r="1039">
          <cell r="C1039">
            <v>42078</v>
          </cell>
          <cell r="F1039" t="str">
            <v>Volvo</v>
          </cell>
          <cell r="R1039">
            <v>0</v>
          </cell>
        </row>
        <row r="1040">
          <cell r="C1040">
            <v>42109</v>
          </cell>
          <cell r="F1040" t="str">
            <v>Volvo</v>
          </cell>
          <cell r="R1040">
            <v>0</v>
          </cell>
        </row>
        <row r="1041">
          <cell r="C1041">
            <v>42139</v>
          </cell>
          <cell r="F1041" t="str">
            <v>Volvo</v>
          </cell>
          <cell r="R1041">
            <v>0</v>
          </cell>
        </row>
        <row r="1042">
          <cell r="C1042">
            <v>42170</v>
          </cell>
          <cell r="F1042" t="str">
            <v>Volvo</v>
          </cell>
          <cell r="R1042">
            <v>0</v>
          </cell>
        </row>
        <row r="1043">
          <cell r="C1043">
            <v>42200</v>
          </cell>
          <cell r="F1043" t="str">
            <v>Volvo</v>
          </cell>
          <cell r="R1043">
            <v>0</v>
          </cell>
        </row>
        <row r="1044">
          <cell r="C1044">
            <v>42231</v>
          </cell>
          <cell r="F1044" t="str">
            <v>Volvo</v>
          </cell>
          <cell r="R1044">
            <v>0</v>
          </cell>
        </row>
        <row r="1045">
          <cell r="C1045">
            <v>42262</v>
          </cell>
          <cell r="F1045" t="str">
            <v>Volvo</v>
          </cell>
          <cell r="R1045">
            <v>0</v>
          </cell>
        </row>
        <row r="1046">
          <cell r="C1046">
            <v>42292</v>
          </cell>
          <cell r="F1046" t="str">
            <v>Volvo</v>
          </cell>
          <cell r="R1046">
            <v>0</v>
          </cell>
        </row>
        <row r="1047">
          <cell r="C1047">
            <v>42323</v>
          </cell>
          <cell r="F1047" t="str">
            <v>Volvo</v>
          </cell>
          <cell r="R1047">
            <v>0</v>
          </cell>
        </row>
        <row r="1048">
          <cell r="C1048">
            <v>42353</v>
          </cell>
          <cell r="F1048" t="str">
            <v>Volvo</v>
          </cell>
          <cell r="R1048">
            <v>0</v>
          </cell>
        </row>
        <row r="1049">
          <cell r="C1049">
            <v>42384</v>
          </cell>
          <cell r="F1049" t="str">
            <v>Volvo</v>
          </cell>
          <cell r="R1049">
            <v>0</v>
          </cell>
        </row>
        <row r="1050">
          <cell r="C1050">
            <v>42415</v>
          </cell>
          <cell r="F1050" t="str">
            <v>Volvo</v>
          </cell>
          <cell r="R1050">
            <v>0</v>
          </cell>
        </row>
        <row r="1051">
          <cell r="C1051">
            <v>42444</v>
          </cell>
          <cell r="F1051" t="str">
            <v>Volvo</v>
          </cell>
          <cell r="R1051">
            <v>0</v>
          </cell>
        </row>
        <row r="1052">
          <cell r="C1052">
            <v>42475</v>
          </cell>
          <cell r="F1052" t="str">
            <v>Volvo</v>
          </cell>
          <cell r="R1052">
            <v>0</v>
          </cell>
        </row>
        <row r="1053">
          <cell r="C1053">
            <v>42505</v>
          </cell>
          <cell r="F1053" t="str">
            <v>Volvo</v>
          </cell>
          <cell r="R1053">
            <v>0</v>
          </cell>
        </row>
        <row r="1054">
          <cell r="C1054">
            <v>42536</v>
          </cell>
          <cell r="F1054" t="str">
            <v>Volvo</v>
          </cell>
          <cell r="R1054">
            <v>0</v>
          </cell>
        </row>
        <row r="1055">
          <cell r="C1055">
            <v>42566</v>
          </cell>
          <cell r="F1055" t="str">
            <v>Volvo</v>
          </cell>
          <cell r="R1055">
            <v>0</v>
          </cell>
        </row>
        <row r="1056">
          <cell r="C1056">
            <v>42597</v>
          </cell>
          <cell r="F1056" t="str">
            <v>Volvo</v>
          </cell>
          <cell r="R1056">
            <v>0</v>
          </cell>
        </row>
        <row r="1057">
          <cell r="C1057">
            <v>42628</v>
          </cell>
          <cell r="F1057" t="str">
            <v>Volvo</v>
          </cell>
          <cell r="R1057">
            <v>2833.3333333333335</v>
          </cell>
        </row>
        <row r="1058">
          <cell r="C1058">
            <v>42658</v>
          </cell>
          <cell r="F1058" t="str">
            <v>Volvo</v>
          </cell>
          <cell r="R1058">
            <v>2833.3333333333335</v>
          </cell>
        </row>
        <row r="1059">
          <cell r="C1059">
            <v>42689</v>
          </cell>
          <cell r="F1059" t="str">
            <v>Volvo</v>
          </cell>
          <cell r="R1059">
            <v>2833.3333333333335</v>
          </cell>
        </row>
        <row r="1060">
          <cell r="C1060">
            <v>42719</v>
          </cell>
          <cell r="F1060" t="str">
            <v>Volvo</v>
          </cell>
          <cell r="R1060">
            <v>2833.3333333333335</v>
          </cell>
        </row>
        <row r="1061">
          <cell r="C1061">
            <v>42750</v>
          </cell>
          <cell r="F1061" t="str">
            <v>Volvo</v>
          </cell>
          <cell r="R1061">
            <v>2833.3333333333335</v>
          </cell>
        </row>
        <row r="1062">
          <cell r="C1062">
            <v>42781</v>
          </cell>
          <cell r="F1062" t="str">
            <v>Volvo</v>
          </cell>
          <cell r="R1062">
            <v>2833.3333333333335</v>
          </cell>
        </row>
        <row r="1063">
          <cell r="C1063">
            <v>42809</v>
          </cell>
          <cell r="F1063" t="str">
            <v>Volvo</v>
          </cell>
          <cell r="R1063">
            <v>2833.3333333333335</v>
          </cell>
        </row>
        <row r="1064">
          <cell r="C1064">
            <v>42840</v>
          </cell>
          <cell r="F1064" t="str">
            <v>Volvo</v>
          </cell>
          <cell r="R1064">
            <v>2833.3333333333335</v>
          </cell>
        </row>
        <row r="1065">
          <cell r="C1065">
            <v>42870</v>
          </cell>
          <cell r="F1065" t="str">
            <v>Volvo</v>
          </cell>
          <cell r="R1065">
            <v>2833.3333333333335</v>
          </cell>
        </row>
        <row r="1066">
          <cell r="C1066">
            <v>42901</v>
          </cell>
          <cell r="F1066" t="str">
            <v>Volvo</v>
          </cell>
          <cell r="R1066">
            <v>2833.3333333333335</v>
          </cell>
        </row>
        <row r="1067">
          <cell r="C1067">
            <v>42931</v>
          </cell>
          <cell r="F1067" t="str">
            <v>Volvo</v>
          </cell>
          <cell r="R1067">
            <v>2833.3333333333335</v>
          </cell>
        </row>
        <row r="1068">
          <cell r="C1068">
            <v>42962</v>
          </cell>
          <cell r="F1068" t="str">
            <v>Volvo</v>
          </cell>
          <cell r="R1068">
            <v>2833.3333333333335</v>
          </cell>
        </row>
        <row r="1069">
          <cell r="C1069">
            <v>42993</v>
          </cell>
          <cell r="F1069" t="str">
            <v>Volvo</v>
          </cell>
          <cell r="R1069">
            <v>2833.3333333333335</v>
          </cell>
        </row>
        <row r="1070">
          <cell r="C1070">
            <v>43023</v>
          </cell>
          <cell r="F1070" t="str">
            <v>Volvo</v>
          </cell>
          <cell r="R1070">
            <v>2833.3333333333335</v>
          </cell>
        </row>
        <row r="1071">
          <cell r="C1071">
            <v>43054</v>
          </cell>
          <cell r="F1071" t="str">
            <v>Volvo</v>
          </cell>
          <cell r="R1071">
            <v>2833.3333333333335</v>
          </cell>
        </row>
        <row r="1072">
          <cell r="C1072">
            <v>43084</v>
          </cell>
          <cell r="F1072" t="str">
            <v>Volvo</v>
          </cell>
          <cell r="R1072">
            <v>2833.3333333333335</v>
          </cell>
        </row>
        <row r="1073">
          <cell r="C1073">
            <v>41409</v>
          </cell>
          <cell r="F1073" t="str">
            <v>BJD</v>
          </cell>
          <cell r="R1073">
            <v>0</v>
          </cell>
        </row>
        <row r="1074">
          <cell r="C1074">
            <v>41593</v>
          </cell>
          <cell r="F1074" t="str">
            <v>BJD</v>
          </cell>
          <cell r="R1074">
            <v>0</v>
          </cell>
        </row>
        <row r="1075">
          <cell r="C1075">
            <v>41774</v>
          </cell>
          <cell r="F1075" t="str">
            <v>BJD</v>
          </cell>
          <cell r="R1075">
            <v>0</v>
          </cell>
        </row>
        <row r="1076">
          <cell r="C1076">
            <v>42139</v>
          </cell>
          <cell r="F1076" t="str">
            <v>BJD</v>
          </cell>
          <cell r="R1076">
            <v>0</v>
          </cell>
        </row>
        <row r="1077">
          <cell r="C1077">
            <v>42505</v>
          </cell>
          <cell r="F1077" t="str">
            <v>BJD</v>
          </cell>
          <cell r="R1077">
            <v>0</v>
          </cell>
        </row>
        <row r="1078">
          <cell r="C1078">
            <v>42870</v>
          </cell>
          <cell r="F1078" t="str">
            <v>BJD</v>
          </cell>
          <cell r="R1078">
            <v>696341.97362233838</v>
          </cell>
        </row>
        <row r="1079">
          <cell r="C1079">
            <v>43235</v>
          </cell>
          <cell r="F1079" t="str">
            <v>BJD</v>
          </cell>
          <cell r="R1079">
            <v>688680</v>
          </cell>
        </row>
        <row r="1080">
          <cell r="C1080">
            <v>41409</v>
          </cell>
          <cell r="F1080" t="str">
            <v>BJD</v>
          </cell>
          <cell r="R1080">
            <v>0</v>
          </cell>
        </row>
        <row r="1081">
          <cell r="C1081">
            <v>41593</v>
          </cell>
          <cell r="F1081" t="str">
            <v>BJD</v>
          </cell>
          <cell r="R1081">
            <v>0</v>
          </cell>
        </row>
        <row r="1082">
          <cell r="C1082">
            <v>41774</v>
          </cell>
          <cell r="F1082" t="str">
            <v>BJD</v>
          </cell>
          <cell r="R1082">
            <v>0</v>
          </cell>
        </row>
        <row r="1083">
          <cell r="C1083">
            <v>42139</v>
          </cell>
          <cell r="F1083" t="str">
            <v>BJD</v>
          </cell>
          <cell r="R1083">
            <v>0</v>
          </cell>
        </row>
        <row r="1084">
          <cell r="C1084">
            <v>42505</v>
          </cell>
          <cell r="F1084" t="str">
            <v>BJD</v>
          </cell>
          <cell r="R1084">
            <v>0</v>
          </cell>
        </row>
        <row r="1085">
          <cell r="C1085">
            <v>42870</v>
          </cell>
          <cell r="F1085" t="str">
            <v>BJD</v>
          </cell>
          <cell r="R1085">
            <v>118289.06588757545</v>
          </cell>
        </row>
        <row r="1086">
          <cell r="C1086">
            <v>43235</v>
          </cell>
          <cell r="F1086" t="str">
            <v>BJD</v>
          </cell>
          <cell r="R1086">
            <v>115714.28571428571</v>
          </cell>
        </row>
        <row r="1087">
          <cell r="C1087">
            <v>43600</v>
          </cell>
          <cell r="F1087" t="str">
            <v>BJD</v>
          </cell>
          <cell r="R1087">
            <v>115714.28571428571</v>
          </cell>
        </row>
        <row r="1088">
          <cell r="C1088">
            <v>43966</v>
          </cell>
          <cell r="F1088" t="str">
            <v>BJD</v>
          </cell>
          <cell r="R1088">
            <v>115714.28571428571</v>
          </cell>
        </row>
        <row r="1089">
          <cell r="C1089">
            <v>41593</v>
          </cell>
          <cell r="F1089" t="str">
            <v>BBD</v>
          </cell>
          <cell r="R1089">
            <v>0</v>
          </cell>
        </row>
        <row r="1090">
          <cell r="C1090">
            <v>41958</v>
          </cell>
          <cell r="F1090" t="str">
            <v>BBD</v>
          </cell>
          <cell r="R1090">
            <v>0</v>
          </cell>
        </row>
        <row r="1091">
          <cell r="C1091">
            <v>42323</v>
          </cell>
          <cell r="F1091" t="str">
            <v>BBD</v>
          </cell>
          <cell r="R1091">
            <v>0</v>
          </cell>
        </row>
        <row r="1092">
          <cell r="C1092">
            <v>42689</v>
          </cell>
          <cell r="F1092" t="str">
            <v>BBD</v>
          </cell>
          <cell r="R1092">
            <v>28654.550803609931</v>
          </cell>
        </row>
        <row r="1093">
          <cell r="C1093">
            <v>43054</v>
          </cell>
          <cell r="F1093" t="str">
            <v>BBD</v>
          </cell>
          <cell r="R1093">
            <v>26910</v>
          </cell>
        </row>
        <row r="1094">
          <cell r="C1094">
            <v>43419</v>
          </cell>
          <cell r="F1094" t="str">
            <v>BBD</v>
          </cell>
          <cell r="R1094">
            <v>26910</v>
          </cell>
        </row>
        <row r="1095">
          <cell r="C1095">
            <v>41593</v>
          </cell>
          <cell r="F1095" t="str">
            <v>BBD</v>
          </cell>
          <cell r="R1095">
            <v>0</v>
          </cell>
        </row>
        <row r="1096">
          <cell r="C1096">
            <v>41958</v>
          </cell>
          <cell r="F1096" t="str">
            <v>BBD</v>
          </cell>
          <cell r="R1096">
            <v>0</v>
          </cell>
        </row>
        <row r="1097">
          <cell r="C1097">
            <v>42323</v>
          </cell>
          <cell r="F1097" t="str">
            <v>BBD</v>
          </cell>
          <cell r="R1097">
            <v>0</v>
          </cell>
        </row>
        <row r="1098">
          <cell r="C1098">
            <v>42689</v>
          </cell>
          <cell r="F1098" t="str">
            <v>BBD</v>
          </cell>
          <cell r="R1098">
            <v>166113.33799194163</v>
          </cell>
        </row>
        <row r="1099">
          <cell r="C1099">
            <v>43054</v>
          </cell>
          <cell r="F1099" t="str">
            <v>BBD</v>
          </cell>
          <cell r="R1099">
            <v>156000</v>
          </cell>
        </row>
        <row r="1100">
          <cell r="C1100">
            <v>43419</v>
          </cell>
          <cell r="F1100" t="str">
            <v>BBD</v>
          </cell>
          <cell r="R1100">
            <v>156000</v>
          </cell>
        </row>
        <row r="1101">
          <cell r="C1101">
            <v>41685</v>
          </cell>
          <cell r="F1101" t="str">
            <v>BBD</v>
          </cell>
          <cell r="R1101">
            <v>0</v>
          </cell>
        </row>
        <row r="1102">
          <cell r="C1102">
            <v>42050</v>
          </cell>
          <cell r="F1102" t="str">
            <v>BBD</v>
          </cell>
          <cell r="R1102">
            <v>0</v>
          </cell>
        </row>
        <row r="1103">
          <cell r="C1103">
            <v>42415</v>
          </cell>
          <cell r="F1103" t="str">
            <v>BBD</v>
          </cell>
          <cell r="R1103">
            <v>0</v>
          </cell>
        </row>
        <row r="1104">
          <cell r="C1104">
            <v>42781</v>
          </cell>
          <cell r="F1104" t="str">
            <v>BBD</v>
          </cell>
          <cell r="R1104">
            <v>95350.285512793998</v>
          </cell>
        </row>
        <row r="1105">
          <cell r="C1105">
            <v>43146</v>
          </cell>
          <cell r="F1105" t="str">
            <v>BBD</v>
          </cell>
          <cell r="R1105">
            <v>91500</v>
          </cell>
        </row>
        <row r="1106">
          <cell r="C1106">
            <v>43511</v>
          </cell>
          <cell r="F1106" t="str">
            <v>BBD</v>
          </cell>
          <cell r="R1106">
            <v>91500</v>
          </cell>
        </row>
        <row r="1107">
          <cell r="C1107">
            <v>41501</v>
          </cell>
          <cell r="F1107" t="str">
            <v>CAT</v>
          </cell>
          <cell r="R1107">
            <v>0</v>
          </cell>
        </row>
        <row r="1108">
          <cell r="C1108">
            <v>41532</v>
          </cell>
          <cell r="F1108" t="str">
            <v>CAT</v>
          </cell>
          <cell r="R1108">
            <v>0</v>
          </cell>
        </row>
        <row r="1109">
          <cell r="C1109">
            <v>41562</v>
          </cell>
          <cell r="F1109" t="str">
            <v>CAT</v>
          </cell>
          <cell r="R1109">
            <v>0</v>
          </cell>
        </row>
        <row r="1110">
          <cell r="C1110">
            <v>41593</v>
          </cell>
          <cell r="F1110" t="str">
            <v>CAT</v>
          </cell>
          <cell r="R1110">
            <v>0</v>
          </cell>
        </row>
        <row r="1111">
          <cell r="C1111">
            <v>41623</v>
          </cell>
          <cell r="F1111" t="str">
            <v>CAT</v>
          </cell>
          <cell r="R1111">
            <v>0</v>
          </cell>
        </row>
        <row r="1112">
          <cell r="C1112">
            <v>41654</v>
          </cell>
          <cell r="F1112" t="str">
            <v>CAT</v>
          </cell>
          <cell r="R1112">
            <v>0</v>
          </cell>
        </row>
        <row r="1113">
          <cell r="C1113">
            <v>41685</v>
          </cell>
          <cell r="F1113" t="str">
            <v>CAT</v>
          </cell>
          <cell r="R1113">
            <v>0</v>
          </cell>
        </row>
        <row r="1114">
          <cell r="C1114">
            <v>41713</v>
          </cell>
          <cell r="F1114" t="str">
            <v>CAT</v>
          </cell>
          <cell r="R1114">
            <v>0</v>
          </cell>
        </row>
        <row r="1115">
          <cell r="C1115">
            <v>41744</v>
          </cell>
          <cell r="F1115" t="str">
            <v>CAT</v>
          </cell>
          <cell r="R1115">
            <v>0</v>
          </cell>
        </row>
        <row r="1116">
          <cell r="C1116">
            <v>41774</v>
          </cell>
          <cell r="F1116" t="str">
            <v>CAT</v>
          </cell>
          <cell r="R1116">
            <v>0</v>
          </cell>
        </row>
        <row r="1117">
          <cell r="C1117">
            <v>41805</v>
          </cell>
          <cell r="F1117" t="str">
            <v>CAT</v>
          </cell>
          <cell r="R1117">
            <v>0</v>
          </cell>
        </row>
        <row r="1118">
          <cell r="C1118">
            <v>41835</v>
          </cell>
          <cell r="F1118" t="str">
            <v>CAT</v>
          </cell>
          <cell r="R1118">
            <v>0</v>
          </cell>
        </row>
        <row r="1119">
          <cell r="C1119">
            <v>41866</v>
          </cell>
          <cell r="F1119" t="str">
            <v>CAT</v>
          </cell>
          <cell r="R1119">
            <v>0</v>
          </cell>
        </row>
        <row r="1120">
          <cell r="C1120">
            <v>41897</v>
          </cell>
          <cell r="F1120" t="str">
            <v>CAT</v>
          </cell>
          <cell r="R1120">
            <v>0</v>
          </cell>
        </row>
        <row r="1121">
          <cell r="C1121">
            <v>41927</v>
          </cell>
          <cell r="F1121" t="str">
            <v>CAT</v>
          </cell>
          <cell r="R1121">
            <v>0</v>
          </cell>
        </row>
        <row r="1122">
          <cell r="C1122">
            <v>41958</v>
          </cell>
          <cell r="F1122" t="str">
            <v>CAT</v>
          </cell>
          <cell r="R1122">
            <v>0</v>
          </cell>
        </row>
        <row r="1123">
          <cell r="C1123">
            <v>41988</v>
          </cell>
          <cell r="F1123" t="str">
            <v>CAT</v>
          </cell>
          <cell r="R1123">
            <v>0</v>
          </cell>
        </row>
        <row r="1124">
          <cell r="C1124">
            <v>42019</v>
          </cell>
          <cell r="F1124" t="str">
            <v>CAT</v>
          </cell>
          <cell r="R1124">
            <v>0</v>
          </cell>
        </row>
        <row r="1125">
          <cell r="C1125">
            <v>42050</v>
          </cell>
          <cell r="F1125" t="str">
            <v>CAT</v>
          </cell>
          <cell r="R1125">
            <v>0</v>
          </cell>
        </row>
        <row r="1126">
          <cell r="C1126">
            <v>42078</v>
          </cell>
          <cell r="F1126" t="str">
            <v>CAT</v>
          </cell>
          <cell r="R1126">
            <v>0</v>
          </cell>
        </row>
        <row r="1127">
          <cell r="C1127">
            <v>42109</v>
          </cell>
          <cell r="F1127" t="str">
            <v>CAT</v>
          </cell>
          <cell r="R1127">
            <v>0</v>
          </cell>
        </row>
        <row r="1128">
          <cell r="C1128">
            <v>42139</v>
          </cell>
          <cell r="F1128" t="str">
            <v>CAT</v>
          </cell>
          <cell r="R1128">
            <v>0</v>
          </cell>
        </row>
        <row r="1129">
          <cell r="C1129">
            <v>42170</v>
          </cell>
          <cell r="F1129" t="str">
            <v>CAT</v>
          </cell>
          <cell r="R1129">
            <v>0</v>
          </cell>
        </row>
        <row r="1130">
          <cell r="C1130">
            <v>42200</v>
          </cell>
          <cell r="F1130" t="str">
            <v>CAT</v>
          </cell>
          <cell r="R1130">
            <v>0</v>
          </cell>
        </row>
        <row r="1131">
          <cell r="C1131">
            <v>42231</v>
          </cell>
          <cell r="F1131" t="str">
            <v>CAT</v>
          </cell>
          <cell r="R1131">
            <v>0</v>
          </cell>
        </row>
        <row r="1132">
          <cell r="C1132">
            <v>42262</v>
          </cell>
          <cell r="F1132" t="str">
            <v>CAT</v>
          </cell>
          <cell r="R1132">
            <v>0</v>
          </cell>
        </row>
        <row r="1133">
          <cell r="C1133">
            <v>42292</v>
          </cell>
          <cell r="F1133" t="str">
            <v>CAT</v>
          </cell>
          <cell r="R1133">
            <v>0</v>
          </cell>
        </row>
        <row r="1134">
          <cell r="C1134">
            <v>42323</v>
          </cell>
          <cell r="F1134" t="str">
            <v>CAT</v>
          </cell>
          <cell r="R1134">
            <v>0</v>
          </cell>
        </row>
        <row r="1135">
          <cell r="C1135">
            <v>42353</v>
          </cell>
          <cell r="F1135" t="str">
            <v>CAT</v>
          </cell>
          <cell r="R1135">
            <v>0</v>
          </cell>
        </row>
        <row r="1136">
          <cell r="C1136">
            <v>42384</v>
          </cell>
          <cell r="F1136" t="str">
            <v>CAT</v>
          </cell>
          <cell r="R1136">
            <v>0</v>
          </cell>
        </row>
        <row r="1137">
          <cell r="C1137">
            <v>42415</v>
          </cell>
          <cell r="F1137" t="str">
            <v>CAT</v>
          </cell>
          <cell r="R1137">
            <v>0</v>
          </cell>
        </row>
        <row r="1138">
          <cell r="C1138">
            <v>42444</v>
          </cell>
          <cell r="F1138" t="str">
            <v>CAT</v>
          </cell>
          <cell r="R1138">
            <v>0</v>
          </cell>
        </row>
        <row r="1139">
          <cell r="C1139">
            <v>42475</v>
          </cell>
          <cell r="F1139" t="str">
            <v>CAT</v>
          </cell>
          <cell r="R1139">
            <v>0</v>
          </cell>
        </row>
        <row r="1140">
          <cell r="C1140">
            <v>42505</v>
          </cell>
          <cell r="F1140" t="str">
            <v>CAT</v>
          </cell>
          <cell r="R1140">
            <v>0</v>
          </cell>
        </row>
        <row r="1141">
          <cell r="C1141">
            <v>42536</v>
          </cell>
          <cell r="F1141" t="str">
            <v>CAT</v>
          </cell>
          <cell r="R1141">
            <v>0</v>
          </cell>
        </row>
        <row r="1142">
          <cell r="C1142">
            <v>42566</v>
          </cell>
          <cell r="F1142" t="str">
            <v>CAT</v>
          </cell>
          <cell r="R1142">
            <v>0</v>
          </cell>
        </row>
        <row r="1143">
          <cell r="C1143">
            <v>42597</v>
          </cell>
          <cell r="F1143" t="str">
            <v>CAT</v>
          </cell>
          <cell r="R1143">
            <v>0</v>
          </cell>
        </row>
        <row r="1144">
          <cell r="C1144">
            <v>42628</v>
          </cell>
          <cell r="F1144" t="str">
            <v>CAT</v>
          </cell>
          <cell r="R1144">
            <v>8166.666666666667</v>
          </cell>
        </row>
        <row r="1145">
          <cell r="C1145">
            <v>42658</v>
          </cell>
          <cell r="F1145" t="str">
            <v>CAT</v>
          </cell>
          <cell r="R1145">
            <v>8166.666666666667</v>
          </cell>
        </row>
        <row r="1146">
          <cell r="C1146">
            <v>42689</v>
          </cell>
          <cell r="F1146" t="str">
            <v>CAT</v>
          </cell>
          <cell r="R1146">
            <v>8166.666666666667</v>
          </cell>
        </row>
        <row r="1147">
          <cell r="C1147">
            <v>42719</v>
          </cell>
          <cell r="F1147" t="str">
            <v>CAT</v>
          </cell>
          <cell r="R1147">
            <v>8166.666666666667</v>
          </cell>
        </row>
        <row r="1148">
          <cell r="C1148">
            <v>42750</v>
          </cell>
          <cell r="F1148" t="str">
            <v>CAT</v>
          </cell>
          <cell r="R1148">
            <v>8166.666666666667</v>
          </cell>
        </row>
        <row r="1149">
          <cell r="C1149">
            <v>42781</v>
          </cell>
          <cell r="F1149" t="str">
            <v>CAT</v>
          </cell>
          <cell r="R1149">
            <v>8166.666666666667</v>
          </cell>
        </row>
        <row r="1150">
          <cell r="C1150">
            <v>42809</v>
          </cell>
          <cell r="F1150" t="str">
            <v>CAT</v>
          </cell>
          <cell r="R1150">
            <v>8166.666666666667</v>
          </cell>
        </row>
        <row r="1151">
          <cell r="C1151">
            <v>42840</v>
          </cell>
          <cell r="F1151" t="str">
            <v>CAT</v>
          </cell>
          <cell r="R1151">
            <v>8166.666666666667</v>
          </cell>
        </row>
        <row r="1152">
          <cell r="C1152">
            <v>42870</v>
          </cell>
          <cell r="F1152" t="str">
            <v>CAT</v>
          </cell>
          <cell r="R1152">
            <v>8166.666666666667</v>
          </cell>
        </row>
        <row r="1153">
          <cell r="C1153">
            <v>42901</v>
          </cell>
          <cell r="F1153" t="str">
            <v>CAT</v>
          </cell>
          <cell r="R1153">
            <v>8166.666666666667</v>
          </cell>
        </row>
        <row r="1154">
          <cell r="C1154">
            <v>42931</v>
          </cell>
          <cell r="F1154" t="str">
            <v>CAT</v>
          </cell>
          <cell r="R1154">
            <v>8166.666666666667</v>
          </cell>
        </row>
        <row r="1155">
          <cell r="C1155">
            <v>42962</v>
          </cell>
          <cell r="F1155" t="str">
            <v>CAT</v>
          </cell>
          <cell r="R1155">
            <v>8166.666666666667</v>
          </cell>
        </row>
        <row r="1156">
          <cell r="C1156">
            <v>42993</v>
          </cell>
          <cell r="F1156" t="str">
            <v>CAT</v>
          </cell>
          <cell r="R1156">
            <v>8166.666666666667</v>
          </cell>
        </row>
        <row r="1157">
          <cell r="C1157">
            <v>43023</v>
          </cell>
          <cell r="F1157" t="str">
            <v>CAT</v>
          </cell>
          <cell r="R1157">
            <v>8166.666666666667</v>
          </cell>
        </row>
        <row r="1158">
          <cell r="C1158">
            <v>43054</v>
          </cell>
          <cell r="F1158" t="str">
            <v>CAT</v>
          </cell>
          <cell r="R1158">
            <v>8166.666666666667</v>
          </cell>
        </row>
        <row r="1159">
          <cell r="C1159">
            <v>43084</v>
          </cell>
          <cell r="F1159" t="str">
            <v>CAT</v>
          </cell>
          <cell r="R1159">
            <v>8166.666666666667</v>
          </cell>
        </row>
        <row r="1160">
          <cell r="C1160">
            <v>43115</v>
          </cell>
          <cell r="F1160" t="str">
            <v>CAT</v>
          </cell>
          <cell r="R1160">
            <v>8166.666666666667</v>
          </cell>
        </row>
        <row r="1161">
          <cell r="C1161">
            <v>43146</v>
          </cell>
          <cell r="F1161" t="str">
            <v>CAT</v>
          </cell>
          <cell r="R1161">
            <v>8166.666666666667</v>
          </cell>
        </row>
        <row r="1162">
          <cell r="C1162">
            <v>43174</v>
          </cell>
          <cell r="F1162" t="str">
            <v>CAT</v>
          </cell>
          <cell r="R1162">
            <v>8166.666666666667</v>
          </cell>
        </row>
        <row r="1163">
          <cell r="C1163">
            <v>43205</v>
          </cell>
          <cell r="F1163" t="str">
            <v>CAT</v>
          </cell>
          <cell r="R1163">
            <v>8166.666666666667</v>
          </cell>
        </row>
        <row r="1164">
          <cell r="C1164">
            <v>43235</v>
          </cell>
          <cell r="F1164" t="str">
            <v>CAT</v>
          </cell>
          <cell r="R1164">
            <v>8166.666666666667</v>
          </cell>
        </row>
        <row r="1165">
          <cell r="C1165">
            <v>41562</v>
          </cell>
          <cell r="F1165" t="str">
            <v>BJD1</v>
          </cell>
          <cell r="R1165">
            <v>0</v>
          </cell>
        </row>
        <row r="1166">
          <cell r="C1166">
            <v>41927</v>
          </cell>
          <cell r="F1166" t="str">
            <v>BJD1</v>
          </cell>
          <cell r="R1166">
            <v>0</v>
          </cell>
        </row>
        <row r="1167">
          <cell r="C1167">
            <v>42292</v>
          </cell>
          <cell r="F1167" t="str">
            <v>BJD1</v>
          </cell>
          <cell r="R1167">
            <v>0</v>
          </cell>
        </row>
        <row r="1168">
          <cell r="C1168">
            <v>42658</v>
          </cell>
          <cell r="F1168" t="str">
            <v>BJD1</v>
          </cell>
          <cell r="R1168">
            <v>696506.17920960137</v>
          </cell>
        </row>
        <row r="1169">
          <cell r="C1169">
            <v>43023</v>
          </cell>
          <cell r="F1169" t="str">
            <v>BJD1</v>
          </cell>
          <cell r="R1169">
            <v>651042.13699799997</v>
          </cell>
        </row>
        <row r="1170">
          <cell r="C1170">
            <v>41774</v>
          </cell>
          <cell r="F1170" t="str">
            <v>CNH</v>
          </cell>
          <cell r="R1170">
            <v>0</v>
          </cell>
        </row>
        <row r="1171">
          <cell r="C1171">
            <v>42139</v>
          </cell>
          <cell r="F1171" t="str">
            <v>CNH</v>
          </cell>
          <cell r="R1171">
            <v>0</v>
          </cell>
        </row>
        <row r="1172">
          <cell r="C1172">
            <v>42505</v>
          </cell>
          <cell r="F1172" t="str">
            <v>CNH</v>
          </cell>
          <cell r="R1172">
            <v>0</v>
          </cell>
        </row>
        <row r="1173">
          <cell r="C1173">
            <v>42870</v>
          </cell>
          <cell r="F1173" t="str">
            <v>CNH</v>
          </cell>
          <cell r="R1173">
            <v>69459.726669061289</v>
          </cell>
        </row>
        <row r="1174">
          <cell r="C1174">
            <v>43235</v>
          </cell>
          <cell r="F1174" t="str">
            <v>CNH</v>
          </cell>
          <cell r="R1174">
            <v>69000</v>
          </cell>
        </row>
        <row r="1175">
          <cell r="C1175">
            <v>43600</v>
          </cell>
          <cell r="F1175" t="str">
            <v>CNH</v>
          </cell>
          <cell r="R1175">
            <v>69000</v>
          </cell>
        </row>
        <row r="1176">
          <cell r="C1176">
            <v>41623</v>
          </cell>
          <cell r="F1176" t="str">
            <v>BJD</v>
          </cell>
          <cell r="R1176">
            <v>0</v>
          </cell>
        </row>
        <row r="1177">
          <cell r="C1177">
            <v>41805</v>
          </cell>
          <cell r="F1177" t="str">
            <v>BJD</v>
          </cell>
          <cell r="R1177">
            <v>0</v>
          </cell>
        </row>
        <row r="1178">
          <cell r="C1178">
            <v>42170</v>
          </cell>
          <cell r="F1178" t="str">
            <v>BJD</v>
          </cell>
          <cell r="R1178">
            <v>0</v>
          </cell>
        </row>
        <row r="1179">
          <cell r="C1179">
            <v>42536</v>
          </cell>
          <cell r="F1179" t="str">
            <v>BJD</v>
          </cell>
          <cell r="R1179">
            <v>0</v>
          </cell>
        </row>
        <row r="1180">
          <cell r="C1180">
            <v>42901</v>
          </cell>
          <cell r="F1180" t="str">
            <v>BJD</v>
          </cell>
          <cell r="R1180">
            <v>206690.40820403761</v>
          </cell>
        </row>
        <row r="1181">
          <cell r="C1181">
            <v>43266</v>
          </cell>
          <cell r="F1181" t="str">
            <v>BJD</v>
          </cell>
          <cell r="R1181">
            <v>202500</v>
          </cell>
        </row>
        <row r="1182">
          <cell r="C1182">
            <v>43631</v>
          </cell>
          <cell r="F1182" t="str">
            <v>BJD</v>
          </cell>
          <cell r="R1182">
            <v>202500</v>
          </cell>
        </row>
        <row r="1183">
          <cell r="C1183">
            <v>43997</v>
          </cell>
          <cell r="F1183" t="str">
            <v>BJD</v>
          </cell>
          <cell r="R1183">
            <v>202500</v>
          </cell>
        </row>
        <row r="1184">
          <cell r="C1184">
            <v>44362</v>
          </cell>
          <cell r="F1184" t="str">
            <v>BJD</v>
          </cell>
          <cell r="R1184">
            <v>202500</v>
          </cell>
        </row>
        <row r="1185">
          <cell r="C1185">
            <v>41805</v>
          </cell>
          <cell r="F1185" t="str">
            <v>BBD</v>
          </cell>
          <cell r="R1185">
            <v>0</v>
          </cell>
        </row>
        <row r="1186">
          <cell r="C1186">
            <v>42170</v>
          </cell>
          <cell r="F1186" t="str">
            <v>BBD</v>
          </cell>
          <cell r="R1186">
            <v>0</v>
          </cell>
        </row>
        <row r="1187">
          <cell r="C1187">
            <v>42536</v>
          </cell>
          <cell r="F1187" t="str">
            <v>BBD</v>
          </cell>
          <cell r="R1187">
            <v>0</v>
          </cell>
        </row>
        <row r="1188">
          <cell r="C1188">
            <v>42901</v>
          </cell>
          <cell r="F1188" t="str">
            <v>BBD</v>
          </cell>
          <cell r="R1188">
            <v>150065.7468071038</v>
          </cell>
        </row>
        <row r="1189">
          <cell r="C1189">
            <v>43266</v>
          </cell>
          <cell r="F1189" t="str">
            <v>BBD</v>
          </cell>
          <cell r="R1189">
            <v>147927.44999999998</v>
          </cell>
        </row>
        <row r="1190">
          <cell r="C1190">
            <v>43631</v>
          </cell>
          <cell r="F1190" t="str">
            <v>BBD</v>
          </cell>
          <cell r="R1190">
            <v>147927.44999999998</v>
          </cell>
        </row>
        <row r="1191">
          <cell r="C1191">
            <v>41866</v>
          </cell>
          <cell r="F1191" t="str">
            <v>BBD</v>
          </cell>
          <cell r="R1191">
            <v>0</v>
          </cell>
        </row>
        <row r="1192">
          <cell r="C1192">
            <v>42231</v>
          </cell>
          <cell r="F1192" t="str">
            <v>BBD</v>
          </cell>
          <cell r="R1192">
            <v>0</v>
          </cell>
        </row>
        <row r="1193">
          <cell r="C1193">
            <v>42597</v>
          </cell>
          <cell r="F1193" t="str">
            <v>BBD</v>
          </cell>
          <cell r="R1193">
            <v>0</v>
          </cell>
        </row>
        <row r="1194">
          <cell r="C1194">
            <v>42962</v>
          </cell>
          <cell r="F1194" t="str">
            <v>BBD</v>
          </cell>
          <cell r="R1194">
            <v>28384.649999999998</v>
          </cell>
        </row>
        <row r="1195">
          <cell r="C1195">
            <v>43327</v>
          </cell>
          <cell r="F1195" t="str">
            <v>BBD</v>
          </cell>
          <cell r="R1195">
            <v>28384.649999999998</v>
          </cell>
        </row>
        <row r="1196">
          <cell r="C1196">
            <v>43692</v>
          </cell>
          <cell r="F1196" t="str">
            <v>BBD</v>
          </cell>
          <cell r="R1196">
            <v>28384.649999999998</v>
          </cell>
        </row>
        <row r="1197">
          <cell r="C1197">
            <v>41866</v>
          </cell>
          <cell r="F1197" t="str">
            <v>BBD</v>
          </cell>
          <cell r="R1197">
            <v>0</v>
          </cell>
        </row>
        <row r="1198">
          <cell r="C1198">
            <v>42231</v>
          </cell>
          <cell r="F1198" t="str">
            <v>BBD</v>
          </cell>
          <cell r="R1198">
            <v>0</v>
          </cell>
        </row>
        <row r="1199">
          <cell r="C1199">
            <v>42597</v>
          </cell>
          <cell r="F1199" t="str">
            <v>BBD</v>
          </cell>
          <cell r="R1199">
            <v>0</v>
          </cell>
        </row>
        <row r="1200">
          <cell r="C1200">
            <v>42962</v>
          </cell>
          <cell r="F1200" t="str">
            <v>BBD</v>
          </cell>
          <cell r="R1200">
            <v>15846.9</v>
          </cell>
        </row>
        <row r="1201">
          <cell r="C1201">
            <v>43327</v>
          </cell>
          <cell r="F1201" t="str">
            <v>BBD</v>
          </cell>
          <cell r="R1201">
            <v>15846.9</v>
          </cell>
        </row>
        <row r="1202">
          <cell r="C1202">
            <v>43692</v>
          </cell>
          <cell r="F1202" t="str">
            <v>BBD</v>
          </cell>
          <cell r="R1202">
            <v>15846.9</v>
          </cell>
        </row>
        <row r="1203">
          <cell r="C1203">
            <v>41805</v>
          </cell>
          <cell r="F1203" t="str">
            <v>BBD</v>
          </cell>
          <cell r="R1203">
            <v>0</v>
          </cell>
        </row>
        <row r="1204">
          <cell r="C1204">
            <v>42170</v>
          </cell>
          <cell r="F1204" t="str">
            <v>BBD</v>
          </cell>
          <cell r="R1204">
            <v>0</v>
          </cell>
        </row>
        <row r="1205">
          <cell r="C1205">
            <v>42536</v>
          </cell>
          <cell r="F1205" t="str">
            <v>BBD</v>
          </cell>
          <cell r="R1205">
            <v>0</v>
          </cell>
        </row>
        <row r="1206">
          <cell r="C1206">
            <v>42901</v>
          </cell>
          <cell r="F1206" t="str">
            <v>BBD</v>
          </cell>
          <cell r="R1206">
            <v>53258.889458129306</v>
          </cell>
        </row>
        <row r="1207">
          <cell r="C1207">
            <v>43266</v>
          </cell>
          <cell r="F1207" t="str">
            <v>BBD</v>
          </cell>
          <cell r="R1207">
            <v>52500</v>
          </cell>
        </row>
        <row r="1208">
          <cell r="C1208">
            <v>43631</v>
          </cell>
          <cell r="F1208" t="str">
            <v>BBD</v>
          </cell>
          <cell r="R1208">
            <v>52500</v>
          </cell>
        </row>
        <row r="1209">
          <cell r="C1209">
            <v>41805</v>
          </cell>
          <cell r="F1209" t="str">
            <v>BJD</v>
          </cell>
          <cell r="R1209">
            <v>0</v>
          </cell>
        </row>
        <row r="1210">
          <cell r="C1210">
            <v>42170</v>
          </cell>
          <cell r="F1210" t="str">
            <v>BJD</v>
          </cell>
          <cell r="R1210">
            <v>0</v>
          </cell>
        </row>
        <row r="1211">
          <cell r="C1211">
            <v>42536</v>
          </cell>
          <cell r="F1211" t="str">
            <v>BJD</v>
          </cell>
          <cell r="R1211">
            <v>0</v>
          </cell>
        </row>
        <row r="1212">
          <cell r="C1212">
            <v>42901</v>
          </cell>
          <cell r="F1212" t="str">
            <v>BJD</v>
          </cell>
          <cell r="R1212">
            <v>60867.302237862059</v>
          </cell>
        </row>
        <row r="1213">
          <cell r="C1213">
            <v>43266</v>
          </cell>
          <cell r="F1213" t="str">
            <v>BJD</v>
          </cell>
          <cell r="R1213">
            <v>60000</v>
          </cell>
        </row>
        <row r="1214">
          <cell r="C1214">
            <v>43631</v>
          </cell>
          <cell r="F1214" t="str">
            <v>BJD</v>
          </cell>
          <cell r="R1214">
            <v>60000</v>
          </cell>
        </row>
        <row r="1215">
          <cell r="C1215">
            <v>42139</v>
          </cell>
          <cell r="F1215" t="str">
            <v>CNH</v>
          </cell>
          <cell r="R1215">
            <v>0</v>
          </cell>
        </row>
        <row r="1216">
          <cell r="C1216">
            <v>42505</v>
          </cell>
          <cell r="F1216" t="str">
            <v>CNH</v>
          </cell>
          <cell r="R1216">
            <v>0</v>
          </cell>
        </row>
        <row r="1217">
          <cell r="C1217">
            <v>42870</v>
          </cell>
          <cell r="F1217" t="str">
            <v>CNH</v>
          </cell>
          <cell r="R1217">
            <v>49125.6331287352</v>
          </cell>
        </row>
        <row r="1218">
          <cell r="C1218">
            <v>43235</v>
          </cell>
          <cell r="F1218" t="str">
            <v>CNH</v>
          </cell>
          <cell r="R1218">
            <v>48375</v>
          </cell>
        </row>
        <row r="1219">
          <cell r="C1219">
            <v>41774</v>
          </cell>
          <cell r="F1219" t="str">
            <v>BJD</v>
          </cell>
          <cell r="R1219">
            <v>0</v>
          </cell>
        </row>
        <row r="1220">
          <cell r="C1220">
            <v>42139</v>
          </cell>
          <cell r="F1220" t="str">
            <v>BJD</v>
          </cell>
          <cell r="R1220">
            <v>0</v>
          </cell>
        </row>
        <row r="1221">
          <cell r="C1221">
            <v>42505</v>
          </cell>
          <cell r="F1221" t="str">
            <v>BJD</v>
          </cell>
          <cell r="R1221">
            <v>0</v>
          </cell>
        </row>
        <row r="1222">
          <cell r="C1222">
            <v>42870</v>
          </cell>
          <cell r="F1222" t="str">
            <v>BJD</v>
          </cell>
          <cell r="R1222">
            <v>95778.581731771017</v>
          </cell>
        </row>
        <row r="1223">
          <cell r="C1223">
            <v>43235</v>
          </cell>
          <cell r="F1223" t="str">
            <v>BJD</v>
          </cell>
          <cell r="R1223">
            <v>93600</v>
          </cell>
        </row>
        <row r="1224">
          <cell r="C1224">
            <v>43600</v>
          </cell>
          <cell r="F1224" t="str">
            <v>BJD</v>
          </cell>
          <cell r="R1224">
            <v>93600</v>
          </cell>
        </row>
        <row r="1225">
          <cell r="C1225">
            <v>41774</v>
          </cell>
          <cell r="F1225" t="str">
            <v>BJD</v>
          </cell>
          <cell r="R1225">
            <v>0</v>
          </cell>
        </row>
        <row r="1226">
          <cell r="C1226">
            <v>42139</v>
          </cell>
          <cell r="F1226" t="str">
            <v>BJD</v>
          </cell>
          <cell r="R1226">
            <v>0</v>
          </cell>
        </row>
        <row r="1227">
          <cell r="C1227">
            <v>42505</v>
          </cell>
          <cell r="F1227" t="str">
            <v>BJD</v>
          </cell>
          <cell r="R1227">
            <v>0</v>
          </cell>
        </row>
        <row r="1228">
          <cell r="C1228">
            <v>42870</v>
          </cell>
          <cell r="F1228" t="str">
            <v>BJD</v>
          </cell>
          <cell r="R1228">
            <v>295272.28753705684</v>
          </cell>
        </row>
        <row r="1229">
          <cell r="C1229">
            <v>43235</v>
          </cell>
          <cell r="F1229" t="str">
            <v>BJD</v>
          </cell>
          <cell r="R1229">
            <v>284245.71142857143</v>
          </cell>
        </row>
        <row r="1230">
          <cell r="C1230">
            <v>43600</v>
          </cell>
          <cell r="F1230" t="str">
            <v>BJD</v>
          </cell>
          <cell r="R1230">
            <v>284245.71142857143</v>
          </cell>
        </row>
        <row r="1231">
          <cell r="C1231">
            <v>43966</v>
          </cell>
          <cell r="F1231" t="str">
            <v>BJD</v>
          </cell>
          <cell r="R1231">
            <v>284245.71142857143</v>
          </cell>
        </row>
        <row r="1232">
          <cell r="C1232">
            <v>44331</v>
          </cell>
          <cell r="F1232" t="str">
            <v>BJD</v>
          </cell>
          <cell r="R1232">
            <v>284245.71142857143</v>
          </cell>
        </row>
        <row r="1233">
          <cell r="C1233">
            <v>41774</v>
          </cell>
          <cell r="F1233" t="str">
            <v>CAT</v>
          </cell>
          <cell r="R1233">
            <v>0</v>
          </cell>
        </row>
        <row r="1234">
          <cell r="C1234">
            <v>41866</v>
          </cell>
          <cell r="F1234" t="str">
            <v>CAT</v>
          </cell>
          <cell r="R1234">
            <v>0</v>
          </cell>
        </row>
        <row r="1235">
          <cell r="C1235">
            <v>41897</v>
          </cell>
          <cell r="F1235" t="str">
            <v>CAT</v>
          </cell>
          <cell r="R1235">
            <v>0</v>
          </cell>
        </row>
        <row r="1236">
          <cell r="C1236">
            <v>41927</v>
          </cell>
          <cell r="F1236" t="str">
            <v>CAT</v>
          </cell>
          <cell r="R1236">
            <v>0</v>
          </cell>
        </row>
        <row r="1237">
          <cell r="C1237">
            <v>41960</v>
          </cell>
          <cell r="F1237" t="str">
            <v>CAT</v>
          </cell>
          <cell r="R1237">
            <v>0</v>
          </cell>
        </row>
        <row r="1238">
          <cell r="C1238">
            <v>41988</v>
          </cell>
          <cell r="F1238" t="str">
            <v>CAT</v>
          </cell>
          <cell r="R1238">
            <v>0</v>
          </cell>
        </row>
        <row r="1239">
          <cell r="C1239">
            <v>42019</v>
          </cell>
          <cell r="F1239" t="str">
            <v>CAT</v>
          </cell>
          <cell r="R1239">
            <v>0</v>
          </cell>
        </row>
        <row r="1240">
          <cell r="C1240">
            <v>42053</v>
          </cell>
          <cell r="F1240" t="str">
            <v>CAT</v>
          </cell>
          <cell r="R1240">
            <v>0</v>
          </cell>
        </row>
        <row r="1241">
          <cell r="C1241">
            <v>42079</v>
          </cell>
          <cell r="F1241" t="str">
            <v>CAT</v>
          </cell>
          <cell r="R1241">
            <v>0</v>
          </cell>
        </row>
        <row r="1242">
          <cell r="C1242">
            <v>42109</v>
          </cell>
          <cell r="F1242" t="str">
            <v>CAT</v>
          </cell>
          <cell r="R1242">
            <v>0</v>
          </cell>
        </row>
        <row r="1243">
          <cell r="C1243">
            <v>42139</v>
          </cell>
          <cell r="F1243" t="str">
            <v>CAT</v>
          </cell>
          <cell r="R1243">
            <v>0</v>
          </cell>
        </row>
        <row r="1244">
          <cell r="C1244">
            <v>42170</v>
          </cell>
          <cell r="F1244" t="str">
            <v>CAT</v>
          </cell>
          <cell r="R1244">
            <v>0</v>
          </cell>
        </row>
        <row r="1245">
          <cell r="C1245">
            <v>42200</v>
          </cell>
          <cell r="F1245" t="str">
            <v>CAT</v>
          </cell>
          <cell r="R1245">
            <v>0</v>
          </cell>
        </row>
        <row r="1246">
          <cell r="C1246">
            <v>42233</v>
          </cell>
          <cell r="F1246" t="str">
            <v>CAT</v>
          </cell>
          <cell r="R1246">
            <v>0</v>
          </cell>
        </row>
        <row r="1247">
          <cell r="C1247">
            <v>42262</v>
          </cell>
          <cell r="F1247" t="str">
            <v>CAT</v>
          </cell>
          <cell r="R1247">
            <v>0</v>
          </cell>
        </row>
        <row r="1248">
          <cell r="C1248">
            <v>42292</v>
          </cell>
          <cell r="F1248" t="str">
            <v>CAT</v>
          </cell>
          <cell r="R1248">
            <v>0</v>
          </cell>
        </row>
        <row r="1249">
          <cell r="C1249">
            <v>42324</v>
          </cell>
          <cell r="F1249" t="str">
            <v>CAT</v>
          </cell>
          <cell r="R1249">
            <v>0</v>
          </cell>
        </row>
        <row r="1250">
          <cell r="C1250">
            <v>42353</v>
          </cell>
          <cell r="F1250" t="str">
            <v>CAT</v>
          </cell>
          <cell r="R1250">
            <v>0</v>
          </cell>
        </row>
        <row r="1251">
          <cell r="C1251">
            <v>42384</v>
          </cell>
          <cell r="F1251" t="str">
            <v>CAT</v>
          </cell>
          <cell r="R1251">
            <v>0</v>
          </cell>
        </row>
        <row r="1252">
          <cell r="C1252">
            <v>42415</v>
          </cell>
          <cell r="F1252" t="str">
            <v>CAT</v>
          </cell>
          <cell r="R1252">
            <v>0</v>
          </cell>
        </row>
        <row r="1253">
          <cell r="C1253">
            <v>42444</v>
          </cell>
          <cell r="F1253" t="str">
            <v>CAT</v>
          </cell>
          <cell r="R1253">
            <v>0</v>
          </cell>
        </row>
        <row r="1254">
          <cell r="C1254">
            <v>42475</v>
          </cell>
          <cell r="F1254" t="str">
            <v>CAT</v>
          </cell>
          <cell r="R1254">
            <v>0</v>
          </cell>
        </row>
        <row r="1255">
          <cell r="C1255">
            <v>42506</v>
          </cell>
          <cell r="F1255" t="str">
            <v>CAT</v>
          </cell>
          <cell r="R1255">
            <v>0</v>
          </cell>
        </row>
        <row r="1256">
          <cell r="C1256">
            <v>42536</v>
          </cell>
          <cell r="F1256" t="str">
            <v>CAT</v>
          </cell>
          <cell r="R1256">
            <v>0</v>
          </cell>
        </row>
        <row r="1257">
          <cell r="C1257">
            <v>42566</v>
          </cell>
          <cell r="F1257" t="str">
            <v>CAT</v>
          </cell>
          <cell r="R1257">
            <v>0</v>
          </cell>
        </row>
        <row r="1258">
          <cell r="C1258">
            <v>42597</v>
          </cell>
          <cell r="F1258" t="str">
            <v>CAT</v>
          </cell>
          <cell r="R1258">
            <v>0</v>
          </cell>
        </row>
        <row r="1259">
          <cell r="C1259">
            <v>42628</v>
          </cell>
          <cell r="F1259" t="str">
            <v>CAT</v>
          </cell>
          <cell r="R1259">
            <v>8166.666666666667</v>
          </cell>
        </row>
        <row r="1260">
          <cell r="C1260">
            <v>42660</v>
          </cell>
          <cell r="F1260" t="str">
            <v>CAT</v>
          </cell>
          <cell r="R1260">
            <v>8166.666666666667</v>
          </cell>
        </row>
        <row r="1261">
          <cell r="C1261">
            <v>42690</v>
          </cell>
          <cell r="F1261" t="str">
            <v>CAT</v>
          </cell>
          <cell r="R1261">
            <v>8166.666666666667</v>
          </cell>
        </row>
        <row r="1262">
          <cell r="C1262">
            <v>42719</v>
          </cell>
          <cell r="F1262" t="str">
            <v>CAT</v>
          </cell>
          <cell r="R1262">
            <v>8166.666666666667</v>
          </cell>
        </row>
        <row r="1263">
          <cell r="C1263">
            <v>42751</v>
          </cell>
          <cell r="F1263" t="str">
            <v>CAT</v>
          </cell>
          <cell r="R1263">
            <v>8166.666666666667</v>
          </cell>
        </row>
        <row r="1264">
          <cell r="C1264">
            <v>42781</v>
          </cell>
          <cell r="F1264" t="str">
            <v>CAT</v>
          </cell>
          <cell r="R1264">
            <v>8166.666666666667</v>
          </cell>
        </row>
        <row r="1265">
          <cell r="C1265">
            <v>42809</v>
          </cell>
          <cell r="F1265" t="str">
            <v>CAT</v>
          </cell>
          <cell r="R1265">
            <v>8166.666666666667</v>
          </cell>
        </row>
        <row r="1266">
          <cell r="C1266">
            <v>42842</v>
          </cell>
          <cell r="F1266" t="str">
            <v>CAT</v>
          </cell>
          <cell r="R1266">
            <v>8166.666666666667</v>
          </cell>
        </row>
        <row r="1267">
          <cell r="C1267">
            <v>42870</v>
          </cell>
          <cell r="F1267" t="str">
            <v>CAT</v>
          </cell>
          <cell r="R1267">
            <v>8166.666666666667</v>
          </cell>
        </row>
        <row r="1268">
          <cell r="C1268">
            <v>42902</v>
          </cell>
          <cell r="F1268" t="str">
            <v>CAT</v>
          </cell>
          <cell r="R1268">
            <v>8166.666666666667</v>
          </cell>
        </row>
        <row r="1269">
          <cell r="C1269">
            <v>42933</v>
          </cell>
          <cell r="F1269" t="str">
            <v>CAT</v>
          </cell>
          <cell r="R1269">
            <v>8166.666666666667</v>
          </cell>
        </row>
        <row r="1270">
          <cell r="C1270">
            <v>42962</v>
          </cell>
          <cell r="F1270" t="str">
            <v>CAT</v>
          </cell>
          <cell r="R1270">
            <v>8166.666666666667</v>
          </cell>
        </row>
        <row r="1271">
          <cell r="C1271">
            <v>42993</v>
          </cell>
          <cell r="F1271" t="str">
            <v>CAT</v>
          </cell>
          <cell r="R1271">
            <v>8166.666666666667</v>
          </cell>
        </row>
        <row r="1272">
          <cell r="C1272">
            <v>43024</v>
          </cell>
          <cell r="F1272" t="str">
            <v>CAT</v>
          </cell>
          <cell r="R1272">
            <v>8166.666666666667</v>
          </cell>
        </row>
        <row r="1273">
          <cell r="C1273">
            <v>43055</v>
          </cell>
          <cell r="F1273" t="str">
            <v>CAT</v>
          </cell>
          <cell r="R1273">
            <v>8166.666666666667</v>
          </cell>
        </row>
        <row r="1274">
          <cell r="C1274">
            <v>43084</v>
          </cell>
          <cell r="F1274" t="str">
            <v>CAT</v>
          </cell>
          <cell r="R1274">
            <v>8166.666666666667</v>
          </cell>
        </row>
        <row r="1275">
          <cell r="C1275">
            <v>43115</v>
          </cell>
          <cell r="F1275" t="str">
            <v>CAT</v>
          </cell>
          <cell r="R1275">
            <v>8166.666666666667</v>
          </cell>
        </row>
        <row r="1276">
          <cell r="C1276">
            <v>43146</v>
          </cell>
          <cell r="F1276" t="str">
            <v>CAT</v>
          </cell>
          <cell r="R1276">
            <v>8166.666666666667</v>
          </cell>
        </row>
        <row r="1277">
          <cell r="C1277">
            <v>43174</v>
          </cell>
          <cell r="F1277" t="str">
            <v>CAT</v>
          </cell>
          <cell r="R1277">
            <v>8166.666666666667</v>
          </cell>
        </row>
        <row r="1278">
          <cell r="C1278">
            <v>43206</v>
          </cell>
          <cell r="F1278" t="str">
            <v>CAT</v>
          </cell>
          <cell r="R1278">
            <v>8166.666666666667</v>
          </cell>
        </row>
        <row r="1279">
          <cell r="C1279">
            <v>43235</v>
          </cell>
          <cell r="F1279" t="str">
            <v>CAT</v>
          </cell>
          <cell r="R1279">
            <v>8166.666666666667</v>
          </cell>
        </row>
        <row r="1280">
          <cell r="C1280">
            <v>43266</v>
          </cell>
          <cell r="F1280" t="str">
            <v>CAT</v>
          </cell>
          <cell r="R1280">
            <v>8166.666666666667</v>
          </cell>
        </row>
        <row r="1281">
          <cell r="C1281">
            <v>43297</v>
          </cell>
          <cell r="F1281" t="str">
            <v>CAT</v>
          </cell>
          <cell r="R1281">
            <v>8166.666666666667</v>
          </cell>
        </row>
        <row r="1282">
          <cell r="C1282">
            <v>43327</v>
          </cell>
          <cell r="F1282" t="str">
            <v>CAT</v>
          </cell>
          <cell r="R1282">
            <v>8166.666666666667</v>
          </cell>
        </row>
        <row r="1283">
          <cell r="C1283">
            <v>43360</v>
          </cell>
          <cell r="F1283" t="str">
            <v>CAT</v>
          </cell>
          <cell r="R1283">
            <v>8166.666666666667</v>
          </cell>
        </row>
        <row r="1284">
          <cell r="C1284">
            <v>43388</v>
          </cell>
          <cell r="F1284" t="str">
            <v>CAT</v>
          </cell>
          <cell r="R1284">
            <v>8166.666666666667</v>
          </cell>
        </row>
        <row r="1285">
          <cell r="C1285">
            <v>43420</v>
          </cell>
          <cell r="F1285" t="str">
            <v>CAT</v>
          </cell>
          <cell r="R1285">
            <v>8166.666666666667</v>
          </cell>
        </row>
        <row r="1286">
          <cell r="C1286">
            <v>43451</v>
          </cell>
          <cell r="F1286" t="str">
            <v>CAT</v>
          </cell>
          <cell r="R1286">
            <v>8166.666666666667</v>
          </cell>
        </row>
        <row r="1287">
          <cell r="C1287">
            <v>43480</v>
          </cell>
          <cell r="F1287" t="str">
            <v>CAT</v>
          </cell>
          <cell r="R1287">
            <v>8166.666666666667</v>
          </cell>
        </row>
        <row r="1288">
          <cell r="C1288">
            <v>43511</v>
          </cell>
          <cell r="F1288" t="str">
            <v>CAT</v>
          </cell>
          <cell r="R1288">
            <v>8166.666666666667</v>
          </cell>
        </row>
        <row r="1289">
          <cell r="C1289">
            <v>41774</v>
          </cell>
          <cell r="F1289" t="str">
            <v>CAT</v>
          </cell>
          <cell r="R1289">
            <v>0</v>
          </cell>
        </row>
        <row r="1290">
          <cell r="C1290">
            <v>41866</v>
          </cell>
          <cell r="F1290" t="str">
            <v>CAT</v>
          </cell>
          <cell r="R1290">
            <v>0</v>
          </cell>
        </row>
        <row r="1291">
          <cell r="C1291">
            <v>41897</v>
          </cell>
          <cell r="F1291" t="str">
            <v>CAT</v>
          </cell>
          <cell r="R1291">
            <v>0</v>
          </cell>
        </row>
        <row r="1292">
          <cell r="C1292">
            <v>41927</v>
          </cell>
          <cell r="F1292" t="str">
            <v>CAT</v>
          </cell>
          <cell r="R1292">
            <v>0</v>
          </cell>
        </row>
        <row r="1293">
          <cell r="C1293">
            <v>41960</v>
          </cell>
          <cell r="F1293" t="str">
            <v>CAT</v>
          </cell>
          <cell r="R1293">
            <v>0</v>
          </cell>
        </row>
        <row r="1294">
          <cell r="C1294">
            <v>41988</v>
          </cell>
          <cell r="F1294" t="str">
            <v>CAT</v>
          </cell>
          <cell r="R1294">
            <v>0</v>
          </cell>
        </row>
        <row r="1295">
          <cell r="C1295">
            <v>42019</v>
          </cell>
          <cell r="F1295" t="str">
            <v>CAT</v>
          </cell>
          <cell r="R1295">
            <v>0</v>
          </cell>
        </row>
        <row r="1296">
          <cell r="C1296">
            <v>42053</v>
          </cell>
          <cell r="F1296" t="str">
            <v>CAT</v>
          </cell>
          <cell r="R1296">
            <v>0</v>
          </cell>
        </row>
        <row r="1297">
          <cell r="C1297">
            <v>42079</v>
          </cell>
          <cell r="F1297" t="str">
            <v>CAT</v>
          </cell>
          <cell r="R1297">
            <v>0</v>
          </cell>
        </row>
        <row r="1298">
          <cell r="C1298">
            <v>42109</v>
          </cell>
          <cell r="F1298" t="str">
            <v>CAT</v>
          </cell>
          <cell r="R1298">
            <v>0</v>
          </cell>
        </row>
        <row r="1299">
          <cell r="C1299">
            <v>42139</v>
          </cell>
          <cell r="F1299" t="str">
            <v>CAT</v>
          </cell>
          <cell r="R1299">
            <v>0</v>
          </cell>
        </row>
        <row r="1300">
          <cell r="C1300">
            <v>42170</v>
          </cell>
          <cell r="F1300" t="str">
            <v>CAT</v>
          </cell>
          <cell r="R1300">
            <v>0</v>
          </cell>
        </row>
        <row r="1301">
          <cell r="C1301">
            <v>42200</v>
          </cell>
          <cell r="F1301" t="str">
            <v>CAT</v>
          </cell>
          <cell r="R1301">
            <v>0</v>
          </cell>
        </row>
        <row r="1302">
          <cell r="C1302">
            <v>42233</v>
          </cell>
          <cell r="F1302" t="str">
            <v>CAT</v>
          </cell>
          <cell r="R1302">
            <v>0</v>
          </cell>
        </row>
        <row r="1303">
          <cell r="C1303">
            <v>42262</v>
          </cell>
          <cell r="F1303" t="str">
            <v>CAT</v>
          </cell>
          <cell r="R1303">
            <v>0</v>
          </cell>
        </row>
        <row r="1304">
          <cell r="C1304">
            <v>42292</v>
          </cell>
          <cell r="F1304" t="str">
            <v>CAT</v>
          </cell>
          <cell r="R1304">
            <v>0</v>
          </cell>
        </row>
        <row r="1305">
          <cell r="C1305">
            <v>42324</v>
          </cell>
          <cell r="F1305" t="str">
            <v>CAT</v>
          </cell>
          <cell r="R1305">
            <v>0</v>
          </cell>
        </row>
        <row r="1306">
          <cell r="C1306">
            <v>42353</v>
          </cell>
          <cell r="F1306" t="str">
            <v>CAT</v>
          </cell>
          <cell r="R1306">
            <v>0</v>
          </cell>
        </row>
        <row r="1307">
          <cell r="C1307">
            <v>42384</v>
          </cell>
          <cell r="F1307" t="str">
            <v>CAT</v>
          </cell>
          <cell r="R1307">
            <v>0</v>
          </cell>
        </row>
        <row r="1308">
          <cell r="C1308">
            <v>42415</v>
          </cell>
          <cell r="F1308" t="str">
            <v>CAT</v>
          </cell>
          <cell r="R1308">
            <v>0</v>
          </cell>
        </row>
        <row r="1309">
          <cell r="C1309">
            <v>42444</v>
          </cell>
          <cell r="F1309" t="str">
            <v>CAT</v>
          </cell>
          <cell r="R1309">
            <v>0</v>
          </cell>
        </row>
        <row r="1310">
          <cell r="C1310">
            <v>42475</v>
          </cell>
          <cell r="F1310" t="str">
            <v>CAT</v>
          </cell>
          <cell r="R1310">
            <v>0</v>
          </cell>
        </row>
        <row r="1311">
          <cell r="C1311">
            <v>42506</v>
          </cell>
          <cell r="F1311" t="str">
            <v>CAT</v>
          </cell>
          <cell r="R1311">
            <v>0</v>
          </cell>
        </row>
        <row r="1312">
          <cell r="C1312">
            <v>42536</v>
          </cell>
          <cell r="F1312" t="str">
            <v>CAT</v>
          </cell>
          <cell r="R1312">
            <v>0</v>
          </cell>
        </row>
        <row r="1313">
          <cell r="C1313">
            <v>42566</v>
          </cell>
          <cell r="F1313" t="str">
            <v>CAT</v>
          </cell>
          <cell r="R1313">
            <v>0</v>
          </cell>
        </row>
        <row r="1314">
          <cell r="C1314">
            <v>42597</v>
          </cell>
          <cell r="F1314" t="str">
            <v>CAT</v>
          </cell>
          <cell r="R1314">
            <v>0</v>
          </cell>
        </row>
        <row r="1315">
          <cell r="C1315">
            <v>42628</v>
          </cell>
          <cell r="F1315" t="str">
            <v>CAT</v>
          </cell>
          <cell r="R1315">
            <v>5083.333333333333</v>
          </cell>
        </row>
        <row r="1316">
          <cell r="C1316">
            <v>42660</v>
          </cell>
          <cell r="F1316" t="str">
            <v>CAT</v>
          </cell>
          <cell r="R1316">
            <v>5083.333333333333</v>
          </cell>
        </row>
        <row r="1317">
          <cell r="C1317">
            <v>42690</v>
          </cell>
          <cell r="F1317" t="str">
            <v>CAT</v>
          </cell>
          <cell r="R1317">
            <v>5083.333333333333</v>
          </cell>
        </row>
        <row r="1318">
          <cell r="C1318">
            <v>42719</v>
          </cell>
          <cell r="F1318" t="str">
            <v>CAT</v>
          </cell>
          <cell r="R1318">
            <v>5083.333333333333</v>
          </cell>
        </row>
        <row r="1319">
          <cell r="C1319">
            <v>42751</v>
          </cell>
          <cell r="F1319" t="str">
            <v>CAT</v>
          </cell>
          <cell r="R1319">
            <v>5083.333333333333</v>
          </cell>
        </row>
        <row r="1320">
          <cell r="C1320">
            <v>42781</v>
          </cell>
          <cell r="F1320" t="str">
            <v>CAT</v>
          </cell>
          <cell r="R1320">
            <v>5083.333333333333</v>
          </cell>
        </row>
        <row r="1321">
          <cell r="C1321">
            <v>42809</v>
          </cell>
          <cell r="F1321" t="str">
            <v>CAT</v>
          </cell>
          <cell r="R1321">
            <v>5083.333333333333</v>
          </cell>
        </row>
        <row r="1322">
          <cell r="C1322">
            <v>42842</v>
          </cell>
          <cell r="F1322" t="str">
            <v>CAT</v>
          </cell>
          <cell r="R1322">
            <v>5083.333333333333</v>
          </cell>
        </row>
        <row r="1323">
          <cell r="C1323">
            <v>42870</v>
          </cell>
          <cell r="F1323" t="str">
            <v>CAT</v>
          </cell>
          <cell r="R1323">
            <v>5083.333333333333</v>
          </cell>
        </row>
        <row r="1324">
          <cell r="C1324">
            <v>42902</v>
          </cell>
          <cell r="F1324" t="str">
            <v>CAT</v>
          </cell>
          <cell r="R1324">
            <v>5083.333333333333</v>
          </cell>
        </row>
        <row r="1325">
          <cell r="C1325">
            <v>42933</v>
          </cell>
          <cell r="F1325" t="str">
            <v>CAT</v>
          </cell>
          <cell r="R1325">
            <v>5083.333333333333</v>
          </cell>
        </row>
        <row r="1326">
          <cell r="C1326">
            <v>42962</v>
          </cell>
          <cell r="F1326" t="str">
            <v>CAT</v>
          </cell>
          <cell r="R1326">
            <v>5083.333333333333</v>
          </cell>
        </row>
        <row r="1327">
          <cell r="C1327">
            <v>42993</v>
          </cell>
          <cell r="F1327" t="str">
            <v>CAT</v>
          </cell>
          <cell r="R1327">
            <v>5083.333333333333</v>
          </cell>
        </row>
        <row r="1328">
          <cell r="C1328">
            <v>43024</v>
          </cell>
          <cell r="F1328" t="str">
            <v>CAT</v>
          </cell>
          <cell r="R1328">
            <v>5083.333333333333</v>
          </cell>
        </row>
        <row r="1329">
          <cell r="C1329">
            <v>43055</v>
          </cell>
          <cell r="F1329" t="str">
            <v>CAT</v>
          </cell>
          <cell r="R1329">
            <v>5083.333333333333</v>
          </cell>
        </row>
        <row r="1330">
          <cell r="C1330">
            <v>43084</v>
          </cell>
          <cell r="F1330" t="str">
            <v>CAT</v>
          </cell>
          <cell r="R1330">
            <v>5083.333333333333</v>
          </cell>
        </row>
        <row r="1331">
          <cell r="C1331">
            <v>43115</v>
          </cell>
          <cell r="F1331" t="str">
            <v>CAT</v>
          </cell>
          <cell r="R1331">
            <v>5083.333333333333</v>
          </cell>
        </row>
        <row r="1332">
          <cell r="C1332">
            <v>43146</v>
          </cell>
          <cell r="F1332" t="str">
            <v>CAT</v>
          </cell>
          <cell r="R1332">
            <v>5083.333333333333</v>
          </cell>
        </row>
        <row r="1333">
          <cell r="C1333">
            <v>43174</v>
          </cell>
          <cell r="F1333" t="str">
            <v>CAT</v>
          </cell>
          <cell r="R1333">
            <v>5083.333333333333</v>
          </cell>
        </row>
        <row r="1334">
          <cell r="C1334">
            <v>43206</v>
          </cell>
          <cell r="F1334" t="str">
            <v>CAT</v>
          </cell>
          <cell r="R1334">
            <v>5083.333333333333</v>
          </cell>
        </row>
        <row r="1335">
          <cell r="C1335">
            <v>43235</v>
          </cell>
          <cell r="F1335" t="str">
            <v>CAT</v>
          </cell>
          <cell r="R1335">
            <v>5083.333333333333</v>
          </cell>
        </row>
        <row r="1336">
          <cell r="C1336">
            <v>43266</v>
          </cell>
          <cell r="F1336" t="str">
            <v>CAT</v>
          </cell>
          <cell r="R1336">
            <v>5083.333333333333</v>
          </cell>
        </row>
        <row r="1337">
          <cell r="C1337">
            <v>43297</v>
          </cell>
          <cell r="F1337" t="str">
            <v>CAT</v>
          </cell>
          <cell r="R1337">
            <v>5083.333333333333</v>
          </cell>
        </row>
        <row r="1338">
          <cell r="C1338">
            <v>43327</v>
          </cell>
          <cell r="F1338" t="str">
            <v>CAT</v>
          </cell>
          <cell r="R1338">
            <v>5083.333333333333</v>
          </cell>
        </row>
        <row r="1339">
          <cell r="C1339">
            <v>43360</v>
          </cell>
          <cell r="F1339" t="str">
            <v>CAT</v>
          </cell>
          <cell r="R1339">
            <v>5083.333333333333</v>
          </cell>
        </row>
        <row r="1340">
          <cell r="C1340">
            <v>43388</v>
          </cell>
          <cell r="F1340" t="str">
            <v>CAT</v>
          </cell>
          <cell r="R1340">
            <v>5083.333333333333</v>
          </cell>
        </row>
        <row r="1341">
          <cell r="C1341">
            <v>43420</v>
          </cell>
          <cell r="F1341" t="str">
            <v>CAT</v>
          </cell>
          <cell r="R1341">
            <v>5083.333333333333</v>
          </cell>
        </row>
        <row r="1342">
          <cell r="C1342">
            <v>43451</v>
          </cell>
          <cell r="F1342" t="str">
            <v>CAT</v>
          </cell>
          <cell r="R1342">
            <v>5083.333333333333</v>
          </cell>
        </row>
        <row r="1343">
          <cell r="C1343">
            <v>43480</v>
          </cell>
          <cell r="F1343" t="str">
            <v>CAT</v>
          </cell>
          <cell r="R1343">
            <v>5083.333333333333</v>
          </cell>
        </row>
        <row r="1344">
          <cell r="C1344">
            <v>43511</v>
          </cell>
          <cell r="F1344" t="str">
            <v>CAT</v>
          </cell>
          <cell r="R1344">
            <v>5083.333333333333</v>
          </cell>
        </row>
        <row r="1345">
          <cell r="C1345">
            <v>42109</v>
          </cell>
          <cell r="F1345" t="str">
            <v>BJD1</v>
          </cell>
          <cell r="R1345">
            <v>0</v>
          </cell>
        </row>
        <row r="1346">
          <cell r="C1346">
            <v>42475</v>
          </cell>
          <cell r="F1346" t="str">
            <v>BJD1</v>
          </cell>
          <cell r="R1346">
            <v>0</v>
          </cell>
        </row>
        <row r="1347">
          <cell r="C1347">
            <v>42840</v>
          </cell>
          <cell r="F1347" t="str">
            <v>BJD1</v>
          </cell>
          <cell r="R1347">
            <v>448558.436327887</v>
          </cell>
        </row>
        <row r="1348">
          <cell r="C1348">
            <v>43205</v>
          </cell>
          <cell r="F1348" t="str">
            <v>BJD1</v>
          </cell>
          <cell r="R1348">
            <v>427971.15659700002</v>
          </cell>
        </row>
        <row r="1349">
          <cell r="C1349">
            <v>43570</v>
          </cell>
          <cell r="F1349" t="str">
            <v>BJD1</v>
          </cell>
          <cell r="R1349">
            <v>427971.15659700002</v>
          </cell>
        </row>
        <row r="1350">
          <cell r="C1350">
            <v>41927</v>
          </cell>
          <cell r="F1350" t="str">
            <v>CNH1</v>
          </cell>
          <cell r="R1350">
            <v>0</v>
          </cell>
        </row>
        <row r="1351">
          <cell r="C1351">
            <v>41958</v>
          </cell>
          <cell r="F1351" t="str">
            <v>CNH1</v>
          </cell>
          <cell r="R1351">
            <v>0</v>
          </cell>
        </row>
        <row r="1352">
          <cell r="C1352">
            <v>41988</v>
          </cell>
          <cell r="F1352" t="str">
            <v>CNH1</v>
          </cell>
          <cell r="R1352">
            <v>0</v>
          </cell>
        </row>
        <row r="1353">
          <cell r="C1353">
            <v>42019</v>
          </cell>
          <cell r="F1353" t="str">
            <v>CNH1</v>
          </cell>
          <cell r="R1353">
            <v>0</v>
          </cell>
        </row>
        <row r="1354">
          <cell r="C1354">
            <v>42050</v>
          </cell>
          <cell r="F1354" t="str">
            <v>CNH1</v>
          </cell>
          <cell r="R1354">
            <v>0</v>
          </cell>
        </row>
        <row r="1355">
          <cell r="C1355">
            <v>42078</v>
          </cell>
          <cell r="F1355" t="str">
            <v>CNH1</v>
          </cell>
          <cell r="R1355">
            <v>0</v>
          </cell>
        </row>
        <row r="1356">
          <cell r="C1356">
            <v>42109</v>
          </cell>
          <cell r="F1356" t="str">
            <v>CNH1</v>
          </cell>
          <cell r="R1356">
            <v>0</v>
          </cell>
        </row>
        <row r="1357">
          <cell r="C1357">
            <v>42139</v>
          </cell>
          <cell r="F1357" t="str">
            <v>CNH1</v>
          </cell>
          <cell r="R1357">
            <v>0</v>
          </cell>
        </row>
        <row r="1358">
          <cell r="C1358">
            <v>42170</v>
          </cell>
          <cell r="F1358" t="str">
            <v>CNH1</v>
          </cell>
          <cell r="R1358">
            <v>0</v>
          </cell>
        </row>
        <row r="1359">
          <cell r="C1359">
            <v>42200</v>
          </cell>
          <cell r="F1359" t="str">
            <v>CNH1</v>
          </cell>
          <cell r="R1359">
            <v>0</v>
          </cell>
        </row>
        <row r="1360">
          <cell r="C1360">
            <v>42231</v>
          </cell>
          <cell r="F1360" t="str">
            <v>CNH1</v>
          </cell>
          <cell r="R1360">
            <v>0</v>
          </cell>
        </row>
        <row r="1361">
          <cell r="C1361">
            <v>42262</v>
          </cell>
          <cell r="F1361" t="str">
            <v>CNH1</v>
          </cell>
          <cell r="R1361">
            <v>0</v>
          </cell>
        </row>
        <row r="1362">
          <cell r="C1362">
            <v>42292</v>
          </cell>
          <cell r="F1362" t="str">
            <v>CNH1</v>
          </cell>
          <cell r="R1362">
            <v>0</v>
          </cell>
        </row>
        <row r="1363">
          <cell r="C1363">
            <v>42323</v>
          </cell>
          <cell r="F1363" t="str">
            <v>CNH1</v>
          </cell>
          <cell r="R1363">
            <v>0</v>
          </cell>
        </row>
        <row r="1364">
          <cell r="C1364">
            <v>42353</v>
          </cell>
          <cell r="F1364" t="str">
            <v>CNH1</v>
          </cell>
          <cell r="R1364">
            <v>0</v>
          </cell>
        </row>
        <row r="1365">
          <cell r="C1365">
            <v>42384</v>
          </cell>
          <cell r="F1365" t="str">
            <v>CNH1</v>
          </cell>
          <cell r="R1365">
            <v>0</v>
          </cell>
        </row>
        <row r="1366">
          <cell r="C1366">
            <v>42415</v>
          </cell>
          <cell r="F1366" t="str">
            <v>CNH1</v>
          </cell>
          <cell r="R1366">
            <v>0</v>
          </cell>
        </row>
        <row r="1367">
          <cell r="C1367">
            <v>42444</v>
          </cell>
          <cell r="F1367" t="str">
            <v>CNH1</v>
          </cell>
          <cell r="R1367">
            <v>0</v>
          </cell>
        </row>
        <row r="1368">
          <cell r="C1368">
            <v>42475</v>
          </cell>
          <cell r="F1368" t="str">
            <v>CNH1</v>
          </cell>
          <cell r="R1368">
            <v>0</v>
          </cell>
        </row>
        <row r="1369">
          <cell r="C1369">
            <v>42505</v>
          </cell>
          <cell r="F1369" t="str">
            <v>CNH1</v>
          </cell>
          <cell r="R1369">
            <v>0</v>
          </cell>
        </row>
        <row r="1370">
          <cell r="C1370">
            <v>42536</v>
          </cell>
          <cell r="F1370" t="str">
            <v>CNH1</v>
          </cell>
          <cell r="R1370">
            <v>0</v>
          </cell>
        </row>
        <row r="1371">
          <cell r="C1371">
            <v>42566</v>
          </cell>
          <cell r="F1371" t="str">
            <v>CNH1</v>
          </cell>
          <cell r="R1371">
            <v>0</v>
          </cell>
        </row>
        <row r="1372">
          <cell r="C1372">
            <v>42597</v>
          </cell>
          <cell r="F1372" t="str">
            <v>CNH1</v>
          </cell>
          <cell r="R1372">
            <v>0</v>
          </cell>
        </row>
        <row r="1373">
          <cell r="C1373">
            <v>42628</v>
          </cell>
          <cell r="F1373" t="str">
            <v>CNH1</v>
          </cell>
          <cell r="R1373">
            <v>14210.526315789473</v>
          </cell>
        </row>
        <row r="1374">
          <cell r="C1374">
            <v>42658</v>
          </cell>
          <cell r="F1374" t="str">
            <v>CNH1</v>
          </cell>
          <cell r="R1374">
            <v>14210.526315789473</v>
          </cell>
        </row>
        <row r="1375">
          <cell r="C1375">
            <v>42689</v>
          </cell>
          <cell r="F1375" t="str">
            <v>CNH1</v>
          </cell>
          <cell r="R1375">
            <v>14210.526315789473</v>
          </cell>
        </row>
        <row r="1376">
          <cell r="C1376">
            <v>42719</v>
          </cell>
          <cell r="F1376" t="str">
            <v>CNH1</v>
          </cell>
          <cell r="R1376">
            <v>14210.526315789473</v>
          </cell>
        </row>
        <row r="1377">
          <cell r="C1377">
            <v>42750</v>
          </cell>
          <cell r="F1377" t="str">
            <v>CNH1</v>
          </cell>
          <cell r="R1377">
            <v>14210.526315789473</v>
          </cell>
        </row>
        <row r="1378">
          <cell r="C1378">
            <v>42781</v>
          </cell>
          <cell r="F1378" t="str">
            <v>CNH1</v>
          </cell>
          <cell r="R1378">
            <v>14210.526315789473</v>
          </cell>
        </row>
        <row r="1379">
          <cell r="C1379">
            <v>42809</v>
          </cell>
          <cell r="F1379" t="str">
            <v>CNH1</v>
          </cell>
          <cell r="R1379">
            <v>14210.526315789473</v>
          </cell>
        </row>
        <row r="1380">
          <cell r="C1380">
            <v>42840</v>
          </cell>
          <cell r="F1380" t="str">
            <v>CNH1</v>
          </cell>
          <cell r="R1380">
            <v>14210.526315789473</v>
          </cell>
        </row>
        <row r="1381">
          <cell r="C1381">
            <v>42870</v>
          </cell>
          <cell r="F1381" t="str">
            <v>CNH1</v>
          </cell>
          <cell r="R1381">
            <v>14210.526315789473</v>
          </cell>
        </row>
        <row r="1382">
          <cell r="C1382">
            <v>42901</v>
          </cell>
          <cell r="F1382" t="str">
            <v>CNH1</v>
          </cell>
          <cell r="R1382">
            <v>14210.526315789473</v>
          </cell>
        </row>
        <row r="1383">
          <cell r="C1383">
            <v>42931</v>
          </cell>
          <cell r="F1383" t="str">
            <v>CNH1</v>
          </cell>
          <cell r="R1383">
            <v>14210.526315789473</v>
          </cell>
        </row>
        <row r="1384">
          <cell r="C1384">
            <v>42962</v>
          </cell>
          <cell r="F1384" t="str">
            <v>CNH1</v>
          </cell>
          <cell r="R1384">
            <v>14210.526315789473</v>
          </cell>
        </row>
        <row r="1385">
          <cell r="C1385">
            <v>42993</v>
          </cell>
          <cell r="F1385" t="str">
            <v>CNH1</v>
          </cell>
          <cell r="R1385">
            <v>14210.526315789473</v>
          </cell>
        </row>
        <row r="1386">
          <cell r="C1386">
            <v>43023</v>
          </cell>
          <cell r="F1386" t="str">
            <v>CNH1</v>
          </cell>
          <cell r="R1386">
            <v>14210.526315789473</v>
          </cell>
        </row>
        <row r="1387">
          <cell r="C1387">
            <v>43054</v>
          </cell>
          <cell r="F1387" t="str">
            <v>CNH1</v>
          </cell>
          <cell r="R1387">
            <v>14210.526315789473</v>
          </cell>
        </row>
        <row r="1388">
          <cell r="C1388">
            <v>43084</v>
          </cell>
          <cell r="F1388" t="str">
            <v>CNH1</v>
          </cell>
          <cell r="R1388">
            <v>14210.526315789473</v>
          </cell>
        </row>
        <row r="1389">
          <cell r="C1389">
            <v>43115</v>
          </cell>
          <cell r="F1389" t="str">
            <v>CNH1</v>
          </cell>
          <cell r="R1389">
            <v>14210.526315789473</v>
          </cell>
        </row>
        <row r="1390">
          <cell r="C1390">
            <v>43146</v>
          </cell>
          <cell r="F1390" t="str">
            <v>CNH1</v>
          </cell>
          <cell r="R1390">
            <v>14210.526315789473</v>
          </cell>
        </row>
        <row r="1391">
          <cell r="C1391">
            <v>43174</v>
          </cell>
          <cell r="F1391" t="str">
            <v>CNH1</v>
          </cell>
          <cell r="R1391">
            <v>14210.526315789473</v>
          </cell>
        </row>
        <row r="1392">
          <cell r="C1392">
            <v>43205</v>
          </cell>
          <cell r="F1392" t="str">
            <v>CNH1</v>
          </cell>
          <cell r="R1392">
            <v>14210.526315789473</v>
          </cell>
        </row>
        <row r="1393">
          <cell r="C1393">
            <v>43235</v>
          </cell>
          <cell r="F1393" t="str">
            <v>CNH1</v>
          </cell>
          <cell r="R1393">
            <v>14210.526315789473</v>
          </cell>
        </row>
        <row r="1394">
          <cell r="C1394">
            <v>43266</v>
          </cell>
          <cell r="F1394" t="str">
            <v>CNH1</v>
          </cell>
          <cell r="R1394">
            <v>14210.526315789473</v>
          </cell>
        </row>
        <row r="1395">
          <cell r="C1395">
            <v>43296</v>
          </cell>
          <cell r="F1395" t="str">
            <v>CNH1</v>
          </cell>
          <cell r="R1395">
            <v>14210.526315789473</v>
          </cell>
        </row>
        <row r="1396">
          <cell r="C1396">
            <v>43327</v>
          </cell>
          <cell r="F1396" t="str">
            <v>CNH1</v>
          </cell>
          <cell r="R1396">
            <v>14210.526315789473</v>
          </cell>
        </row>
        <row r="1397">
          <cell r="C1397">
            <v>43358</v>
          </cell>
          <cell r="F1397" t="str">
            <v>CNH1</v>
          </cell>
          <cell r="R1397">
            <v>14210.526315789473</v>
          </cell>
        </row>
        <row r="1398">
          <cell r="C1398">
            <v>43388</v>
          </cell>
          <cell r="F1398" t="str">
            <v>CNH1</v>
          </cell>
          <cell r="R1398">
            <v>14210.526315789473</v>
          </cell>
        </row>
        <row r="1399">
          <cell r="C1399">
            <v>43419</v>
          </cell>
          <cell r="F1399" t="str">
            <v>CNH1</v>
          </cell>
          <cell r="R1399">
            <v>14210.526315789473</v>
          </cell>
        </row>
        <row r="1400">
          <cell r="C1400">
            <v>43449</v>
          </cell>
          <cell r="F1400" t="str">
            <v>CNH1</v>
          </cell>
          <cell r="R1400">
            <v>14210.526315789473</v>
          </cell>
        </row>
        <row r="1401">
          <cell r="C1401">
            <v>43480</v>
          </cell>
          <cell r="F1401" t="str">
            <v>CNH1</v>
          </cell>
          <cell r="R1401">
            <v>14210.526315789473</v>
          </cell>
        </row>
        <row r="1402">
          <cell r="C1402">
            <v>43511</v>
          </cell>
          <cell r="F1402" t="str">
            <v>CNH1</v>
          </cell>
          <cell r="R1402">
            <v>14210.526315789473</v>
          </cell>
        </row>
        <row r="1403">
          <cell r="C1403">
            <v>43539</v>
          </cell>
          <cell r="F1403" t="str">
            <v>CNH1</v>
          </cell>
          <cell r="R1403">
            <v>14210.526315789473</v>
          </cell>
        </row>
        <row r="1404">
          <cell r="C1404">
            <v>43570</v>
          </cell>
          <cell r="F1404" t="str">
            <v>CNH1</v>
          </cell>
          <cell r="R1404">
            <v>14210.526315789473</v>
          </cell>
        </row>
        <row r="1405">
          <cell r="C1405">
            <v>43600</v>
          </cell>
          <cell r="F1405" t="str">
            <v>CNH1</v>
          </cell>
          <cell r="R1405">
            <v>14210.526315789473</v>
          </cell>
        </row>
        <row r="1406">
          <cell r="C1406">
            <v>43631</v>
          </cell>
          <cell r="F1406" t="str">
            <v>CNH1</v>
          </cell>
          <cell r="R1406">
            <v>14210.526315789473</v>
          </cell>
        </row>
        <row r="1407">
          <cell r="C1407">
            <v>43661</v>
          </cell>
          <cell r="F1407" t="str">
            <v>CNH1</v>
          </cell>
          <cell r="R1407">
            <v>14210.526315789473</v>
          </cell>
        </row>
        <row r="1408">
          <cell r="C1408">
            <v>42109</v>
          </cell>
          <cell r="F1408" t="str">
            <v>BJD1</v>
          </cell>
          <cell r="R1408">
            <v>0</v>
          </cell>
        </row>
        <row r="1409">
          <cell r="C1409">
            <v>42475</v>
          </cell>
          <cell r="F1409" t="str">
            <v>BJD1</v>
          </cell>
          <cell r="R1409">
            <v>0</v>
          </cell>
        </row>
        <row r="1410">
          <cell r="C1410">
            <v>42840</v>
          </cell>
          <cell r="F1410" t="str">
            <v>BJD1</v>
          </cell>
          <cell r="R1410">
            <v>143302.87271388283</v>
          </cell>
        </row>
        <row r="1411">
          <cell r="C1411">
            <v>43205</v>
          </cell>
          <cell r="F1411" t="str">
            <v>BJD1</v>
          </cell>
          <cell r="R1411">
            <v>136725.76683900002</v>
          </cell>
        </row>
        <row r="1412">
          <cell r="C1412">
            <v>43570</v>
          </cell>
          <cell r="F1412" t="str">
            <v>BJD1</v>
          </cell>
          <cell r="R1412">
            <v>136725.76683900002</v>
          </cell>
        </row>
        <row r="1413">
          <cell r="C1413">
            <v>42139</v>
          </cell>
          <cell r="F1413" t="str">
            <v>BJD</v>
          </cell>
          <cell r="R1413">
            <v>0</v>
          </cell>
        </row>
        <row r="1414">
          <cell r="C1414">
            <v>42505</v>
          </cell>
          <cell r="F1414" t="str">
            <v>BJD</v>
          </cell>
          <cell r="R1414">
            <v>0</v>
          </cell>
        </row>
        <row r="1415">
          <cell r="C1415">
            <v>42870</v>
          </cell>
          <cell r="F1415" t="str">
            <v>BJD</v>
          </cell>
          <cell r="R1415">
            <v>542258.53414459853</v>
          </cell>
        </row>
        <row r="1416">
          <cell r="C1416">
            <v>43235</v>
          </cell>
          <cell r="F1416" t="str">
            <v>BJD</v>
          </cell>
          <cell r="R1416">
            <v>513172.49125000002</v>
          </cell>
        </row>
        <row r="1417">
          <cell r="C1417">
            <v>43600</v>
          </cell>
          <cell r="F1417" t="str">
            <v>BJD</v>
          </cell>
          <cell r="R1417">
            <v>513172.49125000002</v>
          </cell>
        </row>
        <row r="1418">
          <cell r="C1418">
            <v>43966</v>
          </cell>
          <cell r="F1418" t="str">
            <v>BJD</v>
          </cell>
          <cell r="R1418">
            <v>513172.49125000002</v>
          </cell>
        </row>
        <row r="1419">
          <cell r="C1419">
            <v>44331</v>
          </cell>
          <cell r="F1419" t="str">
            <v>BJD</v>
          </cell>
          <cell r="R1419">
            <v>437062.49125000002</v>
          </cell>
        </row>
        <row r="1420">
          <cell r="C1420">
            <v>44696</v>
          </cell>
          <cell r="F1420" t="str">
            <v>BJD</v>
          </cell>
          <cell r="R1420">
            <v>437062.49125000002</v>
          </cell>
        </row>
        <row r="1421">
          <cell r="C1421">
            <v>42170</v>
          </cell>
          <cell r="F1421" t="str">
            <v>BBD</v>
          </cell>
          <cell r="R1421">
            <v>0</v>
          </cell>
        </row>
        <row r="1422">
          <cell r="C1422">
            <v>42536</v>
          </cell>
          <cell r="F1422" t="str">
            <v>BBD</v>
          </cell>
          <cell r="R1422">
            <v>0</v>
          </cell>
        </row>
        <row r="1423">
          <cell r="C1423">
            <v>42901</v>
          </cell>
          <cell r="F1423" t="str">
            <v>BBD</v>
          </cell>
          <cell r="R1423">
            <v>49582.305456759983</v>
          </cell>
        </row>
        <row r="1424">
          <cell r="C1424">
            <v>43266</v>
          </cell>
          <cell r="F1424" t="str">
            <v>BBD</v>
          </cell>
          <cell r="R1424">
            <v>47812.5</v>
          </cell>
        </row>
        <row r="1425">
          <cell r="C1425">
            <v>43631</v>
          </cell>
          <cell r="F1425" t="str">
            <v>BBD</v>
          </cell>
          <cell r="R1425">
            <v>47812.5</v>
          </cell>
        </row>
        <row r="1426">
          <cell r="C1426">
            <v>43997</v>
          </cell>
          <cell r="F1426" t="str">
            <v>BBD</v>
          </cell>
          <cell r="R1426">
            <v>47812.5</v>
          </cell>
        </row>
        <row r="1427">
          <cell r="C1427">
            <v>44362</v>
          </cell>
          <cell r="F1427" t="str">
            <v>BBD</v>
          </cell>
          <cell r="R1427">
            <v>47812.5</v>
          </cell>
        </row>
        <row r="1428">
          <cell r="C1428">
            <v>44727</v>
          </cell>
          <cell r="F1428" t="str">
            <v>BBD</v>
          </cell>
          <cell r="R1428">
            <v>47812.5</v>
          </cell>
        </row>
        <row r="1429">
          <cell r="C1429">
            <v>41927</v>
          </cell>
          <cell r="F1429" t="str">
            <v>CAT</v>
          </cell>
          <cell r="R1429">
            <v>0</v>
          </cell>
        </row>
        <row r="1430">
          <cell r="C1430">
            <v>41958</v>
          </cell>
          <cell r="F1430" t="str">
            <v>CAT</v>
          </cell>
          <cell r="R1430">
            <v>0</v>
          </cell>
        </row>
        <row r="1431">
          <cell r="C1431">
            <v>41988</v>
          </cell>
          <cell r="F1431" t="str">
            <v>CAT</v>
          </cell>
          <cell r="R1431">
            <v>0</v>
          </cell>
        </row>
        <row r="1432">
          <cell r="C1432">
            <v>42019</v>
          </cell>
          <cell r="F1432" t="str">
            <v>CAT</v>
          </cell>
          <cell r="R1432">
            <v>0</v>
          </cell>
        </row>
        <row r="1433">
          <cell r="C1433">
            <v>42050</v>
          </cell>
          <cell r="F1433" t="str">
            <v>CAT</v>
          </cell>
          <cell r="R1433">
            <v>0</v>
          </cell>
        </row>
        <row r="1434">
          <cell r="C1434">
            <v>42078</v>
          </cell>
          <cell r="F1434" t="str">
            <v>CAT</v>
          </cell>
          <cell r="R1434">
            <v>0</v>
          </cell>
        </row>
        <row r="1435">
          <cell r="C1435">
            <v>42109</v>
          </cell>
          <cell r="F1435" t="str">
            <v>CAT</v>
          </cell>
          <cell r="R1435">
            <v>0</v>
          </cell>
        </row>
        <row r="1436">
          <cell r="C1436">
            <v>42139</v>
          </cell>
          <cell r="F1436" t="str">
            <v>CAT</v>
          </cell>
          <cell r="R1436">
            <v>0</v>
          </cell>
        </row>
        <row r="1437">
          <cell r="C1437">
            <v>42170</v>
          </cell>
          <cell r="F1437" t="str">
            <v>CAT</v>
          </cell>
          <cell r="R1437">
            <v>0</v>
          </cell>
        </row>
        <row r="1438">
          <cell r="C1438">
            <v>42200</v>
          </cell>
          <cell r="F1438" t="str">
            <v>CAT</v>
          </cell>
          <cell r="R1438">
            <v>0</v>
          </cell>
        </row>
        <row r="1439">
          <cell r="C1439">
            <v>42231</v>
          </cell>
          <cell r="F1439" t="str">
            <v>CAT</v>
          </cell>
          <cell r="R1439">
            <v>0</v>
          </cell>
        </row>
        <row r="1440">
          <cell r="C1440">
            <v>42262</v>
          </cell>
          <cell r="F1440" t="str">
            <v>CAT</v>
          </cell>
          <cell r="R1440">
            <v>0</v>
          </cell>
        </row>
        <row r="1441">
          <cell r="C1441">
            <v>42292</v>
          </cell>
          <cell r="F1441" t="str">
            <v>CAT</v>
          </cell>
          <cell r="R1441">
            <v>0</v>
          </cell>
        </row>
        <row r="1442">
          <cell r="C1442">
            <v>42323</v>
          </cell>
          <cell r="F1442" t="str">
            <v>CAT</v>
          </cell>
          <cell r="R1442">
            <v>0</v>
          </cell>
        </row>
        <row r="1443">
          <cell r="C1443">
            <v>42353</v>
          </cell>
          <cell r="F1443" t="str">
            <v>CAT</v>
          </cell>
          <cell r="R1443">
            <v>0</v>
          </cell>
        </row>
        <row r="1444">
          <cell r="C1444">
            <v>42384</v>
          </cell>
          <cell r="F1444" t="str">
            <v>CAT</v>
          </cell>
          <cell r="R1444">
            <v>0</v>
          </cell>
        </row>
        <row r="1445">
          <cell r="C1445">
            <v>42415</v>
          </cell>
          <cell r="F1445" t="str">
            <v>CAT</v>
          </cell>
          <cell r="R1445">
            <v>0</v>
          </cell>
        </row>
        <row r="1446">
          <cell r="C1446">
            <v>42444</v>
          </cell>
          <cell r="F1446" t="str">
            <v>CAT</v>
          </cell>
          <cell r="R1446">
            <v>0</v>
          </cell>
        </row>
        <row r="1447">
          <cell r="C1447">
            <v>42475</v>
          </cell>
          <cell r="F1447" t="str">
            <v>CAT</v>
          </cell>
          <cell r="R1447">
            <v>0</v>
          </cell>
        </row>
        <row r="1448">
          <cell r="C1448">
            <v>42505</v>
          </cell>
          <cell r="F1448" t="str">
            <v>CAT</v>
          </cell>
          <cell r="R1448">
            <v>0</v>
          </cell>
        </row>
        <row r="1449">
          <cell r="C1449">
            <v>42536</v>
          </cell>
          <cell r="F1449" t="str">
            <v>CAT</v>
          </cell>
          <cell r="R1449">
            <v>0</v>
          </cell>
        </row>
        <row r="1450">
          <cell r="C1450">
            <v>42566</v>
          </cell>
          <cell r="F1450" t="str">
            <v>CAT</v>
          </cell>
          <cell r="R1450">
            <v>0</v>
          </cell>
        </row>
        <row r="1451">
          <cell r="C1451">
            <v>42597</v>
          </cell>
          <cell r="F1451" t="str">
            <v>CAT</v>
          </cell>
          <cell r="R1451">
            <v>0</v>
          </cell>
        </row>
        <row r="1452">
          <cell r="C1452">
            <v>42628</v>
          </cell>
          <cell r="F1452" t="str">
            <v>CAT</v>
          </cell>
          <cell r="R1452">
            <v>3033.3333333333335</v>
          </cell>
        </row>
        <row r="1453">
          <cell r="C1453">
            <v>42658</v>
          </cell>
          <cell r="F1453" t="str">
            <v>CAT</v>
          </cell>
          <cell r="R1453">
            <v>3033.3333333333335</v>
          </cell>
        </row>
        <row r="1454">
          <cell r="C1454">
            <v>42689</v>
          </cell>
          <cell r="F1454" t="str">
            <v>CAT</v>
          </cell>
          <cell r="R1454">
            <v>3033.3333333333335</v>
          </cell>
        </row>
        <row r="1455">
          <cell r="C1455">
            <v>42719</v>
          </cell>
          <cell r="F1455" t="str">
            <v>CAT</v>
          </cell>
          <cell r="R1455">
            <v>3033.3333333333335</v>
          </cell>
        </row>
        <row r="1456">
          <cell r="C1456">
            <v>42750</v>
          </cell>
          <cell r="F1456" t="str">
            <v>CAT</v>
          </cell>
          <cell r="R1456">
            <v>3033.3333333333335</v>
          </cell>
        </row>
        <row r="1457">
          <cell r="C1457">
            <v>42781</v>
          </cell>
          <cell r="F1457" t="str">
            <v>CAT</v>
          </cell>
          <cell r="R1457">
            <v>3033.3333333333335</v>
          </cell>
        </row>
        <row r="1458">
          <cell r="C1458">
            <v>42809</v>
          </cell>
          <cell r="F1458" t="str">
            <v>CAT</v>
          </cell>
          <cell r="R1458">
            <v>3033.3333333333335</v>
          </cell>
        </row>
        <row r="1459">
          <cell r="C1459">
            <v>42840</v>
          </cell>
          <cell r="F1459" t="str">
            <v>CAT</v>
          </cell>
          <cell r="R1459">
            <v>3033.3333333333335</v>
          </cell>
        </row>
        <row r="1460">
          <cell r="C1460">
            <v>42870</v>
          </cell>
          <cell r="F1460" t="str">
            <v>CAT</v>
          </cell>
          <cell r="R1460">
            <v>3033.3333333333335</v>
          </cell>
        </row>
        <row r="1461">
          <cell r="C1461">
            <v>42901</v>
          </cell>
          <cell r="F1461" t="str">
            <v>CAT</v>
          </cell>
          <cell r="R1461">
            <v>3033.3333333333335</v>
          </cell>
        </row>
        <row r="1462">
          <cell r="C1462">
            <v>42931</v>
          </cell>
          <cell r="F1462" t="str">
            <v>CAT</v>
          </cell>
          <cell r="R1462">
            <v>3033.3333333333335</v>
          </cell>
        </row>
        <row r="1463">
          <cell r="C1463">
            <v>42962</v>
          </cell>
          <cell r="F1463" t="str">
            <v>CAT</v>
          </cell>
          <cell r="R1463">
            <v>3033.3333333333335</v>
          </cell>
        </row>
        <row r="1464">
          <cell r="C1464">
            <v>42993</v>
          </cell>
          <cell r="F1464" t="str">
            <v>CAT</v>
          </cell>
          <cell r="R1464">
            <v>3033.3333333333335</v>
          </cell>
        </row>
        <row r="1465">
          <cell r="C1465">
            <v>43023</v>
          </cell>
          <cell r="F1465" t="str">
            <v>CAT</v>
          </cell>
          <cell r="R1465">
            <v>3033.3333333333335</v>
          </cell>
        </row>
        <row r="1466">
          <cell r="C1466">
            <v>43054</v>
          </cell>
          <cell r="F1466" t="str">
            <v>CAT</v>
          </cell>
          <cell r="R1466">
            <v>3033.3333333333335</v>
          </cell>
        </row>
        <row r="1467">
          <cell r="C1467">
            <v>43084</v>
          </cell>
          <cell r="F1467" t="str">
            <v>CAT</v>
          </cell>
          <cell r="R1467">
            <v>3033.3333333333335</v>
          </cell>
        </row>
        <row r="1468">
          <cell r="C1468">
            <v>43115</v>
          </cell>
          <cell r="F1468" t="str">
            <v>CAT</v>
          </cell>
          <cell r="R1468">
            <v>3033.3333333333335</v>
          </cell>
        </row>
        <row r="1469">
          <cell r="C1469">
            <v>43146</v>
          </cell>
          <cell r="F1469" t="str">
            <v>CAT</v>
          </cell>
          <cell r="R1469">
            <v>3033.3333333333335</v>
          </cell>
        </row>
        <row r="1470">
          <cell r="C1470">
            <v>43174</v>
          </cell>
          <cell r="F1470" t="str">
            <v>CAT</v>
          </cell>
          <cell r="R1470">
            <v>3033.3333333333335</v>
          </cell>
        </row>
        <row r="1471">
          <cell r="C1471">
            <v>43205</v>
          </cell>
          <cell r="F1471" t="str">
            <v>CAT</v>
          </cell>
          <cell r="R1471">
            <v>3033.3333333333335</v>
          </cell>
        </row>
        <row r="1472">
          <cell r="C1472">
            <v>43235</v>
          </cell>
          <cell r="F1472" t="str">
            <v>CAT</v>
          </cell>
          <cell r="R1472">
            <v>3033.3333333333335</v>
          </cell>
        </row>
        <row r="1473">
          <cell r="C1473">
            <v>43266</v>
          </cell>
          <cell r="F1473" t="str">
            <v>CAT</v>
          </cell>
          <cell r="R1473">
            <v>3033.3333333333335</v>
          </cell>
        </row>
        <row r="1474">
          <cell r="C1474">
            <v>43296</v>
          </cell>
          <cell r="F1474" t="str">
            <v>CAT</v>
          </cell>
          <cell r="R1474">
            <v>3033.3333333333335</v>
          </cell>
        </row>
        <row r="1475">
          <cell r="C1475">
            <v>43327</v>
          </cell>
          <cell r="F1475" t="str">
            <v>CAT</v>
          </cell>
          <cell r="R1475">
            <v>3033.3333333333335</v>
          </cell>
        </row>
        <row r="1476">
          <cell r="C1476">
            <v>43358</v>
          </cell>
          <cell r="F1476" t="str">
            <v>CAT</v>
          </cell>
          <cell r="R1476">
            <v>3033.3333333333335</v>
          </cell>
        </row>
        <row r="1477">
          <cell r="C1477">
            <v>43388</v>
          </cell>
          <cell r="F1477" t="str">
            <v>CAT</v>
          </cell>
          <cell r="R1477">
            <v>3033.3333333333335</v>
          </cell>
        </row>
        <row r="1478">
          <cell r="C1478">
            <v>43419</v>
          </cell>
          <cell r="F1478" t="str">
            <v>CAT</v>
          </cell>
          <cell r="R1478">
            <v>3033.3333333333335</v>
          </cell>
        </row>
        <row r="1479">
          <cell r="C1479">
            <v>43449</v>
          </cell>
          <cell r="F1479" t="str">
            <v>CAT</v>
          </cell>
          <cell r="R1479">
            <v>3033.3333333333335</v>
          </cell>
        </row>
        <row r="1480">
          <cell r="C1480">
            <v>43480</v>
          </cell>
          <cell r="F1480" t="str">
            <v>CAT</v>
          </cell>
          <cell r="R1480">
            <v>3033.3333333333335</v>
          </cell>
        </row>
        <row r="1481">
          <cell r="C1481">
            <v>43511</v>
          </cell>
          <cell r="F1481" t="str">
            <v>CAT</v>
          </cell>
          <cell r="R1481">
            <v>3033.3333333333335</v>
          </cell>
        </row>
        <row r="1482">
          <cell r="C1482">
            <v>43539</v>
          </cell>
          <cell r="F1482" t="str">
            <v>CAT</v>
          </cell>
          <cell r="R1482">
            <v>3033.3333333333335</v>
          </cell>
        </row>
        <row r="1483">
          <cell r="C1483">
            <v>43570</v>
          </cell>
          <cell r="F1483" t="str">
            <v>CAT</v>
          </cell>
          <cell r="R1483">
            <v>3033.3333333333335</v>
          </cell>
        </row>
        <row r="1484">
          <cell r="C1484">
            <v>42231</v>
          </cell>
          <cell r="F1484" t="str">
            <v>Lage1</v>
          </cell>
          <cell r="R1484">
            <v>0</v>
          </cell>
        </row>
        <row r="1485">
          <cell r="C1485">
            <v>42415</v>
          </cell>
          <cell r="F1485" t="str">
            <v>Lage1</v>
          </cell>
          <cell r="R1485">
            <v>0</v>
          </cell>
        </row>
        <row r="1486">
          <cell r="C1486">
            <v>42597</v>
          </cell>
          <cell r="F1486" t="str">
            <v>Lage1</v>
          </cell>
          <cell r="R1486">
            <v>0</v>
          </cell>
        </row>
        <row r="1487">
          <cell r="C1487">
            <v>42781</v>
          </cell>
          <cell r="F1487" t="str">
            <v>Lage1</v>
          </cell>
          <cell r="R1487">
            <v>49500</v>
          </cell>
        </row>
        <row r="1488">
          <cell r="C1488">
            <v>42962</v>
          </cell>
          <cell r="F1488" t="str">
            <v>Lage1</v>
          </cell>
          <cell r="R1488">
            <v>0</v>
          </cell>
        </row>
        <row r="1489">
          <cell r="C1489">
            <v>43146</v>
          </cell>
          <cell r="F1489" t="str">
            <v>Lage1</v>
          </cell>
          <cell r="R1489">
            <v>49500</v>
          </cell>
        </row>
        <row r="1490">
          <cell r="C1490">
            <v>43327</v>
          </cell>
          <cell r="F1490" t="str">
            <v>Lage1</v>
          </cell>
          <cell r="R1490">
            <v>0</v>
          </cell>
        </row>
        <row r="1491">
          <cell r="C1491">
            <v>43511</v>
          </cell>
          <cell r="F1491" t="str">
            <v>Lage1</v>
          </cell>
          <cell r="R1491">
            <v>49500</v>
          </cell>
        </row>
        <row r="1492">
          <cell r="C1492">
            <v>43692</v>
          </cell>
          <cell r="F1492" t="str">
            <v>Lage1</v>
          </cell>
          <cell r="R1492">
            <v>0</v>
          </cell>
        </row>
        <row r="1493">
          <cell r="C1493">
            <v>43876</v>
          </cell>
          <cell r="F1493" t="str">
            <v>Lage1</v>
          </cell>
          <cell r="R1493">
            <v>49500</v>
          </cell>
        </row>
        <row r="1494">
          <cell r="C1494">
            <v>44058</v>
          </cell>
          <cell r="F1494" t="str">
            <v>Lage1</v>
          </cell>
          <cell r="R1494">
            <v>0</v>
          </cell>
        </row>
        <row r="1495">
          <cell r="C1495">
            <v>44242</v>
          </cell>
          <cell r="F1495" t="str">
            <v>Lage1</v>
          </cell>
          <cell r="R1495">
            <v>49500</v>
          </cell>
        </row>
        <row r="1496">
          <cell r="C1496">
            <v>42323</v>
          </cell>
          <cell r="F1496" t="str">
            <v>BJD</v>
          </cell>
          <cell r="R1496">
            <v>0</v>
          </cell>
        </row>
        <row r="1497">
          <cell r="C1497">
            <v>42505</v>
          </cell>
          <cell r="F1497" t="str">
            <v>BJD</v>
          </cell>
          <cell r="R1497">
            <v>0</v>
          </cell>
        </row>
        <row r="1498">
          <cell r="C1498">
            <v>42689</v>
          </cell>
          <cell r="F1498" t="str">
            <v>BJD</v>
          </cell>
          <cell r="R1498">
            <v>15409.237394104346</v>
          </cell>
        </row>
        <row r="1499">
          <cell r="C1499">
            <v>42870</v>
          </cell>
          <cell r="F1499" t="str">
            <v>BJD</v>
          </cell>
          <cell r="R1499">
            <v>258428.56714285715</v>
          </cell>
        </row>
        <row r="1500">
          <cell r="C1500">
            <v>43054</v>
          </cell>
          <cell r="F1500" t="str">
            <v>BJD</v>
          </cell>
          <cell r="R1500">
            <v>0</v>
          </cell>
        </row>
        <row r="1501">
          <cell r="C1501">
            <v>43235</v>
          </cell>
          <cell r="F1501" t="str">
            <v>BJD</v>
          </cell>
          <cell r="R1501">
            <v>258428.56714285715</v>
          </cell>
        </row>
        <row r="1502">
          <cell r="C1502">
            <v>43419</v>
          </cell>
          <cell r="F1502" t="str">
            <v>BJD</v>
          </cell>
          <cell r="R1502">
            <v>0</v>
          </cell>
        </row>
        <row r="1503">
          <cell r="C1503">
            <v>43600</v>
          </cell>
          <cell r="F1503" t="str">
            <v>BJD</v>
          </cell>
          <cell r="R1503">
            <v>258428.56714285715</v>
          </cell>
        </row>
        <row r="1504">
          <cell r="C1504">
            <v>43784</v>
          </cell>
          <cell r="F1504" t="str">
            <v>BJD</v>
          </cell>
          <cell r="R1504">
            <v>0</v>
          </cell>
        </row>
        <row r="1505">
          <cell r="C1505">
            <v>43966</v>
          </cell>
          <cell r="F1505" t="str">
            <v>BJD</v>
          </cell>
          <cell r="R1505">
            <v>258428.56714285715</v>
          </cell>
        </row>
        <row r="1506">
          <cell r="C1506">
            <v>44150</v>
          </cell>
          <cell r="F1506" t="str">
            <v>BJD</v>
          </cell>
          <cell r="R1506">
            <v>0</v>
          </cell>
        </row>
        <row r="1507">
          <cell r="C1507">
            <v>44331</v>
          </cell>
          <cell r="F1507" t="str">
            <v>BJD</v>
          </cell>
          <cell r="R1507">
            <v>258428.56714285715</v>
          </cell>
        </row>
        <row r="1508">
          <cell r="C1508">
            <v>44515</v>
          </cell>
          <cell r="F1508" t="str">
            <v>BJD</v>
          </cell>
          <cell r="R1508">
            <v>0</v>
          </cell>
        </row>
        <row r="1509">
          <cell r="C1509">
            <v>44696</v>
          </cell>
          <cell r="F1509" t="str">
            <v>BJD</v>
          </cell>
          <cell r="R1509">
            <v>258428.56714285715</v>
          </cell>
        </row>
        <row r="1510">
          <cell r="C1510">
            <v>42323</v>
          </cell>
          <cell r="F1510" t="str">
            <v>BJD</v>
          </cell>
          <cell r="R1510">
            <v>0</v>
          </cell>
        </row>
        <row r="1511">
          <cell r="C1511">
            <v>42505</v>
          </cell>
          <cell r="F1511" t="str">
            <v>BJD</v>
          </cell>
          <cell r="R1511">
            <v>0</v>
          </cell>
        </row>
        <row r="1512">
          <cell r="C1512">
            <v>42689</v>
          </cell>
          <cell r="F1512" t="str">
            <v>BJD</v>
          </cell>
          <cell r="R1512">
            <v>13296.749569430278</v>
          </cell>
        </row>
        <row r="1513">
          <cell r="C1513">
            <v>42870</v>
          </cell>
          <cell r="F1513" t="str">
            <v>BJD</v>
          </cell>
          <cell r="R1513">
            <v>267600</v>
          </cell>
        </row>
        <row r="1514">
          <cell r="C1514">
            <v>43054</v>
          </cell>
          <cell r="F1514" t="str">
            <v>BJD</v>
          </cell>
          <cell r="R1514">
            <v>0</v>
          </cell>
        </row>
        <row r="1515">
          <cell r="C1515">
            <v>43235</v>
          </cell>
          <cell r="F1515" t="str">
            <v>BJD</v>
          </cell>
          <cell r="R1515">
            <v>267600</v>
          </cell>
        </row>
        <row r="1516">
          <cell r="C1516">
            <v>43419</v>
          </cell>
          <cell r="F1516" t="str">
            <v>BJD</v>
          </cell>
          <cell r="R1516">
            <v>0</v>
          </cell>
        </row>
        <row r="1517">
          <cell r="C1517">
            <v>43600</v>
          </cell>
          <cell r="F1517" t="str">
            <v>BJD</v>
          </cell>
          <cell r="R1517">
            <v>267600</v>
          </cell>
        </row>
        <row r="1518">
          <cell r="C1518">
            <v>43784</v>
          </cell>
          <cell r="F1518" t="str">
            <v>BJD</v>
          </cell>
          <cell r="R1518">
            <v>0</v>
          </cell>
        </row>
        <row r="1519">
          <cell r="C1519">
            <v>43966</v>
          </cell>
          <cell r="F1519" t="str">
            <v>BJD</v>
          </cell>
          <cell r="R1519">
            <v>267600</v>
          </cell>
        </row>
        <row r="1520">
          <cell r="C1520">
            <v>44150</v>
          </cell>
          <cell r="F1520" t="str">
            <v>BJD</v>
          </cell>
          <cell r="R1520">
            <v>0</v>
          </cell>
        </row>
        <row r="1521">
          <cell r="C1521">
            <v>44331</v>
          </cell>
          <cell r="F1521" t="str">
            <v>BJD</v>
          </cell>
          <cell r="R1521">
            <v>267600</v>
          </cell>
        </row>
        <row r="1522">
          <cell r="C1522">
            <v>42323</v>
          </cell>
          <cell r="F1522" t="str">
            <v>BJD</v>
          </cell>
          <cell r="R1522">
            <v>0</v>
          </cell>
        </row>
        <row r="1523">
          <cell r="C1523">
            <v>42505</v>
          </cell>
          <cell r="F1523" t="str">
            <v>BJD</v>
          </cell>
          <cell r="R1523">
            <v>0</v>
          </cell>
        </row>
        <row r="1524">
          <cell r="C1524">
            <v>42689</v>
          </cell>
          <cell r="F1524" t="str">
            <v>BJD</v>
          </cell>
          <cell r="R1524">
            <v>45436.021242700997</v>
          </cell>
        </row>
        <row r="1525">
          <cell r="C1525">
            <v>42870</v>
          </cell>
          <cell r="F1525" t="str">
            <v>BJD</v>
          </cell>
          <cell r="R1525">
            <v>762008.23999999987</v>
          </cell>
        </row>
        <row r="1526">
          <cell r="C1526">
            <v>43054</v>
          </cell>
          <cell r="F1526" t="str">
            <v>BJD</v>
          </cell>
          <cell r="R1526">
            <v>0</v>
          </cell>
        </row>
        <row r="1527">
          <cell r="C1527">
            <v>43235</v>
          </cell>
          <cell r="F1527" t="str">
            <v>BJD</v>
          </cell>
          <cell r="R1527">
            <v>762008.24</v>
          </cell>
        </row>
        <row r="1528">
          <cell r="C1528">
            <v>43419</v>
          </cell>
          <cell r="F1528" t="str">
            <v>BJD</v>
          </cell>
          <cell r="R1528">
            <v>0</v>
          </cell>
        </row>
        <row r="1529">
          <cell r="C1529">
            <v>43600</v>
          </cell>
          <cell r="F1529" t="str">
            <v>BJD</v>
          </cell>
          <cell r="R1529">
            <v>762008.24</v>
          </cell>
        </row>
        <row r="1530">
          <cell r="C1530">
            <v>43784</v>
          </cell>
          <cell r="F1530" t="str">
            <v>BJD</v>
          </cell>
          <cell r="R1530">
            <v>0</v>
          </cell>
        </row>
        <row r="1531">
          <cell r="C1531">
            <v>43966</v>
          </cell>
          <cell r="F1531" t="str">
            <v>BJD</v>
          </cell>
          <cell r="R1531">
            <v>762008.23999999987</v>
          </cell>
        </row>
        <row r="1532">
          <cell r="C1532">
            <v>44150</v>
          </cell>
          <cell r="F1532" t="str">
            <v>BJD</v>
          </cell>
          <cell r="R1532">
            <v>0</v>
          </cell>
        </row>
        <row r="1533">
          <cell r="C1533">
            <v>44331</v>
          </cell>
          <cell r="F1533" t="str">
            <v>BJD</v>
          </cell>
          <cell r="R1533">
            <v>762008.24</v>
          </cell>
        </row>
        <row r="1534">
          <cell r="C1534">
            <v>44515</v>
          </cell>
          <cell r="F1534" t="str">
            <v>BJD</v>
          </cell>
          <cell r="R1534">
            <v>0</v>
          </cell>
        </row>
        <row r="1535">
          <cell r="C1535">
            <v>44696</v>
          </cell>
          <cell r="F1535" t="str">
            <v>BJD</v>
          </cell>
          <cell r="R1535">
            <v>762008.24</v>
          </cell>
        </row>
        <row r="1536">
          <cell r="C1536">
            <v>42475</v>
          </cell>
          <cell r="F1536" t="str">
            <v>BJD1</v>
          </cell>
          <cell r="R1536">
            <v>0</v>
          </cell>
        </row>
        <row r="1537">
          <cell r="C1537">
            <v>42840</v>
          </cell>
          <cell r="F1537" t="str">
            <v>BJD1</v>
          </cell>
          <cell r="R1537">
            <v>229411.64803834519</v>
          </cell>
        </row>
        <row r="1538">
          <cell r="C1538">
            <v>43205</v>
          </cell>
          <cell r="F1538" t="str">
            <v>BJD1</v>
          </cell>
          <cell r="R1538">
            <v>220319.973306</v>
          </cell>
        </row>
        <row r="1539">
          <cell r="C1539">
            <v>43570</v>
          </cell>
          <cell r="F1539" t="str">
            <v>BJD1</v>
          </cell>
          <cell r="R1539">
            <v>220319.973306</v>
          </cell>
        </row>
        <row r="1540">
          <cell r="C1540">
            <v>43936</v>
          </cell>
          <cell r="F1540" t="str">
            <v>BJD1</v>
          </cell>
          <cell r="R1540">
            <v>220319.973306</v>
          </cell>
        </row>
        <row r="1541">
          <cell r="C1541">
            <v>42323</v>
          </cell>
          <cell r="F1541" t="str">
            <v>BJD</v>
          </cell>
          <cell r="R1541">
            <v>0</v>
          </cell>
        </row>
        <row r="1542">
          <cell r="C1542">
            <v>42505</v>
          </cell>
          <cell r="F1542" t="str">
            <v>BJD</v>
          </cell>
          <cell r="R1542">
            <v>0</v>
          </cell>
        </row>
        <row r="1543">
          <cell r="C1543">
            <v>42689</v>
          </cell>
          <cell r="F1543" t="str">
            <v>BJD</v>
          </cell>
          <cell r="R1543">
            <v>26032.05476662338</v>
          </cell>
        </row>
        <row r="1544">
          <cell r="C1544">
            <v>42870</v>
          </cell>
          <cell r="F1544" t="str">
            <v>BJD</v>
          </cell>
          <cell r="R1544">
            <v>317850</v>
          </cell>
        </row>
        <row r="1545">
          <cell r="C1545">
            <v>43054</v>
          </cell>
          <cell r="F1545" t="str">
            <v>BJD</v>
          </cell>
          <cell r="R1545">
            <v>0</v>
          </cell>
        </row>
        <row r="1546">
          <cell r="C1546">
            <v>43235</v>
          </cell>
          <cell r="F1546" t="str">
            <v>BJD</v>
          </cell>
          <cell r="R1546">
            <v>317850</v>
          </cell>
        </row>
        <row r="1547">
          <cell r="C1547">
            <v>43419</v>
          </cell>
          <cell r="F1547" t="str">
            <v>BJD</v>
          </cell>
          <cell r="R1547">
            <v>0</v>
          </cell>
        </row>
        <row r="1548">
          <cell r="C1548">
            <v>43600</v>
          </cell>
          <cell r="F1548" t="str">
            <v>BJD</v>
          </cell>
          <cell r="R1548">
            <v>317850</v>
          </cell>
        </row>
        <row r="1549">
          <cell r="C1549">
            <v>43784</v>
          </cell>
          <cell r="F1549" t="str">
            <v>BJD</v>
          </cell>
          <cell r="R1549">
            <v>0</v>
          </cell>
        </row>
        <row r="1550">
          <cell r="C1550">
            <v>43966</v>
          </cell>
          <cell r="F1550" t="str">
            <v>BJD</v>
          </cell>
          <cell r="R1550">
            <v>317850</v>
          </cell>
        </row>
        <row r="1551">
          <cell r="C1551">
            <v>44150</v>
          </cell>
          <cell r="F1551" t="str">
            <v>BJD</v>
          </cell>
          <cell r="R1551">
            <v>0</v>
          </cell>
        </row>
        <row r="1552">
          <cell r="C1552">
            <v>44331</v>
          </cell>
          <cell r="F1552" t="str">
            <v>BJD</v>
          </cell>
          <cell r="R1552">
            <v>317850</v>
          </cell>
        </row>
        <row r="1553">
          <cell r="C1553">
            <v>42073</v>
          </cell>
          <cell r="F1553" t="str">
            <v>BASA ciagram</v>
          </cell>
          <cell r="R1553">
            <v>0</v>
          </cell>
        </row>
        <row r="1554">
          <cell r="C1554">
            <v>42104</v>
          </cell>
          <cell r="F1554" t="str">
            <v>BASA ciagram</v>
          </cell>
          <cell r="R1554">
            <v>0</v>
          </cell>
        </row>
        <row r="1555">
          <cell r="C1555">
            <v>42134</v>
          </cell>
          <cell r="F1555" t="str">
            <v>BASA ciagram</v>
          </cell>
          <cell r="R1555">
            <v>0</v>
          </cell>
        </row>
        <row r="1556">
          <cell r="C1556">
            <v>42165</v>
          </cell>
          <cell r="F1556" t="str">
            <v>BASA ciagram</v>
          </cell>
          <cell r="R1556">
            <v>0</v>
          </cell>
        </row>
        <row r="1557">
          <cell r="C1557">
            <v>42195</v>
          </cell>
          <cell r="F1557" t="str">
            <v>BASA ciagram</v>
          </cell>
          <cell r="R1557">
            <v>0</v>
          </cell>
        </row>
        <row r="1558">
          <cell r="C1558">
            <v>42226</v>
          </cell>
          <cell r="F1558" t="str">
            <v>BASA ciagram</v>
          </cell>
          <cell r="R1558">
            <v>0</v>
          </cell>
        </row>
        <row r="1559">
          <cell r="C1559">
            <v>42257</v>
          </cell>
          <cell r="F1559" t="str">
            <v>BASA ciagram</v>
          </cell>
          <cell r="R1559">
            <v>0</v>
          </cell>
        </row>
        <row r="1560">
          <cell r="C1560">
            <v>42287</v>
          </cell>
          <cell r="F1560" t="str">
            <v>BASA ciagram</v>
          </cell>
          <cell r="R1560">
            <v>0</v>
          </cell>
        </row>
        <row r="1561">
          <cell r="C1561">
            <v>42318</v>
          </cell>
          <cell r="F1561" t="str">
            <v>BASA ciagram</v>
          </cell>
          <cell r="R1561">
            <v>0</v>
          </cell>
        </row>
        <row r="1562">
          <cell r="C1562">
            <v>42348</v>
          </cell>
          <cell r="F1562" t="str">
            <v>BASA ciagram</v>
          </cell>
          <cell r="R1562">
            <v>0</v>
          </cell>
        </row>
        <row r="1563">
          <cell r="C1563">
            <v>42379</v>
          </cell>
          <cell r="F1563" t="str">
            <v>BASA ciagram</v>
          </cell>
          <cell r="R1563">
            <v>0</v>
          </cell>
        </row>
        <row r="1564">
          <cell r="C1564">
            <v>42410</v>
          </cell>
          <cell r="F1564" t="str">
            <v>BASA ciagram</v>
          </cell>
          <cell r="R1564">
            <v>0</v>
          </cell>
        </row>
        <row r="1565">
          <cell r="C1565">
            <v>42439</v>
          </cell>
          <cell r="F1565" t="str">
            <v>BASA ciagram</v>
          </cell>
          <cell r="R1565">
            <v>0</v>
          </cell>
        </row>
        <row r="1566">
          <cell r="C1566">
            <v>42470</v>
          </cell>
          <cell r="F1566" t="str">
            <v>BASA ciagram</v>
          </cell>
          <cell r="R1566">
            <v>0</v>
          </cell>
        </row>
        <row r="1567">
          <cell r="C1567">
            <v>42500</v>
          </cell>
          <cell r="F1567" t="str">
            <v>BASA ciagram</v>
          </cell>
          <cell r="R1567">
            <v>0</v>
          </cell>
        </row>
        <row r="1568">
          <cell r="C1568">
            <v>42531</v>
          </cell>
          <cell r="F1568" t="str">
            <v>BASA ciagram</v>
          </cell>
          <cell r="R1568">
            <v>0</v>
          </cell>
        </row>
        <row r="1569">
          <cell r="C1569">
            <v>42561</v>
          </cell>
          <cell r="F1569" t="str">
            <v>BASA ciagram</v>
          </cell>
          <cell r="R1569">
            <v>0</v>
          </cell>
        </row>
        <row r="1570">
          <cell r="C1570">
            <v>42592</v>
          </cell>
          <cell r="F1570" t="str">
            <v>BASA ciagram</v>
          </cell>
          <cell r="R1570">
            <v>0</v>
          </cell>
        </row>
        <row r="1571">
          <cell r="C1571">
            <v>42623</v>
          </cell>
          <cell r="F1571" t="str">
            <v>BASA ciagram</v>
          </cell>
          <cell r="R1571">
            <v>31016.22</v>
          </cell>
        </row>
        <row r="1572">
          <cell r="C1572">
            <v>42653</v>
          </cell>
          <cell r="F1572" t="str">
            <v>BASA ciagram</v>
          </cell>
          <cell r="R1572">
            <v>31016.22</v>
          </cell>
        </row>
        <row r="1573">
          <cell r="C1573">
            <v>42684</v>
          </cell>
          <cell r="F1573" t="str">
            <v>BASA ciagram</v>
          </cell>
          <cell r="R1573">
            <v>31016.22</v>
          </cell>
        </row>
        <row r="1574">
          <cell r="C1574">
            <v>42714</v>
          </cell>
          <cell r="F1574" t="str">
            <v>BASA ciagram</v>
          </cell>
          <cell r="R1574">
            <v>31016.22</v>
          </cell>
        </row>
        <row r="1575">
          <cell r="C1575">
            <v>42745</v>
          </cell>
          <cell r="F1575" t="str">
            <v>BASA ciagram</v>
          </cell>
          <cell r="R1575">
            <v>31016.22</v>
          </cell>
        </row>
        <row r="1576">
          <cell r="C1576">
            <v>42776</v>
          </cell>
          <cell r="F1576" t="str">
            <v>BASA ciagram</v>
          </cell>
          <cell r="R1576">
            <v>31016.22</v>
          </cell>
        </row>
        <row r="1577">
          <cell r="C1577">
            <v>42804</v>
          </cell>
          <cell r="F1577" t="str">
            <v>BASA ciagram</v>
          </cell>
          <cell r="R1577">
            <v>31016.22</v>
          </cell>
        </row>
        <row r="1578">
          <cell r="C1578">
            <v>42835</v>
          </cell>
          <cell r="F1578" t="str">
            <v>BASA ciagram</v>
          </cell>
          <cell r="R1578">
            <v>31016.22</v>
          </cell>
        </row>
        <row r="1579">
          <cell r="C1579">
            <v>42865</v>
          </cell>
          <cell r="F1579" t="str">
            <v>BASA ciagram</v>
          </cell>
          <cell r="R1579">
            <v>31016.22</v>
          </cell>
        </row>
        <row r="1580">
          <cell r="C1580">
            <v>42896</v>
          </cell>
          <cell r="F1580" t="str">
            <v>BASA ciagram</v>
          </cell>
          <cell r="R1580">
            <v>31016.22</v>
          </cell>
        </row>
        <row r="1581">
          <cell r="C1581">
            <v>42926</v>
          </cell>
          <cell r="F1581" t="str">
            <v>BASA ciagram</v>
          </cell>
          <cell r="R1581">
            <v>31016.22</v>
          </cell>
        </row>
        <row r="1582">
          <cell r="C1582">
            <v>42957</v>
          </cell>
          <cell r="F1582" t="str">
            <v>BASA ciagram</v>
          </cell>
          <cell r="R1582">
            <v>31016.22</v>
          </cell>
        </row>
        <row r="1583">
          <cell r="C1583">
            <v>42988</v>
          </cell>
          <cell r="F1583" t="str">
            <v>BASA ciagram</v>
          </cell>
          <cell r="R1583">
            <v>31016.22</v>
          </cell>
        </row>
        <row r="1584">
          <cell r="C1584">
            <v>43018</v>
          </cell>
          <cell r="F1584" t="str">
            <v>BASA ciagram</v>
          </cell>
          <cell r="R1584">
            <v>31016.22</v>
          </cell>
        </row>
        <row r="1585">
          <cell r="C1585">
            <v>43049</v>
          </cell>
          <cell r="F1585" t="str">
            <v>BASA ciagram</v>
          </cell>
          <cell r="R1585">
            <v>31016.22</v>
          </cell>
        </row>
        <row r="1586">
          <cell r="C1586">
            <v>43079</v>
          </cell>
          <cell r="F1586" t="str">
            <v>BASA ciagram</v>
          </cell>
          <cell r="R1586">
            <v>31016.22</v>
          </cell>
        </row>
        <row r="1587">
          <cell r="C1587">
            <v>43110</v>
          </cell>
          <cell r="F1587" t="str">
            <v>BASA ciagram</v>
          </cell>
          <cell r="R1587">
            <v>31016.22</v>
          </cell>
        </row>
        <row r="1588">
          <cell r="C1588">
            <v>43141</v>
          </cell>
          <cell r="F1588" t="str">
            <v>BASA ciagram</v>
          </cell>
          <cell r="R1588">
            <v>31016.22</v>
          </cell>
        </row>
        <row r="1589">
          <cell r="C1589">
            <v>43169</v>
          </cell>
          <cell r="F1589" t="str">
            <v>BASA ciagram</v>
          </cell>
          <cell r="R1589">
            <v>31016.22</v>
          </cell>
        </row>
        <row r="1590">
          <cell r="C1590">
            <v>43200</v>
          </cell>
          <cell r="F1590" t="str">
            <v>BASA ciagram</v>
          </cell>
          <cell r="R1590">
            <v>31016.22</v>
          </cell>
        </row>
        <row r="1591">
          <cell r="C1591">
            <v>43230</v>
          </cell>
          <cell r="F1591" t="str">
            <v>BASA ciagram</v>
          </cell>
          <cell r="R1591">
            <v>31016.22</v>
          </cell>
        </row>
        <row r="1592">
          <cell r="C1592">
            <v>43261</v>
          </cell>
          <cell r="F1592" t="str">
            <v>BASA ciagram</v>
          </cell>
          <cell r="R1592">
            <v>31016.22</v>
          </cell>
        </row>
        <row r="1593">
          <cell r="C1593">
            <v>43291</v>
          </cell>
          <cell r="F1593" t="str">
            <v>BASA ciagram</v>
          </cell>
          <cell r="R1593">
            <v>31016.22</v>
          </cell>
        </row>
        <row r="1594">
          <cell r="C1594">
            <v>43322</v>
          </cell>
          <cell r="F1594" t="str">
            <v>BASA ciagram</v>
          </cell>
          <cell r="R1594">
            <v>31016.22</v>
          </cell>
        </row>
        <row r="1595">
          <cell r="C1595">
            <v>43353</v>
          </cell>
          <cell r="F1595" t="str">
            <v>BASA ciagram</v>
          </cell>
          <cell r="R1595">
            <v>31016.22</v>
          </cell>
        </row>
        <row r="1596">
          <cell r="C1596">
            <v>43383</v>
          </cell>
          <cell r="F1596" t="str">
            <v>BASA ciagram</v>
          </cell>
          <cell r="R1596">
            <v>31016.22</v>
          </cell>
        </row>
        <row r="1597">
          <cell r="C1597">
            <v>43414</v>
          </cell>
          <cell r="F1597" t="str">
            <v>BASA ciagram</v>
          </cell>
          <cell r="R1597">
            <v>31016.22</v>
          </cell>
        </row>
        <row r="1598">
          <cell r="C1598">
            <v>43444</v>
          </cell>
          <cell r="F1598" t="str">
            <v>BASA ciagram</v>
          </cell>
          <cell r="R1598">
            <v>31016.22</v>
          </cell>
        </row>
        <row r="1599">
          <cell r="C1599">
            <v>43475</v>
          </cell>
          <cell r="F1599" t="str">
            <v>BASA ciagram</v>
          </cell>
          <cell r="R1599">
            <v>31016.22</v>
          </cell>
        </row>
        <row r="1600">
          <cell r="C1600">
            <v>43506</v>
          </cell>
          <cell r="F1600" t="str">
            <v>BASA ciagram</v>
          </cell>
          <cell r="R1600">
            <v>31016.22</v>
          </cell>
        </row>
        <row r="1601">
          <cell r="C1601">
            <v>43534</v>
          </cell>
          <cell r="F1601" t="str">
            <v>BASA ciagram</v>
          </cell>
          <cell r="R1601">
            <v>31016.22</v>
          </cell>
        </row>
        <row r="1602">
          <cell r="C1602">
            <v>43565</v>
          </cell>
          <cell r="F1602" t="str">
            <v>BASA ciagram</v>
          </cell>
          <cell r="R1602">
            <v>31016.22</v>
          </cell>
        </row>
        <row r="1603">
          <cell r="C1603">
            <v>43595</v>
          </cell>
          <cell r="F1603" t="str">
            <v>BASA ciagram</v>
          </cell>
          <cell r="R1603">
            <v>31016.22</v>
          </cell>
        </row>
        <row r="1604">
          <cell r="C1604">
            <v>43626</v>
          </cell>
          <cell r="F1604" t="str">
            <v>BASA ciagram</v>
          </cell>
          <cell r="R1604">
            <v>31016.22</v>
          </cell>
        </row>
        <row r="1605">
          <cell r="C1605">
            <v>43656</v>
          </cell>
          <cell r="F1605" t="str">
            <v>BASA ciagram</v>
          </cell>
          <cell r="R1605">
            <v>31016.22</v>
          </cell>
        </row>
        <row r="1606">
          <cell r="C1606">
            <v>43687</v>
          </cell>
          <cell r="F1606" t="str">
            <v>BASA ciagram</v>
          </cell>
          <cell r="R1606">
            <v>31016.22</v>
          </cell>
        </row>
        <row r="1607">
          <cell r="C1607">
            <v>43718</v>
          </cell>
          <cell r="F1607" t="str">
            <v>BASA ciagram</v>
          </cell>
          <cell r="R1607">
            <v>31016.22</v>
          </cell>
        </row>
        <row r="1608">
          <cell r="C1608">
            <v>43748</v>
          </cell>
          <cell r="F1608" t="str">
            <v>BASA ciagram</v>
          </cell>
          <cell r="R1608">
            <v>31016.22</v>
          </cell>
        </row>
        <row r="1609">
          <cell r="C1609">
            <v>43779</v>
          </cell>
          <cell r="F1609" t="str">
            <v>BASA ciagram</v>
          </cell>
          <cell r="R1609">
            <v>31016.22</v>
          </cell>
        </row>
        <row r="1610">
          <cell r="C1610">
            <v>43809</v>
          </cell>
          <cell r="F1610" t="str">
            <v>BASA ciagram</v>
          </cell>
          <cell r="R1610">
            <v>31016.22</v>
          </cell>
        </row>
        <row r="1611">
          <cell r="C1611">
            <v>43840</v>
          </cell>
          <cell r="F1611" t="str">
            <v>BASA ciagram</v>
          </cell>
          <cell r="R1611">
            <v>31016.22</v>
          </cell>
        </row>
        <row r="1612">
          <cell r="C1612">
            <v>43871</v>
          </cell>
          <cell r="F1612" t="str">
            <v>BASA ciagram</v>
          </cell>
          <cell r="R1612">
            <v>31016.22</v>
          </cell>
        </row>
        <row r="1613">
          <cell r="C1613">
            <v>43900</v>
          </cell>
          <cell r="F1613" t="str">
            <v>BASA ciagram</v>
          </cell>
          <cell r="R1613">
            <v>31016.22</v>
          </cell>
        </row>
        <row r="1614">
          <cell r="C1614">
            <v>43931</v>
          </cell>
          <cell r="F1614" t="str">
            <v>BASA ciagram</v>
          </cell>
          <cell r="R1614">
            <v>31016.22</v>
          </cell>
        </row>
        <row r="1615">
          <cell r="C1615">
            <v>43961</v>
          </cell>
          <cell r="F1615" t="str">
            <v>BASA ciagram</v>
          </cell>
          <cell r="R1615">
            <v>31016.22</v>
          </cell>
        </row>
        <row r="1616">
          <cell r="C1616">
            <v>43992</v>
          </cell>
          <cell r="F1616" t="str">
            <v>BASA ciagram</v>
          </cell>
          <cell r="R1616">
            <v>31016.22</v>
          </cell>
        </row>
        <row r="1617">
          <cell r="C1617">
            <v>44022</v>
          </cell>
          <cell r="F1617" t="str">
            <v>BASA ciagram</v>
          </cell>
          <cell r="R1617">
            <v>31016.22</v>
          </cell>
        </row>
        <row r="1618">
          <cell r="C1618">
            <v>44053</v>
          </cell>
          <cell r="F1618" t="str">
            <v>BASA ciagram</v>
          </cell>
          <cell r="R1618">
            <v>31016.22</v>
          </cell>
        </row>
        <row r="1619">
          <cell r="C1619">
            <v>44084</v>
          </cell>
          <cell r="F1619" t="str">
            <v>BASA ciagram</v>
          </cell>
          <cell r="R1619">
            <v>31016.22</v>
          </cell>
        </row>
        <row r="1620">
          <cell r="C1620">
            <v>44114</v>
          </cell>
          <cell r="F1620" t="str">
            <v>BASA ciagram</v>
          </cell>
          <cell r="R1620">
            <v>31016.22</v>
          </cell>
        </row>
        <row r="1621">
          <cell r="C1621">
            <v>44145</v>
          </cell>
          <cell r="F1621" t="str">
            <v>BASA ciagram</v>
          </cell>
          <cell r="R1621">
            <v>31016.22</v>
          </cell>
        </row>
        <row r="1622">
          <cell r="C1622">
            <v>44175</v>
          </cell>
          <cell r="F1622" t="str">
            <v>BASA ciagram</v>
          </cell>
          <cell r="R1622">
            <v>31016.22</v>
          </cell>
        </row>
        <row r="1623">
          <cell r="C1623">
            <v>44206</v>
          </cell>
          <cell r="F1623" t="str">
            <v>BASA ciagram</v>
          </cell>
          <cell r="R1623">
            <v>31016.22</v>
          </cell>
        </row>
        <row r="1624">
          <cell r="C1624">
            <v>44237</v>
          </cell>
          <cell r="F1624" t="str">
            <v>BASA ciagram</v>
          </cell>
          <cell r="R1624">
            <v>31016.22</v>
          </cell>
        </row>
        <row r="1625">
          <cell r="C1625">
            <v>44265</v>
          </cell>
          <cell r="F1625" t="str">
            <v>BASA ciagram</v>
          </cell>
          <cell r="R1625">
            <v>31016.22</v>
          </cell>
        </row>
        <row r="1626">
          <cell r="C1626">
            <v>44296</v>
          </cell>
          <cell r="F1626" t="str">
            <v>BASA ciagram</v>
          </cell>
          <cell r="R1626">
            <v>31016.22</v>
          </cell>
        </row>
        <row r="1627">
          <cell r="C1627">
            <v>44326</v>
          </cell>
          <cell r="F1627" t="str">
            <v>BASA ciagram</v>
          </cell>
          <cell r="R1627">
            <v>31016.22</v>
          </cell>
        </row>
        <row r="1628">
          <cell r="C1628">
            <v>44357</v>
          </cell>
          <cell r="F1628" t="str">
            <v>BASA ciagram</v>
          </cell>
          <cell r="R1628">
            <v>31016.22</v>
          </cell>
        </row>
        <row r="1629">
          <cell r="C1629">
            <v>44387</v>
          </cell>
          <cell r="F1629" t="str">
            <v>BASA ciagram</v>
          </cell>
          <cell r="R1629">
            <v>31016.22</v>
          </cell>
        </row>
        <row r="1630">
          <cell r="C1630">
            <v>44418</v>
          </cell>
          <cell r="F1630" t="str">
            <v>BASA ciagram</v>
          </cell>
          <cell r="R1630">
            <v>31016.22</v>
          </cell>
        </row>
        <row r="1631">
          <cell r="C1631">
            <v>44449</v>
          </cell>
          <cell r="F1631" t="str">
            <v>BASA ciagram</v>
          </cell>
          <cell r="R1631">
            <v>31016.22</v>
          </cell>
        </row>
        <row r="1632">
          <cell r="C1632">
            <v>44479</v>
          </cell>
          <cell r="F1632" t="str">
            <v>BASA ciagram</v>
          </cell>
          <cell r="R1632">
            <v>31016.22</v>
          </cell>
        </row>
        <row r="1633">
          <cell r="C1633">
            <v>44510</v>
          </cell>
          <cell r="F1633" t="str">
            <v>BASA ciagram</v>
          </cell>
          <cell r="R1633">
            <v>31016.22</v>
          </cell>
        </row>
        <row r="1634">
          <cell r="C1634">
            <v>44540</v>
          </cell>
          <cell r="F1634" t="str">
            <v>BASA ciagram</v>
          </cell>
          <cell r="R1634">
            <v>31016.22</v>
          </cell>
        </row>
        <row r="1635">
          <cell r="C1635">
            <v>44571</v>
          </cell>
          <cell r="F1635" t="str">
            <v>BASA ciagram</v>
          </cell>
          <cell r="R1635">
            <v>31016.22</v>
          </cell>
        </row>
        <row r="1636">
          <cell r="C1636">
            <v>44602</v>
          </cell>
          <cell r="F1636" t="str">
            <v>BASA ciagram</v>
          </cell>
          <cell r="R1636">
            <v>31016.22</v>
          </cell>
        </row>
        <row r="1637">
          <cell r="C1637">
            <v>44630</v>
          </cell>
          <cell r="F1637" t="str">
            <v>BASA ciagram</v>
          </cell>
          <cell r="R1637">
            <v>31016.22</v>
          </cell>
        </row>
        <row r="1638">
          <cell r="C1638">
            <v>44661</v>
          </cell>
          <cell r="F1638" t="str">
            <v>BASA ciagram</v>
          </cell>
          <cell r="R1638">
            <v>31016.22</v>
          </cell>
        </row>
        <row r="1639">
          <cell r="C1639">
            <v>44691</v>
          </cell>
          <cell r="F1639" t="str">
            <v>BASA ciagram</v>
          </cell>
          <cell r="R1639">
            <v>31016.22</v>
          </cell>
        </row>
        <row r="1640">
          <cell r="C1640">
            <v>44722</v>
          </cell>
          <cell r="F1640" t="str">
            <v>BASA ciagram</v>
          </cell>
          <cell r="R1640">
            <v>31016.22</v>
          </cell>
        </row>
        <row r="1641">
          <cell r="C1641">
            <v>44752</v>
          </cell>
          <cell r="F1641" t="str">
            <v>BASA ciagram</v>
          </cell>
          <cell r="R1641">
            <v>31016.22</v>
          </cell>
        </row>
        <row r="1642">
          <cell r="C1642">
            <v>44783</v>
          </cell>
          <cell r="F1642" t="str">
            <v>BASA ciagram</v>
          </cell>
          <cell r="R1642">
            <v>31016.22</v>
          </cell>
        </row>
        <row r="1643">
          <cell r="C1643">
            <v>44814</v>
          </cell>
          <cell r="F1643" t="str">
            <v>BASA ciagram</v>
          </cell>
          <cell r="R1643">
            <v>31016.22</v>
          </cell>
        </row>
        <row r="1644">
          <cell r="C1644">
            <v>44844</v>
          </cell>
          <cell r="F1644" t="str">
            <v>BASA ciagram</v>
          </cell>
          <cell r="R1644">
            <v>31016.22</v>
          </cell>
        </row>
        <row r="1645">
          <cell r="C1645">
            <v>44875</v>
          </cell>
          <cell r="F1645" t="str">
            <v>BASA ciagram</v>
          </cell>
          <cell r="R1645">
            <v>31016.22</v>
          </cell>
        </row>
        <row r="1646">
          <cell r="C1646">
            <v>44905</v>
          </cell>
          <cell r="F1646" t="str">
            <v>BASA ciagram</v>
          </cell>
          <cell r="R1646">
            <v>31016.22</v>
          </cell>
        </row>
        <row r="1647">
          <cell r="C1647">
            <v>44936</v>
          </cell>
          <cell r="F1647" t="str">
            <v>BASA ciagram</v>
          </cell>
          <cell r="R1647">
            <v>31016.22</v>
          </cell>
        </row>
        <row r="1648">
          <cell r="C1648">
            <v>44967</v>
          </cell>
          <cell r="F1648" t="str">
            <v>BASA ciagram</v>
          </cell>
          <cell r="R1648">
            <v>31016.22</v>
          </cell>
        </row>
        <row r="1649">
          <cell r="C1649">
            <v>44995</v>
          </cell>
          <cell r="F1649" t="str">
            <v>BASA ciagram</v>
          </cell>
          <cell r="R1649">
            <v>31016.22</v>
          </cell>
        </row>
        <row r="1650">
          <cell r="C1650">
            <v>45026</v>
          </cell>
          <cell r="F1650" t="str">
            <v>BASA ciagram</v>
          </cell>
          <cell r="R1650">
            <v>31016.22</v>
          </cell>
        </row>
        <row r="1651">
          <cell r="C1651">
            <v>45056</v>
          </cell>
          <cell r="F1651" t="str">
            <v>BASA ciagram</v>
          </cell>
          <cell r="R1651">
            <v>31016.22</v>
          </cell>
        </row>
        <row r="1652">
          <cell r="C1652">
            <v>45087</v>
          </cell>
          <cell r="F1652" t="str">
            <v>BASA ciagram</v>
          </cell>
          <cell r="R1652">
            <v>31016.22</v>
          </cell>
        </row>
        <row r="1653">
          <cell r="C1653">
            <v>45117</v>
          </cell>
          <cell r="F1653" t="str">
            <v>BASA ciagram</v>
          </cell>
          <cell r="R1653">
            <v>31016.22</v>
          </cell>
        </row>
        <row r="1654">
          <cell r="C1654">
            <v>45148</v>
          </cell>
          <cell r="F1654" t="str">
            <v>BASA ciagram</v>
          </cell>
          <cell r="R1654">
            <v>31016.22</v>
          </cell>
        </row>
        <row r="1655">
          <cell r="C1655">
            <v>45179</v>
          </cell>
          <cell r="F1655" t="str">
            <v>BASA ciagram</v>
          </cell>
          <cell r="R1655">
            <v>31016.22</v>
          </cell>
        </row>
        <row r="1656">
          <cell r="C1656">
            <v>45209</v>
          </cell>
          <cell r="F1656" t="str">
            <v>BASA ciagram</v>
          </cell>
          <cell r="R1656">
            <v>31016.22</v>
          </cell>
        </row>
        <row r="1657">
          <cell r="C1657">
            <v>45240</v>
          </cell>
          <cell r="F1657" t="str">
            <v>BASA ciagram</v>
          </cell>
          <cell r="R1657">
            <v>31016.22</v>
          </cell>
        </row>
        <row r="1658">
          <cell r="C1658">
            <v>45270</v>
          </cell>
          <cell r="F1658" t="str">
            <v>BASA ciagram</v>
          </cell>
          <cell r="R1658">
            <v>31016.22</v>
          </cell>
        </row>
        <row r="1659">
          <cell r="C1659">
            <v>45301</v>
          </cell>
          <cell r="F1659" t="str">
            <v>BASA ciagram</v>
          </cell>
          <cell r="R1659">
            <v>31016.22</v>
          </cell>
        </row>
        <row r="1660">
          <cell r="C1660">
            <v>45332</v>
          </cell>
          <cell r="F1660" t="str">
            <v>BASA ciagram</v>
          </cell>
          <cell r="R1660">
            <v>31016.22</v>
          </cell>
        </row>
        <row r="1661">
          <cell r="C1661">
            <v>45361</v>
          </cell>
          <cell r="F1661" t="str">
            <v>BASA ciagram</v>
          </cell>
          <cell r="R1661">
            <v>31016.22</v>
          </cell>
        </row>
        <row r="1662">
          <cell r="C1662">
            <v>45392</v>
          </cell>
          <cell r="F1662" t="str">
            <v>BASA ciagram</v>
          </cell>
          <cell r="R1662">
            <v>31016.22</v>
          </cell>
        </row>
        <row r="1663">
          <cell r="C1663">
            <v>45422</v>
          </cell>
          <cell r="F1663" t="str">
            <v>BASA ciagram</v>
          </cell>
          <cell r="R1663">
            <v>31016.22</v>
          </cell>
        </row>
        <row r="1664">
          <cell r="C1664">
            <v>45453</v>
          </cell>
          <cell r="F1664" t="str">
            <v>BASA ciagram</v>
          </cell>
          <cell r="R1664">
            <v>31016.22</v>
          </cell>
        </row>
        <row r="1665">
          <cell r="C1665">
            <v>45483</v>
          </cell>
          <cell r="F1665" t="str">
            <v>BASA ciagram</v>
          </cell>
          <cell r="R1665">
            <v>31016.22</v>
          </cell>
        </row>
        <row r="1666">
          <cell r="C1666">
            <v>45514</v>
          </cell>
          <cell r="F1666" t="str">
            <v>BASA ciagram</v>
          </cell>
          <cell r="R1666">
            <v>31016.22</v>
          </cell>
        </row>
        <row r="1667">
          <cell r="C1667">
            <v>45545</v>
          </cell>
          <cell r="F1667" t="str">
            <v>BASA ciagram</v>
          </cell>
          <cell r="R1667">
            <v>31016.22</v>
          </cell>
        </row>
        <row r="1668">
          <cell r="C1668">
            <v>45575</v>
          </cell>
          <cell r="F1668" t="str">
            <v>BASA ciagram</v>
          </cell>
          <cell r="R1668">
            <v>31016.22</v>
          </cell>
        </row>
        <row r="1669">
          <cell r="C1669">
            <v>45606</v>
          </cell>
          <cell r="F1669" t="str">
            <v>BASA ciagram</v>
          </cell>
          <cell r="R1669">
            <v>31016.22</v>
          </cell>
        </row>
        <row r="1670">
          <cell r="C1670">
            <v>45636</v>
          </cell>
          <cell r="F1670" t="str">
            <v>BASA ciagram</v>
          </cell>
          <cell r="R1670">
            <v>31016.22</v>
          </cell>
        </row>
        <row r="1671">
          <cell r="C1671">
            <v>45667</v>
          </cell>
          <cell r="F1671" t="str">
            <v>BASA ciagram</v>
          </cell>
          <cell r="R1671">
            <v>31016.22</v>
          </cell>
        </row>
        <row r="1672">
          <cell r="C1672">
            <v>45698</v>
          </cell>
          <cell r="F1672" t="str">
            <v>BASA ciagram</v>
          </cell>
          <cell r="R1672">
            <v>31015.68</v>
          </cell>
        </row>
        <row r="1673">
          <cell r="C1673">
            <v>42566</v>
          </cell>
          <cell r="F1673" t="str">
            <v>BBD</v>
          </cell>
          <cell r="R1673">
            <v>0</v>
          </cell>
        </row>
        <row r="1674">
          <cell r="C1674">
            <v>42931</v>
          </cell>
          <cell r="F1674" t="str">
            <v>BBD</v>
          </cell>
          <cell r="R1674">
            <v>306254.37510099949</v>
          </cell>
        </row>
        <row r="1675">
          <cell r="C1675">
            <v>43296</v>
          </cell>
          <cell r="F1675" t="str">
            <v>BBD</v>
          </cell>
          <cell r="R1675">
            <v>300000</v>
          </cell>
        </row>
        <row r="1676">
          <cell r="C1676">
            <v>43661</v>
          </cell>
          <cell r="F1676" t="str">
            <v>BBD</v>
          </cell>
          <cell r="R1676">
            <v>300000</v>
          </cell>
        </row>
        <row r="1677">
          <cell r="C1677">
            <v>44027</v>
          </cell>
          <cell r="F1677" t="str">
            <v>BBD</v>
          </cell>
          <cell r="R1677">
            <v>300000</v>
          </cell>
        </row>
        <row r="1678">
          <cell r="C1678">
            <v>44392</v>
          </cell>
          <cell r="F1678" t="str">
            <v>BBD</v>
          </cell>
          <cell r="R1678">
            <v>300000</v>
          </cell>
        </row>
        <row r="1679">
          <cell r="C1679">
            <v>42318</v>
          </cell>
          <cell r="F1679" t="str">
            <v>BJD</v>
          </cell>
          <cell r="R1679">
            <v>0</v>
          </cell>
        </row>
        <row r="1680">
          <cell r="C1680">
            <v>42348</v>
          </cell>
          <cell r="F1680" t="str">
            <v>BJD</v>
          </cell>
          <cell r="R1680">
            <v>0</v>
          </cell>
        </row>
        <row r="1681">
          <cell r="C1681">
            <v>42379</v>
          </cell>
          <cell r="F1681" t="str">
            <v>BJD</v>
          </cell>
          <cell r="R1681">
            <v>9113.31</v>
          </cell>
        </row>
        <row r="1682">
          <cell r="C1682">
            <v>42410</v>
          </cell>
          <cell r="F1682" t="str">
            <v>BJD</v>
          </cell>
          <cell r="R1682">
            <v>9113.31</v>
          </cell>
        </row>
        <row r="1683">
          <cell r="C1683">
            <v>42439</v>
          </cell>
          <cell r="F1683" t="str">
            <v>BJD</v>
          </cell>
          <cell r="R1683">
            <v>9113.31</v>
          </cell>
        </row>
        <row r="1684">
          <cell r="C1684">
            <v>42470</v>
          </cell>
          <cell r="F1684" t="str">
            <v>BJD</v>
          </cell>
          <cell r="R1684">
            <v>9113.31</v>
          </cell>
        </row>
        <row r="1685">
          <cell r="C1685">
            <v>42500</v>
          </cell>
          <cell r="F1685" t="str">
            <v>BJD</v>
          </cell>
          <cell r="R1685">
            <v>9113.31</v>
          </cell>
        </row>
        <row r="1686">
          <cell r="C1686">
            <v>42531</v>
          </cell>
          <cell r="F1686" t="str">
            <v>BJD</v>
          </cell>
          <cell r="R1686">
            <v>0</v>
          </cell>
        </row>
        <row r="1687">
          <cell r="C1687">
            <v>42561</v>
          </cell>
          <cell r="F1687" t="str">
            <v>BJD</v>
          </cell>
          <cell r="R1687">
            <v>9113.31</v>
          </cell>
        </row>
        <row r="1688">
          <cell r="C1688">
            <v>42592</v>
          </cell>
          <cell r="F1688" t="str">
            <v>BJD</v>
          </cell>
          <cell r="R1688">
            <v>9113.31</v>
          </cell>
        </row>
        <row r="1689">
          <cell r="C1689">
            <v>42623</v>
          </cell>
          <cell r="F1689" t="str">
            <v>BJD</v>
          </cell>
          <cell r="R1689">
            <v>9113.31</v>
          </cell>
        </row>
        <row r="1690">
          <cell r="C1690">
            <v>42653</v>
          </cell>
          <cell r="F1690" t="str">
            <v>BJD</v>
          </cell>
          <cell r="R1690">
            <v>9113.31</v>
          </cell>
        </row>
        <row r="1691">
          <cell r="C1691">
            <v>42684</v>
          </cell>
          <cell r="F1691" t="str">
            <v>BJD</v>
          </cell>
          <cell r="R1691">
            <v>9113.31</v>
          </cell>
        </row>
        <row r="1692">
          <cell r="C1692">
            <v>42714</v>
          </cell>
          <cell r="F1692" t="str">
            <v>BJD</v>
          </cell>
          <cell r="R1692">
            <v>9113.31</v>
          </cell>
        </row>
        <row r="1693">
          <cell r="C1693">
            <v>42745</v>
          </cell>
          <cell r="F1693" t="str">
            <v>BJD</v>
          </cell>
          <cell r="R1693">
            <v>9113.31</v>
          </cell>
        </row>
        <row r="1694">
          <cell r="C1694">
            <v>42776</v>
          </cell>
          <cell r="F1694" t="str">
            <v>BJD</v>
          </cell>
          <cell r="R1694">
            <v>9113.31</v>
          </cell>
        </row>
        <row r="1695">
          <cell r="C1695">
            <v>42804</v>
          </cell>
          <cell r="F1695" t="str">
            <v>BJD</v>
          </cell>
          <cell r="R1695">
            <v>9113.31</v>
          </cell>
        </row>
        <row r="1696">
          <cell r="C1696">
            <v>42835</v>
          </cell>
          <cell r="F1696" t="str">
            <v>BJD</v>
          </cell>
          <cell r="R1696">
            <v>9113.31</v>
          </cell>
        </row>
        <row r="1697">
          <cell r="C1697">
            <v>42865</v>
          </cell>
          <cell r="F1697" t="str">
            <v>BJD</v>
          </cell>
          <cell r="R1697">
            <v>9113.31</v>
          </cell>
        </row>
        <row r="1698">
          <cell r="C1698">
            <v>42896</v>
          </cell>
          <cell r="F1698" t="str">
            <v>BJD</v>
          </cell>
          <cell r="R1698">
            <v>9113.31</v>
          </cell>
        </row>
        <row r="1699">
          <cell r="C1699">
            <v>42926</v>
          </cell>
          <cell r="F1699" t="str">
            <v>BJD</v>
          </cell>
          <cell r="R1699">
            <v>9113.31</v>
          </cell>
        </row>
        <row r="1700">
          <cell r="C1700">
            <v>42957</v>
          </cell>
          <cell r="F1700" t="str">
            <v>BJD</v>
          </cell>
          <cell r="R1700">
            <v>9113.31</v>
          </cell>
        </row>
        <row r="1701">
          <cell r="C1701">
            <v>42988</v>
          </cell>
          <cell r="F1701" t="str">
            <v>BJD</v>
          </cell>
          <cell r="R1701">
            <v>9113.31</v>
          </cell>
        </row>
        <row r="1702">
          <cell r="C1702">
            <v>43018</v>
          </cell>
          <cell r="F1702" t="str">
            <v>BJD</v>
          </cell>
          <cell r="R1702">
            <v>9113.31</v>
          </cell>
        </row>
        <row r="1703">
          <cell r="C1703">
            <v>43049</v>
          </cell>
          <cell r="F1703" t="str">
            <v>BJD</v>
          </cell>
          <cell r="R1703">
            <v>9113.31</v>
          </cell>
        </row>
        <row r="1704">
          <cell r="C1704">
            <v>43079</v>
          </cell>
          <cell r="F1704" t="str">
            <v>BJD</v>
          </cell>
          <cell r="R1704">
            <v>9113.31</v>
          </cell>
        </row>
        <row r="1705">
          <cell r="C1705">
            <v>43110</v>
          </cell>
          <cell r="F1705" t="str">
            <v>BJD</v>
          </cell>
          <cell r="R1705">
            <v>9113.31</v>
          </cell>
        </row>
        <row r="1706">
          <cell r="C1706">
            <v>43141</v>
          </cell>
          <cell r="F1706" t="str">
            <v>BJD</v>
          </cell>
          <cell r="R1706">
            <v>9113.31</v>
          </cell>
        </row>
        <row r="1707">
          <cell r="C1707">
            <v>43169</v>
          </cell>
          <cell r="F1707" t="str">
            <v>BJD</v>
          </cell>
          <cell r="R1707">
            <v>9113.31</v>
          </cell>
        </row>
        <row r="1708">
          <cell r="C1708">
            <v>43200</v>
          </cell>
          <cell r="F1708" t="str">
            <v>BJD</v>
          </cell>
          <cell r="R1708">
            <v>9113.31</v>
          </cell>
        </row>
        <row r="1709">
          <cell r="C1709">
            <v>43230</v>
          </cell>
          <cell r="F1709" t="str">
            <v>BJD</v>
          </cell>
          <cell r="R1709">
            <v>9113.31</v>
          </cell>
        </row>
        <row r="1710">
          <cell r="C1710">
            <v>43261</v>
          </cell>
          <cell r="F1710" t="str">
            <v>BJD</v>
          </cell>
          <cell r="R1710">
            <v>9113.31</v>
          </cell>
        </row>
        <row r="1711">
          <cell r="C1711">
            <v>43291</v>
          </cell>
          <cell r="F1711" t="str">
            <v>BJD</v>
          </cell>
          <cell r="R1711">
            <v>9113.31</v>
          </cell>
        </row>
        <row r="1712">
          <cell r="C1712">
            <v>43322</v>
          </cell>
          <cell r="F1712" t="str">
            <v>BJD</v>
          </cell>
          <cell r="R1712">
            <v>9113.31</v>
          </cell>
        </row>
        <row r="1713">
          <cell r="C1713">
            <v>43353</v>
          </cell>
          <cell r="F1713" t="str">
            <v>BJD</v>
          </cell>
          <cell r="R1713">
            <v>9113.31</v>
          </cell>
        </row>
        <row r="1714">
          <cell r="C1714">
            <v>43383</v>
          </cell>
          <cell r="F1714" t="str">
            <v>BJD</v>
          </cell>
          <cell r="R1714">
            <v>9113.31</v>
          </cell>
        </row>
        <row r="1715">
          <cell r="C1715">
            <v>43414</v>
          </cell>
          <cell r="F1715" t="str">
            <v>BJD</v>
          </cell>
          <cell r="R1715">
            <v>9113.31</v>
          </cell>
        </row>
        <row r="1716">
          <cell r="C1716">
            <v>43444</v>
          </cell>
          <cell r="F1716" t="str">
            <v>BJD</v>
          </cell>
          <cell r="R1716">
            <v>9113.31</v>
          </cell>
        </row>
        <row r="1717">
          <cell r="C1717">
            <v>43475</v>
          </cell>
          <cell r="F1717" t="str">
            <v>BJD</v>
          </cell>
          <cell r="R1717">
            <v>9113.31</v>
          </cell>
        </row>
        <row r="1718">
          <cell r="C1718">
            <v>43506</v>
          </cell>
          <cell r="F1718" t="str">
            <v>BJD</v>
          </cell>
          <cell r="R1718">
            <v>9113.31</v>
          </cell>
        </row>
        <row r="1719">
          <cell r="C1719">
            <v>43534</v>
          </cell>
          <cell r="F1719" t="str">
            <v>BJD</v>
          </cell>
          <cell r="R1719">
            <v>9113.31</v>
          </cell>
        </row>
        <row r="1720">
          <cell r="C1720">
            <v>43565</v>
          </cell>
          <cell r="F1720" t="str">
            <v>BJD</v>
          </cell>
          <cell r="R1720">
            <v>9113.31</v>
          </cell>
        </row>
        <row r="1721">
          <cell r="C1721">
            <v>43595</v>
          </cell>
          <cell r="F1721" t="str">
            <v>BJD</v>
          </cell>
          <cell r="R1721">
            <v>9113.31</v>
          </cell>
        </row>
        <row r="1722">
          <cell r="C1722">
            <v>43626</v>
          </cell>
          <cell r="F1722" t="str">
            <v>BJD</v>
          </cell>
          <cell r="R1722">
            <v>9113.31</v>
          </cell>
        </row>
        <row r="1723">
          <cell r="C1723">
            <v>43656</v>
          </cell>
          <cell r="F1723" t="str">
            <v>BJD</v>
          </cell>
          <cell r="R1723">
            <v>9113.31</v>
          </cell>
        </row>
        <row r="1724">
          <cell r="C1724">
            <v>43687</v>
          </cell>
          <cell r="F1724" t="str">
            <v>BJD</v>
          </cell>
          <cell r="R1724">
            <v>9113.31</v>
          </cell>
        </row>
        <row r="1725">
          <cell r="C1725">
            <v>43718</v>
          </cell>
          <cell r="F1725" t="str">
            <v>BJD</v>
          </cell>
          <cell r="R1725">
            <v>9113.31</v>
          </cell>
        </row>
        <row r="1726">
          <cell r="C1726">
            <v>43748</v>
          </cell>
          <cell r="F1726" t="str">
            <v>BJD</v>
          </cell>
          <cell r="R1726">
            <v>9113.31</v>
          </cell>
        </row>
        <row r="1727">
          <cell r="C1727">
            <v>42566</v>
          </cell>
          <cell r="F1727" t="str">
            <v>BBD</v>
          </cell>
          <cell r="R1727">
            <v>0</v>
          </cell>
        </row>
        <row r="1728">
          <cell r="C1728">
            <v>42931</v>
          </cell>
          <cell r="F1728" t="str">
            <v>BBD</v>
          </cell>
          <cell r="R1728">
            <v>306254.37510099949</v>
          </cell>
        </row>
        <row r="1729">
          <cell r="C1729">
            <v>43296</v>
          </cell>
          <cell r="F1729" t="str">
            <v>BBD</v>
          </cell>
          <cell r="R1729">
            <v>300000</v>
          </cell>
        </row>
        <row r="1730">
          <cell r="C1730">
            <v>43661</v>
          </cell>
          <cell r="F1730" t="str">
            <v>BBD</v>
          </cell>
          <cell r="R1730">
            <v>300000</v>
          </cell>
        </row>
        <row r="1731">
          <cell r="C1731">
            <v>44027</v>
          </cell>
          <cell r="F1731" t="str">
            <v>BBD</v>
          </cell>
          <cell r="R1731">
            <v>300000</v>
          </cell>
        </row>
        <row r="1732">
          <cell r="C1732">
            <v>44392</v>
          </cell>
          <cell r="F1732" t="str">
            <v>BBD</v>
          </cell>
          <cell r="R1732">
            <v>300000</v>
          </cell>
        </row>
        <row r="1733">
          <cell r="C1733">
            <v>42658</v>
          </cell>
          <cell r="F1733" t="str">
            <v>BBD</v>
          </cell>
          <cell r="R1733">
            <v>527889.62474612694</v>
          </cell>
        </row>
        <row r="1734">
          <cell r="C1734">
            <v>43023</v>
          </cell>
          <cell r="F1734" t="str">
            <v>BBD</v>
          </cell>
          <cell r="R1734">
            <v>385714.29</v>
          </cell>
        </row>
        <row r="1735">
          <cell r="C1735">
            <v>43388</v>
          </cell>
          <cell r="F1735" t="str">
            <v>BBD</v>
          </cell>
          <cell r="R1735">
            <v>385714.29</v>
          </cell>
        </row>
        <row r="1736">
          <cell r="C1736">
            <v>43753</v>
          </cell>
          <cell r="F1736" t="str">
            <v>BBD</v>
          </cell>
          <cell r="R1736">
            <v>385714.29</v>
          </cell>
        </row>
        <row r="1737">
          <cell r="C1737">
            <v>44119</v>
          </cell>
          <cell r="F1737" t="str">
            <v>BBD</v>
          </cell>
          <cell r="R1737">
            <v>385714.29</v>
          </cell>
        </row>
        <row r="1738">
          <cell r="C1738">
            <v>44484</v>
          </cell>
          <cell r="F1738" t="str">
            <v>BBD</v>
          </cell>
          <cell r="R1738">
            <v>385714.29</v>
          </cell>
        </row>
        <row r="1739">
          <cell r="C1739">
            <v>44849</v>
          </cell>
          <cell r="F1739" t="str">
            <v>BBD</v>
          </cell>
          <cell r="R1739">
            <v>385714.29</v>
          </cell>
        </row>
        <row r="1740">
          <cell r="C1740"/>
          <cell r="F1740"/>
          <cell r="R1740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CIO:." refreshedDate="42587.314403819444" createdVersion="1" refreshedVersion="4" recordCount="106" upgradeOnRefresh="1">
  <cacheSource type="worksheet">
    <worksheetSource name="Tabela__192.168.4.3_agricola__padrão__GM_CONTRATOS_GRAOS_1415"/>
  </cacheSource>
  <cacheFields count="17">
    <cacheField name="SEQ_PLA_PED_VENDA" numFmtId="0">
      <sharedItems/>
    </cacheField>
    <cacheField name="NR_CONTRATO" numFmtId="0">
      <sharedItems/>
    </cacheField>
    <cacheField name="FIXO" numFmtId="0">
      <sharedItems/>
    </cacheField>
    <cacheField name="CONTRATO" numFmtId="0">
      <sharedItems/>
    </cacheField>
    <cacheField name="DATA_CONTRATO" numFmtId="0">
      <sharedItems containsSemiMixedTypes="0" containsNonDate="0" containsDate="1" containsString="0" minDate="2014-10-22T00:00:00" maxDate="2015-12-16T00:00:00"/>
    </cacheField>
    <cacheField name="NOME_CLIENTE" numFmtId="0">
      <sharedItems count="32">
        <s v="ADELMO NUNES FERNANDES E OUTROS"/>
        <s v="ADEMIR MARAFON E OUTROS"/>
        <s v="AFG BRASIL S/A"/>
        <s v="AGROPECUARIA ITAUNA LTDA"/>
        <s v="ALCINDO PEDRO TESTON"/>
        <s v="ALIMENTOS MASSON LTDA"/>
        <s v="AMAGGI EXPORTACAO E IMPORTACAO LTDA"/>
        <s v="BRASIF S/A ADMINISTRAÇÃO E PARTICIPAÇÕES"/>
        <s v="BRAULINO BASILIO MAIA FILHO"/>
        <s v="BUNGE ALIMENTOS S/A"/>
        <s v="CARGILL AGRICOLA S/A"/>
        <s v="CARLOS ANTONIO SCHUMANN JUNIOR"/>
        <s v="CEREALISTA DEMARCHI LTDA"/>
        <s v="CIAGRAM PORTOS E NAVEGACAO DA AMAZONIA LTDA"/>
        <s v="CLAIDES LAZARETTI MASUTTI"/>
        <s v="DANIEL DE PAIVA ABREU"/>
        <s v="DEVANI TEREZINHA FASOLO MAZZUTTI"/>
        <s v="ELTON HAMER"/>
        <s v="GUILHERME ERSE MOREIRA MENDES"/>
        <s v="INES LAZARETE"/>
        <s v="IVO JUNIOR CASSOL"/>
        <s v="LUIZ PAREJA LINARES"/>
        <s v="MARIO GONCALVES FERREIRA"/>
        <s v="NATANAEL VIEIRA DA SILVA"/>
        <s v="NEODI CARLOS FRANCISCO DE OLIVEIRA"/>
        <s v="NERY DELAZZERI"/>
        <s v="NIDERA SEMENTES LTDA"/>
        <s v="PAULA ABREU BARCELLOS"/>
        <s v="PORTAL S/A - IND. COM. DE PRODUTOS VEGETAIS "/>
        <s v="REINALDO BONOTTO"/>
        <s v="RICAL - RACK INDÚSTRIA E COMÉRCIO DE ARROZ LTDA"/>
        <s v="CIAGRAM- CIA. AGRO INDUSTRIAL DO AMAZONAS LTDA." u="1"/>
      </sharedItems>
    </cacheField>
    <cacheField name="SEQ_PLA_PRODUTO" numFmtId="0">
      <sharedItems count="5">
        <s v="  31900001"/>
        <s v=" 304762302"/>
        <s v="  82071102"/>
        <s v="  32001101"/>
        <s v="  70569501" u="1"/>
      </sharedItems>
    </cacheField>
    <cacheField name="DESCRICAO_PRODUTO" numFmtId="0">
      <sharedItems count="4">
        <s v="SOJA EM GRAOS"/>
        <s v="ARROZ COM CASCA"/>
        <s v="SOJA CONVENCIONAL"/>
        <s v="MILHO EM GRAOS"/>
      </sharedItems>
    </cacheField>
    <cacheField name="SEQ_PLA_MOEDA" numFmtId="0">
      <sharedItems/>
    </cacheField>
    <cacheField name="SIGLA_MOEDA" numFmtId="0">
      <sharedItems count="2">
        <s v="R$"/>
        <s v="US$"/>
      </sharedItems>
    </cacheField>
    <cacheField name="QUANTIDADE" numFmtId="0">
      <sharedItems containsSemiMixedTypes="0" containsString="0" containsNumber="1" containsInteger="1" minValue="3000" maxValue="20000000"/>
    </cacheField>
    <cacheField name="VALOR_TOTAL" numFmtId="0">
      <sharedItems containsSemiMixedTypes="0" containsString="0" containsNumber="1" minValue="900" maxValue="6080000"/>
    </cacheField>
    <cacheField name="VALOR_UNITARIO" numFmtId="0">
      <sharedItems containsSemiMixedTypes="0" containsString="0" containsNumber="1" minValue="12" maxValue="150"/>
    </cacheField>
    <cacheField name="QTD_FAT" numFmtId="0">
      <sharedItems containsSemiMixedTypes="0" containsString="0" containsNumber="1" containsInteger="1" minValue="0" maxValue="20001861"/>
    </cacheField>
    <cacheField name="SALDO" numFmtId="0">
      <sharedItems containsSemiMixedTypes="0" containsString="0" containsNumber="1" containsInteger="1" minValue="-404420" maxValue="4656683"/>
    </cacheField>
    <cacheField name="SIGLA_UNIDADE" numFmtId="0">
      <sharedItems/>
    </cacheField>
    <cacheField name="RECEBER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">
  <r>
    <s v=" 582088101"/>
    <s v="SMT14/020"/>
    <s v="N"/>
    <s v="SMT14/020"/>
    <d v="2015-01-21T00:00:00"/>
    <x v="0"/>
    <x v="0"/>
    <x v="0"/>
    <s v="     75601"/>
    <x v="0"/>
    <n v="28797"/>
    <n v="28509.03"/>
    <n v="59.4"/>
    <n v="28797"/>
    <n v="0"/>
    <s v="KG"/>
    <n v="0"/>
  </r>
  <r>
    <s v=" 851173901"/>
    <s v="CM15/08-ARZ"/>
    <s v="N"/>
    <s v="CM15/08-ARZ"/>
    <d v="2015-12-15T00:00:00"/>
    <x v="1"/>
    <x v="1"/>
    <x v="1"/>
    <s v="     75601"/>
    <x v="0"/>
    <n v="8740"/>
    <n v="17480"/>
    <n v="120"/>
    <n v="8740"/>
    <n v="0"/>
    <s v="KG"/>
    <n v="0"/>
  </r>
  <r>
    <s v=" 573304701"/>
    <s v="CM15/20-SJ"/>
    <s v="N"/>
    <s v="CM15/20-SJ"/>
    <d v="2015-01-08T00:00:00"/>
    <x v="2"/>
    <x v="2"/>
    <x v="2"/>
    <s v="     75601"/>
    <x v="0"/>
    <n v="1200000"/>
    <n v="1060000"/>
    <n v="53"/>
    <n v="1200000"/>
    <n v="0"/>
    <s v="KG"/>
    <n v="0"/>
  </r>
  <r>
    <s v=" 574965201"/>
    <s v="CM15/24-SJ"/>
    <s v="N"/>
    <s v="CM15/24-SJ"/>
    <d v="2015-01-14T00:00:00"/>
    <x v="2"/>
    <x v="2"/>
    <x v="2"/>
    <s v="     75601"/>
    <x v="0"/>
    <n v="19420"/>
    <n v="17154.330000000002"/>
    <n v="52.999989701338798"/>
    <n v="19420"/>
    <n v="0"/>
    <s v="KG"/>
    <n v="0"/>
  </r>
  <r>
    <s v=" 841962301"/>
    <s v="15/06-SJ"/>
    <s v="N"/>
    <s v="15/06-SJ"/>
    <d v="2015-12-01T00:00:00"/>
    <x v="3"/>
    <x v="0"/>
    <x v="0"/>
    <s v="     75601"/>
    <x v="0"/>
    <n v="8900"/>
    <n v="10680"/>
    <n v="72"/>
    <n v="8900"/>
    <n v="0"/>
    <s v="KG"/>
    <n v="0"/>
  </r>
  <r>
    <s v=" 844216501"/>
    <s v="CM15/07-ARZ"/>
    <s v="N"/>
    <s v="CM15/07-ARZ"/>
    <d v="2015-12-03T00:00:00"/>
    <x v="4"/>
    <x v="1"/>
    <x v="1"/>
    <s v="     75601"/>
    <x v="0"/>
    <n v="11960"/>
    <n v="19933.34"/>
    <n v="100.000033444816"/>
    <n v="11960"/>
    <n v="0"/>
    <s v="KG"/>
    <n v="0"/>
  </r>
  <r>
    <s v=" 815393501"/>
    <s v="CM15/04-ARZ"/>
    <s v="N"/>
    <s v="CM15/04-ARZ"/>
    <d v="2015-10-27T00:00:00"/>
    <x v="5"/>
    <x v="1"/>
    <x v="1"/>
    <s v="     75601"/>
    <x v="0"/>
    <n v="108100"/>
    <n v="86480"/>
    <n v="48"/>
    <n v="108100"/>
    <n v="0"/>
    <s v="KG"/>
    <n v="0"/>
  </r>
  <r>
    <s v=" 843086301"/>
    <s v="CM15/06-ARZ"/>
    <s v="N"/>
    <s v="CM15/06-ARZ-A"/>
    <d v="2015-12-02T00:00:00"/>
    <x v="5"/>
    <x v="1"/>
    <x v="1"/>
    <s v="     75601"/>
    <x v="0"/>
    <n v="34240"/>
    <n v="25109.32"/>
    <n v="43.999976635514003"/>
    <n v="34240"/>
    <n v="0"/>
    <s v="KG"/>
    <n v="0"/>
  </r>
  <r>
    <s v=" 844964901"/>
    <s v="CM15/08-ARZ"/>
    <s v="N"/>
    <s v="CM15/08-ARZ-A"/>
    <d v="2015-12-04T00:00:00"/>
    <x v="5"/>
    <x v="1"/>
    <x v="1"/>
    <s v="     75601"/>
    <x v="0"/>
    <n v="7420"/>
    <n v="5688.62"/>
    <n v="45.999622641509397"/>
    <n v="7420"/>
    <n v="0"/>
    <s v="KG"/>
    <n v="0"/>
  </r>
  <r>
    <s v=" 538817701"/>
    <s v="CM15/01-SJ"/>
    <s v="N"/>
    <s v="CM15/01-SJ"/>
    <d v="2014-10-23T00:00:00"/>
    <x v="6"/>
    <x v="2"/>
    <x v="2"/>
    <s v="      3501"/>
    <x v="1"/>
    <n v="6000000"/>
    <n v="1800000"/>
    <n v="18"/>
    <n v="6000000"/>
    <n v="0"/>
    <s v="KG"/>
    <n v="0"/>
  </r>
  <r>
    <s v=" 538819101"/>
    <s v="CM15/02-SJ"/>
    <s v="N"/>
    <s v="CM15/02-SJ"/>
    <d v="2014-10-23T00:00:00"/>
    <x v="6"/>
    <x v="2"/>
    <x v="2"/>
    <s v="      3501"/>
    <x v="1"/>
    <n v="6000000"/>
    <n v="1800000"/>
    <n v="18"/>
    <n v="6000000"/>
    <n v="0"/>
    <s v="KG"/>
    <n v="0"/>
  </r>
  <r>
    <s v=" 538821601"/>
    <s v="CM15/03-SJ"/>
    <s v="N"/>
    <s v="CM15/03-SJ"/>
    <d v="2014-10-23T00:00:00"/>
    <x v="6"/>
    <x v="0"/>
    <x v="0"/>
    <s v="     75601"/>
    <x v="0"/>
    <n v="6000000"/>
    <n v="4550000"/>
    <n v="45.5"/>
    <n v="6000000"/>
    <n v="0"/>
    <s v="KG"/>
    <n v="0"/>
  </r>
  <r>
    <s v=" 538824701"/>
    <s v="CM15/04-SJ"/>
    <s v="N"/>
    <s v="CM15/04-SJ"/>
    <d v="2014-10-23T00:00:00"/>
    <x v="6"/>
    <x v="0"/>
    <x v="0"/>
    <s v="     75601"/>
    <x v="0"/>
    <n v="6000000"/>
    <n v="4600000"/>
    <n v="46"/>
    <n v="6000000"/>
    <n v="0"/>
    <s v="KG"/>
    <n v="0"/>
  </r>
  <r>
    <s v=" 538825801"/>
    <s v="CM15/05-SJ"/>
    <s v="N"/>
    <s v="CM15/05-SJ"/>
    <d v="2014-10-23T00:00:00"/>
    <x v="6"/>
    <x v="0"/>
    <x v="0"/>
    <s v="      3501"/>
    <x v="1"/>
    <n v="3000000"/>
    <n v="900000"/>
    <n v="18"/>
    <n v="3000000"/>
    <n v="0"/>
    <s v="KG"/>
    <n v="0"/>
  </r>
  <r>
    <s v=" 538826701"/>
    <s v="CM15/06-SJ"/>
    <s v="N"/>
    <s v="CM15/06-SJ"/>
    <d v="2014-10-23T00:00:00"/>
    <x v="6"/>
    <x v="0"/>
    <x v="0"/>
    <s v="     75601"/>
    <x v="0"/>
    <n v="6000000"/>
    <n v="4600000"/>
    <n v="46"/>
    <n v="6000000"/>
    <n v="0"/>
    <s v="KG"/>
    <n v="0"/>
  </r>
  <r>
    <s v=" 538828101"/>
    <s v="CM15/07-SJ"/>
    <s v="N"/>
    <s v="CM15/07-SJ"/>
    <d v="2014-10-23T00:00:00"/>
    <x v="6"/>
    <x v="0"/>
    <x v="0"/>
    <s v="     75601"/>
    <x v="0"/>
    <n v="6000000"/>
    <n v="4660000"/>
    <n v="46.6"/>
    <n v="6000000"/>
    <n v="0"/>
    <s v="KG"/>
    <n v="0"/>
  </r>
  <r>
    <s v=" 538830301"/>
    <s v="CM15/08-SJ"/>
    <s v="N"/>
    <s v="CM15/08-SJ"/>
    <d v="2014-10-23T00:00:00"/>
    <x v="6"/>
    <x v="0"/>
    <x v="0"/>
    <s v="      3501"/>
    <x v="1"/>
    <n v="3000000"/>
    <n v="920000"/>
    <n v="18.400000000000002"/>
    <n v="3000000"/>
    <n v="0"/>
    <s v="KG"/>
    <n v="0"/>
  </r>
  <r>
    <s v=" 539171701"/>
    <s v="CM15/10-SJ"/>
    <s v="N"/>
    <s v="CM15/10-SJ"/>
    <d v="2014-10-24T00:00:00"/>
    <x v="6"/>
    <x v="0"/>
    <x v="0"/>
    <s v="      3501"/>
    <x v="1"/>
    <n v="4500000"/>
    <n v="1380000"/>
    <n v="18.400000000000002"/>
    <n v="4500000"/>
    <n v="0"/>
    <s v="KG"/>
    <n v="0"/>
  </r>
  <r>
    <s v=" 708111901"/>
    <s v="CM15/18-MI"/>
    <s v="N"/>
    <s v="CM15/18-MI"/>
    <d v="2015-07-06T00:00:00"/>
    <x v="6"/>
    <x v="3"/>
    <x v="3"/>
    <s v="     75601"/>
    <x v="0"/>
    <n v="7000000"/>
    <n v="2006666.67"/>
    <n v="17.200000028571399"/>
    <n v="7000000"/>
    <n v="0"/>
    <s v="KG"/>
    <n v="0"/>
  </r>
  <r>
    <s v=" 574462901"/>
    <s v="CM15/21-SJ"/>
    <s v="N"/>
    <s v="CM15/21-SJ"/>
    <d v="2015-01-13T00:00:00"/>
    <x v="6"/>
    <x v="0"/>
    <x v="0"/>
    <s v="     75601"/>
    <x v="0"/>
    <n v="37900"/>
    <n v="11370"/>
    <n v="18"/>
    <n v="37900"/>
    <n v="0"/>
    <s v="KG"/>
    <n v="0"/>
  </r>
  <r>
    <s v=" 636987601"/>
    <s v="CM15/32-SJ"/>
    <s v="N"/>
    <s v="CM15/32-SJ"/>
    <d v="2015-03-31T00:00:00"/>
    <x v="6"/>
    <x v="2"/>
    <x v="2"/>
    <s v="     75601"/>
    <x v="0"/>
    <n v="1200000"/>
    <n v="1160000"/>
    <n v="58"/>
    <n v="1200057"/>
    <n v="-57"/>
    <s v="KG"/>
    <n v="0"/>
  </r>
  <r>
    <s v=" 636995101"/>
    <s v="CM15/33-SJ"/>
    <s v="N"/>
    <s v="CM15/33-SJ"/>
    <d v="2015-03-31T00:00:00"/>
    <x v="6"/>
    <x v="0"/>
    <x v="0"/>
    <s v="     75601"/>
    <x v="0"/>
    <n v="720000"/>
    <n v="696000"/>
    <n v="58"/>
    <n v="720000"/>
    <n v="0"/>
    <s v="KG"/>
    <n v="0"/>
  </r>
  <r>
    <s v=" 643965601"/>
    <s v="CM15/35-SJ"/>
    <s v="N"/>
    <s v="CM15/35-SJ"/>
    <d v="2015-04-10T00:00:00"/>
    <x v="6"/>
    <x v="0"/>
    <x v="0"/>
    <s v="     75601"/>
    <x v="0"/>
    <n v="44620"/>
    <n v="35696"/>
    <n v="48"/>
    <n v="44620"/>
    <n v="0"/>
    <s v="KG"/>
    <n v="0"/>
  </r>
  <r>
    <s v=" 667470401"/>
    <s v="CM15/39-SJ"/>
    <s v="N"/>
    <s v="CM15/39-SJ"/>
    <d v="2015-05-15T00:00:00"/>
    <x v="6"/>
    <x v="0"/>
    <x v="0"/>
    <s v="     75601"/>
    <x v="0"/>
    <n v="600000"/>
    <n v="555000"/>
    <n v="55.5"/>
    <n v="600000"/>
    <n v="0"/>
    <s v="KG"/>
    <n v="0"/>
  </r>
  <r>
    <s v=" 667476001"/>
    <s v="CM15/40-SJ"/>
    <s v="N"/>
    <s v="CM15/40-SJ"/>
    <d v="2015-05-15T00:00:00"/>
    <x v="6"/>
    <x v="2"/>
    <x v="2"/>
    <s v="     75601"/>
    <x v="0"/>
    <n v="1200000"/>
    <n v="1110000"/>
    <n v="55.5"/>
    <n v="1200000"/>
    <n v="0"/>
    <s v="KG"/>
    <n v="0"/>
  </r>
  <r>
    <s v=" 668266601"/>
    <s v="CM15/41-SJ"/>
    <s v="N"/>
    <s v="CM15/41-SJ"/>
    <d v="2015-05-16T00:00:00"/>
    <x v="6"/>
    <x v="0"/>
    <x v="0"/>
    <s v="     75601"/>
    <x v="0"/>
    <n v="8860"/>
    <n v="8195.5"/>
    <n v="55.5"/>
    <n v="8860"/>
    <n v="0"/>
    <s v="KG"/>
    <n v="0"/>
  </r>
  <r>
    <s v=" 685954301"/>
    <s v="CM15/44-SJ"/>
    <s v="N"/>
    <s v="CM15/44-SJ"/>
    <d v="2015-06-09T00:00:00"/>
    <x v="6"/>
    <x v="0"/>
    <x v="0"/>
    <s v="     75601"/>
    <x v="0"/>
    <n v="1489394"/>
    <n v="1340454.6000000001"/>
    <n v="54"/>
    <n v="1489394"/>
    <n v="0"/>
    <s v="KG"/>
    <n v="0"/>
  </r>
  <r>
    <s v=" 688765001"/>
    <s v="CM15/45-SJ"/>
    <s v="N"/>
    <s v="CM15/45-SJ"/>
    <d v="2015-06-12T00:00:00"/>
    <x v="6"/>
    <x v="0"/>
    <x v="0"/>
    <s v="     75601"/>
    <x v="0"/>
    <n v="391800"/>
    <n v="143891"/>
    <n v="22.035375191424198"/>
    <n v="391800"/>
    <n v="0"/>
    <s v="KG"/>
    <n v="0"/>
  </r>
  <r>
    <s v=" 695579901"/>
    <s v="CM15/46-SJ"/>
    <s v="N"/>
    <s v="CM15/46-SJ"/>
    <d v="2015-06-10T00:00:00"/>
    <x v="6"/>
    <x v="0"/>
    <x v="0"/>
    <s v="     75601"/>
    <x v="0"/>
    <n v="61397"/>
    <n v="18419.099999999999"/>
    <n v="18"/>
    <n v="60600"/>
    <n v="797"/>
    <s v="KG"/>
    <n v="0"/>
  </r>
  <r>
    <s v=" 705882001"/>
    <s v="CM15/47-SJ"/>
    <s v="N"/>
    <s v="CM15/47-SJ"/>
    <d v="2015-07-02T00:00:00"/>
    <x v="6"/>
    <x v="0"/>
    <x v="0"/>
    <s v="     75601"/>
    <x v="0"/>
    <n v="720000"/>
    <n v="654000"/>
    <n v="54.5"/>
    <n v="719833"/>
    <n v="167"/>
    <s v="KG"/>
    <n v="0"/>
  </r>
  <r>
    <s v=" 841191501"/>
    <s v="15/04-SJ"/>
    <s v="N"/>
    <s v="15/04-SJ"/>
    <d v="2015-11-16T00:00:00"/>
    <x v="7"/>
    <x v="0"/>
    <x v="0"/>
    <s v="     75601"/>
    <x v="0"/>
    <n v="20350"/>
    <n v="25030.5"/>
    <n v="73.8"/>
    <n v="20350"/>
    <n v="0"/>
    <s v="KG"/>
    <n v="0"/>
  </r>
  <r>
    <s v=" 695701701"/>
    <s v="CM15/14-MI"/>
    <s v="N"/>
    <s v="CM15/14-MI"/>
    <d v="2015-06-10T00:00:00"/>
    <x v="8"/>
    <x v="3"/>
    <x v="3"/>
    <s v="     75601"/>
    <x v="0"/>
    <n v="180060"/>
    <n v="54018"/>
    <n v="18"/>
    <n v="119760"/>
    <n v="60300"/>
    <s v="KG"/>
    <n v="0"/>
  </r>
  <r>
    <s v=" 550951701"/>
    <s v="CM15/15-SJ"/>
    <s v="N"/>
    <s v="CM15/15-SJ"/>
    <d v="2014-11-17T00:00:00"/>
    <x v="9"/>
    <x v="0"/>
    <x v="0"/>
    <s v="      3501"/>
    <x v="1"/>
    <n v="10000000"/>
    <n v="3040000"/>
    <n v="18.240000000000002"/>
    <n v="10000000"/>
    <n v="0"/>
    <s v="KG"/>
    <n v="0"/>
  </r>
  <r>
    <s v=" 569840501"/>
    <s v="CM15/16-SJ"/>
    <s v="N"/>
    <s v="CM15/16-SJ"/>
    <d v="2014-12-23T00:00:00"/>
    <x v="9"/>
    <x v="0"/>
    <x v="0"/>
    <s v="      3501"/>
    <x v="1"/>
    <n v="6000000"/>
    <n v="2000000"/>
    <n v="20"/>
    <n v="6000000"/>
    <n v="0"/>
    <s v="KG"/>
    <n v="0"/>
  </r>
  <r>
    <s v=" 569841601"/>
    <s v="CM15/17-SJ"/>
    <s v="N"/>
    <s v="CM15/17-SJ"/>
    <d v="2014-12-23T00:00:00"/>
    <x v="9"/>
    <x v="0"/>
    <x v="0"/>
    <s v="      3501"/>
    <x v="1"/>
    <n v="6000000"/>
    <n v="2000000"/>
    <n v="20"/>
    <n v="6000000"/>
    <n v="0"/>
    <s v="KG"/>
    <n v="0"/>
  </r>
  <r>
    <s v=" 585544701"/>
    <s v="CM15/27-SJ"/>
    <s v="N"/>
    <s v="CM15/27-SJ"/>
    <d v="2015-01-26T00:00:00"/>
    <x v="9"/>
    <x v="0"/>
    <x v="0"/>
    <s v="      3501"/>
    <x v="1"/>
    <n v="34680"/>
    <n v="11560"/>
    <n v="20"/>
    <n v="34680"/>
    <n v="0"/>
    <s v="KG"/>
    <n v="0"/>
  </r>
  <r>
    <s v=" 601640801"/>
    <s v="CM15/29-SJ"/>
    <s v="N"/>
    <s v="CM15/29-SJ"/>
    <d v="2015-02-13T00:00:00"/>
    <x v="9"/>
    <x v="0"/>
    <x v="0"/>
    <s v="      3501"/>
    <x v="1"/>
    <n v="20000000"/>
    <n v="6080000"/>
    <n v="18.240000000000002"/>
    <n v="20001861"/>
    <n v="-1861"/>
    <s v="KG"/>
    <n v="0"/>
  </r>
  <r>
    <s v=" 617069401"/>
    <s v="CM15/30-SJ"/>
    <s v="N"/>
    <s v="CM15/30-SJ"/>
    <d v="2015-03-04T00:00:00"/>
    <x v="9"/>
    <x v="0"/>
    <x v="0"/>
    <s v="      3501"/>
    <x v="1"/>
    <n v="10648"/>
    <n v="3236.99"/>
    <n v="18.239988730278"/>
    <n v="8787"/>
    <n v="1861"/>
    <s v="KG"/>
    <n v="0"/>
  </r>
  <r>
    <s v=" 742480701"/>
    <s v="CM15/50-SJ"/>
    <s v="N"/>
    <s v="CM15/50-SJ"/>
    <d v="2015-08-11T00:00:00"/>
    <x v="9"/>
    <x v="0"/>
    <x v="0"/>
    <s v="     75601"/>
    <x v="0"/>
    <n v="600000"/>
    <n v="610000"/>
    <n v="61"/>
    <n v="400800"/>
    <n v="199200"/>
    <s v="KG"/>
    <n v="0"/>
  </r>
  <r>
    <s v=" 742496301"/>
    <s v="CM15/51-SJ"/>
    <s v="N"/>
    <s v="CM15/51-SJ"/>
    <d v="2015-08-11T00:00:00"/>
    <x v="9"/>
    <x v="0"/>
    <x v="0"/>
    <s v="     75601"/>
    <x v="0"/>
    <n v="1200000"/>
    <n v="1220000"/>
    <n v="61"/>
    <n v="1200000"/>
    <n v="0"/>
    <s v="KG"/>
    <n v="0"/>
  </r>
  <r>
    <s v=" 742527601"/>
    <s v="CM15/52-SJ"/>
    <s v="N"/>
    <s v="CM15/52-SJ"/>
    <d v="2015-08-11T00:00:00"/>
    <x v="9"/>
    <x v="0"/>
    <x v="0"/>
    <s v="     75601"/>
    <x v="0"/>
    <n v="1800000"/>
    <n v="1800000"/>
    <n v="60"/>
    <n v="1800000"/>
    <n v="0"/>
    <s v="KG"/>
    <n v="0"/>
  </r>
  <r>
    <s v=" 550918801"/>
    <s v="CM15/01-MI"/>
    <s v="N"/>
    <s v="CM15/01-MI"/>
    <d v="2014-11-17T00:00:00"/>
    <x v="10"/>
    <x v="3"/>
    <x v="3"/>
    <s v="     75601"/>
    <x v="0"/>
    <n v="12000000"/>
    <n v="3300000"/>
    <n v="16.5"/>
    <n v="12109121"/>
    <n v="-109121"/>
    <s v="KG"/>
    <n v="0"/>
  </r>
  <r>
    <s v=" 696164101"/>
    <s v="CM15/02-MI"/>
    <s v="N"/>
    <s v="CM15/02-MI"/>
    <d v="2015-04-01T00:00:00"/>
    <x v="10"/>
    <x v="3"/>
    <x v="3"/>
    <s v="     75601"/>
    <x v="0"/>
    <n v="9000000"/>
    <n v="2475000"/>
    <n v="16.5"/>
    <n v="9000000"/>
    <n v="0"/>
    <s v="KG"/>
    <n v="0"/>
  </r>
  <r>
    <s v=" 696168101"/>
    <s v="CM15/03-MI"/>
    <s v="N"/>
    <s v="CM15/03-MI"/>
    <d v="2015-04-01T00:00:00"/>
    <x v="10"/>
    <x v="3"/>
    <x v="3"/>
    <s v="     75601"/>
    <x v="0"/>
    <n v="9000000"/>
    <n v="2625000"/>
    <n v="17.5"/>
    <n v="4343317"/>
    <n v="4656683"/>
    <s v="KG"/>
    <n v="0"/>
  </r>
  <r>
    <s v=" 696063101"/>
    <s v="CM15/06-MI"/>
    <s v="N"/>
    <s v="CM15/06-MI"/>
    <d v="2015-06-03T00:00:00"/>
    <x v="10"/>
    <x v="3"/>
    <x v="3"/>
    <s v="     75601"/>
    <x v="0"/>
    <n v="6000000"/>
    <n v="1550000"/>
    <n v="15.5"/>
    <n v="6000000"/>
    <n v="0"/>
    <s v="KG"/>
    <n v="0"/>
  </r>
  <r>
    <s v=" 696064801"/>
    <s v="CM15/07-MI"/>
    <s v="N"/>
    <s v="CM15/07-MI"/>
    <d v="2015-05-29T00:00:00"/>
    <x v="10"/>
    <x v="3"/>
    <x v="3"/>
    <s v="     75601"/>
    <x v="0"/>
    <n v="6000000"/>
    <n v="1550000"/>
    <n v="15.5"/>
    <n v="6000000"/>
    <n v="0"/>
    <s v="KG"/>
    <n v="0"/>
  </r>
  <r>
    <s v=" 696067001"/>
    <s v="CM15/08-MI"/>
    <s v="N"/>
    <s v="CM15/08-MI"/>
    <d v="2015-05-29T00:00:00"/>
    <x v="10"/>
    <x v="3"/>
    <x v="3"/>
    <s v="     75601"/>
    <x v="0"/>
    <n v="6000000"/>
    <n v="1550000"/>
    <n v="15.5"/>
    <n v="6000000"/>
    <n v="0"/>
    <s v="KG"/>
    <n v="0"/>
  </r>
  <r>
    <s v=" 696084801"/>
    <s v="CM15/09-MI"/>
    <s v="N"/>
    <s v="CM15/09-MI"/>
    <d v="2015-05-29T00:00:00"/>
    <x v="10"/>
    <x v="3"/>
    <x v="3"/>
    <s v="     75601"/>
    <x v="0"/>
    <n v="6000000"/>
    <n v="1550000"/>
    <n v="15.5"/>
    <n v="5999822"/>
    <n v="178"/>
    <s v="KG"/>
    <n v="0"/>
  </r>
  <r>
    <s v=" 688419801"/>
    <s v="CM15/10-MI"/>
    <s v="N"/>
    <s v="CM15/10-MI"/>
    <d v="2015-06-05T00:00:00"/>
    <x v="10"/>
    <x v="3"/>
    <x v="3"/>
    <s v="     75601"/>
    <x v="0"/>
    <n v="6000000"/>
    <n v="1700000"/>
    <n v="17"/>
    <n v="6404420"/>
    <n v="-404420"/>
    <s v="KG"/>
    <n v="0"/>
  </r>
  <r>
    <s v=" 696125401"/>
    <s v="CM15/11-MI"/>
    <s v="N"/>
    <s v="CM15/11-MI"/>
    <d v="2015-06-05T00:00:00"/>
    <x v="10"/>
    <x v="3"/>
    <x v="3"/>
    <s v="     75601"/>
    <x v="0"/>
    <n v="3000000"/>
    <n v="850000"/>
    <n v="17"/>
    <n v="882346"/>
    <n v="2117654"/>
    <s v="KG"/>
    <n v="0"/>
  </r>
  <r>
    <s v=" 539025801"/>
    <s v="CM15/11-SJ"/>
    <s v="N"/>
    <s v="CM15/11-SJ"/>
    <d v="2014-10-24T00:00:00"/>
    <x v="10"/>
    <x v="0"/>
    <x v="0"/>
    <s v="      3501"/>
    <x v="1"/>
    <n v="6000000"/>
    <n v="1800000"/>
    <n v="18"/>
    <n v="6000795"/>
    <n v="-795"/>
    <s v="KG"/>
    <n v="0"/>
  </r>
  <r>
    <s v=" 696130101"/>
    <s v="CM15/15-MI"/>
    <s v="N"/>
    <s v="CM15/15-MI"/>
    <d v="2015-06-05T00:00:00"/>
    <x v="10"/>
    <x v="3"/>
    <x v="3"/>
    <s v="     75601"/>
    <x v="0"/>
    <n v="3000000"/>
    <n v="850000"/>
    <n v="17"/>
    <n v="3115422"/>
    <n v="-115422"/>
    <s v="KG"/>
    <n v="0"/>
  </r>
  <r>
    <s v=" 698165201"/>
    <s v="CM15/16-MI"/>
    <s v="N"/>
    <s v="CM15/16-MI"/>
    <d v="2015-06-23T00:00:00"/>
    <x v="10"/>
    <x v="3"/>
    <x v="3"/>
    <s v="     75601"/>
    <x v="0"/>
    <n v="1000000"/>
    <n v="200000"/>
    <n v="12"/>
    <n v="1000000"/>
    <n v="0"/>
    <s v="KG"/>
    <n v="0"/>
  </r>
  <r>
    <s v=" 574506501"/>
    <s v="CM15/18-SJ"/>
    <s v="N"/>
    <s v="CM15/18-SJ"/>
    <d v="2015-01-13T00:00:00"/>
    <x v="10"/>
    <x v="0"/>
    <x v="0"/>
    <s v="     75601"/>
    <x v="0"/>
    <n v="3000000"/>
    <n v="2600000"/>
    <n v="52"/>
    <n v="2537610"/>
    <n v="462390"/>
    <s v="KG"/>
    <n v="0"/>
  </r>
  <r>
    <s v=" 708113401"/>
    <s v="CM15/19-MI"/>
    <s v="N"/>
    <s v="CM15/19-MI"/>
    <d v="2015-07-06T00:00:00"/>
    <x v="10"/>
    <x v="3"/>
    <x v="3"/>
    <s v="     75601"/>
    <x v="0"/>
    <n v="12000000"/>
    <n v="3440000"/>
    <n v="17.2"/>
    <n v="12000000"/>
    <n v="0"/>
    <s v="KG"/>
    <n v="0"/>
  </r>
  <r>
    <s v=" 574505401"/>
    <s v="CM15/19-SJ"/>
    <s v="N"/>
    <s v="CM15/19-SJ"/>
    <d v="2015-01-13T00:00:00"/>
    <x v="10"/>
    <x v="0"/>
    <x v="0"/>
    <s v="     75601"/>
    <x v="0"/>
    <n v="3000000"/>
    <n v="2600000"/>
    <n v="52"/>
    <n v="3203045"/>
    <n v="-203045"/>
    <s v="KG"/>
    <n v="0"/>
  </r>
  <r>
    <s v=" 728789101"/>
    <s v="CM15/22-MI"/>
    <s v="N"/>
    <s v="CM15/22-MI"/>
    <d v="2015-07-29T00:00:00"/>
    <x v="10"/>
    <x v="3"/>
    <x v="3"/>
    <s v="     75601"/>
    <x v="0"/>
    <n v="6000000"/>
    <n v="1700000"/>
    <n v="17"/>
    <n v="6000000"/>
    <n v="0"/>
    <s v="KG"/>
    <n v="0"/>
  </r>
  <r>
    <s v=" 582764001"/>
    <s v="CM15/25-SJ"/>
    <s v="N"/>
    <s v="CM15/25-SJ"/>
    <d v="2015-02-04T00:00:00"/>
    <x v="10"/>
    <x v="0"/>
    <x v="0"/>
    <s v="     75601"/>
    <x v="0"/>
    <n v="4800000"/>
    <n v="4560000"/>
    <n v="57"/>
    <n v="4800040"/>
    <n v="-40"/>
    <s v="KG"/>
    <n v="0"/>
  </r>
  <r>
    <s v=" 594705801"/>
    <s v="CM15/28-SJ"/>
    <s v="N"/>
    <s v="CM15/28-SJ"/>
    <d v="2015-02-05T00:00:00"/>
    <x v="10"/>
    <x v="0"/>
    <x v="0"/>
    <s v="     75601"/>
    <x v="0"/>
    <n v="1200000"/>
    <n v="1020000"/>
    <n v="51"/>
    <n v="1200000"/>
    <n v="0"/>
    <s v="KG"/>
    <n v="0"/>
  </r>
  <r>
    <s v=" 776842201"/>
    <s v="CM15/29-MI"/>
    <s v="N"/>
    <s v="CM15/29-MI"/>
    <d v="2015-09-16T00:00:00"/>
    <x v="10"/>
    <x v="3"/>
    <x v="3"/>
    <s v="     75601"/>
    <x v="0"/>
    <n v="2704000"/>
    <n v="858069.33"/>
    <n v="19.039999926035499"/>
    <n v="2704000"/>
    <n v="0"/>
    <s v="KG"/>
    <n v="0"/>
  </r>
  <r>
    <s v=" 709279201"/>
    <s v="CM15/31-SJ"/>
    <s v="N"/>
    <s v="CM15/31-SJ"/>
    <d v="2015-07-01T00:00:00"/>
    <x v="10"/>
    <x v="0"/>
    <x v="0"/>
    <s v="     75601"/>
    <x v="0"/>
    <n v="64980"/>
    <n v="45486"/>
    <n v="42"/>
    <n v="50000"/>
    <n v="14980"/>
    <s v="KG"/>
    <n v="0"/>
  </r>
  <r>
    <s v=" 633509401"/>
    <s v="CM15/31-SJ"/>
    <s v="N"/>
    <s v="CM15/31-SJ"/>
    <d v="2015-03-01T00:00:00"/>
    <x v="10"/>
    <x v="0"/>
    <x v="0"/>
    <s v="     75601"/>
    <x v="0"/>
    <n v="1800000"/>
    <n v="1680000"/>
    <n v="56"/>
    <n v="1777157"/>
    <n v="22843"/>
    <s v="KG"/>
    <n v="0"/>
  </r>
  <r>
    <s v=" 639775101"/>
    <s v="CM15/34-SJ"/>
    <s v="N"/>
    <s v="CM15/34-SJ"/>
    <d v="2015-04-09T00:00:00"/>
    <x v="10"/>
    <x v="0"/>
    <x v="0"/>
    <s v="     75601"/>
    <x v="0"/>
    <n v="1000000"/>
    <n v="941666.68"/>
    <n v="56.500000800000002"/>
    <n v="1000000"/>
    <n v="0"/>
    <s v="KG"/>
    <n v="0"/>
  </r>
  <r>
    <s v=" 657123801"/>
    <s v="CM15/37-SJ"/>
    <s v="N"/>
    <s v="CM15/37-SJ"/>
    <d v="2015-04-29T00:00:00"/>
    <x v="10"/>
    <x v="0"/>
    <x v="0"/>
    <s v="     75601"/>
    <x v="0"/>
    <n v="328988"/>
    <n v="230291.6"/>
    <n v="42"/>
    <n v="250000"/>
    <n v="78988"/>
    <s v="KG"/>
    <n v="0"/>
  </r>
  <r>
    <s v=" 657135001"/>
    <s v="CM15/38-SJ"/>
    <s v="N"/>
    <s v="CM15/38-SJ"/>
    <d v="2015-04-29T00:00:00"/>
    <x v="10"/>
    <x v="2"/>
    <x v="2"/>
    <s v="     75601"/>
    <x v="0"/>
    <n v="256523"/>
    <n v="179566.1"/>
    <n v="42"/>
    <n v="246200"/>
    <n v="10323"/>
    <s v="KG"/>
    <n v="0"/>
  </r>
  <r>
    <s v=" 676164201"/>
    <s v="CM15/42-SJ"/>
    <s v="N"/>
    <s v="CM15/42-SJ"/>
    <d v="2015-05-27T00:00:00"/>
    <x v="10"/>
    <x v="0"/>
    <x v="0"/>
    <s v="     75601"/>
    <x v="0"/>
    <n v="600000"/>
    <n v="540000"/>
    <n v="54"/>
    <n v="600000"/>
    <n v="0"/>
    <s v="KG"/>
    <n v="0"/>
  </r>
  <r>
    <s v=" 678166801"/>
    <s v="CM15/43-SJ"/>
    <s v="N"/>
    <s v="CM15/43-SJ"/>
    <d v="2015-05-01T00:00:00"/>
    <x v="10"/>
    <x v="0"/>
    <x v="0"/>
    <s v="     75601"/>
    <x v="0"/>
    <n v="749676"/>
    <n v="482866.6"/>
    <n v="38.6460230819714"/>
    <n v="749676"/>
    <n v="0"/>
    <s v="KG"/>
    <n v="0"/>
  </r>
  <r>
    <s v=" 708397901"/>
    <s v="CM15/20-MI"/>
    <s v="N"/>
    <s v="CM15/20-MI"/>
    <d v="2015-07-07T00:00:00"/>
    <x v="11"/>
    <x v="3"/>
    <x v="3"/>
    <s v="     75601"/>
    <x v="0"/>
    <n v="3000"/>
    <n v="900"/>
    <n v="18"/>
    <n v="3000"/>
    <n v="0"/>
    <s v="KG"/>
    <n v="0"/>
  </r>
  <r>
    <s v=" 733732501"/>
    <s v="CM15/24-MI"/>
    <s v="N"/>
    <s v="CM15/24-MI"/>
    <d v="2015-08-04T00:00:00"/>
    <x v="11"/>
    <x v="3"/>
    <x v="3"/>
    <s v="     75601"/>
    <x v="0"/>
    <n v="16660"/>
    <n v="4998"/>
    <n v="18"/>
    <n v="16660"/>
    <n v="0"/>
    <s v="KG"/>
    <n v="0"/>
  </r>
  <r>
    <s v=" 778497601"/>
    <s v="CM15/30-MI"/>
    <s v="N"/>
    <s v="CM15/30-MI"/>
    <d v="2015-09-18T00:00:00"/>
    <x v="11"/>
    <x v="3"/>
    <x v="3"/>
    <s v="     75601"/>
    <x v="0"/>
    <n v="25580"/>
    <n v="7674"/>
    <n v="18"/>
    <n v="25580"/>
    <n v="0"/>
    <s v="KG"/>
    <n v="0"/>
  </r>
  <r>
    <s v=" 802925601"/>
    <s v="CM15/32-MI"/>
    <s v="N"/>
    <s v="CM15/32-MI"/>
    <d v="2015-10-14T00:00:00"/>
    <x v="11"/>
    <x v="3"/>
    <x v="3"/>
    <s v="     75601"/>
    <x v="0"/>
    <n v="31560"/>
    <n v="9468"/>
    <n v="18"/>
    <n v="29100"/>
    <n v="2460"/>
    <s v="KG"/>
    <n v="0"/>
  </r>
  <r>
    <s v=" 803749901"/>
    <s v="CM15/03-ARZ"/>
    <s v="N"/>
    <s v="CM15/03-ARZ"/>
    <d v="2015-10-15T00:00:00"/>
    <x v="12"/>
    <x v="1"/>
    <x v="1"/>
    <s v="     75601"/>
    <x v="0"/>
    <n v="46620"/>
    <n v="32802.300000000003"/>
    <n v="42.216602316602298"/>
    <n v="46620"/>
    <n v="0"/>
    <s v="KG"/>
    <n v="0"/>
  </r>
  <r>
    <s v=" 615093001"/>
    <s v="CM15/01-ARZ"/>
    <s v="N"/>
    <s v="CM15/01-ARZ"/>
    <d v="2015-02-27T00:00:00"/>
    <x v="13"/>
    <x v="1"/>
    <x v="1"/>
    <s v="     75601"/>
    <x v="0"/>
    <n v="1556225"/>
    <n v="840361.5"/>
    <n v="32.4"/>
    <n v="1527179"/>
    <n v="29046"/>
    <s v="KG"/>
    <n v="0"/>
  </r>
  <r>
    <s v=" 706135401"/>
    <s v="CM15/17-MI"/>
    <s v="N"/>
    <s v="CM15/17-MI"/>
    <d v="2015-07-02T00:00:00"/>
    <x v="13"/>
    <x v="3"/>
    <x v="3"/>
    <s v="     75601"/>
    <x v="0"/>
    <n v="345854"/>
    <n v="69170.8"/>
    <n v="12"/>
    <n v="255291"/>
    <n v="90563"/>
    <s v="KG"/>
    <n v="0"/>
  </r>
  <r>
    <s v=" 763748001"/>
    <s v="CM15/28-MI"/>
    <s v="N"/>
    <s v="CM15/28-MI"/>
    <d v="2015-08-31T00:00:00"/>
    <x v="13"/>
    <x v="3"/>
    <x v="3"/>
    <s v="     75601"/>
    <x v="0"/>
    <n v="362040"/>
    <n v="72408"/>
    <n v="12"/>
    <n v="362040"/>
    <n v="0"/>
    <s v="KG"/>
    <n v="0"/>
  </r>
  <r>
    <s v=" 646000901"/>
    <s v="DEV.RMS15/01"/>
    <s v="N"/>
    <s v="DEV.RMS15/01"/>
    <d v="2015-04-13T00:00:00"/>
    <x v="14"/>
    <x v="0"/>
    <x v="0"/>
    <s v="     75601"/>
    <x v="0"/>
    <n v="530060"/>
    <n v="371042"/>
    <n v="42"/>
    <n v="530060"/>
    <n v="0"/>
    <s v="KG"/>
    <n v="0"/>
  </r>
  <r>
    <s v=" 807831501"/>
    <s v="15/03-SJ"/>
    <s v="N"/>
    <s v="15/03-SJ"/>
    <d v="2015-10-20T00:00:00"/>
    <x v="15"/>
    <x v="0"/>
    <x v="0"/>
    <s v="     75601"/>
    <x v="0"/>
    <n v="82400"/>
    <n v="101352"/>
    <n v="73.8"/>
    <n v="54650"/>
    <n v="27750"/>
    <s v="KG"/>
    <n v="0"/>
  </r>
  <r>
    <s v=" 550946801"/>
    <s v="CM15/14-SJ"/>
    <s v="N"/>
    <s v="CM15/14-SJ"/>
    <d v="2014-11-17T00:00:00"/>
    <x v="16"/>
    <x v="2"/>
    <x v="2"/>
    <s v="     75601"/>
    <x v="0"/>
    <n v="118200"/>
    <n v="110320"/>
    <n v="56"/>
    <n v="0"/>
    <n v="118200"/>
    <s v="KG"/>
    <n v="0"/>
  </r>
  <r>
    <s v=" 784091501"/>
    <s v="SMT15/01-SJ"/>
    <s v="N"/>
    <s v="SMT15/01-SJ"/>
    <d v="2015-09-23T00:00:00"/>
    <x v="17"/>
    <x v="2"/>
    <x v="2"/>
    <s v="     75601"/>
    <x v="0"/>
    <n v="800000"/>
    <n v="1000000"/>
    <n v="75"/>
    <n v="798572"/>
    <n v="1428"/>
    <s v="KG"/>
    <n v="0"/>
  </r>
  <r>
    <s v=" 784093201"/>
    <s v="SMT15/02-SJ"/>
    <s v="N"/>
    <s v="SMT15/02-SJ"/>
    <d v="2015-09-23T00:00:00"/>
    <x v="17"/>
    <x v="0"/>
    <x v="0"/>
    <s v="     75601"/>
    <x v="0"/>
    <n v="900000"/>
    <n v="1125000"/>
    <n v="75"/>
    <n v="896130"/>
    <n v="3870"/>
    <s v="KG"/>
    <n v="0"/>
  </r>
  <r>
    <s v=" 821531001"/>
    <s v="CM15/05-ARZ"/>
    <s v="N"/>
    <s v="CM15/05-ARZ"/>
    <d v="2015-11-03T00:00:00"/>
    <x v="18"/>
    <x v="1"/>
    <x v="1"/>
    <s v="     75601"/>
    <x v="0"/>
    <n v="20000"/>
    <n v="45000"/>
    <n v="135"/>
    <n v="20000"/>
    <n v="0"/>
    <s v="KG"/>
    <n v="0"/>
  </r>
  <r>
    <s v=" 318830701"/>
    <s v="CM15/09-SJ"/>
    <s v="N"/>
    <s v="CM15/09-SJ"/>
    <d v="2014-10-22T00:00:00"/>
    <x v="19"/>
    <x v="2"/>
    <x v="2"/>
    <s v="     75601"/>
    <x v="0"/>
    <n v="1308000"/>
    <n v="1090000"/>
    <n v="50"/>
    <n v="1308000"/>
    <n v="0"/>
    <s v="KG"/>
    <n v="0"/>
  </r>
  <r>
    <s v=" 656555401"/>
    <s v="CM15/36-SJ"/>
    <s v="N"/>
    <s v="CM15/36-SJ"/>
    <d v="2015-04-28T00:00:00"/>
    <x v="19"/>
    <x v="0"/>
    <x v="0"/>
    <s v="     75601"/>
    <x v="0"/>
    <n v="219166"/>
    <n v="182638.34"/>
    <n v="50.000001825100597"/>
    <n v="180000"/>
    <n v="39166"/>
    <s v="KG"/>
    <n v="0"/>
  </r>
  <r>
    <s v=" 646237701"/>
    <s v="CM15/05-MI"/>
    <s v="N"/>
    <s v="CM15/05-MI"/>
    <d v="2015-04-14T00:00:00"/>
    <x v="20"/>
    <x v="3"/>
    <x v="3"/>
    <s v="     75601"/>
    <x v="0"/>
    <n v="5400000"/>
    <n v="1845000"/>
    <n v="20.5"/>
    <n v="5400000"/>
    <n v="0"/>
    <s v="KG"/>
    <n v="0"/>
  </r>
  <r>
    <s v=" 710419601"/>
    <s v="CM15/21-MI"/>
    <s v="N"/>
    <s v="CM15/21-MI"/>
    <d v="2015-04-14T00:00:00"/>
    <x v="20"/>
    <x v="3"/>
    <x v="3"/>
    <s v="     75601"/>
    <x v="0"/>
    <n v="5660"/>
    <n v="1886.66"/>
    <n v="19.999929328621899"/>
    <n v="5660"/>
    <n v="0"/>
    <s v="KG"/>
    <n v="0"/>
  </r>
  <r>
    <s v=" 688434701"/>
    <s v="CM15/13-MI"/>
    <s v="N"/>
    <s v="CM15/13-MI"/>
    <d v="2015-06-11T00:00:00"/>
    <x v="21"/>
    <x v="3"/>
    <x v="3"/>
    <s v="     75601"/>
    <x v="0"/>
    <n v="175000"/>
    <n v="58333.33"/>
    <n v="19.999998857142899"/>
    <n v="175000"/>
    <n v="0"/>
    <s v="KG"/>
    <n v="0"/>
  </r>
  <r>
    <s v=" 731097301"/>
    <s v="CM15/23-MI"/>
    <s v="N"/>
    <s v="CM15/23-MI"/>
    <d v="2015-07-31T00:00:00"/>
    <x v="22"/>
    <x v="3"/>
    <x v="3"/>
    <s v="     75601"/>
    <x v="0"/>
    <n v="217670"/>
    <n v="88881.91"/>
    <n v="24.499998162355897"/>
    <n v="177341"/>
    <n v="40329"/>
    <s v="KG"/>
    <n v="0"/>
  </r>
  <r>
    <s v=" 751080101"/>
    <s v="CM15/25-MI"/>
    <s v="N"/>
    <s v="CM15/25-MI"/>
    <d v="2015-08-18T00:00:00"/>
    <x v="22"/>
    <x v="3"/>
    <x v="3"/>
    <s v="     75601"/>
    <x v="0"/>
    <n v="145560"/>
    <n v="59437"/>
    <n v="24.5"/>
    <n v="145560"/>
    <n v="0"/>
    <s v="KG"/>
    <n v="0"/>
  </r>
  <r>
    <s v=" 763736501"/>
    <s v="CM15/26-MI"/>
    <s v="N"/>
    <s v="CM15/26-MI"/>
    <d v="2015-08-27T00:00:00"/>
    <x v="22"/>
    <x v="3"/>
    <x v="3"/>
    <s v="     75601"/>
    <x v="0"/>
    <n v="28570"/>
    <n v="11666.09"/>
    <n v="24.500014000700002"/>
    <n v="28570"/>
    <n v="0"/>
    <s v="KG"/>
    <n v="0"/>
  </r>
  <r>
    <s v=" 686717601"/>
    <s v="CM15/12-MI"/>
    <s v="N"/>
    <s v="CM15/12-MI"/>
    <d v="2015-06-06T00:00:00"/>
    <x v="23"/>
    <x v="3"/>
    <x v="3"/>
    <s v="     75601"/>
    <x v="0"/>
    <n v="58740"/>
    <n v="20559"/>
    <n v="21"/>
    <n v="58740"/>
    <n v="0"/>
    <s v="KG"/>
    <n v="0"/>
  </r>
  <r>
    <s v=" 763745601"/>
    <s v="CM15/27-MI"/>
    <s v="N"/>
    <s v="CM15/27-MI"/>
    <d v="2015-09-01T00:00:00"/>
    <x v="23"/>
    <x v="3"/>
    <x v="3"/>
    <s v="     75601"/>
    <x v="0"/>
    <n v="57120"/>
    <n v="24752"/>
    <n v="26"/>
    <n v="57120"/>
    <n v="0"/>
    <s v="KG"/>
    <n v="0"/>
  </r>
  <r>
    <s v=" 805741201"/>
    <s v="CM15/31-MI"/>
    <s v="N"/>
    <s v="CM15/31-MI"/>
    <d v="2015-10-15T00:00:00"/>
    <x v="23"/>
    <x v="3"/>
    <x v="3"/>
    <s v="     75601"/>
    <x v="0"/>
    <n v="49980"/>
    <n v="21658"/>
    <n v="26"/>
    <n v="49980"/>
    <n v="0"/>
    <s v="KG"/>
    <n v="0"/>
  </r>
  <r>
    <s v=" 576915401"/>
    <s v="SMT14/017"/>
    <s v="N"/>
    <s v="SMT14/017"/>
    <d v="2015-01-15T00:00:00"/>
    <x v="24"/>
    <x v="0"/>
    <x v="0"/>
    <s v="     75601"/>
    <x v="0"/>
    <n v="10760"/>
    <n v="26900"/>
    <n v="150"/>
    <n v="10760"/>
    <n v="0"/>
    <s v="KG"/>
    <n v="0"/>
  </r>
  <r>
    <s v=" 816671601"/>
    <s v="15/04-SJ"/>
    <s v="N"/>
    <s v="15/04-SJ"/>
    <d v="2015-10-28T00:00:00"/>
    <x v="24"/>
    <x v="0"/>
    <x v="0"/>
    <s v="     75601"/>
    <x v="0"/>
    <n v="11160"/>
    <n v="13392"/>
    <n v="72"/>
    <n v="11160"/>
    <n v="0"/>
    <s v="KG"/>
    <n v="0"/>
  </r>
  <r>
    <s v=" 618148201"/>
    <s v="CM15/04-MI"/>
    <s v="N"/>
    <s v="CM15/04-MI"/>
    <d v="2015-03-06T00:00:00"/>
    <x v="25"/>
    <x v="3"/>
    <x v="3"/>
    <s v="     75601"/>
    <x v="0"/>
    <n v="1500000"/>
    <n v="416666.2"/>
    <n v="16.666647999999999"/>
    <n v="1500000"/>
    <n v="0"/>
    <s v="KG"/>
    <n v="0"/>
  </r>
  <r>
    <s v=" 550948501"/>
    <s v="CM15/12-SJ"/>
    <s v="N"/>
    <s v="CM15/12-SJ"/>
    <d v="2014-11-17T00:00:00"/>
    <x v="25"/>
    <x v="2"/>
    <x v="2"/>
    <s v="     75601"/>
    <x v="0"/>
    <n v="3600000"/>
    <n v="2400000"/>
    <n v="40"/>
    <n v="2400000"/>
    <n v="1200000"/>
    <s v="KG"/>
    <n v="0"/>
  </r>
  <r>
    <s v=" 630759101"/>
    <s v="SMT15/01-SJ"/>
    <s v="N"/>
    <s v="SMT15/01-SJ"/>
    <d v="2015-03-23T00:00:00"/>
    <x v="26"/>
    <x v="0"/>
    <x v="0"/>
    <s v="     75601"/>
    <x v="0"/>
    <n v="84000"/>
    <n v="84000"/>
    <n v="60"/>
    <n v="84000"/>
    <n v="0"/>
    <s v="KG"/>
    <n v="0"/>
  </r>
  <r>
    <s v=" 761306801"/>
    <s v="SMT15/02-SJ"/>
    <s v="N"/>
    <s v="SMT15/02-SJ"/>
    <d v="2015-08-28T00:00:00"/>
    <x v="26"/>
    <x v="0"/>
    <x v="0"/>
    <s v="     75601"/>
    <x v="0"/>
    <n v="1955000"/>
    <n v="4593213.8499999996"/>
    <n v="140.9682"/>
    <n v="1927000"/>
    <n v="28000"/>
    <s v="KG"/>
    <n v="0"/>
  </r>
  <r>
    <s v=" 841207201"/>
    <s v="15/05-SJ"/>
    <s v="N"/>
    <s v="15/05-SJ"/>
    <d v="2015-11-16T00:00:00"/>
    <x v="27"/>
    <x v="0"/>
    <x v="0"/>
    <s v="     75601"/>
    <x v="0"/>
    <n v="7400"/>
    <n v="9102"/>
    <n v="73.8"/>
    <n v="7400"/>
    <n v="0"/>
    <s v="KG"/>
    <n v="0"/>
  </r>
  <r>
    <s v=" 574485901"/>
    <s v="CM15/23-SJ"/>
    <s v="N"/>
    <s v="CM15/23-SJ"/>
    <d v="2015-01-13T00:00:00"/>
    <x v="28"/>
    <x v="0"/>
    <x v="0"/>
    <s v="     75601"/>
    <x v="0"/>
    <n v="1200000"/>
    <n v="1100004"/>
    <n v="55.0002"/>
    <n v="1200000"/>
    <n v="0"/>
    <s v="KG"/>
    <n v="0"/>
  </r>
  <r>
    <s v=" 723023801"/>
    <s v="CM15/48-SJ"/>
    <s v="N"/>
    <s v="CM15/48-SJ"/>
    <d v="2015-07-22T00:00:00"/>
    <x v="28"/>
    <x v="0"/>
    <x v="0"/>
    <s v="     75601"/>
    <x v="0"/>
    <n v="348460"/>
    <n v="324522.64"/>
    <n v="55.878317166963193"/>
    <n v="348460"/>
    <n v="0"/>
    <s v="KG"/>
    <n v="0"/>
  </r>
  <r>
    <s v=" 735212801"/>
    <s v="CM15/49-SJ"/>
    <s v="N"/>
    <s v="CM15/49-SJ"/>
    <d v="2015-08-05T00:00:00"/>
    <x v="28"/>
    <x v="0"/>
    <x v="0"/>
    <s v="     75601"/>
    <x v="0"/>
    <n v="129220"/>
    <n v="136973.20000000001"/>
    <n v="63.6"/>
    <n v="129220"/>
    <n v="0"/>
    <s v="KG"/>
    <n v="0"/>
  </r>
  <r>
    <s v=" 827328301"/>
    <s v="CM15/53-SJ"/>
    <s v="N"/>
    <s v="CM15/53-SJ"/>
    <d v="2015-11-09T00:00:00"/>
    <x v="28"/>
    <x v="0"/>
    <x v="0"/>
    <s v="     75601"/>
    <x v="0"/>
    <n v="214390"/>
    <n v="242975.33"/>
    <n v="67.999999067120712"/>
    <n v="214390"/>
    <n v="0"/>
    <s v="KG"/>
    <n v="0"/>
  </r>
  <r>
    <s v=" 755350101"/>
    <s v="PAGTO_COLHEITA"/>
    <s v="N"/>
    <s v="PAGTO_COLHEITA"/>
    <d v="2015-08-24T00:00:00"/>
    <x v="29"/>
    <x v="0"/>
    <x v="0"/>
    <s v="     75601"/>
    <x v="0"/>
    <n v="159900"/>
    <n v="143910"/>
    <n v="54"/>
    <n v="159900"/>
    <n v="0"/>
    <s v="KG"/>
    <n v="0"/>
  </r>
  <r>
    <s v=" 700551501"/>
    <s v="CM15/01-ARZ"/>
    <s v="N"/>
    <s v="CM15/01-ARZ"/>
    <d v="2015-06-26T00:00:00"/>
    <x v="30"/>
    <x v="1"/>
    <x v="1"/>
    <s v="     75601"/>
    <x v="0"/>
    <n v="56422"/>
    <n v="31539.9"/>
    <n v="33.540002126830004"/>
    <n v="56422"/>
    <n v="0"/>
    <s v="KG"/>
    <n v="0"/>
  </r>
  <r>
    <s v=" 700560501"/>
    <s v="CM15/02-ARZ"/>
    <s v="N"/>
    <s v="CM15/02-ARZ"/>
    <d v="2015-06-26T00:00:00"/>
    <x v="30"/>
    <x v="1"/>
    <x v="1"/>
    <s v="     75601"/>
    <x v="0"/>
    <n v="5093"/>
    <n v="1578.83"/>
    <n v="18.600000000000001"/>
    <n v="5093"/>
    <n v="0"/>
    <s v="KG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Dados" updatedVersion="6" showMemberPropertyTips="0" useAutoFormatting="1" rowGrandTotals="0" colGrandTotals="0" itemPrintTitles="1" createdVersion="1" indent="0" compact="0" compactData="0" gridDropZones="1">
  <location ref="A3:H22" firstHeaderRow="1" firstDataRow="2" firstDataCol="3"/>
  <pivotFields count="17"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numFmtId="22" outline="0" subtotalTop="0" showAll="0" includeNewItemsInFilter="1" defaultSubtotal="0"/>
    <pivotField axis="axisRow" compact="0" outline="0" subtotalTop="0" showAll="0" includeNewItemsInFilter="1" defaultSubtotal="0">
      <items count="32">
        <item h="1" x="0"/>
        <item x="2"/>
        <item x="6"/>
        <item h="1" x="8"/>
        <item x="9"/>
        <item x="10"/>
        <item h="1" m="1" x="31"/>
        <item h="1" x="13"/>
        <item h="1" x="14"/>
        <item h="1" x="16"/>
        <item h="1" x="19"/>
        <item h="1" x="20"/>
        <item h="1" x="21"/>
        <item h="1" x="23"/>
        <item h="1" x="24"/>
        <item h="1" x="25"/>
        <item h="1" x="26"/>
        <item x="28"/>
        <item h="1" x="30"/>
        <item x="11"/>
        <item x="22"/>
        <item x="29"/>
        <item x="5"/>
        <item x="12"/>
        <item x="15"/>
        <item x="17"/>
        <item x="1"/>
        <item x="3"/>
        <item x="4"/>
        <item x="7"/>
        <item x="18"/>
        <item x="27"/>
      </items>
    </pivotField>
    <pivotField compact="0" outline="0" subtotalTop="0" showAll="0" includeNewItemsInFilter="1" defaultSubtotal="0"/>
    <pivotField axis="axisRow" compact="0" outline="0" subtotalTop="0" showAll="0" includeNewItemsInFilter="1" defaultSubtotal="0">
      <items count="4">
        <item h="1" x="1"/>
        <item h="1" x="3"/>
        <item x="2"/>
        <item x="0"/>
      </items>
    </pivotField>
    <pivotField compact="0" outline="0" subtotalTop="0" showAll="0" includeNewItemsInFilter="1" defaultSubtotal="0"/>
    <pivotField axis="axisRow" compact="0" outline="0" subtotalTop="0" showAll="0" includeNewItemsInFilter="1" defaultSubtotal="0">
      <items count="2">
        <item x="0"/>
        <item x="1"/>
      </items>
    </pivotField>
    <pivotField dataField="1" compact="0" outline="0" subtotalTop="0" showAll="0" includeNewItemsInFilter="1" defaultSubtotal="0"/>
    <pivotField dataField="1" compact="0" numFmtId="166" outline="0" subtotalTop="0" showAll="0" includeNewItemsInFilter="1" defaultSubtotal="0"/>
    <pivotField dataField="1"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numFmtId="166" outline="0" subtotalTop="0" showAll="0" includeNewItemsInFilter="1" defaultSubtotal="0"/>
  </pivotFields>
  <rowFields count="3">
    <field x="5"/>
    <field x="7"/>
    <field x="9"/>
  </rowFields>
  <rowItems count="18">
    <i>
      <x v="1"/>
      <x v="2"/>
      <x/>
    </i>
    <i>
      <x v="2"/>
      <x v="2"/>
      <x/>
    </i>
    <i r="2">
      <x v="1"/>
    </i>
    <i r="1">
      <x v="3"/>
      <x/>
    </i>
    <i r="2">
      <x v="1"/>
    </i>
    <i>
      <x v="4"/>
      <x v="3"/>
      <x/>
    </i>
    <i r="2">
      <x v="1"/>
    </i>
    <i>
      <x v="5"/>
      <x v="2"/>
      <x/>
    </i>
    <i r="1">
      <x v="3"/>
      <x/>
    </i>
    <i r="2">
      <x v="1"/>
    </i>
    <i>
      <x v="17"/>
      <x v="3"/>
      <x/>
    </i>
    <i>
      <x v="21"/>
      <x v="3"/>
      <x/>
    </i>
    <i>
      <x v="24"/>
      <x v="3"/>
      <x/>
    </i>
    <i>
      <x v="25"/>
      <x v="2"/>
      <x/>
    </i>
    <i r="1">
      <x v="3"/>
      <x/>
    </i>
    <i>
      <x v="27"/>
      <x v="3"/>
      <x/>
    </i>
    <i>
      <x v="29"/>
      <x v="3"/>
      <x/>
    </i>
    <i>
      <x v="31"/>
      <x v="3"/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oma de VALOR_UNITARIO" fld="12" baseField="0" baseItem="0"/>
    <dataField name="Soma de QUANTIDADE" fld="10" baseField="0" baseItem="0" numFmtId="166"/>
    <dataField name="Soma de QTD_FAT" fld="13" baseField="0" baseItem="0"/>
    <dataField name="Soma de VALOR_TOTAL" fld="11" baseField="0" baseItem="0"/>
    <dataField name="Soma de RECEBER" fld="16" baseField="0" baseItem="0"/>
  </dataFields>
  <formats count="1">
    <format dxfId="3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Dados" updatedVersion="6" showMemberPropertyTips="0" useAutoFormatting="1" itemPrintTitles="1" createdVersion="1" indent="0" compact="0" compactData="0" gridDropZones="1">
  <location ref="R18:W129" firstHeaderRow="1" firstDataRow="2" firstDataCol="3"/>
  <pivotFields count="1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axis="axisRow" compact="0" outline="0" subtotalTop="0" showAll="0" includeNewItemsInFilter="1">
      <items count="33">
        <item x="0"/>
        <item x="2"/>
        <item x="6"/>
        <item x="9"/>
        <item x="10"/>
        <item m="1" x="31"/>
        <item x="16"/>
        <item x="19"/>
        <item x="24"/>
        <item sd="0" x="25"/>
        <item x="26"/>
        <item x="28"/>
        <item x="13"/>
        <item x="20"/>
        <item x="14"/>
        <item x="23"/>
        <item x="30"/>
        <item x="21"/>
        <item x="8"/>
        <item x="11"/>
        <item x="22"/>
        <item x="29"/>
        <item x="5"/>
        <item x="12"/>
        <item x="15"/>
        <item x="17"/>
        <item x="1"/>
        <item x="3"/>
        <item x="4"/>
        <item x="7"/>
        <item x="18"/>
        <item x="27"/>
        <item t="default"/>
      </items>
    </pivotField>
    <pivotField axis="axisRow" compact="0" outline="0" subtotalTop="0" showAll="0" includeNewItemsInFilter="1">
      <items count="6">
        <item x="0"/>
        <item x="3"/>
        <item x="2"/>
        <item x="1"/>
        <item m="1"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66" outline="0" subtotalTop="0" showAll="0" includeNewItemsInFilter="1" defaultSubtotal="0"/>
  </pivotFields>
  <rowFields count="3">
    <field x="5"/>
    <field x="6"/>
    <field x="9"/>
  </rowFields>
  <rowItems count="110">
    <i>
      <x/>
      <x/>
      <x/>
    </i>
    <i t="default" r="1">
      <x/>
    </i>
    <i t="default">
      <x/>
    </i>
    <i>
      <x v="1"/>
      <x v="2"/>
      <x/>
    </i>
    <i t="default" r="1">
      <x v="2"/>
    </i>
    <i t="default">
      <x v="1"/>
    </i>
    <i>
      <x v="2"/>
      <x/>
      <x/>
    </i>
    <i r="2">
      <x v="1"/>
    </i>
    <i t="default" r="1">
      <x/>
    </i>
    <i r="1">
      <x v="1"/>
      <x/>
    </i>
    <i t="default" r="1">
      <x v="1"/>
    </i>
    <i r="1">
      <x v="2"/>
      <x/>
    </i>
    <i r="2">
      <x v="1"/>
    </i>
    <i t="default" r="1">
      <x v="2"/>
    </i>
    <i t="default">
      <x v="2"/>
    </i>
    <i>
      <x v="3"/>
      <x/>
      <x/>
    </i>
    <i r="2">
      <x v="1"/>
    </i>
    <i t="default" r="1">
      <x/>
    </i>
    <i t="default">
      <x v="3"/>
    </i>
    <i>
      <x v="4"/>
      <x/>
      <x/>
    </i>
    <i r="2">
      <x v="1"/>
    </i>
    <i t="default" r="1">
      <x/>
    </i>
    <i r="1">
      <x v="1"/>
      <x/>
    </i>
    <i t="default" r="1">
      <x v="1"/>
    </i>
    <i r="1">
      <x v="2"/>
      <x/>
    </i>
    <i t="default" r="1">
      <x v="2"/>
    </i>
    <i t="default">
      <x v="4"/>
    </i>
    <i>
      <x v="6"/>
      <x v="2"/>
      <x/>
    </i>
    <i t="default" r="1">
      <x v="2"/>
    </i>
    <i t="default">
      <x v="6"/>
    </i>
    <i>
      <x v="7"/>
      <x/>
      <x/>
    </i>
    <i t="default" r="1">
      <x/>
    </i>
    <i r="1">
      <x v="2"/>
      <x/>
    </i>
    <i t="default" r="1">
      <x v="2"/>
    </i>
    <i t="default">
      <x v="7"/>
    </i>
    <i>
      <x v="8"/>
      <x/>
      <x/>
    </i>
    <i t="default" r="1">
      <x/>
    </i>
    <i t="default">
      <x v="8"/>
    </i>
    <i>
      <x v="9"/>
    </i>
    <i>
      <x v="10"/>
      <x/>
      <x/>
    </i>
    <i t="default" r="1">
      <x/>
    </i>
    <i t="default">
      <x v="10"/>
    </i>
    <i>
      <x v="11"/>
      <x/>
      <x/>
    </i>
    <i t="default" r="1">
      <x/>
    </i>
    <i t="default">
      <x v="11"/>
    </i>
    <i>
      <x v="12"/>
      <x v="1"/>
      <x/>
    </i>
    <i t="default" r="1">
      <x v="1"/>
    </i>
    <i r="1">
      <x v="3"/>
      <x/>
    </i>
    <i t="default" r="1">
      <x v="3"/>
    </i>
    <i t="default">
      <x v="12"/>
    </i>
    <i>
      <x v="13"/>
      <x v="1"/>
      <x/>
    </i>
    <i t="default" r="1">
      <x v="1"/>
    </i>
    <i t="default">
      <x v="13"/>
    </i>
    <i>
      <x v="14"/>
      <x/>
      <x/>
    </i>
    <i t="default" r="1">
      <x/>
    </i>
    <i t="default">
      <x v="14"/>
    </i>
    <i>
      <x v="15"/>
      <x v="1"/>
      <x/>
    </i>
    <i t="default" r="1">
      <x v="1"/>
    </i>
    <i t="default">
      <x v="15"/>
    </i>
    <i>
      <x v="16"/>
      <x v="3"/>
      <x/>
    </i>
    <i t="default" r="1">
      <x v="3"/>
    </i>
    <i t="default">
      <x v="16"/>
    </i>
    <i>
      <x v="17"/>
      <x v="1"/>
      <x/>
    </i>
    <i t="default" r="1">
      <x v="1"/>
    </i>
    <i t="default">
      <x v="17"/>
    </i>
    <i>
      <x v="18"/>
      <x v="1"/>
      <x/>
    </i>
    <i t="default" r="1">
      <x v="1"/>
    </i>
    <i t="default">
      <x v="18"/>
    </i>
    <i>
      <x v="19"/>
      <x v="1"/>
      <x/>
    </i>
    <i t="default" r="1">
      <x v="1"/>
    </i>
    <i t="default">
      <x v="19"/>
    </i>
    <i>
      <x v="20"/>
      <x v="1"/>
      <x/>
    </i>
    <i t="default" r="1">
      <x v="1"/>
    </i>
    <i t="default">
      <x v="20"/>
    </i>
    <i>
      <x v="21"/>
      <x/>
      <x/>
    </i>
    <i t="default" r="1">
      <x/>
    </i>
    <i t="default">
      <x v="21"/>
    </i>
    <i>
      <x v="22"/>
      <x v="3"/>
      <x/>
    </i>
    <i t="default" r="1">
      <x v="3"/>
    </i>
    <i t="default">
      <x v="22"/>
    </i>
    <i>
      <x v="23"/>
      <x v="3"/>
      <x/>
    </i>
    <i t="default" r="1">
      <x v="3"/>
    </i>
    <i t="default">
      <x v="23"/>
    </i>
    <i>
      <x v="24"/>
      <x/>
      <x/>
    </i>
    <i t="default" r="1">
      <x/>
    </i>
    <i t="default">
      <x v="24"/>
    </i>
    <i>
      <x v="25"/>
      <x/>
      <x/>
    </i>
    <i t="default" r="1">
      <x/>
    </i>
    <i r="1">
      <x v="2"/>
      <x/>
    </i>
    <i t="default" r="1">
      <x v="2"/>
    </i>
    <i t="default">
      <x v="25"/>
    </i>
    <i>
      <x v="26"/>
      <x v="3"/>
      <x/>
    </i>
    <i t="default" r="1">
      <x v="3"/>
    </i>
    <i t="default">
      <x v="26"/>
    </i>
    <i>
      <x v="27"/>
      <x/>
      <x/>
    </i>
    <i t="default" r="1">
      <x/>
    </i>
    <i t="default">
      <x v="27"/>
    </i>
    <i>
      <x v="28"/>
      <x v="3"/>
      <x/>
    </i>
    <i t="default" r="1">
      <x v="3"/>
    </i>
    <i t="default">
      <x v="28"/>
    </i>
    <i>
      <x v="29"/>
      <x/>
      <x/>
    </i>
    <i t="default" r="1">
      <x/>
    </i>
    <i t="default">
      <x v="29"/>
    </i>
    <i>
      <x v="30"/>
      <x v="3"/>
      <x/>
    </i>
    <i t="default" r="1">
      <x v="3"/>
    </i>
    <i t="default">
      <x v="30"/>
    </i>
    <i>
      <x v="31"/>
      <x/>
      <x/>
    </i>
    <i t="default" r="1">
      <x/>
    </i>
    <i t="default"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QUANTIDADE" fld="10" baseField="0" baseItem="0"/>
    <dataField name="Soma de VALOR_TOTAL" fld="11" baseField="0" baseItem="0"/>
    <dataField name="Soma de QTD_FAT" fld="13" baseField="0" baseItem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Dados" updatedVersion="6" showMemberPropertyTips="0" useAutoFormatting="1" rowGrandTotals="0" colGrandTotals="0" itemPrintTitles="1" createdVersion="1" indent="0" compact="0" compactData="0" gridDropZones="1">
  <location ref="R3:X16" firstHeaderRow="1" firstDataRow="1" firstDataCol="1"/>
  <pivotFields count="17"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numFmtId="22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numFmtId="166" outline="0" subtotalTop="0" showAll="0" includeNewItemsInFilter="1" defaultSubtotal="0"/>
  </pivotFields>
  <formats count="1">
    <format dxfId="2">
      <pivotArea outline="0" fieldPosition="0"/>
    </format>
  </formats>
  <pivotTableStyleInfo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192.168.4.3_agricola (padrão) GM_PAT_CONSOLIDADO_1" connectionId="4" autoFormatId="16" applyNumberFormats="0" applyBorderFormats="0" applyFontFormats="0" applyPatternFormats="0" applyAlignmentFormats="0" applyWidthHeightFormats="0">
  <queryTableRefresh nextId="11">
    <queryTableFields count="10">
      <queryTableField id="1" name="A00EMPRESA" tableColumnId="1"/>
      <queryTableField id="2" name="A00FILIAL" tableColumnId="2"/>
      <queryTableField id="3" name="A00TIPO" tableColumnId="3"/>
      <queryTableField id="4" name="A00DESC_PATRIMONIO" tableColumnId="4"/>
      <queryTableField id="5" name="A00NUMERO_PAT" tableColumnId="5"/>
      <queryTableField id="6" name="A00VALOR_AQUISICAO" tableColumnId="6"/>
      <queryTableField id="7" name="A00VALOR_ATUAL" tableColumnId="7"/>
      <queryTableField id="8" name="A00IDENTIFICACAO" tableColumnId="8"/>
      <queryTableField id="9" name="A00DATA_AQUISICAO" tableColumnId="9"/>
      <queryTableField id="10" name="A00QTDE_HA" tableColumnId="10"/>
    </queryTableFields>
  </queryTableRefresh>
</queryTable>
</file>

<file path=xl/queryTables/queryTable2.xml><?xml version="1.0" encoding="utf-8"?>
<queryTable xmlns="http://schemas.openxmlformats.org/spreadsheetml/2006/main" name="192.168.4.3_agricola (padrão) GM_CONTRATOS_ALGODAO" connectionId="2" autoFormatId="16" applyNumberFormats="0" applyBorderFormats="0" applyFontFormats="0" applyPatternFormats="0" applyAlignmentFormats="0" applyWidthHeightFormats="0">
  <queryTableRefresh nextId="13">
    <queryTableFields count="12">
      <queryTableField id="1" name="SEQ_PLA_CONTRATO" tableColumnId="1"/>
      <queryTableField id="2" name="NUM_CONTRATO" tableColumnId="2"/>
      <queryTableField id="3" name="COD_SAFRA" tableColumnId="3"/>
      <queryTableField id="4" name="QTDE_KG" tableColumnId="4"/>
      <queryTableField id="5" name="QTDE_LB" tableColumnId="5"/>
      <queryTableField id="6" name="VALOR_CONTRATO" tableColumnId="6"/>
      <queryTableField id="7" name="SIGLA_MOEDA" tableColumnId="7"/>
      <queryTableField id="8" name="CLIENTE_ENTREGA" tableColumnId="8"/>
      <queryTableField id="9" name="PRODUTOR" tableColumnId="9"/>
      <queryTableField id="10" name="VLR_LB" tableColumnId="10"/>
      <queryTableField id="11" name="VLR_ARR" tableColumnId="11"/>
      <queryTableField id="12" name="DATA" tableColumnId="12"/>
    </queryTableFields>
  </queryTableRefresh>
</queryTable>
</file>

<file path=xl/queryTables/queryTable3.xml><?xml version="1.0" encoding="utf-8"?>
<queryTable xmlns="http://schemas.openxmlformats.org/spreadsheetml/2006/main" name="(padrão) GM_CONTAS_RECEBER_ABERTOS" connectionId="1" autoFormatId="16" applyNumberFormats="0" applyBorderFormats="0" applyFontFormats="0" applyPatternFormats="0" applyAlignmentFormats="0" applyWidthHeightFormats="0">
  <queryTableRefresh nextId="18">
    <queryTableFields count="17">
      <queryTableField id="1" name="NOME_EMPRESA" tableColumnId="1"/>
      <queryTableField id="2" name="DESCRICAO_FILIAL" tableColumnId="2"/>
      <queryTableField id="3" name="SEQ_PLA_RECEBER" tableColumnId="3"/>
      <queryTableField id="4" name="DATA_LCTO" tableColumnId="4"/>
      <queryTableField id="5" name="NOME_CLIENTE" tableColumnId="5"/>
      <queryTableField id="6" name="COD_CONTA" tableColumnId="6"/>
      <queryTableField id="7" name="DOCUMENTO" tableColumnId="7"/>
      <queryTableField id="8" name="DATA_VCTO" tableColumnId="8"/>
      <queryTableField id="9" name="SIGLA_MOEDA" tableColumnId="9"/>
      <queryTableField id="10" name="VALOR_DOCUM" tableColumnId="10"/>
      <queryTableField id="11" name="VALOR_RECEBIDO" tableColumnId="11"/>
      <queryTableField id="12" name="SALDO" tableColumnId="12"/>
      <queryTableField id="13" name="PTAX" tableColumnId="13"/>
      <queryTableField id="14" name="SALDO_CONVERTIDO" tableColumnId="14"/>
      <queryTableField id="15" name="DESC_FIN_HIST" tableColumnId="15"/>
      <queryTableField id="16" name="OBSERVACOES" tableColumnId="16"/>
      <queryTableField id="17" name="HOJE" tableColumnId="17"/>
    </queryTableFields>
  </queryTableRefresh>
</queryTable>
</file>

<file path=xl/queryTables/queryTable4.xml><?xml version="1.0" encoding="utf-8"?>
<queryTable xmlns="http://schemas.openxmlformats.org/spreadsheetml/2006/main" name="192.168.4.3_agricola (padrão) GM_CONTRATOS_GRAOS_1415" connectionId="3" autoFormatId="16" applyNumberFormats="0" applyBorderFormats="0" applyFontFormats="0" applyPatternFormats="0" applyAlignmentFormats="0" applyWidthHeightFormats="0">
  <queryTableRefresh nextId="18" unboundColumnsRight="1">
    <queryTableFields count="17">
      <queryTableField id="1" name="SEQ_PLA_PED_VENDA" tableColumnId="1"/>
      <queryTableField id="2" name="NR_CONTRATO" tableColumnId="2"/>
      <queryTableField id="3" name="FIXO" tableColumnId="3"/>
      <queryTableField id="4" name="CONTRATO" tableColumnId="4"/>
      <queryTableField id="5" name="DATA_CONTRATO" tableColumnId="5"/>
      <queryTableField id="6" name="NOME_CLIENTE" tableColumnId="6"/>
      <queryTableField id="7" name="SEQ_PLA_PRODUTO" tableColumnId="7"/>
      <queryTableField id="8" name="DESCRICAO_PRODUTO" tableColumnId="8"/>
      <queryTableField id="9" name="SEQ_PLA_MOEDA" tableColumnId="9"/>
      <queryTableField id="10" name="SIGLA_MOEDA" tableColumnId="10"/>
      <queryTableField id="11" name="QUANTIDADE" tableColumnId="11"/>
      <queryTableField id="12" name="VALOR_TOTAL" tableColumnId="12"/>
      <queryTableField id="13" name="VALOR_UNITARIO" tableColumnId="13"/>
      <queryTableField id="14" name="QTD_FAT" tableColumnId="14"/>
      <queryTableField id="15" name="SALDO" tableColumnId="15"/>
      <queryTableField id="16" name="SIGLA_UNIDADE" tableColumnId="16"/>
      <queryTableField id="17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92" name="Tabela__192.168.4.3_agricola__padrão__GM_PAT_CONSOLIDADO_11" displayName="Tabela__192.168.4.3_agricola__padrão__GM_PAT_CONSOLIDADO_11" ref="A1:J3503" tableType="queryTable" totalsRowShown="0">
  <autoFilter ref="A1:J3503"/>
  <tableColumns count="10">
    <tableColumn id="1" uniqueName="1" name="A00EMPRESA" queryTableFieldId="1"/>
    <tableColumn id="2" uniqueName="2" name="A00FILIAL" queryTableFieldId="2"/>
    <tableColumn id="3" uniqueName="3" name="A00TIPO" queryTableFieldId="3"/>
    <tableColumn id="4" uniqueName="4" name="A00DESC_PATRIMONIO" queryTableFieldId="4"/>
    <tableColumn id="5" uniqueName="5" name="A00NUMERO_PAT" queryTableFieldId="5"/>
    <tableColumn id="6" uniqueName="6" name="A00VALOR_AQUISICAO" queryTableFieldId="6" dataCellStyle="Vírgula"/>
    <tableColumn id="7" uniqueName="7" name="A00VALOR_ATUAL" queryTableFieldId="7" dataCellStyle="Vírgula"/>
    <tableColumn id="8" uniqueName="8" name="A00IDENTIFICACAO" queryTableFieldId="8"/>
    <tableColumn id="9" uniqueName="9" name="A00DATA_AQUISICAO" queryTableFieldId="9" dataDxfId="11"/>
    <tableColumn id="10" uniqueName="10" name="A00QTDE_HA" queryTableField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94" name="Tabela__192.168.4.3_agricola__padrão__GM_CONTRATOS_ALGODAO" displayName="Tabela__192.168.4.3_agricola__padrão__GM_CONTRATOS_ALGODAO" ref="A1:L127" tableType="queryTable" totalsRowShown="0">
  <autoFilter ref="A1:L127">
    <filterColumn colId="2">
      <filters>
        <filter val="5"/>
      </filters>
    </filterColumn>
  </autoFilter>
  <sortState ref="A3:L127">
    <sortCondition ref="L2"/>
  </sortState>
  <tableColumns count="12">
    <tableColumn id="1" uniqueName="1" name="SEQ_PLA_CONTRATO" queryTableFieldId="1"/>
    <tableColumn id="2" uniqueName="2" name="NUM_CONTRATO" queryTableFieldId="2"/>
    <tableColumn id="3" uniqueName="3" name="COD_SAFRA" queryTableFieldId="3"/>
    <tableColumn id="4" uniqueName="4" name="QTDE_KG" queryTableFieldId="4" dataCellStyle="Vírgula"/>
    <tableColumn id="5" uniqueName="5" name="QTDE_LB" queryTableFieldId="5"/>
    <tableColumn id="6" uniqueName="6" name="VALOR_CONTRATO" queryTableFieldId="6"/>
    <tableColumn id="7" uniqueName="7" name="SIGLA_MOEDA" queryTableFieldId="7"/>
    <tableColumn id="8" uniqueName="8" name="CLIENTE_ENTREGA" queryTableFieldId="8"/>
    <tableColumn id="9" uniqueName="9" name="PRODUTOR" queryTableFieldId="9"/>
    <tableColumn id="10" uniqueName="10" name="VLR_LB" queryTableFieldId="10"/>
    <tableColumn id="11" uniqueName="11" name="VLR_ARR" queryTableFieldId="11"/>
    <tableColumn id="12" uniqueName="12" name="DATA" queryTableFieldId="12" data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8" name="Tabela_padrão__GM_CONTAS_RECEBER_ABERTOS" displayName="Tabela_padrão__GM_CONTAS_RECEBER_ABERTOS" ref="F4:V534" tableType="queryTable" totalsRowShown="0">
  <autoFilter ref="F4:V534">
    <filterColumn colId="4">
      <filters>
        <filter val="KARGIOLI COMERCIAL IMPORTADORA E EXPORTADORA LTDA"/>
      </filters>
    </filterColumn>
    <filterColumn colId="14">
      <filters>
        <filter val="RCTO - REF CONTRATO SOJA"/>
      </filters>
    </filterColumn>
  </autoFilter>
  <tableColumns count="17">
    <tableColumn id="1" uniqueName="1" name="NOME_EMPRESA" queryTableFieldId="1"/>
    <tableColumn id="2" uniqueName="2" name="DESCRICAO_FILIAL" queryTableFieldId="2"/>
    <tableColumn id="3" uniqueName="3" name="SEQ_PLA_RECEBER" queryTableFieldId="3" dataDxfId="9"/>
    <tableColumn id="4" uniqueName="4" name="DATA_LCTO" queryTableFieldId="4" dataDxfId="8"/>
    <tableColumn id="5" uniqueName="5" name="NOME_CLIENTE" queryTableFieldId="5" dataDxfId="7"/>
    <tableColumn id="6" uniqueName="6" name="COD_CONTA" queryTableFieldId="6"/>
    <tableColumn id="7" uniqueName="7" name="DOCUMENTO" queryTableFieldId="7" dataDxfId="6"/>
    <tableColumn id="8" uniqueName="8" name="DATA_VCTO" queryTableFieldId="8" dataDxfId="5"/>
    <tableColumn id="9" uniqueName="9" name="SIGLA_MOEDA" queryTableFieldId="9"/>
    <tableColumn id="10" uniqueName="10" name="VALOR_DOCUM" queryTableFieldId="10"/>
    <tableColumn id="11" uniqueName="11" name="VALOR_RECEBIDO" queryTableFieldId="11"/>
    <tableColumn id="12" uniqueName="12" name="SALDO" queryTableFieldId="12"/>
    <tableColumn id="13" uniqueName="13" name="PTAX" queryTableFieldId="13"/>
    <tableColumn id="14" uniqueName="14" name="SALDO_CONVERTIDO" queryTableFieldId="14"/>
    <tableColumn id="15" uniqueName="15" name="DESC_FIN_HIST" queryTableFieldId="15"/>
    <tableColumn id="16" uniqueName="16" name="OBSERVACOES" queryTableFieldId="16"/>
    <tableColumn id="17" uniqueName="17" name="HOJE" queryTableFieldId="17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4" name="Tabela__192.168.4.3_agricola__padrão__GM_CONTRATOS_GRAOS_1415" displayName="Tabela__192.168.4.3_agricola__padrão__GM_CONTRATOS_GRAOS_1415" ref="A1:Q107" tableType="queryTable" totalsRowShown="0">
  <autoFilter ref="A1:Q107"/>
  <sortState ref="A3:Q107">
    <sortCondition ref="F2"/>
  </sortState>
  <tableColumns count="17">
    <tableColumn id="1" uniqueName="1" name="SEQ_PLA_PED_VENDA" queryTableFieldId="1"/>
    <tableColumn id="2" uniqueName="2" name="NR_CONTRATO" queryTableFieldId="2"/>
    <tableColumn id="3" uniqueName="3" name="FIXO" queryTableFieldId="3"/>
    <tableColumn id="4" uniqueName="4" name="CONTRATO" queryTableFieldId="4"/>
    <tableColumn id="5" uniqueName="5" name="DATA_CONTRATO" queryTableFieldId="5" dataDxfId="1"/>
    <tableColumn id="6" uniqueName="6" name="NOME_CLIENTE" queryTableFieldId="6"/>
    <tableColumn id="7" uniqueName="7" name="SEQ_PLA_PRODUTO" queryTableFieldId="7"/>
    <tableColumn id="8" uniqueName="8" name="DESCRICAO_PRODUTO" queryTableFieldId="8"/>
    <tableColumn id="9" uniqueName="9" name="SEQ_PLA_MOEDA" queryTableFieldId="9"/>
    <tableColumn id="10" uniqueName="10" name="SIGLA_MOEDA" queryTableFieldId="10"/>
    <tableColumn id="11" uniqueName="11" name="QUANTIDADE" queryTableFieldId="11"/>
    <tableColumn id="12" uniqueName="12" name="VALOR_TOTAL" queryTableFieldId="12" dataCellStyle="Vírgula"/>
    <tableColumn id="13" uniqueName="13" name="VALOR_UNITARIO" queryTableFieldId="13"/>
    <tableColumn id="14" uniqueName="14" name="QTD_FAT" queryTableFieldId="14"/>
    <tableColumn id="15" uniqueName="15" name="SALDO" queryTableFieldId="15"/>
    <tableColumn id="16" uniqueName="16" name="SIGLA_UNIDADE" queryTableFieldId="16"/>
    <tableColumn id="17" uniqueName="17" name="RECEBER" queryTableFieldId="17" dataDxfId="0" dataCellStyle="Vírgula">
      <calculatedColumnFormula array="1">SUM(IF((finan_graos!J:J=BD_CONTRATOS_GRAOS!F763)*(finan_graos!L:L=BD_CONTRATOS_GRAOS!D763)*(finan_graos!N:N=BD_CONTRATOS_GRAOS!J763),finan_graos!Q:Q))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5.bin"/><Relationship Id="rId1" Type="http://schemas.openxmlformats.org/officeDocument/2006/relationships/pivotTable" Target="../pivotTables/pivotTable1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BJ33"/>
  <sheetViews>
    <sheetView zoomScale="80" zoomScaleNormal="80" workbookViewId="0">
      <pane xSplit="2" topLeftCell="AP1" activePane="topRight" state="frozen"/>
      <selection activeCell="I11" sqref="I11"/>
      <selection pane="topRight" activeCell="BA34" sqref="BA34"/>
    </sheetView>
  </sheetViews>
  <sheetFormatPr defaultRowHeight="15"/>
  <cols>
    <col min="1" max="1" width="2.7109375" customWidth="1"/>
    <col min="2" max="2" width="23.28515625" customWidth="1"/>
    <col min="3" max="13" width="14.7109375" customWidth="1"/>
    <col min="14" max="21" width="15.7109375" customWidth="1"/>
    <col min="22" max="22" width="16.140625" customWidth="1"/>
    <col min="23" max="54" width="16.140625" style="307" customWidth="1"/>
    <col min="55" max="55" width="17.140625" style="307" customWidth="1"/>
    <col min="56" max="56" width="5.42578125" customWidth="1"/>
    <col min="57" max="57" width="16.140625" customWidth="1"/>
    <col min="58" max="58" width="13.5703125" customWidth="1"/>
    <col min="59" max="59" width="18" customWidth="1"/>
    <col min="61" max="61" width="16.28515625" bestFit="1" customWidth="1"/>
    <col min="62" max="62" width="11.28515625" bestFit="1" customWidth="1"/>
  </cols>
  <sheetData>
    <row r="1" spans="2:62">
      <c r="N1" s="5" t="s">
        <v>835</v>
      </c>
      <c r="O1" s="5" t="s">
        <v>836</v>
      </c>
      <c r="P1" s="5" t="s">
        <v>837</v>
      </c>
      <c r="Q1" s="5" t="s">
        <v>838</v>
      </c>
      <c r="R1" s="5" t="s">
        <v>839</v>
      </c>
      <c r="S1" s="5" t="s">
        <v>840</v>
      </c>
      <c r="T1" s="5" t="s">
        <v>841</v>
      </c>
      <c r="U1" s="5" t="s">
        <v>842</v>
      </c>
      <c r="V1" s="5" t="s">
        <v>843</v>
      </c>
      <c r="W1" s="306" t="s">
        <v>844</v>
      </c>
      <c r="X1" s="306" t="s">
        <v>850</v>
      </c>
      <c r="Y1" s="306" t="s">
        <v>851</v>
      </c>
      <c r="Z1" s="306" t="s">
        <v>835</v>
      </c>
      <c r="AA1" s="306" t="s">
        <v>1045</v>
      </c>
      <c r="AB1" s="306" t="s">
        <v>837</v>
      </c>
      <c r="AC1" s="306" t="s">
        <v>838</v>
      </c>
      <c r="AD1" s="306" t="s">
        <v>839</v>
      </c>
      <c r="AE1" s="306" t="s">
        <v>840</v>
      </c>
      <c r="AF1" s="306" t="s">
        <v>841</v>
      </c>
      <c r="AG1" s="306"/>
      <c r="AH1" s="306"/>
      <c r="AI1" s="306"/>
      <c r="AJ1" s="306"/>
      <c r="AK1" s="306"/>
      <c r="AL1" s="306"/>
      <c r="AM1" s="306"/>
      <c r="AN1" s="306"/>
      <c r="AO1" s="306"/>
      <c r="AP1" s="306"/>
      <c r="AQ1" s="306"/>
      <c r="AR1" s="306"/>
      <c r="AS1" s="306"/>
      <c r="AT1" s="306"/>
      <c r="AU1" s="306"/>
      <c r="AV1" s="306"/>
      <c r="AW1" s="306"/>
      <c r="AX1" s="306"/>
      <c r="AY1" s="306"/>
      <c r="AZ1" s="306"/>
      <c r="BA1" s="306"/>
      <c r="BB1" s="306"/>
    </row>
    <row r="2" spans="2:62">
      <c r="N2" s="6">
        <f t="shared" ref="N2:AG2" si="0">SUM(C3:N3)</f>
        <v>179745487.08999997</v>
      </c>
      <c r="O2" s="6">
        <f t="shared" si="0"/>
        <v>187581672.16</v>
      </c>
      <c r="P2" s="6">
        <f t="shared" si="0"/>
        <v>190498165.56</v>
      </c>
      <c r="Q2" s="6">
        <f t="shared" si="0"/>
        <v>213458676.57999998</v>
      </c>
      <c r="R2" s="6">
        <f t="shared" si="0"/>
        <v>197745464.63</v>
      </c>
      <c r="S2" s="6">
        <f t="shared" si="0"/>
        <v>199355955.48999998</v>
      </c>
      <c r="T2" s="6">
        <f t="shared" si="0"/>
        <v>203395302.44999996</v>
      </c>
      <c r="U2" s="6">
        <f t="shared" si="0"/>
        <v>202792168.82999998</v>
      </c>
      <c r="V2" s="7">
        <f t="shared" si="0"/>
        <v>206513620.17999998</v>
      </c>
      <c r="W2" s="308">
        <f t="shared" si="0"/>
        <v>213088878.29999998</v>
      </c>
      <c r="X2" s="308">
        <f t="shared" si="0"/>
        <v>216049147.81999999</v>
      </c>
      <c r="Y2" s="308">
        <f t="shared" si="0"/>
        <v>216254520.67000005</v>
      </c>
      <c r="Z2" s="308">
        <f t="shared" si="0"/>
        <v>210028575.76000002</v>
      </c>
      <c r="AA2" s="308">
        <f t="shared" si="0"/>
        <v>211904887.06000003</v>
      </c>
      <c r="AB2" s="308">
        <f t="shared" si="0"/>
        <v>213414228.36000001</v>
      </c>
      <c r="AC2" s="308">
        <f t="shared" si="0"/>
        <v>189972758.46000004</v>
      </c>
      <c r="AD2" s="308">
        <f t="shared" si="0"/>
        <v>194152686.71000001</v>
      </c>
      <c r="AE2" s="308">
        <f t="shared" si="0"/>
        <v>197832974.41000003</v>
      </c>
      <c r="AF2" s="308">
        <f t="shared" si="0"/>
        <v>201511161.74000001</v>
      </c>
      <c r="AG2" s="308">
        <f t="shared" si="0"/>
        <v>219294015.15000004</v>
      </c>
      <c r="AH2" s="308">
        <f t="shared" ref="AH2:AU2" si="1">SUM(W3:AH3)</f>
        <v>229205844.28999999</v>
      </c>
      <c r="AI2" s="308">
        <f t="shared" si="1"/>
        <v>239753933.19999999</v>
      </c>
      <c r="AJ2" s="308">
        <f t="shared" si="1"/>
        <v>255807946.16999996</v>
      </c>
      <c r="AK2" s="308">
        <f t="shared" si="1"/>
        <v>263991577.12999997</v>
      </c>
      <c r="AL2" s="308">
        <f t="shared" si="1"/>
        <v>280578934.10999995</v>
      </c>
      <c r="AM2" s="308">
        <f t="shared" si="1"/>
        <v>273115978.22000003</v>
      </c>
      <c r="AN2" s="308">
        <f t="shared" si="1"/>
        <v>291316838.46999997</v>
      </c>
      <c r="AO2" s="308">
        <f t="shared" si="1"/>
        <v>305087308.73000002</v>
      </c>
      <c r="AP2" s="308">
        <f t="shared" si="1"/>
        <v>301469415.54000002</v>
      </c>
      <c r="AQ2" s="308">
        <f t="shared" si="1"/>
        <v>298638291.81</v>
      </c>
      <c r="AR2" s="308">
        <f t="shared" si="1"/>
        <v>300582926.23000008</v>
      </c>
      <c r="AS2" s="308">
        <f t="shared" si="1"/>
        <v>287420896.38000005</v>
      </c>
      <c r="AT2" s="308">
        <f t="shared" si="1"/>
        <v>282660779.80000001</v>
      </c>
      <c r="AU2" s="308">
        <f t="shared" si="1"/>
        <v>279366248.67000002</v>
      </c>
      <c r="AV2" s="308">
        <f t="shared" ref="AV2:BB2" si="2">SUM(AK3:AV3)</f>
        <v>274232251.83999997</v>
      </c>
      <c r="AW2" s="308">
        <f t="shared" si="2"/>
        <v>276964493.88</v>
      </c>
      <c r="AX2" s="308">
        <f t="shared" si="2"/>
        <v>277256742.37</v>
      </c>
      <c r="AY2" s="308">
        <f t="shared" si="2"/>
        <v>272328148.75999999</v>
      </c>
      <c r="AZ2" s="308">
        <f t="shared" si="2"/>
        <v>270665143.90999997</v>
      </c>
      <c r="BA2" s="308">
        <f t="shared" si="2"/>
        <v>286592792.91999996</v>
      </c>
      <c r="BB2" s="308">
        <f t="shared" si="2"/>
        <v>306852745.88999999</v>
      </c>
      <c r="BE2" s="343">
        <v>277930426.85000002</v>
      </c>
    </row>
    <row r="3" spans="2:62">
      <c r="C3" s="6">
        <f t="shared" ref="C3:Y3" si="3">SUM(C6:C47)</f>
        <v>27348195.75</v>
      </c>
      <c r="D3" s="6">
        <f t="shared" si="3"/>
        <v>27144380.380000003</v>
      </c>
      <c r="E3" s="6">
        <f t="shared" si="3"/>
        <v>13862277.930000002</v>
      </c>
      <c r="F3" s="6">
        <f t="shared" si="3"/>
        <v>23413066.27</v>
      </c>
      <c r="G3" s="6">
        <f t="shared" si="3"/>
        <v>11691100.470000001</v>
      </c>
      <c r="H3" s="6">
        <f t="shared" si="3"/>
        <v>3547395.8</v>
      </c>
      <c r="I3" s="6">
        <f t="shared" si="3"/>
        <v>10332434.98</v>
      </c>
      <c r="J3" s="6">
        <f t="shared" si="3"/>
        <v>6664703.9199999999</v>
      </c>
      <c r="K3" s="6">
        <f t="shared" si="3"/>
        <v>9950276.8900000006</v>
      </c>
      <c r="L3" s="6">
        <f t="shared" si="3"/>
        <v>9009355.1199999992</v>
      </c>
      <c r="M3" s="6">
        <f t="shared" si="3"/>
        <v>12282637.48</v>
      </c>
      <c r="N3" s="6">
        <f t="shared" si="3"/>
        <v>24499662.099999994</v>
      </c>
      <c r="O3" s="6">
        <f t="shared" si="3"/>
        <v>35184380.819999993</v>
      </c>
      <c r="P3" s="6">
        <f t="shared" si="3"/>
        <v>30060873.779999997</v>
      </c>
      <c r="Q3" s="6">
        <f t="shared" si="3"/>
        <v>36822788.950000003</v>
      </c>
      <c r="R3" s="6">
        <f t="shared" si="3"/>
        <v>7699854.3200000012</v>
      </c>
      <c r="S3" s="6">
        <f t="shared" si="3"/>
        <v>13301591.33</v>
      </c>
      <c r="T3" s="6">
        <f t="shared" si="3"/>
        <v>7586742.7600000007</v>
      </c>
      <c r="U3" s="6">
        <f t="shared" si="3"/>
        <v>9729301.3599999994</v>
      </c>
      <c r="V3" s="6">
        <f t="shared" si="3"/>
        <v>10386155.27</v>
      </c>
      <c r="W3" s="308">
        <f t="shared" si="3"/>
        <v>16525535.010000002</v>
      </c>
      <c r="X3" s="308">
        <f t="shared" si="3"/>
        <v>11969624.640000001</v>
      </c>
      <c r="Y3" s="308">
        <f t="shared" si="3"/>
        <v>12488010.33</v>
      </c>
      <c r="Z3" s="308">
        <f>SUM(Z6:Z47)</f>
        <v>18273717.189999998</v>
      </c>
      <c r="AA3" s="308">
        <f t="shared" ref="AA3:AF3" si="4">SUM(AA6:AA30)</f>
        <v>37060692.119999997</v>
      </c>
      <c r="AB3" s="308">
        <f t="shared" si="4"/>
        <v>31570215.080000002</v>
      </c>
      <c r="AC3" s="308">
        <f t="shared" si="4"/>
        <v>13381319.050000001</v>
      </c>
      <c r="AD3" s="308">
        <f t="shared" si="4"/>
        <v>11879782.569999998</v>
      </c>
      <c r="AE3" s="308">
        <f t="shared" si="4"/>
        <v>16981879.030000001</v>
      </c>
      <c r="AF3" s="308">
        <f t="shared" si="4"/>
        <v>11264930.09</v>
      </c>
      <c r="AG3" s="308">
        <f t="shared" ref="AG3:AL3" si="5">SUM(AG6:AG30)</f>
        <v>27512154.769999996</v>
      </c>
      <c r="AH3" s="308">
        <f t="shared" si="5"/>
        <v>20297984.410000004</v>
      </c>
      <c r="AI3" s="308">
        <f t="shared" si="5"/>
        <v>27073623.920000002</v>
      </c>
      <c r="AJ3" s="308">
        <f t="shared" si="5"/>
        <v>28023637.610000003</v>
      </c>
      <c r="AK3" s="308">
        <f t="shared" si="5"/>
        <v>20671641.289999999</v>
      </c>
      <c r="AL3" s="308">
        <f t="shared" si="5"/>
        <v>34861074.170000002</v>
      </c>
      <c r="AM3" s="308">
        <f>SUM(AM6:AM26)</f>
        <v>29597736.230000004</v>
      </c>
      <c r="AN3" s="308">
        <f t="shared" ref="AN3:BB3" si="6">SUM(AN6:AN26)</f>
        <v>49771075.330000006</v>
      </c>
      <c r="AO3" s="308">
        <f t="shared" si="6"/>
        <v>27151789.309999995</v>
      </c>
      <c r="AP3" s="308">
        <f t="shared" si="6"/>
        <v>8261889.379999999</v>
      </c>
      <c r="AQ3" s="308">
        <f t="shared" si="6"/>
        <v>14150755.299999997</v>
      </c>
      <c r="AR3" s="308">
        <f t="shared" si="6"/>
        <v>13209564.51</v>
      </c>
      <c r="AS3" s="308">
        <f t="shared" si="6"/>
        <v>14350124.92</v>
      </c>
      <c r="AT3" s="308">
        <f t="shared" si="6"/>
        <v>15537867.830000002</v>
      </c>
      <c r="AU3" s="308">
        <f t="shared" si="6"/>
        <v>23779092.789999999</v>
      </c>
      <c r="AV3" s="308">
        <f t="shared" si="6"/>
        <v>22889640.780000005</v>
      </c>
      <c r="AW3" s="308">
        <f t="shared" si="6"/>
        <v>23403883.329999998</v>
      </c>
      <c r="AX3" s="308">
        <f t="shared" si="6"/>
        <v>35153322.660000004</v>
      </c>
      <c r="AY3" s="308">
        <f t="shared" si="6"/>
        <v>24669142.619999997</v>
      </c>
      <c r="AZ3" s="308">
        <f t="shared" si="6"/>
        <v>48108070.479999997</v>
      </c>
      <c r="BA3" s="308">
        <f t="shared" si="6"/>
        <v>43079438.320000015</v>
      </c>
      <c r="BB3" s="308">
        <f t="shared" si="6"/>
        <v>28521842.349999994</v>
      </c>
      <c r="BC3" s="308">
        <f>SUM(BC6:BC30)</f>
        <v>306852745.89000005</v>
      </c>
      <c r="BE3" s="6"/>
      <c r="BI3" s="6"/>
      <c r="BJ3" s="117"/>
    </row>
    <row r="4" spans="2:62" ht="15.75" thickBot="1">
      <c r="AM4" s="309">
        <v>42079</v>
      </c>
      <c r="AN4" s="309">
        <v>42445</v>
      </c>
      <c r="AO4" s="309">
        <v>42445</v>
      </c>
      <c r="AP4" s="309">
        <v>42445</v>
      </c>
      <c r="AQ4" s="309">
        <v>42206</v>
      </c>
      <c r="AR4" s="309">
        <v>42206</v>
      </c>
      <c r="AS4" s="309">
        <v>42270</v>
      </c>
      <c r="AT4" s="309">
        <v>42270</v>
      </c>
      <c r="AU4" s="309">
        <v>42359</v>
      </c>
      <c r="AV4" s="309">
        <v>42445</v>
      </c>
      <c r="AW4" s="309">
        <v>42445</v>
      </c>
      <c r="AX4" s="309">
        <v>42445</v>
      </c>
      <c r="AY4" s="309"/>
      <c r="AZ4" s="309"/>
      <c r="BA4" s="309"/>
      <c r="BB4" s="309"/>
    </row>
    <row r="5" spans="2:62">
      <c r="C5" s="12">
        <v>40909</v>
      </c>
      <c r="D5" s="12">
        <v>40940</v>
      </c>
      <c r="E5" s="12">
        <v>40969</v>
      </c>
      <c r="F5" s="12">
        <v>41000</v>
      </c>
      <c r="G5" s="12">
        <v>41030</v>
      </c>
      <c r="H5" s="12">
        <v>41061</v>
      </c>
      <c r="I5" s="12">
        <v>41091</v>
      </c>
      <c r="J5" s="12">
        <v>41122</v>
      </c>
      <c r="K5" s="12">
        <v>41153</v>
      </c>
      <c r="L5" s="12">
        <v>41183</v>
      </c>
      <c r="M5" s="12">
        <v>41214</v>
      </c>
      <c r="N5" s="12">
        <v>41244</v>
      </c>
      <c r="O5" s="13">
        <v>41275</v>
      </c>
      <c r="P5" s="13">
        <v>41306</v>
      </c>
      <c r="Q5" s="13">
        <v>41334</v>
      </c>
      <c r="R5" s="13">
        <v>41365</v>
      </c>
      <c r="S5" s="13">
        <v>41395</v>
      </c>
      <c r="T5" s="14">
        <v>41455</v>
      </c>
      <c r="U5" s="14">
        <v>41486</v>
      </c>
      <c r="V5" s="14">
        <v>41517</v>
      </c>
      <c r="W5" s="310">
        <v>41547</v>
      </c>
      <c r="X5" s="310">
        <v>41578</v>
      </c>
      <c r="Y5" s="310">
        <v>41608</v>
      </c>
      <c r="Z5" s="310">
        <v>41639</v>
      </c>
      <c r="AA5" s="310">
        <v>41670</v>
      </c>
      <c r="AB5" s="310">
        <v>41698</v>
      </c>
      <c r="AC5" s="310">
        <v>41729</v>
      </c>
      <c r="AD5" s="310">
        <v>41759</v>
      </c>
      <c r="AE5" s="310">
        <v>41790</v>
      </c>
      <c r="AF5" s="310">
        <v>41820</v>
      </c>
      <c r="AG5" s="311">
        <v>41821</v>
      </c>
      <c r="AH5" s="312">
        <v>41852</v>
      </c>
      <c r="AI5" s="313">
        <v>41883</v>
      </c>
      <c r="AJ5" s="311">
        <v>41913</v>
      </c>
      <c r="AK5" s="312">
        <v>41944</v>
      </c>
      <c r="AL5" s="313">
        <v>41974</v>
      </c>
      <c r="AM5" s="311">
        <v>42005</v>
      </c>
      <c r="AN5" s="312">
        <v>42036</v>
      </c>
      <c r="AO5" s="313">
        <v>42064</v>
      </c>
      <c r="AP5" s="311">
        <v>42096</v>
      </c>
      <c r="AQ5" s="312">
        <v>42125</v>
      </c>
      <c r="AR5" s="313">
        <v>42156</v>
      </c>
      <c r="AS5" s="311">
        <v>42186</v>
      </c>
      <c r="AT5" s="312">
        <v>42217</v>
      </c>
      <c r="AU5" s="313">
        <v>42248</v>
      </c>
      <c r="AV5" s="311">
        <v>42278</v>
      </c>
      <c r="AW5" s="312">
        <v>42309</v>
      </c>
      <c r="AX5" s="313">
        <v>42339</v>
      </c>
      <c r="AY5" s="311">
        <v>42370</v>
      </c>
      <c r="AZ5" s="312">
        <v>42401</v>
      </c>
      <c r="BA5" s="313">
        <v>42430</v>
      </c>
      <c r="BB5" s="852">
        <v>42461</v>
      </c>
      <c r="BC5" s="309" t="s">
        <v>6810</v>
      </c>
    </row>
    <row r="6" spans="2:62">
      <c r="B6" t="s">
        <v>8</v>
      </c>
      <c r="C6" s="8">
        <v>24216385.16</v>
      </c>
      <c r="D6" s="8">
        <v>19383497.57</v>
      </c>
      <c r="E6" s="8">
        <v>7826755.8499999996</v>
      </c>
      <c r="F6" s="8">
        <f>13954666.24-37413.45</f>
        <v>13917252.790000001</v>
      </c>
      <c r="G6" s="8">
        <v>7490010.4400000004</v>
      </c>
      <c r="H6" s="8">
        <f>1443602.28-117.24</f>
        <v>1443485.04</v>
      </c>
      <c r="I6" s="8">
        <v>230586.52</v>
      </c>
      <c r="J6" s="8">
        <v>178547.57</v>
      </c>
      <c r="K6" s="8"/>
      <c r="L6" s="4">
        <v>6422.74</v>
      </c>
      <c r="M6" s="8"/>
      <c r="N6" s="4">
        <v>74730.679999999993</v>
      </c>
      <c r="O6" s="4">
        <v>18001222.370000001</v>
      </c>
      <c r="P6" s="4">
        <f>21026329.95-39084.67</f>
        <v>20987245.279999997</v>
      </c>
      <c r="Q6" s="4">
        <v>16715164.689999999</v>
      </c>
      <c r="R6" s="9">
        <v>4061768.99</v>
      </c>
      <c r="S6" s="10">
        <f>8563406.98+54815.33</f>
        <v>8618222.3100000005</v>
      </c>
      <c r="T6" s="10">
        <v>5359637.45</v>
      </c>
      <c r="U6" s="10">
        <v>1989047.01</v>
      </c>
      <c r="V6" s="10">
        <v>8391.2000000000007</v>
      </c>
      <c r="W6" s="314">
        <v>133515.13</v>
      </c>
      <c r="X6" s="315">
        <v>0</v>
      </c>
      <c r="Y6" s="316">
        <f>229790-10.71</f>
        <v>229779.29</v>
      </c>
      <c r="Z6" s="316">
        <v>1821820.02</v>
      </c>
      <c r="AA6" s="317">
        <f>31087927.86</f>
        <v>31087927.859999999</v>
      </c>
      <c r="AB6" s="317">
        <f>21266017.67</f>
        <v>21266017.670000002</v>
      </c>
      <c r="AC6" s="318">
        <f>6666959.44+-658396.16</f>
        <v>6008563.2800000003</v>
      </c>
      <c r="AD6" s="319">
        <v>9648864.4299999997</v>
      </c>
      <c r="AE6" s="320">
        <f>8271411.43</f>
        <v>8271411.4299999997</v>
      </c>
      <c r="AF6" s="320">
        <f>8253203.71</f>
        <v>8253203.71</v>
      </c>
      <c r="AG6" s="321">
        <f>17061498.7</f>
        <v>17061498.699999999</v>
      </c>
      <c r="AH6" s="322">
        <f>3689990.31</f>
        <v>3689990.31</v>
      </c>
      <c r="AI6" s="323">
        <f>6375465.35+-60215</f>
        <v>6315250.3499999996</v>
      </c>
      <c r="AJ6" s="321">
        <f>572466.98</f>
        <v>572466.98</v>
      </c>
      <c r="AK6" s="322">
        <f>457370.85</f>
        <v>457370.85</v>
      </c>
      <c r="AL6" s="323">
        <f>96959.7</f>
        <v>96959.7</v>
      </c>
      <c r="AM6" s="321">
        <f>23292682.66</f>
        <v>23292682.66</v>
      </c>
      <c r="AN6" s="322">
        <f>40978234.68</f>
        <v>40978234.68</v>
      </c>
      <c r="AO6" s="323">
        <f>14809549.19-50014.8</f>
        <v>14759534.389999999</v>
      </c>
      <c r="AP6" s="321">
        <f>4646776.06</f>
        <v>4646776.0599999996</v>
      </c>
      <c r="AQ6" s="322">
        <f>11552549.29</f>
        <v>11552549.289999999</v>
      </c>
      <c r="AR6" s="323">
        <f>7873388.77</f>
        <v>7873388.7699999996</v>
      </c>
      <c r="AS6" s="321">
        <f>2081666.55+333750</f>
        <v>2415416.5499999998</v>
      </c>
      <c r="AT6" s="322">
        <f>1209476.02</f>
        <v>1209476.02</v>
      </c>
      <c r="AU6" s="323">
        <f>3744744.9+3843162.38</f>
        <v>7587907.2799999993</v>
      </c>
      <c r="AV6" s="321">
        <f>2154531.09</f>
        <v>2154531.09</v>
      </c>
      <c r="AW6" s="322">
        <f>857629.64</f>
        <v>857629.64</v>
      </c>
      <c r="AX6" s="323">
        <f>431947-6600</f>
        <v>425347</v>
      </c>
      <c r="AY6" s="321">
        <f>19913097.09</f>
        <v>19913097.09</v>
      </c>
      <c r="AZ6" s="322">
        <f>42970280.61</f>
        <v>42970280.609999999</v>
      </c>
      <c r="BA6" s="323">
        <f>35870457.92</f>
        <v>35870457.920000002</v>
      </c>
      <c r="BB6" s="853">
        <f>17731006.65</f>
        <v>17731006.649999999</v>
      </c>
      <c r="BC6" s="324">
        <f>SUM(AQ6:BB6)</f>
        <v>150561087.91</v>
      </c>
      <c r="BD6" s="19"/>
      <c r="BE6" s="20"/>
      <c r="BF6" s="19"/>
      <c r="BG6" s="19">
        <f>BE6-BC6</f>
        <v>-150561087.91</v>
      </c>
      <c r="BI6" s="19"/>
      <c r="BJ6" s="117"/>
    </row>
    <row r="7" spans="2:62"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AA7" s="324"/>
      <c r="AB7" s="324"/>
      <c r="AC7" s="324"/>
      <c r="AD7" s="324"/>
      <c r="AE7" s="324"/>
      <c r="AF7" s="324"/>
      <c r="AG7" s="325"/>
      <c r="AH7" s="326"/>
      <c r="AI7" s="327"/>
      <c r="AJ7" s="325"/>
      <c r="AK7" s="326"/>
      <c r="AL7" s="327"/>
      <c r="AM7" s="328"/>
      <c r="AN7" s="329"/>
      <c r="AO7" s="330"/>
      <c r="AP7" s="328"/>
      <c r="AQ7" s="329"/>
      <c r="AR7" s="330"/>
      <c r="AS7" s="328"/>
      <c r="AT7" s="329"/>
      <c r="AU7" s="330"/>
      <c r="AV7" s="328"/>
      <c r="AW7" s="329"/>
      <c r="AX7" s="330"/>
      <c r="AY7" s="328"/>
      <c r="AZ7" s="329"/>
      <c r="BA7" s="330"/>
      <c r="BB7" s="854"/>
      <c r="BC7" s="324">
        <f t="shared" ref="BC7:BC26" si="7">SUM(AQ7:BB7)</f>
        <v>0</v>
      </c>
      <c r="BD7" s="19"/>
      <c r="BE7" s="19"/>
      <c r="BF7" s="19"/>
      <c r="BG7" s="19"/>
    </row>
    <row r="8" spans="2:62">
      <c r="B8" t="s">
        <v>9</v>
      </c>
      <c r="C8" s="8">
        <v>2132.88</v>
      </c>
      <c r="D8" s="8">
        <v>76600</v>
      </c>
      <c r="E8" s="8"/>
      <c r="F8" s="8"/>
      <c r="G8" s="8"/>
      <c r="H8" s="4">
        <v>22734</v>
      </c>
      <c r="I8" s="4">
        <v>4702227.1900000004</v>
      </c>
      <c r="J8" s="4">
        <v>1837614.22</v>
      </c>
      <c r="K8" s="4">
        <v>402954.07</v>
      </c>
      <c r="L8" s="4">
        <v>1419634.59</v>
      </c>
      <c r="M8" s="4">
        <v>8340584.2400000002</v>
      </c>
      <c r="N8" s="4">
        <v>9765013.4499999993</v>
      </c>
      <c r="O8" s="4">
        <v>4289743.46</v>
      </c>
      <c r="P8" s="4">
        <v>279693.43</v>
      </c>
      <c r="Q8" s="4">
        <v>954882.36</v>
      </c>
      <c r="R8" s="4">
        <v>0</v>
      </c>
      <c r="S8" s="4">
        <v>0</v>
      </c>
      <c r="T8" s="4">
        <v>991289.21</v>
      </c>
      <c r="U8" s="4">
        <v>5388364.8200000003</v>
      </c>
      <c r="V8" s="4">
        <v>3721584.56</v>
      </c>
      <c r="W8" s="331">
        <v>5317838.04</v>
      </c>
      <c r="X8" s="314">
        <v>3939340.44</v>
      </c>
      <c r="Y8" s="316">
        <f>2512846.6-27148.92</f>
        <v>2485697.6800000002</v>
      </c>
      <c r="Z8" s="316">
        <f>3094698.22+949536.34</f>
        <v>4044234.56</v>
      </c>
      <c r="AA8" s="332">
        <f>754323.14+-74540.58</f>
        <v>679782.56</v>
      </c>
      <c r="AB8" s="332">
        <f>552.6+-7386.28</f>
        <v>-6833.6799999999994</v>
      </c>
      <c r="AC8" s="318">
        <f>1358848.21</f>
        <v>1358848.21</v>
      </c>
      <c r="AD8" s="333">
        <f>82066</f>
        <v>82066</v>
      </c>
      <c r="AE8" s="320">
        <f>81153.33</f>
        <v>81153.33</v>
      </c>
      <c r="AF8" s="320">
        <f>67620</f>
        <v>67620</v>
      </c>
      <c r="AG8" s="321">
        <f>535484.99</f>
        <v>535484.99</v>
      </c>
      <c r="AH8" s="322">
        <f>3273072.16</f>
        <v>3273072.16</v>
      </c>
      <c r="AI8" s="323">
        <f>3348578.23</f>
        <v>3348578.23</v>
      </c>
      <c r="AJ8" s="321">
        <f>2890754.91</f>
        <v>2890754.91</v>
      </c>
      <c r="AK8" s="322">
        <f>862492.07</f>
        <v>862492.07</v>
      </c>
      <c r="AL8" s="323">
        <f>3809897.12</f>
        <v>3809897.12</v>
      </c>
      <c r="AM8" s="321">
        <f>1591845.46</f>
        <v>1591845.46</v>
      </c>
      <c r="AN8" s="322">
        <f>2820</f>
        <v>2820</v>
      </c>
      <c r="AO8" s="323">
        <f>25000</f>
        <v>25000</v>
      </c>
      <c r="AP8" s="321">
        <f>390841.1</f>
        <v>390841.1</v>
      </c>
      <c r="AQ8" s="322">
        <f>528229.37</f>
        <v>528229.37</v>
      </c>
      <c r="AR8" s="323">
        <f>1881191.87</f>
        <v>1881191.87</v>
      </c>
      <c r="AS8" s="321">
        <f>10783745.48</f>
        <v>10783745.48</v>
      </c>
      <c r="AT8" s="322">
        <f>4756140.06</f>
        <v>4756140.0599999996</v>
      </c>
      <c r="AU8" s="323">
        <f>2598054.96</f>
        <v>2598054.96</v>
      </c>
      <c r="AV8" s="321">
        <f>2138898.62</f>
        <v>2138898.62</v>
      </c>
      <c r="AW8" s="322">
        <f>978540.3</f>
        <v>978540.3</v>
      </c>
      <c r="AX8" s="323">
        <f>4634601.11</f>
        <v>4634601.1100000003</v>
      </c>
      <c r="AY8" s="321">
        <f>1674369.27</f>
        <v>1674369.27</v>
      </c>
      <c r="AZ8" s="322">
        <f>190890</f>
        <v>190890</v>
      </c>
      <c r="BA8" s="323">
        <f>12745.34</f>
        <v>12745.34</v>
      </c>
      <c r="BB8" s="853">
        <f>52017.33</f>
        <v>52017.33</v>
      </c>
      <c r="BC8" s="324">
        <f t="shared" si="7"/>
        <v>30229423.710000001</v>
      </c>
      <c r="BD8" s="19"/>
      <c r="BE8" s="20"/>
      <c r="BF8" s="19"/>
      <c r="BG8" s="19">
        <f>BE8-BC8</f>
        <v>-30229423.710000001</v>
      </c>
      <c r="BI8" s="19"/>
      <c r="BJ8" s="117"/>
    </row>
    <row r="9" spans="2:62"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AA9" s="324"/>
      <c r="AB9" s="324"/>
      <c r="AC9" s="324"/>
      <c r="AD9" s="324"/>
      <c r="AE9" s="324"/>
      <c r="AF9" s="324"/>
      <c r="AG9" s="325"/>
      <c r="AH9" s="326"/>
      <c r="AI9" s="327"/>
      <c r="AJ9" s="325"/>
      <c r="AK9" s="326"/>
      <c r="AL9" s="327"/>
      <c r="AM9" s="325"/>
      <c r="AN9" s="326"/>
      <c r="AO9" s="327"/>
      <c r="AP9" s="325"/>
      <c r="AQ9" s="326"/>
      <c r="AR9" s="327"/>
      <c r="AS9" s="325"/>
      <c r="AT9" s="326"/>
      <c r="AU9" s="327"/>
      <c r="AV9" s="325"/>
      <c r="AW9" s="326"/>
      <c r="AX9" s="327"/>
      <c r="AY9" s="325"/>
      <c r="AZ9" s="326"/>
      <c r="BA9" s="327"/>
      <c r="BB9" s="855"/>
      <c r="BC9" s="324">
        <f t="shared" si="7"/>
        <v>0</v>
      </c>
      <c r="BD9" s="19"/>
      <c r="BE9" s="19"/>
      <c r="BF9" s="19"/>
      <c r="BG9" s="19"/>
    </row>
    <row r="10" spans="2:62">
      <c r="B10" t="s">
        <v>845</v>
      </c>
      <c r="C10" s="8">
        <v>503951.28</v>
      </c>
      <c r="D10" s="8">
        <v>854646.78</v>
      </c>
      <c r="E10" s="8">
        <v>3906496.29</v>
      </c>
      <c r="F10" s="8">
        <v>8697132.8599999994</v>
      </c>
      <c r="G10" s="8">
        <v>4152981.2</v>
      </c>
      <c r="H10" s="8">
        <v>1316386.1599999999</v>
      </c>
      <c r="I10" s="4">
        <f>403985.57+1647453.98-15857.36</f>
        <v>2035582.19</v>
      </c>
      <c r="J10" s="8">
        <v>1401604.7</v>
      </c>
      <c r="K10" s="4">
        <v>7585419.9000000004</v>
      </c>
      <c r="L10" s="4">
        <v>4402327.16</v>
      </c>
      <c r="M10" s="4">
        <f>412801.02+1463182.28</f>
        <v>1875983.3</v>
      </c>
      <c r="N10" s="4">
        <f>4154424+8298902.42</f>
        <v>12453326.42</v>
      </c>
      <c r="O10" s="4">
        <f>10239877.38+2094950.11</f>
        <v>12334827.49</v>
      </c>
      <c r="P10" s="4">
        <f>5473327.28+3180885.11-18135.04</f>
        <v>8636077.3500000015</v>
      </c>
      <c r="Q10" s="4">
        <v>18294488.100000001</v>
      </c>
      <c r="R10" s="9">
        <v>2529653.14</v>
      </c>
      <c r="S10" s="10">
        <f>3926102.43+18078.59</f>
        <v>3944181.02</v>
      </c>
      <c r="T10" s="10">
        <v>607471.4</v>
      </c>
      <c r="U10" s="10">
        <v>0</v>
      </c>
      <c r="V10" s="10">
        <v>5018322.91</v>
      </c>
      <c r="W10" s="331">
        <v>7802018.3499999996</v>
      </c>
      <c r="X10" s="314">
        <f>2383354.64+3701102.76</f>
        <v>6084457.4000000004</v>
      </c>
      <c r="Y10" s="315">
        <f>5853745.59+2764875.34</f>
        <v>8618620.9299999997</v>
      </c>
      <c r="Z10" s="315">
        <v>9717282.1899999995</v>
      </c>
      <c r="AA10" s="317">
        <f>4789122.38</f>
        <v>4789122.38</v>
      </c>
      <c r="AB10" s="317">
        <f>9283189.79+500695.8</f>
        <v>9783885.5899999999</v>
      </c>
      <c r="AC10" s="318">
        <f>5462160.65+184448.91</f>
        <v>5646609.5600000005</v>
      </c>
      <c r="AD10" s="333">
        <f>1368451.43</f>
        <v>1368451.43</v>
      </c>
      <c r="AE10" s="320">
        <f>1866180.7+5315938.51</f>
        <v>7182119.21</v>
      </c>
      <c r="AF10" s="320">
        <f>2237919.21</f>
        <v>2237919.21</v>
      </c>
      <c r="AG10" s="321">
        <f>3903510.3+1129552.84+-3410.88</f>
        <v>5029652.26</v>
      </c>
      <c r="AH10" s="322">
        <f>6112911.86+4638849.91</f>
        <v>10751761.77</v>
      </c>
      <c r="AI10" s="323">
        <f>1997607.51+11358072.81</f>
        <v>13355680.32</v>
      </c>
      <c r="AJ10" s="321">
        <f>419180.4+12332423.47</f>
        <v>12751603.870000001</v>
      </c>
      <c r="AK10" s="322">
        <f>10067502.01+-92715.33</f>
        <v>9974786.6799999997</v>
      </c>
      <c r="AL10" s="323">
        <f>18501589.85</f>
        <v>18501589.850000001</v>
      </c>
      <c r="AM10" s="321">
        <f>2534682.85</f>
        <v>2534682.85</v>
      </c>
      <c r="AN10" s="322">
        <f>1273235.96+7145123.34</f>
        <v>8418359.3000000007</v>
      </c>
      <c r="AO10" s="323">
        <f>10005693.35</f>
        <v>10005693.35</v>
      </c>
      <c r="AP10" s="321">
        <f>2342674.18</f>
        <v>2342674.1800000002</v>
      </c>
      <c r="AQ10" s="322">
        <f>1762457.78</f>
        <v>1762457.78</v>
      </c>
      <c r="AR10" s="323">
        <f>376168.22+1881279.23</f>
        <v>2257447.4500000002</v>
      </c>
      <c r="AS10" s="321">
        <f>120200.11</f>
        <v>120200.11</v>
      </c>
      <c r="AT10" s="322">
        <f>1161648.55+5477044.06</f>
        <v>6638692.6099999994</v>
      </c>
      <c r="AU10" s="323">
        <f>6078987.55+5463595.45</f>
        <v>11542583</v>
      </c>
      <c r="AV10" s="321">
        <f>6181758.69+9522056.72</f>
        <v>15703815.41</v>
      </c>
      <c r="AW10" s="322">
        <f>1724588.5+11675337.38</f>
        <v>13399925.880000001</v>
      </c>
      <c r="AX10" s="323">
        <f>638933.04+16437155.04</f>
        <v>17076088.079999998</v>
      </c>
      <c r="AY10" s="321">
        <f>338071.5+2431107.16</f>
        <v>2769178.66</v>
      </c>
      <c r="AZ10" s="322">
        <f>2676487.52+1259892.35</f>
        <v>3936379.87</v>
      </c>
      <c r="BA10" s="323">
        <f>389383.4+5929108.19</f>
        <v>6318491.5900000008</v>
      </c>
      <c r="BB10" s="853">
        <f>10194820.9</f>
        <v>10194820.9</v>
      </c>
      <c r="BC10" s="324">
        <f t="shared" si="7"/>
        <v>91720081.340000004</v>
      </c>
      <c r="BD10" s="19"/>
      <c r="BE10" s="20"/>
      <c r="BF10" s="19"/>
      <c r="BG10" s="19">
        <f>BE10-BC10</f>
        <v>-91720081.340000004</v>
      </c>
      <c r="BI10" s="19"/>
      <c r="BJ10" s="117"/>
    </row>
    <row r="11" spans="2:62"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AA11" s="324"/>
      <c r="AB11" s="324"/>
      <c r="AC11" s="324"/>
      <c r="AD11" s="324"/>
      <c r="AE11" s="324"/>
      <c r="AF11" s="324"/>
      <c r="AG11" s="325"/>
      <c r="AH11" s="326"/>
      <c r="AI11" s="327"/>
      <c r="AJ11" s="325"/>
      <c r="AK11" s="326"/>
      <c r="AL11" s="327"/>
      <c r="AM11" s="325"/>
      <c r="AN11" s="326"/>
      <c r="AO11" s="327"/>
      <c r="AP11" s="325"/>
      <c r="AQ11" s="326"/>
      <c r="AR11" s="327"/>
      <c r="AS11" s="325"/>
      <c r="AT11" s="326"/>
      <c r="AU11" s="327"/>
      <c r="AV11" s="325"/>
      <c r="AW11" s="326"/>
      <c r="AX11" s="327"/>
      <c r="AY11" s="325"/>
      <c r="AZ11" s="326"/>
      <c r="BA11" s="327"/>
      <c r="BB11" s="855"/>
      <c r="BC11" s="324">
        <f t="shared" si="7"/>
        <v>0</v>
      </c>
      <c r="BD11" s="19"/>
      <c r="BE11" s="19"/>
      <c r="BF11" s="19"/>
      <c r="BG11" s="19"/>
    </row>
    <row r="12" spans="2:62">
      <c r="B12" t="s">
        <v>846</v>
      </c>
      <c r="C12" s="8">
        <v>60465</v>
      </c>
      <c r="D12" s="8">
        <v>91266.5</v>
      </c>
      <c r="E12" s="8">
        <v>51393.4</v>
      </c>
      <c r="F12" s="8"/>
      <c r="G12" s="8"/>
      <c r="H12" s="8"/>
      <c r="I12" s="4">
        <v>524137.42</v>
      </c>
      <c r="J12" s="4">
        <v>1453679.74</v>
      </c>
      <c r="K12" s="4">
        <v>1063611.52</v>
      </c>
      <c r="L12" s="4">
        <v>1531177.27</v>
      </c>
      <c r="M12" s="4">
        <v>942633.56</v>
      </c>
      <c r="N12" s="4">
        <v>458020.47</v>
      </c>
      <c r="O12" s="4">
        <v>103733.35</v>
      </c>
      <c r="P12" s="4">
        <v>110932.32</v>
      </c>
      <c r="Q12" s="4">
        <v>306621.8</v>
      </c>
      <c r="R12" s="9">
        <f>126962.07-12498</f>
        <v>114464.07</v>
      </c>
      <c r="S12" s="10">
        <v>19188</v>
      </c>
      <c r="T12" s="10">
        <v>20800</v>
      </c>
      <c r="U12" s="10">
        <v>1132044.49</v>
      </c>
      <c r="V12" s="10">
        <v>942611.34</v>
      </c>
      <c r="W12" s="331">
        <v>1107387.81</v>
      </c>
      <c r="X12" s="314">
        <f>1230923.48-1759.2</f>
        <v>1229164.28</v>
      </c>
      <c r="Y12" s="315">
        <v>501494.7</v>
      </c>
      <c r="Z12" s="315">
        <v>90416.320000000007</v>
      </c>
      <c r="AA12" s="317">
        <f>126713.4+-8000</f>
        <v>118713.4</v>
      </c>
      <c r="AB12" s="317">
        <f>82705.8</f>
        <v>82705.8</v>
      </c>
      <c r="AC12" s="318">
        <f>248319</f>
        <v>248319</v>
      </c>
      <c r="AD12" s="333">
        <f>557263.11</f>
        <v>557263.11</v>
      </c>
      <c r="AE12" s="320">
        <f>710459.84</f>
        <v>710459.84</v>
      </c>
      <c r="AF12" s="320">
        <f>103820.17</f>
        <v>103820.17</v>
      </c>
      <c r="AG12" s="321">
        <f>1904518.73</f>
        <v>1904518.73</v>
      </c>
      <c r="AH12" s="322">
        <f>2008485.62</f>
        <v>2008485.62</v>
      </c>
      <c r="AI12" s="323">
        <f>1937673.01</f>
        <v>1937673.01</v>
      </c>
      <c r="AJ12" s="321">
        <f>2044742.01</f>
        <v>2044742.01</v>
      </c>
      <c r="AK12" s="322">
        <f>861059.98</f>
        <v>861059.98</v>
      </c>
      <c r="AL12" s="323">
        <f>943944.42</f>
        <v>943944.42</v>
      </c>
      <c r="AM12" s="321">
        <f>186174.76</f>
        <v>186174.76</v>
      </c>
      <c r="AN12" s="322">
        <f>262212.2</f>
        <v>262212.2</v>
      </c>
      <c r="AO12" s="323">
        <f>33759.2</f>
        <v>33759.199999999997</v>
      </c>
      <c r="AP12" s="321">
        <f>265502.6</f>
        <v>265502.59999999998</v>
      </c>
      <c r="AQ12" s="322">
        <f>144239.6</f>
        <v>144239.6</v>
      </c>
      <c r="AR12" s="323">
        <f>271876.6</f>
        <v>271876.59999999998</v>
      </c>
      <c r="AS12" s="321">
        <v>970237.58</v>
      </c>
      <c r="AT12" s="322">
        <f>1743526.54</f>
        <v>1743526.54</v>
      </c>
      <c r="AU12" s="323">
        <f>1935944.9</f>
        <v>1935944.9</v>
      </c>
      <c r="AV12" s="321">
        <f>1142918.08</f>
        <v>1142918.08</v>
      </c>
      <c r="AW12" s="322">
        <f>680381.04</f>
        <v>680381.04</v>
      </c>
      <c r="AX12" s="323">
        <f>518783.92</f>
        <v>518783.92</v>
      </c>
      <c r="AY12" s="321">
        <f>95887.2</f>
        <v>95887.2</v>
      </c>
      <c r="AZ12" s="322"/>
      <c r="BA12" s="323">
        <f>107506.2</f>
        <v>107506.2</v>
      </c>
      <c r="BB12" s="853">
        <f>336777.47</f>
        <v>336777.47</v>
      </c>
      <c r="BC12" s="324">
        <f t="shared" si="7"/>
        <v>7948079.1299999999</v>
      </c>
      <c r="BD12" s="19"/>
      <c r="BE12" s="20"/>
      <c r="BF12" s="19"/>
      <c r="BG12" s="19">
        <f>BE12-BC12</f>
        <v>-7948079.1299999999</v>
      </c>
      <c r="BI12" s="19"/>
      <c r="BJ12" s="117"/>
    </row>
    <row r="13" spans="2:62"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AA13" s="324"/>
      <c r="AB13" s="324"/>
      <c r="AC13" s="324"/>
      <c r="AD13" s="324"/>
      <c r="AE13" s="324"/>
      <c r="AF13" s="324"/>
      <c r="AG13" s="325"/>
      <c r="AH13" s="326"/>
      <c r="AI13" s="327"/>
      <c r="AJ13" s="325"/>
      <c r="AK13" s="326"/>
      <c r="AL13" s="327"/>
      <c r="AM13" s="325"/>
      <c r="AN13" s="326"/>
      <c r="AO13" s="327"/>
      <c r="AP13" s="325"/>
      <c r="AQ13" s="326"/>
      <c r="AR13" s="327"/>
      <c r="AS13" s="325"/>
      <c r="AT13" s="326"/>
      <c r="AU13" s="327"/>
      <c r="AV13" s="325"/>
      <c r="AW13" s="326"/>
      <c r="AX13" s="327"/>
      <c r="AY13" s="325"/>
      <c r="AZ13" s="326"/>
      <c r="BA13" s="327"/>
      <c r="BB13" s="855"/>
      <c r="BC13" s="324">
        <f t="shared" si="7"/>
        <v>0</v>
      </c>
      <c r="BD13" s="19"/>
      <c r="BE13" s="19"/>
      <c r="BF13" s="19"/>
      <c r="BG13" s="19"/>
    </row>
    <row r="14" spans="2:62">
      <c r="B14" t="s">
        <v>12</v>
      </c>
      <c r="C14" s="8"/>
      <c r="D14" s="8">
        <v>5900</v>
      </c>
      <c r="E14" s="8">
        <v>11490.44</v>
      </c>
      <c r="F14" s="8">
        <v>21374.6</v>
      </c>
      <c r="G14" s="4">
        <v>24439.48</v>
      </c>
      <c r="H14" s="4">
        <v>9047.83</v>
      </c>
      <c r="I14" s="8"/>
      <c r="J14" s="8"/>
      <c r="K14" s="8"/>
      <c r="L14" s="4">
        <v>8237.84</v>
      </c>
      <c r="M14" s="4">
        <v>20478.64</v>
      </c>
      <c r="N14" s="4">
        <v>45170.84</v>
      </c>
      <c r="O14" s="4">
        <v>19608.16</v>
      </c>
      <c r="P14" s="4">
        <v>46050.400000000001</v>
      </c>
      <c r="Q14" s="4">
        <v>16232</v>
      </c>
      <c r="R14" s="4">
        <v>0</v>
      </c>
      <c r="S14" s="4">
        <v>0</v>
      </c>
      <c r="T14" s="4">
        <v>0</v>
      </c>
      <c r="U14" s="4">
        <v>35445.449999999997</v>
      </c>
      <c r="V14" s="4">
        <v>554.79999999999995</v>
      </c>
      <c r="W14" s="331">
        <v>98208.89</v>
      </c>
      <c r="X14" s="314">
        <v>79545</v>
      </c>
      <c r="Y14" s="315">
        <v>29352.15</v>
      </c>
      <c r="Z14" s="315">
        <v>17045</v>
      </c>
      <c r="AA14" s="334">
        <v>0</v>
      </c>
      <c r="AB14" s="317">
        <f>34308</f>
        <v>34308</v>
      </c>
      <c r="AC14" s="318">
        <f>21694</f>
        <v>21694</v>
      </c>
      <c r="AD14" s="333">
        <f>21777</f>
        <v>21777</v>
      </c>
      <c r="AE14" s="320">
        <f>49897</f>
        <v>49897</v>
      </c>
      <c r="AF14" s="320">
        <f>7993</f>
        <v>7993</v>
      </c>
      <c r="AG14" s="321">
        <f>41806.6</f>
        <v>41806.6</v>
      </c>
      <c r="AH14" s="322">
        <f>126782.2</f>
        <v>126782.2</v>
      </c>
      <c r="AI14" s="323">
        <f>205869.3</f>
        <v>205869.3</v>
      </c>
      <c r="AJ14" s="321">
        <f>162666</f>
        <v>162666</v>
      </c>
      <c r="AK14" s="322">
        <f>202149.2</f>
        <v>202149.2</v>
      </c>
      <c r="AL14" s="323">
        <f>42653.6</f>
        <v>42653.599999999999</v>
      </c>
      <c r="AM14" s="321">
        <f>20745.9</f>
        <v>20745.900000000001</v>
      </c>
      <c r="AN14" s="322">
        <f>9537.15</f>
        <v>9537.15</v>
      </c>
      <c r="AO14" s="323">
        <f>50146.95</f>
        <v>50146.95</v>
      </c>
      <c r="AP14" s="321">
        <f>90516.3</f>
        <v>90516.3</v>
      </c>
      <c r="AQ14" s="322"/>
      <c r="AR14" s="323">
        <f>8137.5</f>
        <v>8137.5</v>
      </c>
      <c r="AS14" s="321">
        <f>58259</f>
        <v>58259</v>
      </c>
      <c r="AT14" s="322">
        <f>99816.55</f>
        <v>99816.55</v>
      </c>
      <c r="AU14" s="323">
        <f>89038.35</f>
        <v>89038.35</v>
      </c>
      <c r="AV14" s="321">
        <f>55746.25</f>
        <v>55746.25</v>
      </c>
      <c r="AW14" s="322">
        <f>63651.95</f>
        <v>63651.95</v>
      </c>
      <c r="AX14" s="323">
        <f>62651.1</f>
        <v>62651.1</v>
      </c>
      <c r="AY14" s="321">
        <f>157739.4</f>
        <v>157739.4</v>
      </c>
      <c r="AZ14" s="322">
        <f>42317.7</f>
        <v>42317.7</v>
      </c>
      <c r="BA14" s="323">
        <f>21675.2</f>
        <v>21675.200000000001</v>
      </c>
      <c r="BB14" s="853">
        <v>0</v>
      </c>
      <c r="BC14" s="324">
        <f t="shared" si="7"/>
        <v>659032.99999999988</v>
      </c>
      <c r="BD14" s="19"/>
      <c r="BE14" s="20"/>
      <c r="BF14" s="19"/>
      <c r="BG14" s="19">
        <f>BE14-BC14</f>
        <v>-659032.99999999988</v>
      </c>
      <c r="BI14" s="19"/>
      <c r="BJ14" s="117"/>
    </row>
    <row r="15" spans="2:62"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AA15" s="324"/>
      <c r="AB15" s="324"/>
      <c r="AC15" s="324"/>
      <c r="AD15" s="324"/>
      <c r="AE15" s="324"/>
      <c r="AF15" s="324"/>
      <c r="AG15" s="325"/>
      <c r="AH15" s="326"/>
      <c r="AI15" s="327"/>
      <c r="AJ15" s="325"/>
      <c r="AK15" s="326"/>
      <c r="AL15" s="327"/>
      <c r="AM15" s="325"/>
      <c r="AN15" s="326"/>
      <c r="AO15" s="327"/>
      <c r="AP15" s="325"/>
      <c r="AQ15" s="326"/>
      <c r="AR15" s="327"/>
      <c r="AS15" s="325"/>
      <c r="AT15" s="326"/>
      <c r="AU15" s="327"/>
      <c r="AV15" s="325"/>
      <c r="AW15" s="326"/>
      <c r="AX15" s="327"/>
      <c r="AY15" s="325"/>
      <c r="AZ15" s="326"/>
      <c r="BA15" s="327"/>
      <c r="BB15" s="855"/>
      <c r="BC15" s="324">
        <f t="shared" si="7"/>
        <v>0</v>
      </c>
      <c r="BD15" s="19"/>
      <c r="BE15" s="19"/>
      <c r="BF15" s="19"/>
      <c r="BG15" s="19"/>
    </row>
    <row r="16" spans="2:62">
      <c r="B16" t="s">
        <v>13</v>
      </c>
      <c r="C16" s="8"/>
      <c r="D16" s="8"/>
      <c r="E16" s="8"/>
      <c r="F16" s="8"/>
      <c r="G16" s="8"/>
      <c r="H16" s="8">
        <v>95004.800000000003</v>
      </c>
      <c r="I16" s="4">
        <v>1148705.69</v>
      </c>
      <c r="J16" s="4">
        <v>908840.9</v>
      </c>
      <c r="K16" s="4">
        <v>728479.4</v>
      </c>
      <c r="L16" s="4">
        <v>529071.4</v>
      </c>
      <c r="M16" s="4">
        <v>434320.7</v>
      </c>
      <c r="N16" s="8"/>
      <c r="O16" s="4">
        <v>222791.8</v>
      </c>
      <c r="P16" s="8">
        <v>0</v>
      </c>
      <c r="Q16" s="8">
        <v>0</v>
      </c>
      <c r="R16" s="9">
        <v>163806.12</v>
      </c>
      <c r="S16" s="9">
        <v>0</v>
      </c>
      <c r="T16" s="4">
        <v>0</v>
      </c>
      <c r="U16" s="4">
        <v>688929.59</v>
      </c>
      <c r="V16">
        <v>681030.96</v>
      </c>
      <c r="W16" s="335">
        <v>542492.76</v>
      </c>
      <c r="X16" s="314">
        <v>586975.80000000005</v>
      </c>
      <c r="Y16" s="315">
        <v>346305.6</v>
      </c>
      <c r="Z16" s="315">
        <v>66939</v>
      </c>
      <c r="AA16" s="334">
        <v>0</v>
      </c>
      <c r="AB16" s="317">
        <f>332775.41</f>
        <v>332775.40999999997</v>
      </c>
      <c r="AC16" s="334">
        <v>0</v>
      </c>
      <c r="AD16" s="334">
        <v>0</v>
      </c>
      <c r="AE16" s="334">
        <v>0</v>
      </c>
      <c r="AF16" s="320">
        <v>0</v>
      </c>
      <c r="AG16" s="321">
        <v>0</v>
      </c>
      <c r="AH16" s="322">
        <v>0</v>
      </c>
      <c r="AI16" s="323">
        <v>0</v>
      </c>
      <c r="AJ16" s="321">
        <f>231906.6</f>
        <v>231906.6</v>
      </c>
      <c r="AK16" s="322">
        <f>475016.64</f>
        <v>475016.64</v>
      </c>
      <c r="AL16" s="323">
        <f>87933</f>
        <v>87933</v>
      </c>
      <c r="AM16" s="321">
        <f>10557.96</f>
        <v>10557.96</v>
      </c>
      <c r="AN16" s="322">
        <v>0</v>
      </c>
      <c r="AO16" s="323"/>
      <c r="AP16" s="321">
        <v>0</v>
      </c>
      <c r="AQ16" s="322"/>
      <c r="AR16" s="323"/>
      <c r="AS16" s="321">
        <v>0</v>
      </c>
      <c r="AT16" s="322"/>
      <c r="AU16" s="323">
        <v>0</v>
      </c>
      <c r="AV16" s="321"/>
      <c r="AW16" s="322">
        <v>0</v>
      </c>
      <c r="AX16" s="323">
        <v>0</v>
      </c>
      <c r="AY16" s="321">
        <v>0</v>
      </c>
      <c r="AZ16" s="322">
        <v>0</v>
      </c>
      <c r="BA16" s="323">
        <v>0</v>
      </c>
      <c r="BB16" s="853">
        <v>0</v>
      </c>
      <c r="BC16" s="324">
        <f t="shared" si="7"/>
        <v>0</v>
      </c>
      <c r="BD16" s="19"/>
      <c r="BE16" s="20"/>
      <c r="BF16" s="19"/>
      <c r="BG16" s="19">
        <f>BE16-BC16</f>
        <v>0</v>
      </c>
      <c r="BI16" s="19"/>
      <c r="BJ16" s="117"/>
    </row>
    <row r="17" spans="2:62"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AA17" s="324"/>
      <c r="AB17" s="324"/>
      <c r="AC17" s="324"/>
      <c r="AD17" s="324"/>
      <c r="AE17" s="324"/>
      <c r="AF17" s="324"/>
      <c r="AG17" s="325"/>
      <c r="AH17" s="326"/>
      <c r="AI17" s="327"/>
      <c r="AJ17" s="325"/>
      <c r="AK17" s="326"/>
      <c r="AL17" s="327"/>
      <c r="AM17" s="325"/>
      <c r="AN17" s="326"/>
      <c r="AO17" s="327"/>
      <c r="AP17" s="325"/>
      <c r="AQ17" s="326"/>
      <c r="AR17" s="327"/>
      <c r="AS17" s="325"/>
      <c r="AT17" s="326"/>
      <c r="AU17" s="327"/>
      <c r="AV17" s="325"/>
      <c r="AW17" s="326"/>
      <c r="AX17" s="327"/>
      <c r="AY17" s="325"/>
      <c r="AZ17" s="326"/>
      <c r="BA17" s="327"/>
      <c r="BB17" s="855"/>
      <c r="BC17" s="324">
        <f t="shared" si="7"/>
        <v>0</v>
      </c>
      <c r="BD17" s="19"/>
      <c r="BE17" s="19"/>
      <c r="BF17" s="19"/>
      <c r="BG17" s="19"/>
    </row>
    <row r="18" spans="2:62">
      <c r="B18" t="s">
        <v>14</v>
      </c>
      <c r="C18" s="8">
        <v>270535.71000000002</v>
      </c>
      <c r="D18" s="8">
        <v>216743.95</v>
      </c>
      <c r="E18" s="8">
        <v>2065626.4</v>
      </c>
      <c r="F18" s="8">
        <v>313616.02</v>
      </c>
      <c r="G18" s="8"/>
      <c r="H18" s="8"/>
      <c r="I18" s="8">
        <v>764315.97</v>
      </c>
      <c r="J18" s="8">
        <v>418610.31</v>
      </c>
      <c r="K18" s="4">
        <v>162000</v>
      </c>
      <c r="L18" s="4">
        <v>599775.52</v>
      </c>
      <c r="M18" s="4">
        <v>418200.19</v>
      </c>
      <c r="N18" s="4">
        <v>1588645.17</v>
      </c>
      <c r="O18" s="4">
        <v>5100</v>
      </c>
      <c r="P18" s="8">
        <v>0</v>
      </c>
      <c r="Q18" s="8">
        <v>0</v>
      </c>
      <c r="R18" s="9">
        <v>800000</v>
      </c>
      <c r="S18" s="4">
        <v>600000</v>
      </c>
      <c r="T18" s="4">
        <v>600000</v>
      </c>
      <c r="U18" s="4">
        <v>480000</v>
      </c>
      <c r="V18" s="4">
        <v>10800</v>
      </c>
      <c r="W18" s="331">
        <v>988402.25</v>
      </c>
      <c r="X18" s="314">
        <v>0</v>
      </c>
      <c r="Y18" s="315">
        <f>248119.17-900</f>
        <v>247219.17</v>
      </c>
      <c r="Z18" s="315">
        <v>1230146.97</v>
      </c>
      <c r="AA18" s="334">
        <v>0</v>
      </c>
      <c r="AB18" s="334">
        <v>0</v>
      </c>
      <c r="AC18" s="334">
        <v>0</v>
      </c>
      <c r="AD18" s="334">
        <v>0</v>
      </c>
      <c r="AE18" s="334">
        <v>0</v>
      </c>
      <c r="AF18" s="334">
        <v>0</v>
      </c>
      <c r="AG18" s="336">
        <f>800000</f>
        <v>800000</v>
      </c>
      <c r="AH18" s="337">
        <f>400000</f>
        <v>400000</v>
      </c>
      <c r="AI18" s="338">
        <f>1400000</f>
        <v>1400000</v>
      </c>
      <c r="AJ18" s="336">
        <v>0</v>
      </c>
      <c r="AK18" s="337">
        <f>581666.67</f>
        <v>581666.67000000004</v>
      </c>
      <c r="AL18" s="338">
        <f>1163333.33</f>
        <v>1163333.33</v>
      </c>
      <c r="AM18" s="336">
        <v>0</v>
      </c>
      <c r="AN18" s="337">
        <v>0</v>
      </c>
      <c r="AO18" s="338"/>
      <c r="AP18" s="336">
        <v>0</v>
      </c>
      <c r="AQ18" s="337"/>
      <c r="AR18" s="338"/>
      <c r="AS18" s="336">
        <v>0</v>
      </c>
      <c r="AT18" s="337"/>
      <c r="AU18" s="338">
        <v>0</v>
      </c>
      <c r="AV18" s="336"/>
      <c r="AW18" s="337">
        <v>0</v>
      </c>
      <c r="AX18" s="338">
        <v>0</v>
      </c>
      <c r="AY18" s="336">
        <v>0</v>
      </c>
      <c r="AZ18" s="337">
        <v>0</v>
      </c>
      <c r="BA18" s="338">
        <v>0</v>
      </c>
      <c r="BB18" s="856">
        <v>0</v>
      </c>
      <c r="BC18" s="324">
        <f t="shared" si="7"/>
        <v>0</v>
      </c>
      <c r="BD18" s="19"/>
      <c r="BE18" s="20"/>
      <c r="BF18" s="19"/>
      <c r="BG18" s="19">
        <f>BE18-BC18</f>
        <v>0</v>
      </c>
      <c r="BI18" s="19"/>
    </row>
    <row r="19" spans="2:62"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AA19" s="324"/>
      <c r="AB19" s="324"/>
      <c r="AC19" s="324"/>
      <c r="AD19" s="324"/>
      <c r="AE19" s="324"/>
      <c r="AF19" s="324"/>
      <c r="AG19" s="325"/>
      <c r="AH19" s="326"/>
      <c r="AI19" s="327"/>
      <c r="AJ19" s="325"/>
      <c r="AK19" s="326"/>
      <c r="AL19" s="327"/>
      <c r="AM19" s="325"/>
      <c r="AN19" s="326"/>
      <c r="AO19" s="327"/>
      <c r="AP19" s="325"/>
      <c r="AQ19" s="326"/>
      <c r="AR19" s="327"/>
      <c r="AS19" s="325"/>
      <c r="AT19" s="326"/>
      <c r="AU19" s="327"/>
      <c r="AV19" s="325"/>
      <c r="AW19" s="326"/>
      <c r="AX19" s="327"/>
      <c r="AY19" s="325"/>
      <c r="AZ19" s="326"/>
      <c r="BA19" s="327"/>
      <c r="BB19" s="855"/>
      <c r="BC19" s="324">
        <f t="shared" si="7"/>
        <v>0</v>
      </c>
      <c r="BD19" s="19"/>
      <c r="BE19" s="19"/>
      <c r="BF19" s="19"/>
      <c r="BG19" s="19"/>
    </row>
    <row r="20" spans="2:62">
      <c r="B20" t="s">
        <v>15</v>
      </c>
      <c r="C20" s="8">
        <v>1998025.72</v>
      </c>
      <c r="D20" s="8">
        <v>6506475.5800000001</v>
      </c>
      <c r="E20" s="8">
        <v>-29003.919999999998</v>
      </c>
      <c r="F20" s="8">
        <v>446880</v>
      </c>
      <c r="G20" s="8"/>
      <c r="H20" s="8">
        <v>651459.97</v>
      </c>
      <c r="I20" s="8">
        <v>925000</v>
      </c>
      <c r="J20" s="8">
        <v>460265.48</v>
      </c>
      <c r="K20" s="8"/>
      <c r="L20" s="4">
        <v>473689.2</v>
      </c>
      <c r="M20" s="4">
        <v>176000</v>
      </c>
      <c r="N20" s="4">
        <v>2083.2800000000002</v>
      </c>
      <c r="O20" s="4">
        <v>204697.14</v>
      </c>
      <c r="P20" s="8">
        <v>0</v>
      </c>
      <c r="Q20" s="4">
        <v>535400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339">
        <v>287755.48</v>
      </c>
      <c r="X20" s="314">
        <v>0</v>
      </c>
      <c r="Y20" s="315">
        <v>0</v>
      </c>
      <c r="Z20" s="315">
        <v>1282767.81</v>
      </c>
      <c r="AA20" s="317">
        <f>352544.1+-6640</f>
        <v>345904.1</v>
      </c>
      <c r="AB20" s="334">
        <v>0</v>
      </c>
      <c r="AC20" s="334">
        <v>0</v>
      </c>
      <c r="AD20" s="334">
        <f>184596.2</f>
        <v>184596.2</v>
      </c>
      <c r="AE20" s="320">
        <f>468538.22</f>
        <v>468538.22</v>
      </c>
      <c r="AF20" s="320">
        <f>574374</f>
        <v>574374</v>
      </c>
      <c r="AG20" s="321">
        <f>2123771</f>
        <v>2123771</v>
      </c>
      <c r="AH20" s="322">
        <f>7840</f>
        <v>7840</v>
      </c>
      <c r="AI20" s="323">
        <f>75088</f>
        <v>75088</v>
      </c>
      <c r="AJ20" s="321">
        <f>9164992.84</f>
        <v>9164992.8399999999</v>
      </c>
      <c r="AK20" s="322">
        <f>7214820.64</f>
        <v>7214820.6399999997</v>
      </c>
      <c r="AL20" s="323">
        <f>10176606.45</f>
        <v>10176606.449999999</v>
      </c>
      <c r="AM20" s="321">
        <f>679899.52-3632.12</f>
        <v>676267.4</v>
      </c>
      <c r="AN20" s="322">
        <f>60000</f>
        <v>60000</v>
      </c>
      <c r="AO20" s="323"/>
      <c r="AP20" s="321">
        <v>0</v>
      </c>
      <c r="AQ20" s="322"/>
      <c r="AR20" s="323"/>
      <c r="AS20" s="321">
        <v>0</v>
      </c>
      <c r="AT20" s="322"/>
      <c r="AU20" s="323">
        <v>0</v>
      </c>
      <c r="AV20" s="321">
        <f>808519.13</f>
        <v>808519.13</v>
      </c>
      <c r="AW20" s="322">
        <f>7228035.06</f>
        <v>7228035.0599999996</v>
      </c>
      <c r="AX20" s="323">
        <f>11254452.17-2000</f>
        <v>11252452.17</v>
      </c>
      <c r="AY20" s="321">
        <v>0</v>
      </c>
      <c r="AZ20" s="322">
        <f>932267.3</f>
        <v>932267.3</v>
      </c>
      <c r="BA20" s="323">
        <f>740317.07</f>
        <v>740317.07</v>
      </c>
      <c r="BB20" s="853">
        <v>0</v>
      </c>
      <c r="BC20" s="324">
        <f t="shared" si="7"/>
        <v>20961590.73</v>
      </c>
      <c r="BD20" s="19"/>
      <c r="BE20" s="20"/>
      <c r="BF20" s="19"/>
      <c r="BG20" s="19">
        <f>BE20-BC20</f>
        <v>-20961590.73</v>
      </c>
      <c r="BI20" s="19"/>
      <c r="BJ20" s="117"/>
    </row>
    <row r="21" spans="2:62">
      <c r="C21" s="8"/>
      <c r="D21" s="8"/>
      <c r="E21" s="8"/>
      <c r="F21" s="8"/>
      <c r="G21" s="8"/>
      <c r="H21" s="8"/>
      <c r="I21" s="8"/>
      <c r="J21" s="8"/>
      <c r="K21" s="8"/>
      <c r="L21" s="4"/>
      <c r="M21" s="4"/>
      <c r="N21" s="4"/>
      <c r="O21" s="4"/>
      <c r="P21" s="8"/>
      <c r="Q21" s="4"/>
      <c r="R21" s="8"/>
      <c r="S21" s="8"/>
      <c r="T21" s="8"/>
      <c r="U21" s="8"/>
      <c r="V21" s="8"/>
      <c r="W21" s="339"/>
      <c r="X21" s="314"/>
      <c r="Y21" s="315"/>
      <c r="Z21" s="315"/>
      <c r="AA21" s="317"/>
      <c r="AB21" s="334"/>
      <c r="AC21" s="334"/>
      <c r="AD21" s="334"/>
      <c r="AE21" s="320"/>
      <c r="AF21" s="320"/>
      <c r="AG21" s="321"/>
      <c r="AH21" s="322"/>
      <c r="AI21" s="323"/>
      <c r="AJ21" s="321"/>
      <c r="AK21" s="322"/>
      <c r="AL21" s="323"/>
      <c r="AM21" s="321"/>
      <c r="AN21" s="322"/>
      <c r="AO21" s="323"/>
      <c r="AP21" s="321"/>
      <c r="AQ21" s="322"/>
      <c r="AR21" s="323"/>
      <c r="AS21" s="321"/>
      <c r="AT21" s="322"/>
      <c r="AU21" s="323"/>
      <c r="AV21" s="321"/>
      <c r="AW21" s="322"/>
      <c r="AX21" s="323"/>
      <c r="AY21" s="321"/>
      <c r="AZ21" s="322"/>
      <c r="BA21" s="323"/>
      <c r="BB21" s="853"/>
      <c r="BC21" s="324">
        <f t="shared" si="7"/>
        <v>0</v>
      </c>
      <c r="BD21" s="19"/>
      <c r="BE21" s="20"/>
      <c r="BF21" s="19"/>
      <c r="BG21" s="19"/>
      <c r="BI21" s="19"/>
      <c r="BJ21" s="117"/>
    </row>
    <row r="22" spans="2:62">
      <c r="B22" t="s">
        <v>6789</v>
      </c>
      <c r="C22" s="8"/>
      <c r="D22" s="8"/>
      <c r="E22" s="8"/>
      <c r="F22" s="8"/>
      <c r="G22" s="8"/>
      <c r="H22" s="8"/>
      <c r="I22" s="8"/>
      <c r="J22" s="8"/>
      <c r="K22" s="8"/>
      <c r="L22" s="4"/>
      <c r="M22" s="4"/>
      <c r="N22" s="4"/>
      <c r="O22" s="4"/>
      <c r="P22" s="8"/>
      <c r="Q22" s="4"/>
      <c r="R22" s="8"/>
      <c r="S22" s="8"/>
      <c r="T22" s="8"/>
      <c r="U22" s="8"/>
      <c r="V22" s="8"/>
      <c r="W22" s="339"/>
      <c r="X22" s="314"/>
      <c r="Y22" s="315"/>
      <c r="Z22" s="315"/>
      <c r="AA22" s="317"/>
      <c r="AB22" s="334"/>
      <c r="AC22" s="334"/>
      <c r="AD22" s="334"/>
      <c r="AE22" s="320"/>
      <c r="AF22" s="320"/>
      <c r="AG22" s="321"/>
      <c r="AH22" s="322"/>
      <c r="AI22" s="323"/>
      <c r="AJ22" s="321"/>
      <c r="AK22" s="322"/>
      <c r="AL22" s="323"/>
      <c r="AM22" s="321">
        <f>220077.68</f>
        <v>220077.68</v>
      </c>
      <c r="AN22" s="322"/>
      <c r="AO22" s="323">
        <f>317417.4</f>
        <v>317417.40000000002</v>
      </c>
      <c r="AP22" s="321"/>
      <c r="AQ22" s="322">
        <f>163279.26</f>
        <v>163279.26</v>
      </c>
      <c r="AR22" s="323">
        <f>383200.07</f>
        <v>383200.07</v>
      </c>
      <c r="AS22" s="321"/>
      <c r="AT22" s="322"/>
      <c r="AU22" s="323"/>
      <c r="AV22" s="321">
        <f>61410.3</f>
        <v>61410.3</v>
      </c>
      <c r="AW22" s="322">
        <v>0</v>
      </c>
      <c r="AX22" s="323">
        <f>113211.28</f>
        <v>113211.28</v>
      </c>
      <c r="AY22" s="321">
        <v>0</v>
      </c>
      <c r="AZ22" s="322">
        <f>5320</f>
        <v>5320</v>
      </c>
      <c r="BA22" s="323">
        <v>0</v>
      </c>
      <c r="BB22" s="853">
        <v>0</v>
      </c>
      <c r="BC22" s="324">
        <f t="shared" si="7"/>
        <v>726420.91000000015</v>
      </c>
      <c r="BD22" s="19"/>
      <c r="BE22" s="20"/>
      <c r="BF22" s="19"/>
      <c r="BG22" s="19"/>
      <c r="BI22" s="19"/>
      <c r="BJ22" s="117"/>
    </row>
    <row r="23" spans="2:62">
      <c r="C23" s="8"/>
      <c r="D23" s="8"/>
      <c r="E23" s="8"/>
      <c r="F23" s="8"/>
      <c r="G23" s="8"/>
      <c r="H23" s="8"/>
      <c r="I23" s="8"/>
      <c r="J23" s="8"/>
      <c r="K23" s="8"/>
      <c r="L23" s="4"/>
      <c r="M23" s="4"/>
      <c r="N23" s="4"/>
      <c r="O23" s="4"/>
      <c r="P23" s="8"/>
      <c r="Q23" s="4"/>
      <c r="R23" s="8"/>
      <c r="S23" s="8"/>
      <c r="T23" s="8"/>
      <c r="U23" s="8"/>
      <c r="V23" s="8"/>
      <c r="W23" s="339"/>
      <c r="X23" s="314"/>
      <c r="Y23" s="315"/>
      <c r="Z23" s="315"/>
      <c r="AA23" s="317"/>
      <c r="AB23" s="334"/>
      <c r="AC23" s="334"/>
      <c r="AD23" s="334"/>
      <c r="AE23" s="320"/>
      <c r="AF23" s="320"/>
      <c r="AG23" s="321"/>
      <c r="AH23" s="322"/>
      <c r="AI23" s="323"/>
      <c r="AJ23" s="321"/>
      <c r="AK23" s="322"/>
      <c r="AL23" s="323"/>
      <c r="AM23" s="321"/>
      <c r="AN23" s="322"/>
      <c r="AO23" s="323"/>
      <c r="AP23" s="321"/>
      <c r="AQ23" s="322"/>
      <c r="AR23" s="323"/>
      <c r="AS23" s="321"/>
      <c r="AT23" s="322"/>
      <c r="AU23" s="323"/>
      <c r="AV23" s="321"/>
      <c r="AW23" s="322"/>
      <c r="AX23" s="323"/>
      <c r="AY23" s="321"/>
      <c r="AZ23" s="322"/>
      <c r="BA23" s="323"/>
      <c r="BB23" s="853"/>
      <c r="BC23" s="324">
        <f t="shared" si="7"/>
        <v>0</v>
      </c>
      <c r="BD23" s="19"/>
      <c r="BE23" s="20"/>
      <c r="BF23" s="19"/>
      <c r="BG23" s="19"/>
      <c r="BI23" s="19"/>
      <c r="BJ23" s="117"/>
    </row>
    <row r="24" spans="2:62">
      <c r="B24" t="s">
        <v>1484</v>
      </c>
      <c r="C24" s="8"/>
      <c r="D24" s="8"/>
      <c r="E24" s="8"/>
      <c r="F24" s="8"/>
      <c r="G24" s="8"/>
      <c r="H24" s="8"/>
      <c r="I24" s="8"/>
      <c r="J24" s="8"/>
      <c r="K24" s="8"/>
      <c r="L24" s="4"/>
      <c r="M24" s="4"/>
      <c r="N24" s="4"/>
      <c r="O24" s="4"/>
      <c r="P24" s="8"/>
      <c r="Q24" s="4"/>
      <c r="R24" s="8"/>
      <c r="S24" s="8"/>
      <c r="T24" s="8"/>
      <c r="U24" s="8"/>
      <c r="V24" s="8"/>
      <c r="W24" s="339"/>
      <c r="X24" s="314"/>
      <c r="Y24" s="315"/>
      <c r="Z24" s="315"/>
      <c r="AA24" s="317"/>
      <c r="AB24" s="334"/>
      <c r="AC24" s="334"/>
      <c r="AD24" s="334"/>
      <c r="AE24" s="320"/>
      <c r="AF24" s="320"/>
      <c r="AG24" s="321"/>
      <c r="AH24" s="322"/>
      <c r="AI24" s="323"/>
      <c r="AJ24" s="321"/>
      <c r="AK24" s="322"/>
      <c r="AL24" s="323"/>
      <c r="AM24" s="321">
        <v>28509.03</v>
      </c>
      <c r="AN24" s="322"/>
      <c r="AO24" s="323">
        <f>84000</f>
        <v>84000</v>
      </c>
      <c r="AP24" s="321"/>
      <c r="AQ24" s="322"/>
      <c r="AR24" s="323">
        <f>116765</f>
        <v>116765</v>
      </c>
      <c r="AS24" s="321"/>
      <c r="AT24" s="322"/>
      <c r="AU24" s="323"/>
      <c r="AV24" s="321">
        <f>776794.71</f>
        <v>776794.71</v>
      </c>
      <c r="AW24" s="322">
        <v>0</v>
      </c>
      <c r="AX24" s="323">
        <f>10680</f>
        <v>10680</v>
      </c>
      <c r="AY24" s="321">
        <f>58871</f>
        <v>58871</v>
      </c>
      <c r="AZ24" s="322">
        <f>25687</f>
        <v>25687</v>
      </c>
      <c r="BA24" s="323">
        <f>7225</f>
        <v>7225</v>
      </c>
      <c r="BB24" s="853">
        <v>0</v>
      </c>
      <c r="BC24" s="324">
        <f t="shared" si="7"/>
        <v>996022.71</v>
      </c>
      <c r="BD24" s="19"/>
      <c r="BE24" s="20"/>
      <c r="BF24" s="19"/>
      <c r="BG24" s="19"/>
      <c r="BI24" s="19"/>
      <c r="BJ24" s="117"/>
    </row>
    <row r="25" spans="2:62"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AA25" s="324"/>
      <c r="AB25" s="324"/>
      <c r="AC25" s="324"/>
      <c r="AD25" s="324"/>
      <c r="AE25" s="324"/>
      <c r="AF25" s="324"/>
      <c r="AG25" s="325"/>
      <c r="AH25" s="326"/>
      <c r="AI25" s="327"/>
      <c r="AJ25" s="325"/>
      <c r="AK25" s="326"/>
      <c r="AL25" s="327"/>
      <c r="AM25" s="325"/>
      <c r="AN25" s="326"/>
      <c r="AO25" s="327"/>
      <c r="AP25" s="325"/>
      <c r="AQ25" s="326"/>
      <c r="AR25" s="327"/>
      <c r="AS25" s="325"/>
      <c r="AT25" s="326"/>
      <c r="AU25" s="327"/>
      <c r="AV25" s="325"/>
      <c r="AW25" s="326"/>
      <c r="AX25" s="327"/>
      <c r="AY25" s="325"/>
      <c r="AZ25" s="326"/>
      <c r="BA25" s="327"/>
      <c r="BB25" s="855"/>
      <c r="BC25" s="324">
        <f t="shared" si="7"/>
        <v>0</v>
      </c>
      <c r="BD25" s="19"/>
      <c r="BE25" s="19"/>
      <c r="BF25" s="19"/>
      <c r="BG25" s="19"/>
    </row>
    <row r="26" spans="2:62" ht="15.75" thickBot="1">
      <c r="B26" t="s">
        <v>847</v>
      </c>
      <c r="C26" s="8">
        <f>10500+286200</f>
        <v>296700</v>
      </c>
      <c r="D26" s="8">
        <v>9250</v>
      </c>
      <c r="E26" s="8">
        <f>1269+28250.47</f>
        <v>29519.47</v>
      </c>
      <c r="F26" s="8">
        <f>6000+1260+9550</f>
        <v>16810</v>
      </c>
      <c r="G26" s="4">
        <f>13778.24+1260+8631.11</f>
        <v>23669.35</v>
      </c>
      <c r="H26" s="8">
        <v>9278</v>
      </c>
      <c r="I26" s="11">
        <f>260+1620</f>
        <v>1880</v>
      </c>
      <c r="J26" s="4">
        <f>3561+1980</f>
        <v>5541</v>
      </c>
      <c r="K26" s="4">
        <v>7812</v>
      </c>
      <c r="L26" s="4">
        <f>37340+1679.4</f>
        <v>39019.4</v>
      </c>
      <c r="M26" s="4">
        <f>12416.85+2180+59840</f>
        <v>74436.850000000006</v>
      </c>
      <c r="N26" s="4">
        <f>5792.7+1680.09+105199</f>
        <v>112671.79</v>
      </c>
      <c r="O26" s="4">
        <v>2657.05</v>
      </c>
      <c r="P26">
        <v>875</v>
      </c>
      <c r="Q26">
        <v>0</v>
      </c>
      <c r="R26" s="9">
        <v>30162</v>
      </c>
      <c r="S26" s="10">
        <v>120000</v>
      </c>
      <c r="T26" s="4">
        <v>7544.7</v>
      </c>
      <c r="U26" s="4">
        <v>15470</v>
      </c>
      <c r="V26" s="4">
        <v>2859.5</v>
      </c>
      <c r="W26" s="331">
        <v>247916.3</v>
      </c>
      <c r="X26" s="314">
        <f>34617.4+2884+12640.32</f>
        <v>50141.72</v>
      </c>
      <c r="Y26" s="315">
        <f>300+39028.5-9787.29-0.4</f>
        <v>29540.809999999998</v>
      </c>
      <c r="Z26" s="315">
        <v>3065.32</v>
      </c>
      <c r="AA26" s="317">
        <f>36342.02+2899.8</f>
        <v>39241.82</v>
      </c>
      <c r="AB26" s="317">
        <f>75210+2146.29</f>
        <v>77356.289999999994</v>
      </c>
      <c r="AC26" s="318">
        <f>90000+4735+2550</f>
        <v>97285</v>
      </c>
      <c r="AD26" s="320">
        <f>6566.4+1500+8698</f>
        <v>16764.400000000001</v>
      </c>
      <c r="AE26" s="320">
        <f>217280+1020</f>
        <v>218300</v>
      </c>
      <c r="AF26" s="320">
        <f>20000</f>
        <v>20000</v>
      </c>
      <c r="AG26" s="340">
        <f>9067.49+1950+3973+432</f>
        <v>15422.49</v>
      </c>
      <c r="AH26" s="341">
        <f>40052.35</f>
        <v>40052.35</v>
      </c>
      <c r="AI26" s="342">
        <f>3625.6+399955.01+31904.1</f>
        <v>435484.70999999996</v>
      </c>
      <c r="AJ26" s="340">
        <f>183374.1+18030.3+3100</f>
        <v>204504.4</v>
      </c>
      <c r="AK26" s="341">
        <f>42278.56</f>
        <v>42278.559999999998</v>
      </c>
      <c r="AL26" s="342">
        <f>6988.8+31167.9</f>
        <v>38156.700000000004</v>
      </c>
      <c r="AM26" s="340">
        <f>5775+1030417.53</f>
        <v>1036192.53</v>
      </c>
      <c r="AN26" s="341">
        <f>39912</f>
        <v>39912</v>
      </c>
      <c r="AO26" s="342">
        <f>1871068.02+1250+3920</f>
        <v>1876238.02</v>
      </c>
      <c r="AP26" s="340">
        <f>250020+268746.14+6813</f>
        <v>525579.14</v>
      </c>
      <c r="AQ26" s="341"/>
      <c r="AR26" s="342">
        <f>11981.25+403736+1840</f>
        <v>417557.25</v>
      </c>
      <c r="AS26" s="340">
        <f>2266.2</f>
        <v>2266.1999999999998</v>
      </c>
      <c r="AT26" s="341">
        <f>220+1089996.05</f>
        <v>1090216.05</v>
      </c>
      <c r="AU26" s="342">
        <f>23285.8+2278.5</f>
        <v>25564.3</v>
      </c>
      <c r="AV26" s="340">
        <f>11007.19+36000</f>
        <v>47007.19</v>
      </c>
      <c r="AW26" s="341">
        <f>57872+65785.16+9579.8+62482.5</f>
        <v>195719.46</v>
      </c>
      <c r="AX26" s="342">
        <f>630000+250000+120000+59508</f>
        <v>1059508</v>
      </c>
      <c r="AY26" s="340">
        <v>0</v>
      </c>
      <c r="AZ26" s="341">
        <f>1088+2920+920</f>
        <v>4928</v>
      </c>
      <c r="BA26" s="342">
        <f>1020</f>
        <v>1020</v>
      </c>
      <c r="BB26" s="857">
        <f>207220</f>
        <v>207220</v>
      </c>
      <c r="BC26" s="324">
        <f t="shared" si="7"/>
        <v>3051006.45</v>
      </c>
      <c r="BD26" s="19"/>
      <c r="BE26" s="20"/>
      <c r="BF26" s="19"/>
      <c r="BG26" s="19">
        <f>BE26-BC26</f>
        <v>-3051006.45</v>
      </c>
      <c r="BI26" s="19"/>
      <c r="BJ26" s="117"/>
    </row>
    <row r="27" spans="2:62"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BC27" s="324"/>
    </row>
    <row r="28" spans="2:62"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</row>
    <row r="29" spans="2:62"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AZ29" s="839"/>
    </row>
    <row r="30" spans="2:62"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</row>
    <row r="31" spans="2:62"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</row>
    <row r="32" spans="2:62"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</row>
    <row r="33" spans="3:21"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</row>
  </sheetData>
  <sheetProtection selectLockedCells="1" selectUnlockedCells="1"/>
  <pageMargins left="0.51180555555555551" right="0.51180555555555551" top="0.78749999999999998" bottom="0.78749999999999998" header="0.51180555555555551" footer="0.51180555555555551"/>
  <pageSetup paperSize="9" firstPageNumber="0" orientation="portrait" horizontalDpi="300" verticalDpi="300" r:id="rId1"/>
  <headerFooter alignWithMargins="0"/>
  <ignoredErrors>
    <ignoredError sqref="W3 X3:Z3 D3 AB3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H68"/>
  <sheetViews>
    <sheetView zoomScaleNormal="100" workbookViewId="0">
      <selection activeCell="L23" sqref="L23"/>
    </sheetView>
  </sheetViews>
  <sheetFormatPr defaultRowHeight="15"/>
  <cols>
    <col min="1" max="1" width="8" style="348" customWidth="1"/>
    <col min="2" max="2" width="12.5703125" style="348" customWidth="1"/>
    <col min="3" max="3" width="33.42578125" style="348" customWidth="1"/>
    <col min="4" max="4" width="24.42578125" style="348" customWidth="1"/>
    <col min="5" max="5" width="34.85546875" style="348" bestFit="1" customWidth="1"/>
    <col min="6" max="6" width="14.140625" style="348" customWidth="1"/>
    <col min="7" max="7" width="9.140625" style="348"/>
    <col min="8" max="8" width="18.85546875" style="348" bestFit="1" customWidth="1"/>
    <col min="9" max="16384" width="9.140625" style="348"/>
  </cols>
  <sheetData>
    <row r="1" spans="2:8" ht="18.75">
      <c r="C1" s="349"/>
      <c r="D1" s="362" t="s">
        <v>6809</v>
      </c>
      <c r="E1" s="349"/>
    </row>
    <row r="2" spans="2:8" s="349" customFormat="1" ht="18" customHeight="1">
      <c r="B2" s="350"/>
      <c r="D2" s="363" t="s">
        <v>6811</v>
      </c>
    </row>
    <row r="3" spans="2:8" s="349" customFormat="1" ht="18" customHeight="1">
      <c r="B3" s="350"/>
      <c r="D3" s="351"/>
    </row>
    <row r="4" spans="2:8" s="349" customFormat="1" ht="15.75" thickBot="1">
      <c r="B4" s="352"/>
    </row>
    <row r="5" spans="2:8" ht="16.5" thickBot="1">
      <c r="B5" s="352"/>
      <c r="C5" s="916" t="s">
        <v>1</v>
      </c>
      <c r="D5" s="916"/>
      <c r="E5" s="838" t="s">
        <v>2</v>
      </c>
    </row>
    <row r="6" spans="2:8" ht="16.5" thickBot="1">
      <c r="C6" s="354"/>
      <c r="D6" s="354"/>
      <c r="E6" s="355"/>
    </row>
    <row r="7" spans="2:8" ht="15.75" thickBot="1">
      <c r="C7" s="917" t="s">
        <v>6738</v>
      </c>
      <c r="D7" s="917"/>
      <c r="E7" s="364">
        <f>'BD Anexo 01 e 02'!AY3</f>
        <v>24669142.619999997</v>
      </c>
      <c r="H7" s="121"/>
    </row>
    <row r="8" spans="2:8" ht="15.75" thickBot="1">
      <c r="C8" s="365"/>
      <c r="D8" s="365"/>
      <c r="E8" s="366"/>
      <c r="H8" s="121"/>
    </row>
    <row r="9" spans="2:8" ht="15.75" thickBot="1">
      <c r="C9" s="917" t="s">
        <v>6739</v>
      </c>
      <c r="D9" s="917"/>
      <c r="E9" s="364">
        <f>'BD Anexo 01 e 02'!AZ3</f>
        <v>48108070.479999997</v>
      </c>
      <c r="H9" s="121"/>
    </row>
    <row r="10" spans="2:8" ht="15.75" thickBot="1">
      <c r="C10" s="365"/>
      <c r="D10" s="365"/>
      <c r="E10" s="366"/>
      <c r="H10" s="121"/>
    </row>
    <row r="11" spans="2:8" ht="15.75" thickBot="1">
      <c r="C11" s="917" t="s">
        <v>6740</v>
      </c>
      <c r="D11" s="917"/>
      <c r="E11" s="364">
        <f>'BD Anexo 01 e 02'!BA3</f>
        <v>43079438.320000015</v>
      </c>
      <c r="H11" s="121"/>
    </row>
    <row r="12" spans="2:8" ht="15.75" thickBot="1">
      <c r="C12" s="365"/>
      <c r="D12" s="365"/>
      <c r="E12" s="366"/>
      <c r="H12" s="121"/>
    </row>
    <row r="13" spans="2:8" ht="15.75" thickBot="1">
      <c r="C13" s="917" t="s">
        <v>6741</v>
      </c>
      <c r="D13" s="917"/>
      <c r="E13" s="364">
        <f>'BD Anexo 01 e 02'!BB3</f>
        <v>28521842.349999994</v>
      </c>
      <c r="H13" s="121"/>
    </row>
    <row r="14" spans="2:8" ht="15.75" thickBot="1">
      <c r="C14" s="365"/>
      <c r="D14" s="365"/>
      <c r="E14" s="366"/>
      <c r="H14" s="121"/>
    </row>
    <row r="15" spans="2:8" ht="15.75" thickBot="1">
      <c r="C15" s="917" t="s">
        <v>6742</v>
      </c>
      <c r="D15" s="917"/>
      <c r="E15" s="367"/>
      <c r="H15" s="121"/>
    </row>
    <row r="16" spans="2:8" ht="15.75" thickBot="1">
      <c r="C16" s="365"/>
      <c r="D16" s="365"/>
      <c r="E16" s="366"/>
      <c r="H16" s="121"/>
    </row>
    <row r="17" spans="3:8" ht="15.75" thickBot="1">
      <c r="C17" s="917" t="s">
        <v>6802</v>
      </c>
      <c r="D17" s="917"/>
      <c r="E17" s="367"/>
      <c r="H17" s="121"/>
    </row>
    <row r="18" spans="3:8" ht="15.75" thickBot="1">
      <c r="C18" s="365"/>
      <c r="D18" s="365"/>
      <c r="E18" s="366"/>
      <c r="H18" s="121"/>
    </row>
    <row r="19" spans="3:8" ht="15.75" thickBot="1">
      <c r="C19" s="917" t="s">
        <v>6803</v>
      </c>
      <c r="D19" s="917"/>
      <c r="E19" s="367"/>
      <c r="H19" s="121"/>
    </row>
    <row r="20" spans="3:8" ht="15.75" thickBot="1">
      <c r="C20" s="365"/>
      <c r="D20" s="365"/>
      <c r="E20" s="366"/>
      <c r="H20" s="121"/>
    </row>
    <row r="21" spans="3:8" ht="15.75" thickBot="1">
      <c r="C21" s="919" t="s">
        <v>6804</v>
      </c>
      <c r="D21" s="919"/>
      <c r="E21" s="367"/>
      <c r="H21" s="121"/>
    </row>
    <row r="22" spans="3:8" ht="15.75" thickBot="1">
      <c r="C22" s="365"/>
      <c r="D22" s="365"/>
      <c r="E22" s="366"/>
      <c r="H22" s="121"/>
    </row>
    <row r="23" spans="3:8" ht="15.75" thickBot="1">
      <c r="C23" s="917" t="s">
        <v>6805</v>
      </c>
      <c r="D23" s="917"/>
      <c r="E23" s="368"/>
      <c r="H23" s="121"/>
    </row>
    <row r="24" spans="3:8" ht="15.75" thickBot="1">
      <c r="C24" s="369"/>
      <c r="D24" s="369"/>
      <c r="E24" s="366"/>
      <c r="H24" s="121"/>
    </row>
    <row r="25" spans="3:8" ht="15.75" thickBot="1">
      <c r="C25" s="917" t="s">
        <v>6806</v>
      </c>
      <c r="D25" s="917"/>
      <c r="E25" s="368"/>
      <c r="H25" s="121"/>
    </row>
    <row r="26" spans="3:8" ht="15.75" thickBot="1">
      <c r="C26" s="370"/>
      <c r="D26" s="370"/>
      <c r="E26" s="371"/>
      <c r="H26" s="121"/>
    </row>
    <row r="27" spans="3:8" ht="15.75" thickBot="1">
      <c r="C27" s="917" t="s">
        <v>6807</v>
      </c>
      <c r="D27" s="917"/>
      <c r="E27" s="368"/>
      <c r="H27" s="121"/>
    </row>
    <row r="28" spans="3:8" ht="15.75" thickBot="1">
      <c r="C28" s="370"/>
      <c r="D28" s="370"/>
      <c r="E28" s="372"/>
      <c r="H28" s="121"/>
    </row>
    <row r="29" spans="3:8" ht="15.75" thickBot="1">
      <c r="C29" s="917" t="s">
        <v>6808</v>
      </c>
      <c r="D29" s="917"/>
      <c r="E29" s="368"/>
      <c r="H29" s="121"/>
    </row>
    <row r="30" spans="3:8" ht="15.75" thickBot="1">
      <c r="C30" s="373"/>
      <c r="D30" s="373"/>
      <c r="E30" s="374"/>
    </row>
    <row r="31" spans="3:8" ht="15.75" thickBot="1">
      <c r="C31" s="918" t="s">
        <v>1044</v>
      </c>
      <c r="D31" s="918"/>
      <c r="E31" s="375">
        <f>SUM(E7:E29)</f>
        <v>144378493.77000001</v>
      </c>
    </row>
    <row r="32" spans="3:8">
      <c r="E32" s="356"/>
    </row>
    <row r="33" spans="3:5">
      <c r="E33" s="356"/>
    </row>
    <row r="34" spans="3:5">
      <c r="C34" s="361" t="str">
        <f ca="1">CELL("filename")</f>
        <v xml:space="preserve">G:\Google Drive\00_Relatorios Gerenciais Masutti\[#Dossie para Bancos-mensal.xlsx]safra 16 17 </v>
      </c>
    </row>
    <row r="35" spans="3:5" ht="60" hidden="1" customHeight="1">
      <c r="C35" s="357"/>
      <c r="D35" s="357"/>
      <c r="E35" s="357"/>
    </row>
    <row r="36" spans="3:5" hidden="1">
      <c r="C36" s="357"/>
      <c r="D36" s="357"/>
      <c r="E36" s="358" t="s">
        <v>1452</v>
      </c>
    </row>
    <row r="37" spans="3:5" hidden="1">
      <c r="C37" s="359"/>
      <c r="D37" s="359"/>
      <c r="E37" s="358" t="s">
        <v>5642</v>
      </c>
    </row>
    <row r="38" spans="3:5" hidden="1">
      <c r="C38" s="357"/>
      <c r="D38" s="357"/>
      <c r="E38" s="358" t="s">
        <v>1454</v>
      </c>
    </row>
    <row r="39" spans="3:5">
      <c r="C39" s="357"/>
      <c r="D39" s="357"/>
      <c r="E39" s="357"/>
    </row>
    <row r="40" spans="3:5">
      <c r="C40" s="357"/>
      <c r="D40" s="357"/>
      <c r="E40" s="357"/>
    </row>
    <row r="41" spans="3:5">
      <c r="C41" s="357"/>
      <c r="D41" s="357"/>
      <c r="E41" s="357"/>
    </row>
    <row r="42" spans="3:5">
      <c r="C42" s="357"/>
      <c r="D42" s="357"/>
      <c r="E42" s="357"/>
    </row>
    <row r="43" spans="3:5">
      <c r="C43" s="357"/>
      <c r="D43" s="357"/>
      <c r="E43" s="357"/>
    </row>
    <row r="68" spans="5:5">
      <c r="E68" s="360"/>
    </row>
  </sheetData>
  <sheetProtection selectLockedCells="1" selectUnlockedCells="1"/>
  <mergeCells count="14">
    <mergeCell ref="C29:D29"/>
    <mergeCell ref="C31:D31"/>
    <mergeCell ref="C17:D17"/>
    <mergeCell ref="C19:D19"/>
    <mergeCell ref="C21:D21"/>
    <mergeCell ref="C23:D23"/>
    <mergeCell ref="C25:D25"/>
    <mergeCell ref="C27:D27"/>
    <mergeCell ref="C5:D5"/>
    <mergeCell ref="C7:D7"/>
    <mergeCell ref="C9:D9"/>
    <mergeCell ref="C11:D11"/>
    <mergeCell ref="C13:D13"/>
    <mergeCell ref="C15:D15"/>
  </mergeCells>
  <pageMargins left="0.36" right="0.08" top="0.75" bottom="0.75" header="0.3" footer="0.3"/>
  <pageSetup paperSize="9" scale="82" firstPageNumber="0" fitToHeight="0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P50"/>
  <sheetViews>
    <sheetView showGridLines="0" topLeftCell="A22" zoomScaleNormal="100" workbookViewId="0">
      <selection activeCell="F1" sqref="F1"/>
    </sheetView>
  </sheetViews>
  <sheetFormatPr defaultRowHeight="14.25"/>
  <cols>
    <col min="1" max="1" width="1.7109375" style="23" customWidth="1"/>
    <col min="2" max="2" width="14.7109375" style="23" customWidth="1"/>
    <col min="3" max="3" width="1.7109375" style="23" customWidth="1"/>
    <col min="4" max="4" width="25.7109375" style="23" customWidth="1"/>
    <col min="5" max="5" width="1.7109375" style="23" customWidth="1"/>
    <col min="6" max="6" width="10" style="23" customWidth="1"/>
    <col min="7" max="7" width="1.7109375" style="23" customWidth="1"/>
    <col min="8" max="8" width="18.7109375" style="23" customWidth="1"/>
    <col min="9" max="9" width="9.42578125" style="23" customWidth="1"/>
    <col min="10" max="10" width="12.7109375" style="23" customWidth="1"/>
    <col min="11" max="11" width="1.7109375" style="23" customWidth="1"/>
    <col min="12" max="16384" width="9.140625" style="23"/>
  </cols>
  <sheetData>
    <row r="1" spans="2:15" ht="54.75" customHeight="1"/>
    <row r="2" spans="2:15" s="25" customFormat="1" ht="27.75">
      <c r="B2" s="99"/>
    </row>
    <row r="3" spans="2:15" s="25" customFormat="1" ht="18">
      <c r="B3" s="26" t="s">
        <v>6988</v>
      </c>
    </row>
    <row r="4" spans="2:15" s="25" customFormat="1" ht="15.75">
      <c r="B4" s="223"/>
    </row>
    <row r="5" spans="2:15" s="25" customFormat="1" ht="18">
      <c r="B5" s="26"/>
    </row>
    <row r="6" spans="2:15" s="25" customFormat="1" ht="15.75">
      <c r="B6" s="860" t="s">
        <v>7001</v>
      </c>
    </row>
    <row r="7" spans="2:15" s="25" customFormat="1">
      <c r="B7" s="924">
        <v>42524</v>
      </c>
      <c r="C7" s="924"/>
      <c r="D7" s="924"/>
      <c r="E7" s="924"/>
      <c r="F7" s="924"/>
      <c r="G7" s="924"/>
      <c r="H7" s="924"/>
    </row>
    <row r="8" spans="2:15" s="25" customFormat="1" ht="15">
      <c r="B8" s="29"/>
    </row>
    <row r="9" spans="2:15" s="25" customFormat="1" ht="15">
      <c r="B9" s="29"/>
    </row>
    <row r="10" spans="2:15" s="25" customFormat="1" ht="15">
      <c r="B10" s="29"/>
    </row>
    <row r="11" spans="2:15" ht="15">
      <c r="B11" s="29"/>
      <c r="C11" s="30"/>
      <c r="D11" s="925" t="s">
        <v>1</v>
      </c>
      <c r="E11" s="925"/>
      <c r="F11" s="925"/>
      <c r="G11" s="31"/>
      <c r="H11" s="224" t="s">
        <v>2</v>
      </c>
      <c r="I11" s="25"/>
      <c r="J11" s="25"/>
    </row>
    <row r="12" spans="2:15" ht="15">
      <c r="B12" s="29"/>
      <c r="D12" s="32"/>
      <c r="E12" s="32"/>
      <c r="F12" s="32"/>
      <c r="G12" s="33"/>
      <c r="H12" s="25"/>
      <c r="I12" s="25"/>
      <c r="J12" s="25"/>
    </row>
    <row r="13" spans="2:15">
      <c r="B13" s="40"/>
      <c r="C13" s="40"/>
      <c r="D13" s="920" t="s">
        <v>6989</v>
      </c>
      <c r="E13" s="920"/>
      <c r="F13" s="920"/>
      <c r="G13" s="33"/>
      <c r="H13" s="42">
        <v>0</v>
      </c>
      <c r="I13" s="41"/>
      <c r="J13" s="41"/>
      <c r="M13" s="920"/>
      <c r="N13" s="920"/>
      <c r="O13" s="920"/>
    </row>
    <row r="14" spans="2:15">
      <c r="B14" s="40"/>
      <c r="C14" s="40"/>
      <c r="D14" s="32"/>
      <c r="E14" s="32"/>
      <c r="F14" s="32"/>
      <c r="G14" s="33"/>
      <c r="H14" s="42"/>
      <c r="I14" s="41"/>
      <c r="J14" s="41"/>
      <c r="M14" s="32"/>
      <c r="N14" s="32"/>
      <c r="O14" s="32"/>
    </row>
    <row r="15" spans="2:15">
      <c r="B15" s="40"/>
      <c r="C15" s="40"/>
      <c r="D15" s="920" t="s">
        <v>6990</v>
      </c>
      <c r="E15" s="920"/>
      <c r="F15" s="920"/>
      <c r="G15" s="33"/>
      <c r="H15" s="42">
        <v>0</v>
      </c>
      <c r="I15" s="41"/>
      <c r="J15" s="41"/>
      <c r="M15" s="920"/>
      <c r="N15" s="920"/>
      <c r="O15" s="920"/>
    </row>
    <row r="16" spans="2:15">
      <c r="B16" s="40"/>
      <c r="C16" s="40"/>
      <c r="D16" s="32"/>
      <c r="E16" s="32"/>
      <c r="F16" s="32"/>
      <c r="G16" s="33"/>
      <c r="H16" s="42"/>
      <c r="I16" s="41"/>
      <c r="J16" s="41"/>
      <c r="M16" s="32"/>
      <c r="N16" s="32"/>
      <c r="O16" s="32"/>
    </row>
    <row r="17" spans="2:16">
      <c r="B17" s="40"/>
      <c r="C17" s="40"/>
      <c r="D17" s="920" t="s">
        <v>6991</v>
      </c>
      <c r="E17" s="920"/>
      <c r="F17" s="920"/>
      <c r="G17" s="33"/>
      <c r="H17" s="42">
        <v>0</v>
      </c>
      <c r="I17" s="41"/>
      <c r="J17" s="41"/>
      <c r="M17" s="920"/>
      <c r="N17" s="920"/>
      <c r="O17" s="920"/>
    </row>
    <row r="18" spans="2:16">
      <c r="B18" s="40"/>
      <c r="C18" s="40"/>
      <c r="D18" s="32"/>
      <c r="E18" s="32"/>
      <c r="F18" s="32"/>
      <c r="G18" s="33"/>
      <c r="H18" s="42"/>
      <c r="I18" s="41"/>
      <c r="J18" s="41"/>
      <c r="M18" s="32"/>
      <c r="N18" s="32"/>
      <c r="O18" s="32"/>
    </row>
    <row r="19" spans="2:16">
      <c r="B19" s="40"/>
      <c r="C19" s="40"/>
      <c r="D19" s="920" t="s">
        <v>6992</v>
      </c>
      <c r="E19" s="920"/>
      <c r="F19" s="920"/>
      <c r="G19" s="33"/>
      <c r="H19" s="42">
        <v>0</v>
      </c>
      <c r="I19" s="41"/>
      <c r="J19" s="41"/>
      <c r="M19" s="920"/>
      <c r="N19" s="920"/>
      <c r="O19" s="920"/>
    </row>
    <row r="20" spans="2:16">
      <c r="B20" s="40"/>
      <c r="C20" s="40"/>
      <c r="D20" s="32"/>
      <c r="E20" s="32"/>
      <c r="F20" s="32"/>
      <c r="G20" s="33"/>
      <c r="H20" s="42"/>
      <c r="I20" s="41"/>
      <c r="J20" s="41"/>
      <c r="M20" s="32"/>
      <c r="N20" s="32"/>
      <c r="O20" s="32"/>
    </row>
    <row r="21" spans="2:16">
      <c r="B21" s="40"/>
      <c r="C21" s="40"/>
      <c r="D21" s="920" t="s">
        <v>6993</v>
      </c>
      <c r="E21" s="920"/>
      <c r="F21" s="920"/>
      <c r="G21" s="33"/>
      <c r="H21" s="42">
        <v>0</v>
      </c>
      <c r="I21" s="41"/>
      <c r="J21" s="41"/>
      <c r="M21" s="920"/>
      <c r="N21" s="920"/>
      <c r="O21" s="920"/>
    </row>
    <row r="22" spans="2:16">
      <c r="B22" s="40"/>
      <c r="C22" s="40"/>
      <c r="D22" s="32"/>
      <c r="E22" s="32"/>
      <c r="F22" s="32"/>
      <c r="G22" s="33"/>
      <c r="H22" s="42"/>
      <c r="I22" s="41"/>
      <c r="J22" s="41"/>
      <c r="M22" s="32"/>
      <c r="N22" s="32"/>
      <c r="O22" s="32"/>
    </row>
    <row r="23" spans="2:16">
      <c r="B23" s="40"/>
      <c r="C23" s="40"/>
      <c r="D23" s="920" t="s">
        <v>6994</v>
      </c>
      <c r="E23" s="920"/>
      <c r="F23" s="920"/>
      <c r="G23" s="33"/>
      <c r="H23" s="42">
        <v>0</v>
      </c>
      <c r="I23" s="41"/>
      <c r="J23" s="41"/>
      <c r="M23" s="920"/>
      <c r="N23" s="920"/>
      <c r="O23" s="920"/>
    </row>
    <row r="24" spans="2:16">
      <c r="B24" s="40"/>
      <c r="C24" s="40"/>
      <c r="D24" s="32"/>
      <c r="E24" s="32"/>
      <c r="F24" s="32"/>
      <c r="G24" s="33"/>
      <c r="H24" s="42"/>
      <c r="I24" s="41"/>
      <c r="J24" s="41"/>
    </row>
    <row r="25" spans="2:16">
      <c r="B25" s="40"/>
      <c r="C25" s="40"/>
      <c r="D25" s="920" t="s">
        <v>6995</v>
      </c>
      <c r="E25" s="920"/>
      <c r="F25" s="920"/>
      <c r="G25" s="33"/>
      <c r="H25" s="42">
        <v>0</v>
      </c>
      <c r="I25" s="41"/>
      <c r="J25" s="41"/>
      <c r="N25" s="920"/>
      <c r="O25" s="920"/>
      <c r="P25" s="920"/>
    </row>
    <row r="26" spans="2:16">
      <c r="B26" s="40"/>
      <c r="C26" s="40"/>
      <c r="D26" s="32"/>
      <c r="E26" s="32"/>
      <c r="F26" s="32"/>
      <c r="G26" s="33"/>
      <c r="H26" s="42"/>
      <c r="I26" s="41"/>
      <c r="J26" s="41"/>
      <c r="N26" s="32"/>
      <c r="O26" s="32"/>
      <c r="P26" s="32"/>
    </row>
    <row r="27" spans="2:16">
      <c r="B27" s="40"/>
      <c r="C27" s="40"/>
      <c r="D27" s="920" t="s">
        <v>6996</v>
      </c>
      <c r="E27" s="920"/>
      <c r="F27" s="920"/>
      <c r="G27" s="33"/>
      <c r="H27" s="42">
        <v>0</v>
      </c>
      <c r="I27" s="41"/>
      <c r="J27" s="41"/>
      <c r="N27" s="920"/>
      <c r="O27" s="920"/>
      <c r="P27" s="920"/>
    </row>
    <row r="28" spans="2:16">
      <c r="B28" s="40"/>
      <c r="C28" s="40"/>
      <c r="D28" s="32"/>
      <c r="E28" s="32"/>
      <c r="F28" s="32"/>
      <c r="G28" s="33"/>
      <c r="H28" s="42"/>
      <c r="I28" s="41"/>
      <c r="J28" s="41"/>
      <c r="N28" s="32"/>
      <c r="O28" s="32"/>
      <c r="P28" s="32"/>
    </row>
    <row r="29" spans="2:16">
      <c r="B29" s="40"/>
      <c r="C29" s="40"/>
      <c r="D29" s="920" t="s">
        <v>6997</v>
      </c>
      <c r="E29" s="920"/>
      <c r="F29" s="920"/>
      <c r="G29" s="33"/>
      <c r="H29" s="42">
        <v>0</v>
      </c>
      <c r="I29" s="41"/>
      <c r="J29" s="41"/>
      <c r="N29" s="920"/>
      <c r="O29" s="920"/>
      <c r="P29" s="920"/>
    </row>
    <row r="30" spans="2:16">
      <c r="B30" s="40"/>
      <c r="C30" s="40"/>
      <c r="D30" s="32"/>
      <c r="E30" s="32"/>
      <c r="F30" s="32"/>
      <c r="G30" s="33"/>
      <c r="H30" s="42"/>
      <c r="I30" s="41"/>
      <c r="J30" s="41"/>
      <c r="N30" s="32"/>
      <c r="O30" s="32"/>
      <c r="P30" s="32"/>
    </row>
    <row r="31" spans="2:16">
      <c r="B31" s="40"/>
      <c r="C31" s="40"/>
      <c r="D31" s="920" t="s">
        <v>6998</v>
      </c>
      <c r="E31" s="920"/>
      <c r="F31" s="920"/>
      <c r="G31" s="33"/>
      <c r="H31" s="42">
        <v>0</v>
      </c>
      <c r="I31" s="41"/>
      <c r="J31" s="41"/>
      <c r="N31" s="920"/>
      <c r="O31" s="920"/>
      <c r="P31" s="920"/>
    </row>
    <row r="32" spans="2:16">
      <c r="B32" s="40"/>
      <c r="C32" s="40"/>
      <c r="D32" s="32"/>
      <c r="E32" s="32"/>
      <c r="F32" s="32"/>
      <c r="G32" s="33"/>
      <c r="H32" s="42"/>
      <c r="I32" s="41"/>
      <c r="J32" s="41"/>
      <c r="N32" s="32"/>
      <c r="O32" s="32"/>
      <c r="P32" s="32"/>
    </row>
    <row r="33" spans="2:16">
      <c r="B33" s="40"/>
      <c r="C33" s="40"/>
      <c r="D33" s="920" t="s">
        <v>6999</v>
      </c>
      <c r="E33" s="920"/>
      <c r="F33" s="920"/>
      <c r="G33" s="33"/>
      <c r="H33" s="42">
        <v>0</v>
      </c>
      <c r="I33" s="41"/>
      <c r="J33" s="41"/>
      <c r="N33" s="920"/>
      <c r="O33" s="920"/>
      <c r="P33" s="920"/>
    </row>
    <row r="34" spans="2:16">
      <c r="B34" s="40"/>
      <c r="C34" s="40"/>
      <c r="D34" s="32"/>
      <c r="E34" s="32"/>
      <c r="F34" s="32"/>
      <c r="G34" s="33"/>
      <c r="H34" s="42"/>
      <c r="I34" s="41"/>
      <c r="J34" s="41"/>
      <c r="N34" s="32"/>
      <c r="O34" s="32"/>
      <c r="P34" s="32"/>
    </row>
    <row r="35" spans="2:16">
      <c r="B35" s="40"/>
      <c r="C35" s="40"/>
      <c r="D35" s="920" t="s">
        <v>7000</v>
      </c>
      <c r="E35" s="920"/>
      <c r="F35" s="920"/>
      <c r="G35" s="33"/>
      <c r="H35" s="42">
        <v>0</v>
      </c>
      <c r="I35" s="41"/>
      <c r="J35" s="41"/>
      <c r="N35" s="920"/>
      <c r="O35" s="920"/>
      <c r="P35" s="920"/>
    </row>
    <row r="36" spans="2:16">
      <c r="D36" s="33"/>
      <c r="E36" s="33"/>
      <c r="F36" s="33"/>
      <c r="G36" s="33"/>
      <c r="H36" s="49"/>
      <c r="I36" s="25"/>
      <c r="J36" s="25"/>
    </row>
    <row r="37" spans="2:16">
      <c r="D37" s="921" t="s">
        <v>1044</v>
      </c>
      <c r="E37" s="921"/>
      <c r="F37" s="921"/>
      <c r="G37" s="34"/>
      <c r="H37" s="45">
        <f>SUM(H13:H35)</f>
        <v>0</v>
      </c>
      <c r="I37" s="25"/>
      <c r="J37" s="25"/>
    </row>
    <row r="38" spans="2:16">
      <c r="H38" s="35"/>
      <c r="I38" s="25"/>
      <c r="J38" s="25"/>
    </row>
    <row r="39" spans="2:16">
      <c r="H39" s="35"/>
      <c r="I39" s="25"/>
      <c r="J39" s="25"/>
    </row>
    <row r="40" spans="2:16">
      <c r="B40" s="922"/>
      <c r="C40" s="922"/>
      <c r="D40" s="922"/>
      <c r="E40" s="922"/>
      <c r="F40" s="922"/>
      <c r="G40" s="922"/>
      <c r="H40" s="922"/>
      <c r="I40" s="922"/>
      <c r="J40" s="922"/>
    </row>
    <row r="41" spans="2:16">
      <c r="B41" s="922"/>
      <c r="C41" s="922"/>
      <c r="D41" s="922"/>
      <c r="E41" s="922"/>
      <c r="F41" s="922"/>
      <c r="G41" s="922"/>
      <c r="H41" s="922"/>
      <c r="I41" s="922"/>
      <c r="J41" s="922"/>
    </row>
    <row r="43" spans="2:16">
      <c r="B43" s="23" t="s">
        <v>6</v>
      </c>
      <c r="D43" s="923">
        <v>42524</v>
      </c>
      <c r="E43" s="923"/>
      <c r="F43" s="923"/>
      <c r="G43" s="923"/>
    </row>
    <row r="47" spans="2:16" ht="37.5" customHeight="1"/>
    <row r="49" spans="7:9">
      <c r="G49" s="47" t="s">
        <v>6750</v>
      </c>
      <c r="I49" s="47"/>
    </row>
    <row r="50" spans="7:9">
      <c r="G50" s="47" t="s">
        <v>6751</v>
      </c>
      <c r="I50" s="47"/>
    </row>
  </sheetData>
  <sheetProtection selectLockedCells="1" selectUnlockedCells="1"/>
  <mergeCells count="29">
    <mergeCell ref="B7:H7"/>
    <mergeCell ref="D11:F11"/>
    <mergeCell ref="D13:F13"/>
    <mergeCell ref="M13:O13"/>
    <mergeCell ref="D15:F15"/>
    <mergeCell ref="M15:O15"/>
    <mergeCell ref="D17:F17"/>
    <mergeCell ref="M17:O17"/>
    <mergeCell ref="D19:F19"/>
    <mergeCell ref="M19:O19"/>
    <mergeCell ref="D21:F21"/>
    <mergeCell ref="M21:O21"/>
    <mergeCell ref="N33:P33"/>
    <mergeCell ref="D23:F23"/>
    <mergeCell ref="M23:O23"/>
    <mergeCell ref="D25:F25"/>
    <mergeCell ref="N25:P25"/>
    <mergeCell ref="D27:F27"/>
    <mergeCell ref="N27:P27"/>
    <mergeCell ref="D35:F35"/>
    <mergeCell ref="N35:P35"/>
    <mergeCell ref="D37:F37"/>
    <mergeCell ref="B40:J41"/>
    <mergeCell ref="D43:G43"/>
    <mergeCell ref="D29:F29"/>
    <mergeCell ref="N29:P29"/>
    <mergeCell ref="D31:F31"/>
    <mergeCell ref="N31:P31"/>
    <mergeCell ref="D33:F33"/>
  </mergeCells>
  <pageMargins left="0.39374999999999999" right="0.39374999999999999" top="0.19652777777777777" bottom="0.19652777777777777" header="0.51180555555555551" footer="0.19652777777777777"/>
  <pageSetup paperSize="9" scale="87" firstPageNumber="0" orientation="portrait" horizontalDpi="300" verticalDpi="300" r:id="rId1"/>
  <headerFooter alignWithMargins="0">
    <oddFooter>&amp;R&amp;9&amp;Z&amp;F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E68"/>
  <sheetViews>
    <sheetView zoomScaleNormal="100" workbookViewId="0">
      <selection activeCell="C29" sqref="C29:D29"/>
    </sheetView>
  </sheetViews>
  <sheetFormatPr defaultRowHeight="15"/>
  <cols>
    <col min="1" max="1" width="8" style="348" customWidth="1"/>
    <col min="2" max="2" width="12.5703125" style="348" customWidth="1"/>
    <col min="3" max="3" width="33.42578125" style="348" customWidth="1"/>
    <col min="4" max="4" width="24.42578125" style="348" customWidth="1"/>
    <col min="5" max="5" width="34.85546875" style="348" bestFit="1" customWidth="1"/>
    <col min="6" max="6" width="14.140625" style="348" customWidth="1"/>
    <col min="7" max="16384" width="9.140625" style="348"/>
  </cols>
  <sheetData>
    <row r="1" spans="2:5" ht="18.75">
      <c r="C1" s="349"/>
      <c r="D1" s="362" t="s">
        <v>6787</v>
      </c>
      <c r="E1" s="349"/>
    </row>
    <row r="2" spans="2:5" s="349" customFormat="1" ht="18" customHeight="1">
      <c r="B2" s="350"/>
      <c r="D2" s="363" t="s">
        <v>6788</v>
      </c>
    </row>
    <row r="3" spans="2:5" s="349" customFormat="1" ht="18" customHeight="1">
      <c r="B3" s="350"/>
      <c r="D3" s="351"/>
    </row>
    <row r="4" spans="2:5" s="349" customFormat="1" ht="15.75" thickBot="1">
      <c r="B4" s="352"/>
    </row>
    <row r="5" spans="2:5" ht="16.5" thickBot="1">
      <c r="B5" s="352"/>
      <c r="C5" s="916" t="s">
        <v>1</v>
      </c>
      <c r="D5" s="916"/>
      <c r="E5" s="353" t="s">
        <v>2</v>
      </c>
    </row>
    <row r="6" spans="2:5" ht="16.5" thickBot="1">
      <c r="C6" s="354"/>
      <c r="D6" s="354"/>
      <c r="E6" s="355"/>
    </row>
    <row r="7" spans="2:5" ht="15.75" thickBot="1">
      <c r="C7" s="917" t="s">
        <v>6977</v>
      </c>
      <c r="D7" s="917"/>
      <c r="E7" s="364">
        <f>'BD Anexo 01 e 02'!AQ3</f>
        <v>14150755.299999997</v>
      </c>
    </row>
    <row r="8" spans="2:5" ht="15.75" thickBot="1">
      <c r="C8" s="365"/>
      <c r="D8" s="365"/>
      <c r="E8" s="366"/>
    </row>
    <row r="9" spans="2:5" ht="15.75" thickBot="1">
      <c r="C9" s="926" t="s">
        <v>5986</v>
      </c>
      <c r="D9" s="927"/>
      <c r="E9" s="364">
        <f>'BD Anexo 01 e 02'!AR3</f>
        <v>13209564.51</v>
      </c>
    </row>
    <row r="10" spans="2:5" ht="15.75" thickBot="1">
      <c r="C10" s="365"/>
      <c r="D10" s="365"/>
      <c r="E10" s="366"/>
    </row>
    <row r="11" spans="2:5" ht="15.75" thickBot="1">
      <c r="C11" s="926" t="s">
        <v>5985</v>
      </c>
      <c r="D11" s="927"/>
      <c r="E11" s="364">
        <f>'BD Anexo 01 e 02'!AS3</f>
        <v>14350124.92</v>
      </c>
    </row>
    <row r="12" spans="2:5" ht="15.75" thickBot="1">
      <c r="C12" s="365"/>
      <c r="D12" s="365"/>
      <c r="E12" s="366"/>
    </row>
    <row r="13" spans="2:5" ht="15.75" thickBot="1">
      <c r="C13" s="928" t="s">
        <v>5731</v>
      </c>
      <c r="D13" s="929"/>
      <c r="E13" s="364">
        <f>'BD Anexo 01 e 02'!AT3</f>
        <v>15537867.830000002</v>
      </c>
    </row>
    <row r="14" spans="2:5" ht="15.75" thickBot="1">
      <c r="C14" s="365"/>
      <c r="D14" s="365"/>
      <c r="E14" s="366"/>
    </row>
    <row r="15" spans="2:5" ht="15.75" thickBot="1">
      <c r="C15" s="917" t="s">
        <v>5763</v>
      </c>
      <c r="D15" s="917"/>
      <c r="E15" s="367">
        <f>'BD Anexo 01 e 02'!AU3</f>
        <v>23779092.789999999</v>
      </c>
    </row>
    <row r="16" spans="2:5" ht="15.75" thickBot="1">
      <c r="C16" s="365"/>
      <c r="D16" s="365"/>
      <c r="E16" s="366"/>
    </row>
    <row r="17" spans="3:5" ht="15.75" thickBot="1">
      <c r="C17" s="917" t="s">
        <v>5983</v>
      </c>
      <c r="D17" s="917"/>
      <c r="E17" s="367">
        <f>'03-Fat Consolidado '!E26</f>
        <v>22889640.780000005</v>
      </c>
    </row>
    <row r="18" spans="3:5" ht="15.75" thickBot="1">
      <c r="C18" s="365"/>
      <c r="D18" s="365"/>
      <c r="E18" s="366"/>
    </row>
    <row r="19" spans="3:5" ht="15.75" thickBot="1">
      <c r="C19" s="917" t="s">
        <v>5984</v>
      </c>
      <c r="D19" s="917"/>
      <c r="E19" s="367">
        <f>'03-Fat Consolidado '!E28</f>
        <v>23403883.329999998</v>
      </c>
    </row>
    <row r="20" spans="3:5" ht="15.75" thickBot="1">
      <c r="C20" s="365"/>
      <c r="D20" s="365"/>
      <c r="E20" s="366"/>
    </row>
    <row r="21" spans="3:5" ht="15.75" thickBot="1">
      <c r="C21" s="917" t="s">
        <v>6781</v>
      </c>
      <c r="D21" s="917"/>
      <c r="E21" s="367">
        <f>'03-Fat Consolidado '!E30</f>
        <v>35153322.660000004</v>
      </c>
    </row>
    <row r="22" spans="3:5" ht="15.75" thickBot="1">
      <c r="C22" s="365"/>
      <c r="D22" s="365"/>
      <c r="E22" s="366"/>
    </row>
    <row r="23" spans="3:5" ht="15.75" thickBot="1">
      <c r="C23" s="917" t="s">
        <v>6978</v>
      </c>
      <c r="D23" s="917"/>
      <c r="E23" s="368">
        <f>'03-Fat Consolidado '!D8</f>
        <v>24669142.619999997</v>
      </c>
    </row>
    <row r="24" spans="3:5" ht="15.75" thickBot="1">
      <c r="C24" s="369"/>
      <c r="D24" s="369"/>
      <c r="E24" s="366"/>
    </row>
    <row r="25" spans="3:5" ht="15.75" thickBot="1">
      <c r="C25" s="917" t="s">
        <v>6979</v>
      </c>
      <c r="D25" s="917"/>
      <c r="E25" s="368">
        <f>'03-Fat Consolidado '!D10</f>
        <v>48108070.479999997</v>
      </c>
    </row>
    <row r="26" spans="3:5" ht="15.75" thickBot="1">
      <c r="C26" s="370"/>
      <c r="D26" s="370"/>
      <c r="E26" s="371"/>
    </row>
    <row r="27" spans="3:5" ht="15.75" thickBot="1">
      <c r="C27" s="917" t="s">
        <v>6980</v>
      </c>
      <c r="D27" s="917"/>
      <c r="E27" s="368">
        <f>'03-Fat Consolidado '!D12</f>
        <v>43079438.320000015</v>
      </c>
    </row>
    <row r="28" spans="3:5" ht="15.75" thickBot="1">
      <c r="C28" s="370"/>
      <c r="D28" s="370"/>
      <c r="E28" s="372"/>
    </row>
    <row r="29" spans="3:5" ht="15.75" thickBot="1">
      <c r="C29" s="917" t="s">
        <v>6981</v>
      </c>
      <c r="D29" s="917"/>
      <c r="E29" s="368">
        <f>'03-Fat Consolidado '!D14</f>
        <v>28521842.349999994</v>
      </c>
    </row>
    <row r="30" spans="3:5" ht="15.75" thickBot="1">
      <c r="C30" s="373"/>
      <c r="D30" s="373"/>
      <c r="E30" s="374"/>
    </row>
    <row r="31" spans="3:5" ht="15.75" thickBot="1">
      <c r="C31" s="918" t="s">
        <v>1044</v>
      </c>
      <c r="D31" s="918"/>
      <c r="E31" s="375">
        <f>SUM(E7:E29)</f>
        <v>306852745.88999999</v>
      </c>
    </row>
    <row r="32" spans="3:5">
      <c r="E32" s="356"/>
    </row>
    <row r="33" spans="3:5">
      <c r="E33" s="356"/>
    </row>
    <row r="34" spans="3:5">
      <c r="C34" s="361" t="str">
        <f ca="1">CELL("filename")</f>
        <v xml:space="preserve">G:\Google Drive\00_Relatorios Gerenciais Masutti\[#Dossie para Bancos-mensal.xlsx]safra 16 17 </v>
      </c>
    </row>
    <row r="35" spans="3:5" ht="60" hidden="1" customHeight="1">
      <c r="C35" s="357"/>
      <c r="D35" s="357"/>
      <c r="E35" s="357"/>
    </row>
    <row r="36" spans="3:5" hidden="1">
      <c r="C36" s="357"/>
      <c r="D36" s="357"/>
      <c r="E36" s="358" t="s">
        <v>1452</v>
      </c>
    </row>
    <row r="37" spans="3:5" hidden="1">
      <c r="C37" s="359"/>
      <c r="D37" s="359"/>
      <c r="E37" s="358" t="s">
        <v>5642</v>
      </c>
    </row>
    <row r="38" spans="3:5" hidden="1">
      <c r="C38" s="357"/>
      <c r="D38" s="357"/>
      <c r="E38" s="358" t="s">
        <v>1454</v>
      </c>
    </row>
    <row r="39" spans="3:5">
      <c r="C39" s="357"/>
      <c r="D39" s="357"/>
      <c r="E39" s="357"/>
    </row>
    <row r="40" spans="3:5">
      <c r="C40" s="357"/>
      <c r="D40" s="357"/>
      <c r="E40" s="357"/>
    </row>
    <row r="41" spans="3:5">
      <c r="C41" s="357"/>
      <c r="D41" s="357"/>
      <c r="E41" s="357"/>
    </row>
    <row r="42" spans="3:5">
      <c r="C42" s="357"/>
      <c r="D42" s="357"/>
      <c r="E42" s="357"/>
    </row>
    <row r="43" spans="3:5">
      <c r="C43" s="357"/>
      <c r="D43" s="357"/>
      <c r="E43" s="357"/>
    </row>
    <row r="68" spans="5:5">
      <c r="E68" s="360"/>
    </row>
  </sheetData>
  <sheetProtection selectLockedCells="1" selectUnlockedCells="1"/>
  <mergeCells count="14">
    <mergeCell ref="C31:D31"/>
    <mergeCell ref="C9:D9"/>
    <mergeCell ref="C11:D11"/>
    <mergeCell ref="C13:D13"/>
    <mergeCell ref="C19:D19"/>
    <mergeCell ref="C15:D15"/>
    <mergeCell ref="C17:D17"/>
    <mergeCell ref="C21:D21"/>
    <mergeCell ref="C23:D23"/>
    <mergeCell ref="C29:D29"/>
    <mergeCell ref="C5:D5"/>
    <mergeCell ref="C25:D25"/>
    <mergeCell ref="C7:D7"/>
    <mergeCell ref="C27:D27"/>
  </mergeCells>
  <pageMargins left="0.36" right="0.08" top="0.75" bottom="0.75" header="0.3" footer="0.3"/>
  <pageSetup paperSize="9" scale="81" firstPageNumber="0" fitToHeight="0"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H72"/>
  <sheetViews>
    <sheetView zoomScaleNormal="100" workbookViewId="0">
      <selection activeCell="E7" sqref="E7"/>
    </sheetView>
  </sheetViews>
  <sheetFormatPr defaultRowHeight="15.75"/>
  <cols>
    <col min="1" max="1" width="7" style="297" customWidth="1"/>
    <col min="2" max="2" width="14.7109375" style="297" customWidth="1"/>
    <col min="3" max="3" width="29.7109375" style="297" customWidth="1"/>
    <col min="4" max="4" width="24.7109375" style="297" customWidth="1"/>
    <col min="5" max="5" width="46.85546875" style="297" customWidth="1"/>
    <col min="6" max="6" width="26.85546875" style="297" customWidth="1"/>
    <col min="7" max="7" width="1.7109375" style="297" customWidth="1"/>
    <col min="8" max="8" width="22.85546875" style="297" bestFit="1" customWidth="1"/>
    <col min="9" max="16384" width="9.140625" style="297"/>
  </cols>
  <sheetData>
    <row r="1" spans="2:8" ht="18.75">
      <c r="D1" s="295" t="s">
        <v>6790</v>
      </c>
    </row>
    <row r="2" spans="2:8" s="298" customFormat="1" ht="21" customHeight="1">
      <c r="B2" s="299"/>
      <c r="D2" s="296" t="s">
        <v>6811</v>
      </c>
    </row>
    <row r="3" spans="2:8" s="298" customFormat="1">
      <c r="B3" s="299"/>
    </row>
    <row r="4" spans="2:8" s="298" customFormat="1" ht="16.5" thickBot="1">
      <c r="B4" s="299"/>
    </row>
    <row r="5" spans="2:8" ht="16.5" thickBot="1">
      <c r="B5" s="299"/>
      <c r="C5" s="933" t="s">
        <v>7</v>
      </c>
      <c r="D5" s="933"/>
      <c r="E5" s="346" t="s">
        <v>2</v>
      </c>
      <c r="F5" s="298"/>
    </row>
    <row r="6" spans="2:8" ht="16.5" thickBot="1">
      <c r="B6" s="299"/>
      <c r="C6" s="347"/>
      <c r="D6" s="347"/>
      <c r="E6" s="347"/>
      <c r="F6" s="298"/>
    </row>
    <row r="7" spans="2:8" ht="16.5" thickBot="1">
      <c r="B7"/>
      <c r="C7" s="930" t="s">
        <v>8</v>
      </c>
      <c r="D7" s="930"/>
      <c r="E7" s="376">
        <f>'BD Anexo 01 e 02'!BC6</f>
        <v>150561087.91</v>
      </c>
      <c r="F7" s="344"/>
    </row>
    <row r="8" spans="2:8" ht="16.5" thickBot="1">
      <c r="B8"/>
      <c r="C8" s="377"/>
      <c r="D8" s="377"/>
      <c r="E8" s="378"/>
      <c r="F8" s="344"/>
      <c r="H8" s="345"/>
    </row>
    <row r="9" spans="2:8" ht="16.5" thickBot="1">
      <c r="B9"/>
      <c r="C9" s="930" t="s">
        <v>9</v>
      </c>
      <c r="D9" s="930"/>
      <c r="E9" s="376">
        <f>'BD Anexo 01 e 02'!BC8</f>
        <v>30229423.710000001</v>
      </c>
      <c r="F9" s="344"/>
      <c r="H9" s="345"/>
    </row>
    <row r="10" spans="2:8" ht="16.5" thickBot="1">
      <c r="B10"/>
      <c r="C10" s="377"/>
      <c r="D10" s="377"/>
      <c r="E10" s="378"/>
      <c r="F10" s="344"/>
      <c r="H10" s="345"/>
    </row>
    <row r="11" spans="2:8" ht="16.5" thickBot="1">
      <c r="B11"/>
      <c r="C11" s="930" t="s">
        <v>10</v>
      </c>
      <c r="D11" s="930"/>
      <c r="E11" s="376">
        <f>'BD Anexo 01 e 02'!BC10</f>
        <v>91720081.340000004</v>
      </c>
      <c r="F11" s="344"/>
      <c r="H11" s="345"/>
    </row>
    <row r="12" spans="2:8" ht="16.5" thickBot="1">
      <c r="B12"/>
      <c r="C12" s="377"/>
      <c r="D12" s="377"/>
      <c r="E12" s="378"/>
      <c r="F12" s="344"/>
      <c r="H12" s="345"/>
    </row>
    <row r="13" spans="2:8" ht="16.5" thickBot="1">
      <c r="B13"/>
      <c r="C13" s="930" t="s">
        <v>11</v>
      </c>
      <c r="D13" s="930"/>
      <c r="E13" s="376">
        <f>'BD Anexo 01 e 02'!BC12</f>
        <v>7948079.1299999999</v>
      </c>
      <c r="F13" s="344"/>
      <c r="H13" s="345"/>
    </row>
    <row r="14" spans="2:8" ht="16.5" thickBot="1">
      <c r="B14"/>
      <c r="C14" s="377"/>
      <c r="D14" s="377"/>
      <c r="E14" s="378"/>
      <c r="F14" s="344"/>
      <c r="H14" s="345"/>
    </row>
    <row r="15" spans="2:8" ht="16.5" thickBot="1">
      <c r="B15"/>
      <c r="C15" s="930" t="s">
        <v>12</v>
      </c>
      <c r="D15" s="930"/>
      <c r="E15" s="376">
        <f>'BD Anexo 01 e 02'!BC14</f>
        <v>659032.99999999988</v>
      </c>
      <c r="F15" s="344"/>
      <c r="H15" s="345"/>
    </row>
    <row r="16" spans="2:8" ht="16.5" thickBot="1">
      <c r="B16"/>
      <c r="C16" s="377"/>
      <c r="D16" s="377"/>
      <c r="E16" s="378"/>
      <c r="F16" s="344"/>
      <c r="H16" s="345"/>
    </row>
    <row r="17" spans="2:8" ht="16.5" thickBot="1">
      <c r="B17"/>
      <c r="C17" s="930" t="s">
        <v>13</v>
      </c>
      <c r="D17" s="930"/>
      <c r="E17" s="376">
        <f>'BD Anexo 01 e 02'!BC16</f>
        <v>0</v>
      </c>
      <c r="F17" s="344"/>
      <c r="H17" s="345"/>
    </row>
    <row r="18" spans="2:8" ht="16.5" thickBot="1">
      <c r="B18"/>
      <c r="C18" s="377"/>
      <c r="D18" s="377"/>
      <c r="E18" s="378"/>
      <c r="F18" s="344"/>
      <c r="H18" s="345"/>
    </row>
    <row r="19" spans="2:8" ht="16.5" thickBot="1">
      <c r="B19"/>
      <c r="C19" s="930" t="s">
        <v>14</v>
      </c>
      <c r="D19" s="930"/>
      <c r="E19" s="376">
        <f>'BD Anexo 01 e 02'!BC18</f>
        <v>0</v>
      </c>
      <c r="F19" s="344"/>
      <c r="H19" s="345"/>
    </row>
    <row r="20" spans="2:8" ht="16.5" thickBot="1">
      <c r="B20"/>
      <c r="C20" s="377"/>
      <c r="D20" s="377"/>
      <c r="E20" s="378"/>
      <c r="F20" s="344"/>
      <c r="H20" s="345"/>
    </row>
    <row r="21" spans="2:8" ht="16.5" thickBot="1">
      <c r="B21"/>
      <c r="C21" s="930" t="s">
        <v>15</v>
      </c>
      <c r="D21" s="930"/>
      <c r="E21" s="376">
        <f>'BD Anexo 01 e 02'!BC20</f>
        <v>20961590.73</v>
      </c>
      <c r="F21" s="344"/>
      <c r="H21" s="345"/>
    </row>
    <row r="22" spans="2:8" ht="16.5" thickBot="1">
      <c r="B22"/>
      <c r="C22" s="377"/>
      <c r="D22" s="377"/>
      <c r="E22" s="378"/>
      <c r="F22" s="344"/>
      <c r="H22" s="345"/>
    </row>
    <row r="23" spans="2:8" ht="16.5" thickBot="1">
      <c r="B23"/>
      <c r="C23" s="930" t="s">
        <v>6789</v>
      </c>
      <c r="D23" s="930"/>
      <c r="E23" s="376">
        <f>'BD Anexo 01 e 02'!BC22</f>
        <v>726420.91000000015</v>
      </c>
      <c r="F23" s="344"/>
      <c r="H23" s="345"/>
    </row>
    <row r="24" spans="2:8" ht="16.5" thickBot="1">
      <c r="B24"/>
      <c r="C24" s="379"/>
      <c r="D24" s="379"/>
      <c r="E24" s="378"/>
      <c r="F24" s="344"/>
      <c r="H24" s="345"/>
    </row>
    <row r="25" spans="2:8" ht="16.5" thickBot="1">
      <c r="B25"/>
      <c r="C25" s="930" t="s">
        <v>1484</v>
      </c>
      <c r="D25" s="930"/>
      <c r="E25" s="376">
        <f>'BD Anexo 01 e 02'!BC24</f>
        <v>996022.71</v>
      </c>
      <c r="F25" s="344"/>
      <c r="H25" s="345"/>
    </row>
    <row r="26" spans="2:8" ht="16.5" thickBot="1">
      <c r="B26"/>
      <c r="C26" s="379"/>
      <c r="D26" s="379"/>
      <c r="E26" s="378"/>
      <c r="F26" s="344"/>
      <c r="H26" s="345"/>
    </row>
    <row r="27" spans="2:8" ht="16.5" thickBot="1">
      <c r="B27"/>
      <c r="C27" s="930" t="s">
        <v>847</v>
      </c>
      <c r="D27" s="930"/>
      <c r="E27" s="376">
        <f>'BD Anexo 01 e 02'!BC26</f>
        <v>3051006.45</v>
      </c>
      <c r="F27" s="344"/>
      <c r="H27" s="345"/>
    </row>
    <row r="28" spans="2:8" ht="16.5" thickBot="1">
      <c r="B28"/>
      <c r="C28" s="377"/>
      <c r="D28" s="377"/>
      <c r="E28" s="378"/>
      <c r="F28" s="344"/>
      <c r="H28" s="345"/>
    </row>
    <row r="29" spans="2:8" ht="16.5" thickBot="1">
      <c r="B29"/>
      <c r="C29" s="932" t="s">
        <v>1044</v>
      </c>
      <c r="D29" s="932"/>
      <c r="E29" s="380">
        <f>SUM(E7:E27)</f>
        <v>306852745.89000005</v>
      </c>
      <c r="F29" s="300"/>
      <c r="H29" s="345"/>
    </row>
    <row r="30" spans="2:8">
      <c r="B30"/>
      <c r="C30" s="301"/>
      <c r="D30" s="301"/>
      <c r="E30" s="302"/>
      <c r="F30" s="300"/>
      <c r="H30" s="345"/>
    </row>
    <row r="31" spans="2:8">
      <c r="B31"/>
      <c r="D31" s="301"/>
      <c r="E31" s="303"/>
      <c r="F31" s="300"/>
      <c r="H31" s="345"/>
    </row>
    <row r="32" spans="2:8">
      <c r="B32" s="301"/>
      <c r="C32" s="294" t="str">
        <f ca="1">CELL("filename")</f>
        <v xml:space="preserve">G:\Google Drive\00_Relatorios Gerenciais Masutti\[#Dossie para Bancos-mensal.xlsx]safra 16 17 </v>
      </c>
      <c r="D32" s="301"/>
      <c r="E32" s="304"/>
      <c r="F32" s="300"/>
    </row>
    <row r="33" spans="2:6">
      <c r="B33" s="301"/>
      <c r="C33" s="301"/>
      <c r="D33" s="301"/>
      <c r="E33" s="301"/>
      <c r="F33" s="301"/>
    </row>
    <row r="34" spans="2:6">
      <c r="B34" s="301"/>
      <c r="C34" s="301"/>
      <c r="D34" s="301"/>
      <c r="E34" s="301"/>
      <c r="F34" s="301"/>
    </row>
    <row r="35" spans="2:6">
      <c r="B35" s="301"/>
      <c r="C35" s="931"/>
      <c r="D35" s="931"/>
      <c r="E35" s="301"/>
      <c r="F35" s="301"/>
    </row>
    <row r="36" spans="2:6">
      <c r="B36" s="301"/>
      <c r="C36" s="301"/>
      <c r="D36" s="301"/>
      <c r="E36" s="301"/>
      <c r="F36" s="301"/>
    </row>
    <row r="37" spans="2:6">
      <c r="B37" s="301"/>
      <c r="C37" s="301"/>
      <c r="D37" s="301"/>
      <c r="E37" s="301"/>
      <c r="F37" s="301"/>
    </row>
    <row r="38" spans="2:6">
      <c r="B38" s="301"/>
      <c r="C38" s="301"/>
      <c r="D38" s="301"/>
      <c r="E38" s="301"/>
      <c r="F38" s="301"/>
    </row>
    <row r="39" spans="2:6">
      <c r="B39" s="301"/>
      <c r="C39" s="301"/>
      <c r="D39" s="301"/>
      <c r="E39" s="301"/>
      <c r="F39" s="301"/>
    </row>
    <row r="72" spans="5:5">
      <c r="E72" s="305">
        <v>42221</v>
      </c>
    </row>
  </sheetData>
  <sheetProtection selectLockedCells="1" selectUnlockedCells="1"/>
  <mergeCells count="14">
    <mergeCell ref="C5:D5"/>
    <mergeCell ref="C7:D7"/>
    <mergeCell ref="C9:D9"/>
    <mergeCell ref="C11:D11"/>
    <mergeCell ref="C13:D13"/>
    <mergeCell ref="C15:D15"/>
    <mergeCell ref="C17:D17"/>
    <mergeCell ref="C19:D19"/>
    <mergeCell ref="C21:D21"/>
    <mergeCell ref="C23:D23"/>
    <mergeCell ref="C35:D35"/>
    <mergeCell ref="C29:D29"/>
    <mergeCell ref="C27:D27"/>
    <mergeCell ref="C25:D25"/>
  </mergeCells>
  <pageMargins left="0.511811024" right="0.511811024" top="0.78740157499999996" bottom="0.78740157499999996" header="0.31496062000000002" footer="0.31496062000000002"/>
  <pageSetup paperSize="9" scale="91" firstPageNumber="0" orientation="portrait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1:O94"/>
  <sheetViews>
    <sheetView showGridLines="0" zoomScaleNormal="100" workbookViewId="0">
      <selection activeCell="S9" sqref="S9"/>
    </sheetView>
  </sheetViews>
  <sheetFormatPr defaultRowHeight="15"/>
  <cols>
    <col min="1" max="1" width="1.7109375" style="225" customWidth="1"/>
    <col min="2" max="2" width="3.42578125" style="225" customWidth="1"/>
    <col min="3" max="4" width="19" style="225" customWidth="1"/>
    <col min="5" max="5" width="19.5703125" style="225" customWidth="1"/>
    <col min="6" max="6" width="18.7109375" style="225" customWidth="1"/>
    <col min="7" max="7" width="19.42578125" style="225" customWidth="1"/>
    <col min="8" max="8" width="18.7109375" style="225" customWidth="1"/>
    <col min="9" max="9" width="17.7109375" style="225" customWidth="1"/>
    <col min="10" max="10" width="3.7109375" style="226" customWidth="1"/>
    <col min="11" max="11" width="17.7109375" style="225" hidden="1" customWidth="1"/>
    <col min="12" max="12" width="3.7109375" style="225" hidden="1" customWidth="1"/>
    <col min="13" max="13" width="17.7109375" style="225" hidden="1" customWidth="1"/>
    <col min="14" max="14" width="3.7109375" style="225" hidden="1" customWidth="1"/>
    <col min="15" max="15" width="17.7109375" style="225" hidden="1" customWidth="1"/>
    <col min="16" max="16384" width="9.140625" style="225"/>
  </cols>
  <sheetData>
    <row r="1" spans="3:15" ht="18.75">
      <c r="E1" s="293" t="s">
        <v>6793</v>
      </c>
    </row>
    <row r="2" spans="3:15">
      <c r="E2" s="401" t="s">
        <v>6812</v>
      </c>
    </row>
    <row r="3" spans="3:15">
      <c r="E3" s="401"/>
    </row>
    <row r="4" spans="3:15" ht="18.75">
      <c r="C4" s="293" t="s">
        <v>6982</v>
      </c>
      <c r="D4" s="293"/>
      <c r="E4" s="401"/>
    </row>
    <row r="5" spans="3:15" s="227" customFormat="1">
      <c r="C5" s="386"/>
      <c r="D5" s="386"/>
      <c r="E5" s="386"/>
      <c r="F5" s="230"/>
      <c r="G5" s="230"/>
      <c r="H5" s="230"/>
      <c r="I5" s="230"/>
      <c r="J5" s="228"/>
      <c r="K5" s="230"/>
      <c r="L5" s="230"/>
      <c r="M5" s="230"/>
      <c r="N5" s="230"/>
      <c r="O5" s="230"/>
    </row>
    <row r="6" spans="3:15" ht="15.75">
      <c r="C6" s="413" t="s">
        <v>871</v>
      </c>
      <c r="D6" s="413">
        <v>2016</v>
      </c>
      <c r="E6" s="413">
        <v>2015</v>
      </c>
      <c r="F6" s="413">
        <v>2014</v>
      </c>
      <c r="G6" s="413">
        <v>2013</v>
      </c>
      <c r="H6" s="413">
        <v>2012</v>
      </c>
      <c r="I6" s="413">
        <v>2011</v>
      </c>
      <c r="J6" s="228"/>
      <c r="K6" s="387">
        <v>2010</v>
      </c>
      <c r="L6" s="230"/>
      <c r="M6" s="387">
        <v>2009</v>
      </c>
      <c r="N6" s="230"/>
      <c r="O6" s="387">
        <v>2008</v>
      </c>
    </row>
    <row r="7" spans="3:15">
      <c r="C7" s="414"/>
      <c r="D7" s="414"/>
      <c r="E7" s="414"/>
      <c r="F7" s="415"/>
      <c r="G7" s="415"/>
      <c r="H7" s="415"/>
      <c r="I7" s="415"/>
      <c r="K7" s="388"/>
      <c r="L7" s="240"/>
      <c r="M7" s="388"/>
      <c r="N7" s="240"/>
      <c r="O7" s="388"/>
    </row>
    <row r="8" spans="3:15">
      <c r="C8" s="422" t="s">
        <v>853</v>
      </c>
      <c r="D8" s="858">
        <f>'BD Anexo 01 e 02'!AY3</f>
        <v>24669142.619999997</v>
      </c>
      <c r="E8" s="423">
        <f>'BD Anexo 01 e 02'!AM3</f>
        <v>29597736.230000004</v>
      </c>
      <c r="F8" s="423">
        <f>'BD Anexo 01 e 02'!AA3</f>
        <v>37060692.119999997</v>
      </c>
      <c r="G8" s="423">
        <f>'BD Anexo 01 e 02'!O3</f>
        <v>35184380.819999993</v>
      </c>
      <c r="H8" s="423">
        <v>27348195.75</v>
      </c>
      <c r="I8" s="423">
        <v>16600221.279999999</v>
      </c>
      <c r="K8" s="389">
        <v>18305643.600000001</v>
      </c>
      <c r="L8" s="240"/>
      <c r="M8" s="389">
        <v>10685012.619999999</v>
      </c>
      <c r="N8" s="240"/>
      <c r="O8" s="389">
        <v>4579050.97</v>
      </c>
    </row>
    <row r="9" spans="3:15">
      <c r="C9" s="416"/>
      <c r="D9" s="859"/>
      <c r="E9" s="418"/>
      <c r="F9" s="417"/>
      <c r="G9" s="417"/>
      <c r="H9" s="417"/>
      <c r="I9" s="417"/>
      <c r="K9" s="389"/>
      <c r="L9" s="240"/>
      <c r="M9" s="389"/>
      <c r="N9" s="240"/>
      <c r="O9" s="389"/>
    </row>
    <row r="10" spans="3:15">
      <c r="C10" s="422" t="s">
        <v>854</v>
      </c>
      <c r="D10" s="858">
        <f>'BD Anexo 01 e 02'!AZ3</f>
        <v>48108070.479999997</v>
      </c>
      <c r="E10" s="423">
        <f>'BD Anexo 01 e 02'!AN3</f>
        <v>49771075.330000006</v>
      </c>
      <c r="F10" s="423">
        <f>'BD Anexo 01 e 02'!AB3</f>
        <v>31570215.080000002</v>
      </c>
      <c r="G10" s="423">
        <f>'BD Anexo 01 e 02'!P3</f>
        <v>30060873.779999997</v>
      </c>
      <c r="H10" s="423">
        <f>'BD Anexo 01 e 02'!D3</f>
        <v>27144380.380000003</v>
      </c>
      <c r="I10" s="423">
        <v>17030121.309999999</v>
      </c>
      <c r="K10" s="389">
        <v>5168553.5199999996</v>
      </c>
      <c r="L10" s="240"/>
      <c r="M10" s="389">
        <v>9137556.7400000002</v>
      </c>
      <c r="N10" s="240"/>
      <c r="O10" s="389">
        <v>11099654.4</v>
      </c>
    </row>
    <row r="11" spans="3:15">
      <c r="C11" s="416"/>
      <c r="D11" s="859"/>
      <c r="E11" s="418"/>
      <c r="F11" s="417"/>
      <c r="G11" s="417"/>
      <c r="H11" s="417"/>
      <c r="I11" s="417"/>
      <c r="K11" s="389"/>
      <c r="L11" s="240"/>
      <c r="M11" s="389"/>
      <c r="N11" s="240"/>
      <c r="O11" s="389"/>
    </row>
    <row r="12" spans="3:15">
      <c r="C12" s="422" t="s">
        <v>855</v>
      </c>
      <c r="D12" s="858">
        <f>'BD Anexo 01 e 02'!BA3</f>
        <v>43079438.320000015</v>
      </c>
      <c r="E12" s="423">
        <f>'BD Anexo 01 e 02'!AO3</f>
        <v>27151789.309999995</v>
      </c>
      <c r="F12" s="423">
        <f>'BD Anexo 01 e 02'!AC3</f>
        <v>13381319.050000001</v>
      </c>
      <c r="G12" s="423">
        <f>'BD Anexo 01 e 02'!Q3</f>
        <v>36822788.950000003</v>
      </c>
      <c r="H12" s="423">
        <v>13891281.85</v>
      </c>
      <c r="I12" s="423">
        <v>13557701.73</v>
      </c>
      <c r="K12" s="389">
        <v>10126556.4</v>
      </c>
      <c r="L12" s="240"/>
      <c r="M12" s="389">
        <v>12079354.939999999</v>
      </c>
      <c r="N12" s="240"/>
      <c r="O12" s="389">
        <v>12815709.51</v>
      </c>
    </row>
    <row r="13" spans="3:15">
      <c r="C13" s="416"/>
      <c r="D13" s="859"/>
      <c r="E13" s="418"/>
      <c r="F13" s="417"/>
      <c r="G13" s="417"/>
      <c r="H13" s="417"/>
      <c r="I13" s="417"/>
      <c r="K13" s="389"/>
      <c r="L13" s="240"/>
      <c r="M13" s="389"/>
      <c r="N13" s="240"/>
      <c r="O13" s="389"/>
    </row>
    <row r="14" spans="3:15">
      <c r="C14" s="422" t="s">
        <v>856</v>
      </c>
      <c r="D14" s="858">
        <f>'BD Anexo 01 e 02'!BB3</f>
        <v>28521842.349999994</v>
      </c>
      <c r="E14" s="423">
        <f>'BD Anexo 01 e 02'!AP3</f>
        <v>8261889.379999999</v>
      </c>
      <c r="F14" s="423">
        <f>'BD Anexo 01 e 02'!AD3</f>
        <v>11879782.569999998</v>
      </c>
      <c r="G14" s="423">
        <f>'BD Anexo 01 e 02'!R3</f>
        <v>7699854.3200000012</v>
      </c>
      <c r="H14" s="423">
        <v>23450479.719999999</v>
      </c>
      <c r="I14" s="423">
        <v>2711646.67</v>
      </c>
      <c r="K14" s="389">
        <v>15819667.48</v>
      </c>
      <c r="L14" s="240"/>
      <c r="M14" s="389">
        <v>6026320.9400000004</v>
      </c>
      <c r="N14" s="240"/>
      <c r="O14" s="389">
        <v>6883183.7199999997</v>
      </c>
    </row>
    <row r="15" spans="3:15">
      <c r="C15" s="416"/>
      <c r="D15" s="859"/>
      <c r="E15" s="418"/>
      <c r="F15" s="417"/>
      <c r="G15" s="417"/>
      <c r="H15" s="417"/>
      <c r="I15" s="417"/>
      <c r="K15" s="389"/>
      <c r="L15" s="240"/>
      <c r="M15" s="389"/>
      <c r="N15" s="240"/>
      <c r="O15" s="389"/>
    </row>
    <row r="16" spans="3:15">
      <c r="C16" s="422" t="s">
        <v>857</v>
      </c>
      <c r="D16" s="422"/>
      <c r="E16" s="423">
        <f>'BD Anexo 01 e 02'!AQ3</f>
        <v>14150755.299999997</v>
      </c>
      <c r="F16" s="423">
        <f>'BD Anexo 01 e 02'!AE3</f>
        <v>16981879.030000001</v>
      </c>
      <c r="G16" s="423">
        <f>'BD Anexo 01 e 02'!S3</f>
        <v>13301591.33</v>
      </c>
      <c r="H16" s="423">
        <v>11691100.470000001</v>
      </c>
      <c r="I16" s="423">
        <v>1482473.83</v>
      </c>
      <c r="K16" s="389">
        <v>2814818.06</v>
      </c>
      <c r="L16" s="240"/>
      <c r="M16" s="389">
        <v>5904274.7599999998</v>
      </c>
      <c r="N16" s="240"/>
      <c r="O16" s="389">
        <v>1562752.86</v>
      </c>
    </row>
    <row r="17" spans="3:15">
      <c r="C17" s="416"/>
      <c r="D17" s="416"/>
      <c r="E17" s="418"/>
      <c r="F17" s="417"/>
      <c r="G17" s="417"/>
      <c r="H17" s="417"/>
      <c r="I17" s="417"/>
      <c r="K17" s="389"/>
      <c r="L17" s="240"/>
      <c r="M17" s="389"/>
      <c r="N17" s="240"/>
      <c r="O17" s="389"/>
    </row>
    <row r="18" spans="3:15">
      <c r="C18" s="422" t="s">
        <v>861</v>
      </c>
      <c r="D18" s="422"/>
      <c r="E18" s="423">
        <f>'BD Anexo 01 e 02'!AR3</f>
        <v>13209564.51</v>
      </c>
      <c r="F18" s="423">
        <f>'BD Anexo 01 e 02'!AF3</f>
        <v>11264930.09</v>
      </c>
      <c r="G18" s="423">
        <f>'BD Anexo 01 e 02'!T3</f>
        <v>7586742.7600000007</v>
      </c>
      <c r="H18" s="423">
        <v>3547513.04</v>
      </c>
      <c r="I18" s="423">
        <v>941056.18</v>
      </c>
      <c r="K18" s="389">
        <v>5693097.7599999998</v>
      </c>
      <c r="L18" s="240"/>
      <c r="M18" s="389">
        <v>11871926.060000001</v>
      </c>
      <c r="N18" s="240"/>
      <c r="O18" s="389">
        <v>672782.76</v>
      </c>
    </row>
    <row r="19" spans="3:15">
      <c r="C19" s="416"/>
      <c r="D19" s="416"/>
      <c r="E19" s="418"/>
      <c r="F19" s="417"/>
      <c r="G19" s="417"/>
      <c r="H19" s="417"/>
      <c r="I19" s="417"/>
      <c r="K19" s="389"/>
      <c r="L19" s="240"/>
      <c r="M19" s="389"/>
      <c r="N19" s="240"/>
      <c r="O19" s="389"/>
    </row>
    <row r="20" spans="3:15">
      <c r="C20" s="422" t="s">
        <v>862</v>
      </c>
      <c r="D20" s="422"/>
      <c r="E20" s="423">
        <f>'BD Anexo 01 e 02'!AS3</f>
        <v>14350124.92</v>
      </c>
      <c r="F20" s="423">
        <f>'BD Anexo 01 e 02'!AG3</f>
        <v>27512154.769999996</v>
      </c>
      <c r="G20" s="423">
        <f>'BD Anexo 01 e 02'!U3</f>
        <v>9729301.3599999994</v>
      </c>
      <c r="H20" s="423">
        <v>10348292.34</v>
      </c>
      <c r="I20" s="423">
        <v>6364674.3700000001</v>
      </c>
      <c r="K20" s="389">
        <v>9591812.3200000003</v>
      </c>
      <c r="L20" s="240"/>
      <c r="M20" s="389">
        <v>10137506.5</v>
      </c>
      <c r="N20" s="240"/>
      <c r="O20" s="389">
        <v>2805423.55</v>
      </c>
    </row>
    <row r="21" spans="3:15">
      <c r="C21" s="416"/>
      <c r="D21" s="416"/>
      <c r="E21" s="418"/>
      <c r="F21" s="417"/>
      <c r="G21" s="417"/>
      <c r="H21" s="417"/>
      <c r="I21" s="417"/>
      <c r="K21" s="389"/>
      <c r="L21" s="240"/>
      <c r="M21" s="389"/>
      <c r="N21" s="240"/>
      <c r="O21" s="389"/>
    </row>
    <row r="22" spans="3:15">
      <c r="C22" s="422" t="s">
        <v>863</v>
      </c>
      <c r="D22" s="422"/>
      <c r="E22" s="423">
        <f>'BD Anexo 01 e 02'!AT3</f>
        <v>15537867.830000002</v>
      </c>
      <c r="F22" s="423">
        <f>'BD Anexo 01 e 02'!AH3</f>
        <v>20297984.410000004</v>
      </c>
      <c r="G22" s="423">
        <f>'BD Anexo 01 e 02'!V3</f>
        <v>10386155.27</v>
      </c>
      <c r="H22" s="423">
        <v>6465281.4000000004</v>
      </c>
      <c r="I22" s="423">
        <v>13182318.9</v>
      </c>
      <c r="K22" s="389">
        <v>12341925</v>
      </c>
      <c r="L22" s="240"/>
      <c r="M22" s="389">
        <v>6766942.8600000003</v>
      </c>
      <c r="N22" s="240"/>
      <c r="O22" s="389">
        <v>6110599.5800000001</v>
      </c>
    </row>
    <row r="23" spans="3:15">
      <c r="C23" s="416"/>
      <c r="D23" s="416"/>
      <c r="E23" s="418"/>
      <c r="F23" s="417"/>
      <c r="G23" s="417"/>
      <c r="H23" s="417"/>
      <c r="I23" s="417"/>
      <c r="K23" s="389"/>
      <c r="L23" s="226"/>
      <c r="M23" s="389"/>
      <c r="N23" s="240"/>
      <c r="O23" s="389"/>
    </row>
    <row r="24" spans="3:15">
      <c r="C24" s="422" t="s">
        <v>864</v>
      </c>
      <c r="D24" s="422"/>
      <c r="E24" s="423">
        <f>'BD Anexo 01 e 02'!AU3</f>
        <v>23779092.789999999</v>
      </c>
      <c r="F24" s="423">
        <f>'BD Anexo 01 e 02'!AI3</f>
        <v>27073623.920000002</v>
      </c>
      <c r="G24" s="423">
        <f>'BD Anexo 01 e 02'!W3</f>
        <v>16525535.010000002</v>
      </c>
      <c r="H24" s="423">
        <v>9956676.8900000006</v>
      </c>
      <c r="I24" s="423">
        <v>15310329.640000001</v>
      </c>
      <c r="K24" s="389">
        <v>14054306.060000001</v>
      </c>
      <c r="L24" s="240"/>
      <c r="M24" s="389">
        <v>19073473.66</v>
      </c>
      <c r="N24" s="240"/>
      <c r="O24" s="389">
        <v>9508866.2699999996</v>
      </c>
    </row>
    <row r="25" spans="3:15">
      <c r="C25" s="416"/>
      <c r="D25" s="416"/>
      <c r="E25" s="418"/>
      <c r="F25" s="417"/>
      <c r="G25" s="417"/>
      <c r="H25" s="417"/>
      <c r="I25" s="417"/>
      <c r="K25" s="389"/>
      <c r="L25" s="240"/>
      <c r="M25" s="389"/>
      <c r="N25" s="240"/>
      <c r="O25" s="389"/>
    </row>
    <row r="26" spans="3:15">
      <c r="C26" s="422" t="s">
        <v>860</v>
      </c>
      <c r="D26" s="422"/>
      <c r="E26" s="423">
        <f>'BD Anexo 01 e 02'!AV3</f>
        <v>22889640.780000005</v>
      </c>
      <c r="F26" s="423">
        <f>'BD Anexo 01 e 02'!AJ3</f>
        <v>28023637.610000003</v>
      </c>
      <c r="G26" s="423">
        <v>6788</v>
      </c>
      <c r="H26" s="423">
        <v>9011065.1199999992</v>
      </c>
      <c r="I26" s="423">
        <v>28504235.75</v>
      </c>
      <c r="K26" s="389">
        <v>8053872.4199999999</v>
      </c>
      <c r="L26" s="240"/>
      <c r="M26" s="389">
        <v>6594756.3600000003</v>
      </c>
      <c r="N26" s="240"/>
      <c r="O26" s="389">
        <v>11124419.880000001</v>
      </c>
    </row>
    <row r="27" spans="3:15">
      <c r="C27" s="416"/>
      <c r="D27" s="416"/>
      <c r="E27" s="418"/>
      <c r="F27" s="417"/>
      <c r="G27" s="417"/>
      <c r="H27" s="417"/>
      <c r="I27" s="417"/>
      <c r="K27" s="389"/>
      <c r="L27" s="240"/>
      <c r="M27" s="389"/>
      <c r="N27" s="240"/>
      <c r="O27" s="389"/>
    </row>
    <row r="28" spans="3:15">
      <c r="C28" s="422" t="s">
        <v>859</v>
      </c>
      <c r="D28" s="422"/>
      <c r="E28" s="423">
        <f>'BD Anexo 01 e 02'!AW3</f>
        <v>23403883.329999998</v>
      </c>
      <c r="F28" s="423">
        <f>'BD Anexo 01 e 02'!AK3</f>
        <v>20671641.289999999</v>
      </c>
      <c r="G28" s="423">
        <f>'BD Anexo 01 e 02'!Y3</f>
        <v>12488010.33</v>
      </c>
      <c r="H28" s="423">
        <v>13615969.48</v>
      </c>
      <c r="I28" s="423">
        <v>10414130.1</v>
      </c>
      <c r="K28" s="389">
        <v>4207946.84</v>
      </c>
      <c r="L28" s="240"/>
      <c r="M28" s="389">
        <v>8294190.4800000004</v>
      </c>
      <c r="N28" s="240"/>
      <c r="O28" s="389">
        <v>6176808.7400000002</v>
      </c>
    </row>
    <row r="29" spans="3:15">
      <c r="C29" s="416"/>
      <c r="D29" s="416"/>
      <c r="E29" s="418"/>
      <c r="F29" s="417"/>
      <c r="G29" s="417"/>
      <c r="H29" s="417"/>
      <c r="I29" s="417"/>
      <c r="K29" s="389"/>
      <c r="L29" s="240"/>
      <c r="M29" s="389"/>
      <c r="N29" s="240"/>
      <c r="O29" s="389"/>
    </row>
    <row r="30" spans="3:15">
      <c r="C30" s="422" t="s">
        <v>858</v>
      </c>
      <c r="D30" s="422"/>
      <c r="E30" s="423">
        <f>'BD Anexo 01 e 02'!AX3</f>
        <v>35153322.660000004</v>
      </c>
      <c r="F30" s="423">
        <f>'BD Anexo 01 e 02'!AL3</f>
        <v>34861074.170000002</v>
      </c>
      <c r="G30" s="423">
        <f>'BD Anexo 01 e 02'!Z3</f>
        <v>18273717.189999998</v>
      </c>
      <c r="H30" s="423">
        <v>21672970.989999998</v>
      </c>
      <c r="I30" s="423">
        <v>1324162.1100000001</v>
      </c>
      <c r="K30" s="389">
        <v>8102975.04</v>
      </c>
      <c r="L30" s="240"/>
      <c r="M30" s="389">
        <v>6341144.4400000004</v>
      </c>
      <c r="N30" s="240"/>
      <c r="O30" s="389">
        <v>9241671.4900000002</v>
      </c>
    </row>
    <row r="31" spans="3:15">
      <c r="C31" s="416"/>
      <c r="D31" s="416"/>
      <c r="E31" s="418"/>
      <c r="F31" s="417"/>
      <c r="G31" s="417"/>
      <c r="H31" s="417"/>
      <c r="I31" s="417"/>
      <c r="K31" s="390"/>
      <c r="M31" s="390"/>
      <c r="O31" s="390"/>
    </row>
    <row r="32" spans="3:15">
      <c r="C32" s="420" t="s">
        <v>1044</v>
      </c>
      <c r="D32" s="421">
        <f t="shared" ref="D32:I32" si="0">SUM(D8:D30)</f>
        <v>144378493.77000001</v>
      </c>
      <c r="E32" s="421">
        <f t="shared" si="0"/>
        <v>277256742.37</v>
      </c>
      <c r="F32" s="421">
        <f t="shared" si="0"/>
        <v>280578934.10999995</v>
      </c>
      <c r="G32" s="421">
        <f t="shared" si="0"/>
        <v>198065739.12</v>
      </c>
      <c r="H32" s="421">
        <f t="shared" si="0"/>
        <v>178143207.43000001</v>
      </c>
      <c r="I32" s="421">
        <f t="shared" si="0"/>
        <v>127423071.86999999</v>
      </c>
      <c r="K32" s="391">
        <f>SUM(K8:K30)</f>
        <v>114281174.50000001</v>
      </c>
      <c r="L32" s="392"/>
      <c r="M32" s="391">
        <f>SUM(M8:M30)</f>
        <v>112912460.36</v>
      </c>
      <c r="N32" s="392"/>
      <c r="O32" s="391">
        <f>SUM(O8:O30)</f>
        <v>82580923.729999974</v>
      </c>
    </row>
    <row r="33" spans="3:15">
      <c r="C33" s="402"/>
      <c r="D33" s="412">
        <f>D32/E32-1</f>
        <v>-0.47926065733930301</v>
      </c>
      <c r="E33" s="412">
        <f>E32/F32-1</f>
        <v>-1.1840488846883601E-2</v>
      </c>
      <c r="F33" s="412">
        <f>F32/G32-1</f>
        <v>0.41659499192845528</v>
      </c>
      <c r="G33" s="412">
        <f>G32/H32-1</f>
        <v>0.11183436055415363</v>
      </c>
      <c r="H33" s="412">
        <f>H32/I32-1</f>
        <v>0.39804514846217098</v>
      </c>
      <c r="I33" s="412">
        <f>I32/K32-1</f>
        <v>0.11499616999473505</v>
      </c>
      <c r="K33" s="393">
        <f>K32/M32-1</f>
        <v>1.2121905196611049E-2</v>
      </c>
      <c r="M33" s="393">
        <f>M32/O32-1</f>
        <v>0.36729471238623601</v>
      </c>
    </row>
    <row r="34" spans="3:15">
      <c r="F34" s="394"/>
      <c r="G34" s="393"/>
      <c r="H34" s="393"/>
      <c r="I34" s="393"/>
      <c r="K34" s="393"/>
      <c r="M34" s="393"/>
    </row>
    <row r="35" spans="3:15">
      <c r="C35" s="424" t="s">
        <v>6792</v>
      </c>
      <c r="D35" s="424"/>
      <c r="E35" s="395"/>
      <c r="F35" s="396"/>
      <c r="G35" s="396"/>
      <c r="H35" s="396"/>
      <c r="I35" s="396"/>
      <c r="J35" s="404"/>
      <c r="K35" s="396"/>
      <c r="L35" s="396"/>
      <c r="M35" s="396"/>
      <c r="N35" s="396"/>
      <c r="O35" s="396"/>
    </row>
    <row r="36" spans="3:15">
      <c r="C36" s="294" t="str">
        <f ca="1">CELL("filename")</f>
        <v xml:space="preserve">G:\Google Drive\00_Relatorios Gerenciais Masutti\[#Dossie para Bancos-mensal.xlsx]safra 16 17 </v>
      </c>
      <c r="G36" s="397"/>
    </row>
    <row r="38" spans="3:15">
      <c r="G38" s="934"/>
      <c r="H38" s="934"/>
      <c r="I38" s="934"/>
      <c r="J38" s="934"/>
    </row>
    <row r="41" spans="3:15">
      <c r="F41" s="398"/>
      <c r="G41" s="398"/>
      <c r="H41" s="398"/>
      <c r="I41" s="398"/>
      <c r="J41" s="405"/>
      <c r="K41" s="398"/>
      <c r="L41" s="398"/>
      <c r="M41" s="398"/>
      <c r="N41" s="398"/>
      <c r="O41" s="398"/>
    </row>
    <row r="54" ht="5.25" customHeight="1"/>
    <row r="55" hidden="1"/>
    <row r="56" hidden="1"/>
    <row r="57" hidden="1"/>
    <row r="58" hidden="1"/>
    <row r="69" spans="7:7">
      <c r="G69" s="399">
        <v>42221</v>
      </c>
    </row>
    <row r="91" spans="5:5" ht="6" customHeight="1"/>
    <row r="93" spans="5:5" ht="16.5" customHeight="1">
      <c r="E93" s="399"/>
    </row>
    <row r="94" spans="5:5" ht="9" customHeight="1"/>
  </sheetData>
  <sheetProtection selectLockedCells="1" selectUnlockedCells="1"/>
  <mergeCells count="1">
    <mergeCell ref="G38:J38"/>
  </mergeCells>
  <pageMargins left="0.46" right="0.25" top="0.75" bottom="0.75" header="0.3" footer="0.3"/>
  <pageSetup paperSize="9" scale="80" firstPageNumber="0" fitToHeight="0" orientation="portrait" horizontalDpi="200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7"/>
  <sheetViews>
    <sheetView showGridLines="0" zoomScaleNormal="100" workbookViewId="0">
      <selection activeCell="H32" sqref="H32"/>
    </sheetView>
  </sheetViews>
  <sheetFormatPr defaultRowHeight="14.25"/>
  <cols>
    <col min="1" max="1" width="1.7109375" style="23" customWidth="1"/>
    <col min="2" max="2" width="14.7109375" style="23" customWidth="1"/>
    <col min="3" max="3" width="1.7109375" style="23" customWidth="1"/>
    <col min="4" max="4" width="25.7109375" style="23" customWidth="1"/>
    <col min="5" max="5" width="1.7109375" style="23" customWidth="1"/>
    <col min="6" max="6" width="10" style="23" customWidth="1"/>
    <col min="7" max="7" width="1.7109375" style="23" customWidth="1"/>
    <col min="8" max="8" width="18.7109375" style="23" customWidth="1"/>
    <col min="9" max="9" width="1.7109375" style="23" customWidth="1"/>
    <col min="10" max="10" width="12.7109375" style="23" customWidth="1"/>
    <col min="11" max="11" width="1.7109375" style="23" customWidth="1"/>
    <col min="12" max="16384" width="9.140625" style="23"/>
  </cols>
  <sheetData>
    <row r="2" spans="2:10" s="25" customFormat="1" ht="27.75">
      <c r="B2" s="99" t="s">
        <v>16</v>
      </c>
    </row>
    <row r="3" spans="2:10" s="25" customFormat="1" ht="18">
      <c r="B3" s="26" t="s">
        <v>17</v>
      </c>
    </row>
    <row r="4" spans="2:10" s="25" customFormat="1" ht="18">
      <c r="B4" s="26"/>
    </row>
    <row r="5" spans="2:10" s="25" customFormat="1" ht="18.75" thickBot="1">
      <c r="B5" s="26"/>
    </row>
    <row r="6" spans="2:10" s="25" customFormat="1" ht="15.75">
      <c r="B6" s="100" t="s">
        <v>5055</v>
      </c>
      <c r="C6" s="37"/>
      <c r="D6" s="37"/>
      <c r="E6" s="37"/>
      <c r="F6" s="37"/>
      <c r="G6" s="37"/>
      <c r="H6" s="37"/>
      <c r="I6" s="37"/>
      <c r="J6" s="37"/>
    </row>
    <row r="7" spans="2:10" s="25" customFormat="1" ht="16.5" thickBot="1">
      <c r="B7" s="101" t="s">
        <v>4627</v>
      </c>
      <c r="C7" s="38"/>
      <c r="D7" s="38"/>
      <c r="E7" s="38"/>
      <c r="F7" s="38"/>
      <c r="G7" s="38"/>
      <c r="H7" s="38"/>
      <c r="I7" s="38"/>
      <c r="J7" s="38"/>
    </row>
    <row r="8" spans="2:10" s="25" customFormat="1" ht="15">
      <c r="B8" s="29"/>
    </row>
    <row r="9" spans="2:10" s="25" customFormat="1" ht="15">
      <c r="B9" s="29"/>
    </row>
    <row r="10" spans="2:10" s="25" customFormat="1" ht="15">
      <c r="B10" s="29"/>
    </row>
    <row r="11" spans="2:10" ht="15">
      <c r="B11" s="29"/>
      <c r="C11" s="30"/>
      <c r="D11" s="925" t="s">
        <v>1</v>
      </c>
      <c r="E11" s="925"/>
      <c r="F11" s="925"/>
      <c r="G11" s="31"/>
      <c r="H11" s="44" t="s">
        <v>2</v>
      </c>
      <c r="I11" s="25"/>
      <c r="J11" s="25"/>
    </row>
    <row r="12" spans="2:10" ht="15">
      <c r="B12" s="39"/>
      <c r="C12" s="40"/>
      <c r="D12" s="32"/>
      <c r="E12" s="32"/>
      <c r="F12" s="32"/>
      <c r="G12" s="33"/>
      <c r="H12" s="41"/>
      <c r="I12" s="41"/>
      <c r="J12" s="41"/>
    </row>
    <row r="13" spans="2:10">
      <c r="B13" s="40"/>
      <c r="C13" s="40"/>
      <c r="D13" s="920" t="s">
        <v>1041</v>
      </c>
      <c r="E13" s="920"/>
      <c r="F13" s="920"/>
      <c r="G13" s="33"/>
      <c r="H13" s="42">
        <v>0</v>
      </c>
      <c r="I13" s="41"/>
      <c r="J13" s="41"/>
    </row>
    <row r="14" spans="2:10">
      <c r="B14" s="40"/>
      <c r="C14" s="40"/>
      <c r="D14" s="32"/>
      <c r="E14" s="32"/>
      <c r="F14" s="32"/>
      <c r="G14" s="33"/>
      <c r="H14" s="42"/>
      <c r="I14" s="41"/>
      <c r="J14" s="41"/>
    </row>
    <row r="15" spans="2:10">
      <c r="B15" s="40"/>
      <c r="C15" s="40"/>
      <c r="D15" s="920" t="s">
        <v>1042</v>
      </c>
      <c r="E15" s="920"/>
      <c r="F15" s="920"/>
      <c r="G15" s="33"/>
      <c r="H15" s="42">
        <v>0</v>
      </c>
      <c r="I15" s="41"/>
      <c r="J15" s="41"/>
    </row>
    <row r="16" spans="2:10">
      <c r="B16" s="40"/>
      <c r="C16" s="40"/>
      <c r="D16" s="32"/>
      <c r="E16" s="32"/>
      <c r="F16" s="32"/>
      <c r="G16" s="33"/>
      <c r="H16" s="42"/>
      <c r="I16" s="41"/>
      <c r="J16" s="41"/>
    </row>
    <row r="17" spans="2:10">
      <c r="B17" s="40"/>
      <c r="C17" s="40"/>
      <c r="D17" s="920" t="s">
        <v>1043</v>
      </c>
      <c r="E17" s="920"/>
      <c r="F17" s="920"/>
      <c r="G17" s="33"/>
      <c r="H17" s="42">
        <v>0</v>
      </c>
      <c r="I17" s="41"/>
      <c r="J17" s="41"/>
    </row>
    <row r="18" spans="2:10">
      <c r="B18" s="40"/>
      <c r="C18" s="40"/>
      <c r="D18" s="32"/>
      <c r="E18" s="32"/>
      <c r="F18" s="32"/>
      <c r="G18" s="33"/>
      <c r="H18" s="42"/>
      <c r="I18" s="41"/>
      <c r="J18" s="41"/>
    </row>
    <row r="19" spans="2:10">
      <c r="B19" s="40"/>
      <c r="C19" s="40"/>
      <c r="D19" s="920" t="s">
        <v>1109</v>
      </c>
      <c r="E19" s="920"/>
      <c r="F19" s="920"/>
      <c r="G19" s="33"/>
      <c r="H19" s="42">
        <v>0</v>
      </c>
      <c r="I19" s="41"/>
      <c r="J19" s="41"/>
    </row>
    <row r="20" spans="2:10">
      <c r="B20" s="40"/>
      <c r="C20" s="40"/>
      <c r="D20" s="32"/>
      <c r="E20" s="32"/>
      <c r="F20" s="32"/>
      <c r="G20" s="33"/>
      <c r="H20" s="42"/>
      <c r="I20" s="41"/>
      <c r="J20" s="41"/>
    </row>
    <row r="21" spans="2:10">
      <c r="B21" s="40"/>
      <c r="C21" s="40"/>
      <c r="D21" s="920" t="s">
        <v>1108</v>
      </c>
      <c r="E21" s="920"/>
      <c r="F21" s="920"/>
      <c r="G21" s="33"/>
      <c r="H21" s="42">
        <v>0</v>
      </c>
      <c r="I21" s="41"/>
      <c r="J21" s="41"/>
    </row>
    <row r="22" spans="2:10">
      <c r="B22" s="40"/>
      <c r="C22" s="40"/>
      <c r="D22" s="32"/>
      <c r="E22" s="32"/>
      <c r="F22" s="32"/>
      <c r="G22" s="33"/>
      <c r="H22" s="42"/>
      <c r="I22" s="41"/>
      <c r="J22" s="41"/>
    </row>
    <row r="23" spans="2:10">
      <c r="B23" s="40"/>
      <c r="C23" s="40"/>
      <c r="D23" s="920" t="s">
        <v>1107</v>
      </c>
      <c r="E23" s="920"/>
      <c r="F23" s="920"/>
      <c r="G23" s="33"/>
      <c r="H23" s="42">
        <v>0</v>
      </c>
      <c r="I23" s="41"/>
      <c r="J23" s="41"/>
    </row>
    <row r="24" spans="2:10">
      <c r="B24" s="40"/>
      <c r="C24" s="40"/>
      <c r="D24" s="32"/>
      <c r="E24" s="32"/>
      <c r="F24" s="32"/>
      <c r="G24" s="33"/>
      <c r="H24" s="42"/>
      <c r="I24" s="41"/>
      <c r="J24" s="41"/>
    </row>
    <row r="25" spans="2:10">
      <c r="B25" s="40"/>
      <c r="C25" s="40"/>
      <c r="D25" s="920" t="s">
        <v>5056</v>
      </c>
      <c r="E25" s="920"/>
      <c r="F25" s="920"/>
      <c r="G25" s="33"/>
      <c r="H25" s="42">
        <v>0</v>
      </c>
      <c r="I25" s="41"/>
      <c r="J25" s="41"/>
    </row>
    <row r="26" spans="2:10">
      <c r="B26" s="40"/>
      <c r="C26" s="40"/>
      <c r="D26" s="32"/>
      <c r="E26" s="32"/>
      <c r="F26" s="32"/>
      <c r="G26" s="33"/>
      <c r="H26" s="42"/>
      <c r="I26" s="41"/>
      <c r="J26" s="41"/>
    </row>
    <row r="27" spans="2:10">
      <c r="B27" s="40"/>
      <c r="C27" s="40"/>
      <c r="D27" s="920" t="s">
        <v>5057</v>
      </c>
      <c r="E27" s="920"/>
      <c r="F27" s="920"/>
      <c r="G27" s="33"/>
      <c r="H27" s="42">
        <v>0</v>
      </c>
      <c r="I27" s="41"/>
      <c r="J27" s="41"/>
    </row>
    <row r="28" spans="2:10">
      <c r="B28" s="40"/>
      <c r="C28" s="40"/>
      <c r="D28" s="32"/>
      <c r="E28" s="32"/>
      <c r="F28" s="32"/>
      <c r="G28" s="33"/>
      <c r="H28" s="42"/>
      <c r="I28" s="41"/>
      <c r="J28" s="41"/>
    </row>
    <row r="29" spans="2:10">
      <c r="B29" s="40"/>
      <c r="C29" s="40"/>
      <c r="D29" s="920" t="s">
        <v>5058</v>
      </c>
      <c r="E29" s="920"/>
      <c r="F29" s="920"/>
      <c r="G29" s="33"/>
      <c r="H29" s="42">
        <v>0</v>
      </c>
      <c r="I29" s="41"/>
      <c r="J29" s="41"/>
    </row>
    <row r="30" spans="2:10">
      <c r="B30" s="40"/>
      <c r="C30" s="40"/>
      <c r="D30" s="32"/>
      <c r="E30" s="32"/>
      <c r="F30" s="32"/>
      <c r="G30" s="33"/>
      <c r="H30" s="42"/>
      <c r="I30" s="41"/>
      <c r="J30" s="41"/>
    </row>
    <row r="31" spans="2:10">
      <c r="B31" s="40"/>
      <c r="C31" s="40"/>
      <c r="D31" s="920" t="s">
        <v>5059</v>
      </c>
      <c r="E31" s="920"/>
      <c r="F31" s="920"/>
      <c r="G31" s="33"/>
      <c r="H31" s="42">
        <v>186370.2</v>
      </c>
      <c r="I31" s="41"/>
      <c r="J31" s="41"/>
    </row>
    <row r="32" spans="2:10">
      <c r="B32" s="40"/>
      <c r="C32" s="40"/>
      <c r="D32" s="32"/>
      <c r="E32" s="32"/>
      <c r="F32" s="32"/>
      <c r="G32" s="33"/>
      <c r="H32" s="42"/>
      <c r="I32" s="41"/>
      <c r="J32" s="41"/>
    </row>
    <row r="33" spans="2:10">
      <c r="B33" s="40"/>
      <c r="C33" s="40"/>
      <c r="D33" s="920" t="s">
        <v>5060</v>
      </c>
      <c r="E33" s="920"/>
      <c r="F33" s="920"/>
      <c r="G33" s="33"/>
      <c r="H33" s="42">
        <v>0</v>
      </c>
      <c r="I33" s="41"/>
      <c r="J33" s="41"/>
    </row>
    <row r="34" spans="2:10">
      <c r="B34" s="40"/>
      <c r="C34" s="40"/>
      <c r="D34" s="32"/>
      <c r="E34" s="32"/>
      <c r="F34" s="32"/>
      <c r="G34" s="33"/>
      <c r="H34" s="42"/>
      <c r="I34" s="41"/>
      <c r="J34" s="41"/>
    </row>
    <row r="35" spans="2:10">
      <c r="B35" s="40"/>
      <c r="C35" s="40"/>
      <c r="D35" s="920" t="s">
        <v>5061</v>
      </c>
      <c r="E35" s="920"/>
      <c r="F35" s="920"/>
      <c r="G35" s="33"/>
      <c r="H35" s="42">
        <v>0</v>
      </c>
      <c r="I35" s="41"/>
      <c r="J35" s="41"/>
    </row>
    <row r="36" spans="2:10">
      <c r="D36" s="33"/>
      <c r="E36" s="33"/>
      <c r="F36" s="33"/>
      <c r="G36" s="33"/>
      <c r="H36" s="49"/>
      <c r="I36" s="25"/>
      <c r="J36" s="25"/>
    </row>
    <row r="37" spans="2:10">
      <c r="D37" s="935" t="s">
        <v>1044</v>
      </c>
      <c r="E37" s="935"/>
      <c r="F37" s="935"/>
      <c r="G37" s="34"/>
      <c r="H37" s="43">
        <f>SUM(H13:H35)</f>
        <v>186370.2</v>
      </c>
      <c r="I37" s="25"/>
      <c r="J37" s="25"/>
    </row>
    <row r="38" spans="2:10">
      <c r="H38" s="35"/>
      <c r="I38" s="25"/>
      <c r="J38" s="25"/>
    </row>
    <row r="39" spans="2:10">
      <c r="H39" s="35"/>
      <c r="I39" s="25"/>
      <c r="J39" s="25"/>
    </row>
    <row r="40" spans="2:10" ht="16.5" customHeight="1">
      <c r="B40" s="922"/>
      <c r="C40" s="922"/>
      <c r="D40" s="922"/>
      <c r="E40" s="922"/>
      <c r="F40" s="922"/>
      <c r="G40" s="922"/>
      <c r="H40" s="922"/>
      <c r="I40" s="922"/>
      <c r="J40" s="922"/>
    </row>
    <row r="41" spans="2:10" ht="13.5" customHeight="1">
      <c r="B41" s="922"/>
      <c r="C41" s="922"/>
      <c r="D41" s="922"/>
      <c r="E41" s="922"/>
      <c r="F41" s="922"/>
      <c r="G41" s="922"/>
      <c r="H41" s="922"/>
      <c r="I41" s="922"/>
      <c r="J41" s="922"/>
    </row>
    <row r="43" spans="2:10">
      <c r="B43" s="23" t="s">
        <v>6</v>
      </c>
      <c r="D43" s="923">
        <v>42094</v>
      </c>
      <c r="E43" s="923"/>
      <c r="F43" s="923"/>
      <c r="G43" s="923"/>
    </row>
    <row r="44" spans="2:10">
      <c r="F44" s="129"/>
      <c r="G44" s="129"/>
      <c r="H44" s="130" t="s">
        <v>1452</v>
      </c>
      <c r="I44" s="129"/>
      <c r="J44" s="129"/>
    </row>
    <row r="45" spans="2:10">
      <c r="F45" s="131"/>
      <c r="G45" s="131"/>
      <c r="H45" s="130" t="s">
        <v>1453</v>
      </c>
      <c r="I45" s="129"/>
      <c r="J45" s="129"/>
    </row>
    <row r="46" spans="2:10">
      <c r="F46" s="129"/>
      <c r="G46" s="129"/>
      <c r="H46" s="130" t="s">
        <v>1454</v>
      </c>
      <c r="I46" s="129"/>
      <c r="J46" s="129"/>
    </row>
    <row r="47" spans="2:10">
      <c r="F47" s="129"/>
      <c r="G47" s="129"/>
      <c r="H47" s="129"/>
      <c r="I47" s="129"/>
      <c r="J47" s="129"/>
    </row>
  </sheetData>
  <sheetProtection selectLockedCells="1" selectUnlockedCells="1"/>
  <mergeCells count="16">
    <mergeCell ref="D11:F11"/>
    <mergeCell ref="D13:F13"/>
    <mergeCell ref="D43:G43"/>
    <mergeCell ref="D37:F37"/>
    <mergeCell ref="D19:F19"/>
    <mergeCell ref="D25:F25"/>
    <mergeCell ref="B40:J41"/>
    <mergeCell ref="D23:F23"/>
    <mergeCell ref="D17:F17"/>
    <mergeCell ref="D21:F21"/>
    <mergeCell ref="D27:F27"/>
    <mergeCell ref="D29:F29"/>
    <mergeCell ref="D31:F31"/>
    <mergeCell ref="D33:F33"/>
    <mergeCell ref="D35:F35"/>
    <mergeCell ref="D15:F15"/>
  </mergeCells>
  <pageMargins left="0.39374999999999999" right="0.39374999999999999" top="0.19652777777777777" bottom="0.19652777777777777" header="0.51180555555555551" footer="0.19652777777777777"/>
  <pageSetup paperSize="9" scale="90" firstPageNumber="0" orientation="portrait" horizontalDpi="300" verticalDpi="300" r:id="rId1"/>
  <headerFooter alignWithMargins="0">
    <oddFooter>&amp;R&amp;9&amp;Z&amp;F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87"/>
  <sheetViews>
    <sheetView showGridLines="0" zoomScaleNormal="100" workbookViewId="0">
      <selection activeCell="B92" sqref="B92"/>
    </sheetView>
  </sheetViews>
  <sheetFormatPr defaultRowHeight="15"/>
  <cols>
    <col min="1" max="1" width="1.7109375" style="225" customWidth="1"/>
    <col min="2" max="2" width="14.7109375" style="225" customWidth="1"/>
    <col min="3" max="3" width="1.7109375" style="225" customWidth="1"/>
    <col min="4" max="4" width="25.7109375" style="225" customWidth="1"/>
    <col min="5" max="5" width="1.7109375" style="225" customWidth="1"/>
    <col min="6" max="6" width="10" style="225" customWidth="1"/>
    <col min="7" max="7" width="18.7109375" style="225" customWidth="1"/>
    <col min="8" max="8" width="9.42578125" style="225" customWidth="1"/>
    <col min="9" max="9" width="12.7109375" style="225" customWidth="1"/>
    <col min="10" max="10" width="1.7109375" style="225" customWidth="1"/>
    <col min="11" max="16384" width="9.140625" style="225"/>
  </cols>
  <sheetData>
    <row r="1" spans="2:14" ht="18" customHeight="1">
      <c r="D1" s="231" t="s">
        <v>6984</v>
      </c>
    </row>
    <row r="2" spans="2:14" s="227" customFormat="1" ht="18" customHeight="1">
      <c r="B2" s="425" t="s">
        <v>1106</v>
      </c>
      <c r="D2" s="299" t="s">
        <v>6985</v>
      </c>
    </row>
    <row r="3" spans="2:14" s="227" customFormat="1" ht="18" customHeight="1">
      <c r="B3" s="425"/>
      <c r="D3" s="299"/>
    </row>
    <row r="4" spans="2:14" s="227" customFormat="1" ht="18" customHeight="1">
      <c r="B4" s="425"/>
      <c r="D4" s="299"/>
    </row>
    <row r="5" spans="2:14" s="227" customFormat="1" ht="18" customHeight="1">
      <c r="B5" s="425"/>
      <c r="D5" s="299"/>
    </row>
    <row r="6" spans="2:14" s="227" customFormat="1" ht="18.75">
      <c r="B6" s="381" t="s">
        <v>6986</v>
      </c>
    </row>
    <row r="7" spans="2:14" s="227" customFormat="1">
      <c r="B7" s="229"/>
    </row>
    <row r="8" spans="2:14" ht="15.75">
      <c r="B8" s="229"/>
      <c r="C8" s="401"/>
      <c r="D8" s="936" t="s">
        <v>1</v>
      </c>
      <c r="E8" s="936"/>
      <c r="F8" s="936"/>
      <c r="G8" s="438" t="s">
        <v>2</v>
      </c>
      <c r="H8" s="227"/>
      <c r="I8" s="227"/>
    </row>
    <row r="9" spans="2:14">
      <c r="B9" s="229"/>
      <c r="D9" s="432"/>
      <c r="E9" s="432"/>
      <c r="F9" s="432"/>
      <c r="G9" s="433"/>
      <c r="H9" s="227"/>
      <c r="I9" s="227"/>
    </row>
    <row r="10" spans="2:14">
      <c r="B10" s="240"/>
      <c r="C10" s="240"/>
      <c r="D10" s="937" t="s">
        <v>6738</v>
      </c>
      <c r="E10" s="937"/>
      <c r="F10" s="937"/>
      <c r="G10" s="423">
        <v>50000</v>
      </c>
      <c r="H10" s="230"/>
      <c r="I10" s="230"/>
      <c r="L10" s="940"/>
      <c r="M10" s="940"/>
      <c r="N10" s="940"/>
    </row>
    <row r="11" spans="2:14">
      <c r="B11" s="240"/>
      <c r="C11" s="240"/>
      <c r="D11" s="434"/>
      <c r="E11" s="434"/>
      <c r="F11" s="434"/>
      <c r="G11" s="417"/>
      <c r="H11" s="230"/>
      <c r="I11" s="230"/>
      <c r="L11" s="426"/>
      <c r="M11" s="426"/>
      <c r="N11" s="426"/>
    </row>
    <row r="12" spans="2:14">
      <c r="B12" s="240"/>
      <c r="C12" s="240"/>
      <c r="D12" s="937" t="s">
        <v>6739</v>
      </c>
      <c r="E12" s="937"/>
      <c r="F12" s="937"/>
      <c r="G12" s="423">
        <v>70000</v>
      </c>
      <c r="H12" s="230"/>
      <c r="I12" s="230"/>
      <c r="L12" s="940"/>
      <c r="M12" s="940"/>
      <c r="N12" s="940"/>
    </row>
    <row r="13" spans="2:14">
      <c r="B13" s="240"/>
      <c r="C13" s="240"/>
      <c r="D13" s="434"/>
      <c r="E13" s="434"/>
      <c r="F13" s="434"/>
      <c r="G13" s="417"/>
      <c r="H13" s="230"/>
      <c r="I13" s="230"/>
      <c r="L13" s="426"/>
      <c r="M13" s="426"/>
      <c r="N13" s="426"/>
    </row>
    <row r="14" spans="2:14">
      <c r="B14" s="240"/>
      <c r="C14" s="240"/>
      <c r="D14" s="937" t="s">
        <v>6740</v>
      </c>
      <c r="E14" s="937"/>
      <c r="F14" s="937"/>
      <c r="G14" s="423">
        <v>100000</v>
      </c>
      <c r="H14" s="230"/>
      <c r="I14" s="230"/>
      <c r="L14" s="940"/>
      <c r="M14" s="940"/>
      <c r="N14" s="940"/>
    </row>
    <row r="15" spans="2:14">
      <c r="B15" s="240"/>
      <c r="C15" s="240"/>
      <c r="D15" s="434"/>
      <c r="E15" s="434"/>
      <c r="F15" s="434"/>
      <c r="G15" s="417"/>
      <c r="H15" s="230"/>
      <c r="I15" s="230"/>
      <c r="L15" s="426"/>
      <c r="M15" s="426"/>
      <c r="N15" s="426"/>
    </row>
    <row r="16" spans="2:14">
      <c r="B16" s="240"/>
      <c r="C16" s="240"/>
      <c r="D16" s="937" t="s">
        <v>6741</v>
      </c>
      <c r="E16" s="937"/>
      <c r="F16" s="937"/>
      <c r="G16" s="423">
        <v>110000</v>
      </c>
      <c r="H16" s="230"/>
      <c r="I16" s="230"/>
      <c r="L16" s="940"/>
      <c r="M16" s="940"/>
      <c r="N16" s="940"/>
    </row>
    <row r="17" spans="2:15">
      <c r="B17" s="240"/>
      <c r="C17" s="240"/>
      <c r="D17" s="434"/>
      <c r="E17" s="434"/>
      <c r="F17" s="434"/>
      <c r="G17" s="417"/>
      <c r="H17" s="230"/>
      <c r="I17" s="230"/>
      <c r="L17" s="426"/>
      <c r="M17" s="426"/>
      <c r="N17" s="426"/>
    </row>
    <row r="18" spans="2:15">
      <c r="B18" s="240"/>
      <c r="C18" s="240"/>
      <c r="D18" s="937" t="s">
        <v>6742</v>
      </c>
      <c r="E18" s="937"/>
      <c r="F18" s="937"/>
      <c r="G18" s="423">
        <v>110000</v>
      </c>
      <c r="H18" s="230"/>
      <c r="I18" s="230"/>
      <c r="L18" s="940"/>
      <c r="M18" s="940"/>
      <c r="N18" s="940"/>
    </row>
    <row r="19" spans="2:15">
      <c r="B19" s="240"/>
      <c r="C19" s="240"/>
      <c r="D19" s="434"/>
      <c r="E19" s="434"/>
      <c r="F19" s="434"/>
      <c r="G19" s="417"/>
      <c r="H19" s="230"/>
      <c r="I19" s="230"/>
      <c r="L19" s="426"/>
      <c r="M19" s="426"/>
      <c r="N19" s="426"/>
    </row>
    <row r="20" spans="2:15">
      <c r="B20" s="240"/>
      <c r="C20" s="240"/>
      <c r="D20" s="937" t="s">
        <v>6743</v>
      </c>
      <c r="E20" s="937"/>
      <c r="F20" s="937"/>
      <c r="G20" s="423">
        <v>130000</v>
      </c>
      <c r="H20" s="230"/>
      <c r="I20" s="230"/>
      <c r="L20" s="940"/>
      <c r="M20" s="940"/>
      <c r="N20" s="940"/>
    </row>
    <row r="21" spans="2:15">
      <c r="B21" s="240"/>
      <c r="C21" s="240"/>
      <c r="D21" s="434"/>
      <c r="E21" s="434"/>
      <c r="F21" s="434"/>
      <c r="G21" s="417"/>
      <c r="H21" s="230"/>
      <c r="I21" s="230"/>
    </row>
    <row r="22" spans="2:15">
      <c r="B22" s="240"/>
      <c r="C22" s="240"/>
      <c r="D22" s="937" t="s">
        <v>6744</v>
      </c>
      <c r="E22" s="937"/>
      <c r="F22" s="937"/>
      <c r="G22" s="423">
        <v>100000</v>
      </c>
      <c r="H22" s="230"/>
      <c r="I22" s="230"/>
      <c r="M22" s="940"/>
      <c r="N22" s="940"/>
      <c r="O22" s="940"/>
    </row>
    <row r="23" spans="2:15">
      <c r="B23" s="240"/>
      <c r="C23" s="240"/>
      <c r="D23" s="434"/>
      <c r="E23" s="434"/>
      <c r="F23" s="434"/>
      <c r="G23" s="417"/>
      <c r="H23" s="230"/>
      <c r="I23" s="230"/>
      <c r="M23" s="426"/>
      <c r="N23" s="426"/>
      <c r="O23" s="426"/>
    </row>
    <row r="24" spans="2:15">
      <c r="B24" s="240"/>
      <c r="C24" s="240"/>
      <c r="D24" s="937" t="s">
        <v>6745</v>
      </c>
      <c r="E24" s="937"/>
      <c r="F24" s="937"/>
      <c r="G24" s="423">
        <v>90000</v>
      </c>
      <c r="H24" s="230"/>
      <c r="I24" s="230"/>
      <c r="M24" s="940"/>
      <c r="N24" s="940"/>
      <c r="O24" s="940"/>
    </row>
    <row r="25" spans="2:15">
      <c r="B25" s="240"/>
      <c r="C25" s="240"/>
      <c r="D25" s="434"/>
      <c r="E25" s="434"/>
      <c r="F25" s="434"/>
      <c r="G25" s="417"/>
      <c r="H25" s="230"/>
      <c r="I25" s="230"/>
      <c r="M25" s="426"/>
      <c r="N25" s="426"/>
      <c r="O25" s="426"/>
    </row>
    <row r="26" spans="2:15">
      <c r="B26" s="240"/>
      <c r="C26" s="240"/>
      <c r="D26" s="937" t="s">
        <v>6746</v>
      </c>
      <c r="E26" s="937"/>
      <c r="F26" s="937"/>
      <c r="G26" s="423">
        <v>140000</v>
      </c>
      <c r="H26" s="230"/>
      <c r="I26" s="230"/>
      <c r="M26" s="940"/>
      <c r="N26" s="940"/>
      <c r="O26" s="940"/>
    </row>
    <row r="27" spans="2:15">
      <c r="B27" s="240"/>
      <c r="C27" s="240"/>
      <c r="D27" s="434"/>
      <c r="E27" s="434"/>
      <c r="F27" s="434"/>
      <c r="G27" s="417"/>
      <c r="H27" s="230"/>
      <c r="I27" s="230"/>
      <c r="M27" s="426"/>
      <c r="N27" s="426"/>
      <c r="O27" s="426"/>
    </row>
    <row r="28" spans="2:15">
      <c r="B28" s="240"/>
      <c r="C28" s="240"/>
      <c r="D28" s="937" t="s">
        <v>6747</v>
      </c>
      <c r="E28" s="937"/>
      <c r="F28" s="937"/>
      <c r="G28" s="423">
        <v>100000</v>
      </c>
      <c r="H28" s="230"/>
      <c r="I28" s="230"/>
      <c r="M28" s="940"/>
      <c r="N28" s="940"/>
      <c r="O28" s="940"/>
    </row>
    <row r="29" spans="2:15">
      <c r="B29" s="240"/>
      <c r="C29" s="240"/>
      <c r="D29" s="434"/>
      <c r="E29" s="434"/>
      <c r="F29" s="434"/>
      <c r="G29" s="417"/>
      <c r="H29" s="230"/>
      <c r="I29" s="230"/>
      <c r="M29" s="426"/>
      <c r="N29" s="426"/>
      <c r="O29" s="426"/>
    </row>
    <row r="30" spans="2:15">
      <c r="B30" s="240"/>
      <c r="C30" s="240"/>
      <c r="D30" s="937" t="s">
        <v>6748</v>
      </c>
      <c r="E30" s="937"/>
      <c r="F30" s="937"/>
      <c r="G30" s="423">
        <v>100000</v>
      </c>
      <c r="H30" s="230"/>
      <c r="I30" s="230"/>
      <c r="M30" s="940"/>
      <c r="N30" s="940"/>
      <c r="O30" s="940"/>
    </row>
    <row r="31" spans="2:15">
      <c r="B31" s="240"/>
      <c r="C31" s="240"/>
      <c r="D31" s="434"/>
      <c r="E31" s="434"/>
      <c r="F31" s="434"/>
      <c r="G31" s="417"/>
      <c r="H31" s="230"/>
      <c r="I31" s="230"/>
      <c r="M31" s="426"/>
      <c r="N31" s="426"/>
      <c r="O31" s="426"/>
    </row>
    <row r="32" spans="2:15">
      <c r="B32" s="240"/>
      <c r="C32" s="240"/>
      <c r="D32" s="937" t="s">
        <v>6749</v>
      </c>
      <c r="E32" s="937"/>
      <c r="F32" s="937"/>
      <c r="G32" s="423">
        <v>100000</v>
      </c>
      <c r="H32" s="230"/>
      <c r="I32" s="230"/>
      <c r="M32" s="940"/>
      <c r="N32" s="940"/>
      <c r="O32" s="940"/>
    </row>
    <row r="33" spans="2:9">
      <c r="D33" s="435"/>
      <c r="E33" s="435"/>
      <c r="F33" s="435"/>
      <c r="G33" s="436"/>
      <c r="H33" s="227"/>
      <c r="I33" s="227"/>
    </row>
    <row r="34" spans="2:9">
      <c r="D34" s="939" t="s">
        <v>1044</v>
      </c>
      <c r="E34" s="939"/>
      <c r="F34" s="939"/>
      <c r="G34" s="437">
        <f>SUM(G10:G32)</f>
        <v>1200000</v>
      </c>
      <c r="H34" s="227"/>
      <c r="I34" s="227"/>
    </row>
    <row r="35" spans="2:9">
      <c r="G35" s="428"/>
      <c r="H35" s="227"/>
      <c r="I35" s="227"/>
    </row>
    <row r="36" spans="2:9">
      <c r="G36" s="428"/>
      <c r="H36" s="227"/>
      <c r="I36" s="227"/>
    </row>
    <row r="37" spans="2:9">
      <c r="B37" s="938"/>
      <c r="C37" s="938"/>
      <c r="D37" s="938"/>
      <c r="E37" s="938"/>
      <c r="F37" s="938"/>
      <c r="G37" s="938"/>
      <c r="H37" s="938"/>
      <c r="I37" s="938"/>
    </row>
    <row r="38" spans="2:9">
      <c r="B38" s="938"/>
      <c r="C38" s="938"/>
      <c r="D38" s="938"/>
      <c r="E38" s="938"/>
      <c r="F38" s="938"/>
      <c r="G38" s="938"/>
      <c r="H38" s="938"/>
      <c r="I38" s="938"/>
    </row>
    <row r="40" spans="2:9">
      <c r="B40" s="431" t="str">
        <f ca="1">CELL("filename")</f>
        <v xml:space="preserve">G:\Google Drive\00_Relatorios Gerenciais Masutti\[#Dossie para Bancos-mensal.xlsx]safra 16 17 </v>
      </c>
      <c r="E40" s="430"/>
      <c r="F40" s="430"/>
    </row>
    <row r="44" spans="2:9" ht="37.5" hidden="1" customHeight="1"/>
    <row r="45" spans="2:9" hidden="1"/>
    <row r="46" spans="2:9" hidden="1">
      <c r="D46" s="429" t="s">
        <v>6750</v>
      </c>
      <c r="H46" s="429" t="s">
        <v>4501</v>
      </c>
    </row>
    <row r="47" spans="2:9" hidden="1">
      <c r="D47" s="429" t="s">
        <v>6794</v>
      </c>
      <c r="H47" s="429" t="s">
        <v>6752</v>
      </c>
    </row>
    <row r="48" spans="2:9" hidden="1"/>
    <row r="49" hidden="1"/>
    <row r="79" hidden="1"/>
    <row r="80" hidden="1"/>
    <row r="81" spans="2:12" hidden="1"/>
    <row r="87" spans="2:12">
      <c r="B87" s="225" t="s">
        <v>98</v>
      </c>
      <c r="C87" s="225" t="s">
        <v>6987</v>
      </c>
      <c r="D87" s="399">
        <v>42425</v>
      </c>
      <c r="E87" s="399">
        <v>42663</v>
      </c>
      <c r="F87" s="225" t="s">
        <v>22</v>
      </c>
      <c r="H87" s="225">
        <v>0</v>
      </c>
      <c r="I87" s="225">
        <v>18352</v>
      </c>
      <c r="J87" s="225">
        <v>0</v>
      </c>
      <c r="K87" s="225">
        <v>0</v>
      </c>
      <c r="L87" s="225">
        <v>0</v>
      </c>
    </row>
  </sheetData>
  <sheetProtection selectLockedCells="1" selectUnlockedCells="1"/>
  <mergeCells count="27">
    <mergeCell ref="M32:O32"/>
    <mergeCell ref="L20:N20"/>
    <mergeCell ref="M22:O22"/>
    <mergeCell ref="M24:O24"/>
    <mergeCell ref="M26:O26"/>
    <mergeCell ref="M28:O28"/>
    <mergeCell ref="M30:O30"/>
    <mergeCell ref="D14:F14"/>
    <mergeCell ref="D16:F16"/>
    <mergeCell ref="D26:F26"/>
    <mergeCell ref="D22:F22"/>
    <mergeCell ref="D28:F28"/>
    <mergeCell ref="L10:N10"/>
    <mergeCell ref="L12:N12"/>
    <mergeCell ref="L14:N14"/>
    <mergeCell ref="L16:N16"/>
    <mergeCell ref="L18:N18"/>
    <mergeCell ref="D8:F8"/>
    <mergeCell ref="D10:F10"/>
    <mergeCell ref="D18:F18"/>
    <mergeCell ref="D20:F20"/>
    <mergeCell ref="D24:F24"/>
    <mergeCell ref="B37:I38"/>
    <mergeCell ref="D30:F30"/>
    <mergeCell ref="D32:F32"/>
    <mergeCell ref="D34:F34"/>
    <mergeCell ref="D12:F12"/>
  </mergeCells>
  <pageMargins left="0.67" right="0.39374999999999999" top="0.19652777777777777" bottom="0.19652777777777777" header="0.51180555555555551" footer="0.19652777777777777"/>
  <pageSetup paperSize="9" scale="97" firstPageNumber="0" orientation="portrait" horizontalDpi="300" verticalDpi="300" r:id="rId1"/>
  <headerFooter alignWithMargins="0">
    <oddFooter>&amp;R&amp;9&amp;Z&amp;F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3"/>
  <sheetViews>
    <sheetView showGridLines="0" zoomScaleNormal="100" workbookViewId="0">
      <selection activeCell="B7" sqref="B7"/>
    </sheetView>
  </sheetViews>
  <sheetFormatPr defaultRowHeight="14.25"/>
  <cols>
    <col min="1" max="1" width="1.7109375" style="23" customWidth="1"/>
    <col min="2" max="2" width="14.7109375" style="23" customWidth="1"/>
    <col min="3" max="3" width="1.7109375" style="23" customWidth="1"/>
    <col min="4" max="4" width="25.7109375" style="23" customWidth="1"/>
    <col min="5" max="5" width="1.7109375" style="23" customWidth="1"/>
    <col min="6" max="6" width="10" style="23" customWidth="1"/>
    <col min="7" max="7" width="1.7109375" style="23" customWidth="1"/>
    <col min="8" max="8" width="18.7109375" style="23" customWidth="1"/>
    <col min="9" max="9" width="1.7109375" style="23" customWidth="1"/>
    <col min="10" max="10" width="12.7109375" style="23" customWidth="1"/>
    <col min="11" max="11" width="1.7109375" style="23" customWidth="1"/>
    <col min="12" max="16384" width="9.140625" style="23"/>
  </cols>
  <sheetData>
    <row r="2" spans="2:10" s="25" customFormat="1" ht="27.75">
      <c r="B2" s="99" t="s">
        <v>18</v>
      </c>
    </row>
    <row r="3" spans="2:10" s="25" customFormat="1" ht="18">
      <c r="B3" s="26" t="s">
        <v>19</v>
      </c>
    </row>
    <row r="4" spans="2:10" s="25" customFormat="1" ht="18">
      <c r="B4" s="26"/>
    </row>
    <row r="5" spans="2:10" s="25" customFormat="1" ht="18.75" thickBot="1">
      <c r="B5" s="26"/>
    </row>
    <row r="6" spans="2:10" s="25" customFormat="1" ht="15.75">
      <c r="B6" s="100" t="s">
        <v>1110</v>
      </c>
      <c r="C6" s="37"/>
      <c r="D6" s="37"/>
      <c r="E6" s="37"/>
      <c r="F6" s="37"/>
      <c r="G6" s="37"/>
      <c r="H6" s="37"/>
      <c r="I6" s="37"/>
      <c r="J6" s="37"/>
    </row>
    <row r="7" spans="2:10" s="25" customFormat="1" ht="16.5" thickBot="1">
      <c r="B7" s="101" t="s">
        <v>1209</v>
      </c>
      <c r="C7" s="38"/>
      <c r="D7" s="38"/>
      <c r="E7" s="38"/>
      <c r="F7" s="38"/>
      <c r="G7" s="38"/>
      <c r="H7" s="38"/>
      <c r="I7" s="38"/>
      <c r="J7" s="38"/>
    </row>
    <row r="8" spans="2:10" s="25" customFormat="1" ht="15">
      <c r="B8" s="29"/>
    </row>
    <row r="9" spans="2:10" s="25" customFormat="1" ht="15">
      <c r="B9" s="29"/>
    </row>
    <row r="10" spans="2:10" s="25" customFormat="1" ht="15">
      <c r="B10" s="29"/>
    </row>
    <row r="11" spans="2:10" ht="15">
      <c r="B11" s="29"/>
      <c r="C11" s="30"/>
      <c r="D11" s="925" t="s">
        <v>1</v>
      </c>
      <c r="E11" s="925"/>
      <c r="F11" s="925"/>
      <c r="G11" s="31"/>
      <c r="H11" s="44" t="s">
        <v>2</v>
      </c>
      <c r="I11" s="25"/>
      <c r="J11" s="25"/>
    </row>
    <row r="12" spans="2:10" ht="15">
      <c r="B12" s="29"/>
      <c r="D12" s="32"/>
      <c r="E12" s="32"/>
      <c r="F12" s="32"/>
      <c r="G12" s="33"/>
      <c r="H12" s="25"/>
      <c r="I12" s="25"/>
      <c r="J12" s="25"/>
    </row>
    <row r="13" spans="2:10">
      <c r="D13" s="920" t="s">
        <v>3</v>
      </c>
      <c r="E13" s="920"/>
      <c r="F13" s="920"/>
      <c r="G13" s="33"/>
      <c r="H13" s="42">
        <v>0</v>
      </c>
      <c r="I13" s="25"/>
      <c r="J13" s="25"/>
    </row>
    <row r="14" spans="2:10">
      <c r="D14" s="32"/>
      <c r="E14" s="32"/>
      <c r="F14" s="32"/>
      <c r="G14" s="33"/>
      <c r="H14" s="42"/>
      <c r="I14" s="25"/>
      <c r="J14" s="25"/>
    </row>
    <row r="15" spans="2:10">
      <c r="D15" s="920" t="s">
        <v>4</v>
      </c>
      <c r="E15" s="920"/>
      <c r="F15" s="920"/>
      <c r="G15" s="33"/>
      <c r="H15" s="42">
        <v>0</v>
      </c>
      <c r="I15" s="25"/>
      <c r="J15" s="25"/>
    </row>
    <row r="16" spans="2:10">
      <c r="D16" s="32"/>
      <c r="E16" s="32"/>
      <c r="F16" s="32"/>
      <c r="G16" s="33"/>
      <c r="H16" s="42"/>
      <c r="I16" s="25"/>
      <c r="J16" s="25"/>
    </row>
    <row r="17" spans="4:10">
      <c r="D17" s="920" t="s">
        <v>5</v>
      </c>
      <c r="E17" s="920"/>
      <c r="F17" s="920"/>
      <c r="G17" s="33"/>
      <c r="H17" s="42">
        <v>0</v>
      </c>
      <c r="I17" s="25"/>
      <c r="J17" s="25"/>
    </row>
    <row r="18" spans="4:10">
      <c r="D18" s="32"/>
      <c r="E18" s="32"/>
      <c r="F18" s="32"/>
      <c r="G18" s="33"/>
      <c r="H18" s="42"/>
      <c r="I18" s="25"/>
      <c r="J18" s="25"/>
    </row>
    <row r="19" spans="4:10">
      <c r="D19" s="920" t="s">
        <v>848</v>
      </c>
      <c r="E19" s="920"/>
      <c r="F19" s="920"/>
      <c r="G19" s="33"/>
      <c r="H19" s="42">
        <v>0</v>
      </c>
      <c r="I19" s="25"/>
      <c r="J19" s="25"/>
    </row>
    <row r="20" spans="4:10">
      <c r="D20" s="32"/>
      <c r="E20" s="32"/>
      <c r="F20" s="32"/>
      <c r="G20" s="33"/>
      <c r="H20" s="42"/>
      <c r="I20" s="25"/>
      <c r="J20" s="25"/>
    </row>
    <row r="21" spans="4:10">
      <c r="D21" s="920" t="s">
        <v>849</v>
      </c>
      <c r="E21" s="920"/>
      <c r="F21" s="920"/>
      <c r="G21" s="33"/>
      <c r="H21" s="42">
        <v>0</v>
      </c>
      <c r="I21" s="25"/>
      <c r="J21" s="25"/>
    </row>
    <row r="22" spans="4:10">
      <c r="D22" s="32"/>
      <c r="E22" s="32"/>
      <c r="F22" s="32"/>
      <c r="G22" s="33"/>
      <c r="H22" s="42"/>
      <c r="I22" s="25"/>
      <c r="J22" s="25"/>
    </row>
    <row r="23" spans="4:10">
      <c r="D23" s="920" t="s">
        <v>852</v>
      </c>
      <c r="E23" s="920"/>
      <c r="F23" s="920"/>
      <c r="G23" s="33"/>
      <c r="H23" s="42">
        <v>0</v>
      </c>
      <c r="I23" s="25"/>
      <c r="J23" s="25"/>
    </row>
    <row r="24" spans="4:10">
      <c r="D24" s="32"/>
      <c r="E24" s="32"/>
      <c r="F24" s="32"/>
      <c r="G24" s="33"/>
      <c r="H24" s="42"/>
      <c r="I24" s="25"/>
      <c r="J24" s="25"/>
    </row>
    <row r="25" spans="4:10">
      <c r="D25" s="920" t="s">
        <v>1041</v>
      </c>
      <c r="E25" s="920"/>
      <c r="F25" s="920"/>
      <c r="G25" s="33"/>
      <c r="H25" s="42">
        <v>0</v>
      </c>
      <c r="I25" s="25"/>
      <c r="J25" s="25"/>
    </row>
    <row r="26" spans="4:10">
      <c r="D26" s="32"/>
      <c r="E26" s="32"/>
      <c r="F26" s="32"/>
      <c r="G26" s="33"/>
      <c r="H26" s="42"/>
      <c r="I26" s="25"/>
      <c r="J26" s="25"/>
    </row>
    <row r="27" spans="4:10">
      <c r="D27" s="920" t="s">
        <v>1042</v>
      </c>
      <c r="E27" s="920"/>
      <c r="F27" s="920"/>
      <c r="G27" s="33"/>
      <c r="H27" s="42">
        <v>0</v>
      </c>
      <c r="I27" s="25"/>
      <c r="J27" s="25"/>
    </row>
    <row r="28" spans="4:10">
      <c r="D28" s="32"/>
      <c r="E28" s="32"/>
      <c r="F28" s="32"/>
      <c r="G28" s="33"/>
      <c r="H28" s="42"/>
      <c r="I28" s="25"/>
      <c r="J28" s="25"/>
    </row>
    <row r="29" spans="4:10">
      <c r="D29" s="920" t="s">
        <v>1043</v>
      </c>
      <c r="E29" s="920"/>
      <c r="F29" s="920"/>
      <c r="G29" s="33"/>
      <c r="H29" s="42">
        <v>0</v>
      </c>
      <c r="I29" s="25"/>
      <c r="J29" s="25"/>
    </row>
    <row r="30" spans="4:10">
      <c r="D30" s="32"/>
      <c r="E30" s="32"/>
      <c r="F30" s="32"/>
      <c r="G30" s="33"/>
      <c r="H30" s="42"/>
      <c r="I30" s="25"/>
      <c r="J30" s="25"/>
    </row>
    <row r="31" spans="4:10">
      <c r="D31" s="920" t="s">
        <v>1109</v>
      </c>
      <c r="E31" s="920"/>
      <c r="F31" s="920"/>
      <c r="G31" s="33"/>
      <c r="H31" s="42">
        <v>0</v>
      </c>
      <c r="I31" s="25"/>
      <c r="J31" s="25"/>
    </row>
    <row r="32" spans="4:10">
      <c r="D32" s="32"/>
      <c r="E32" s="32"/>
      <c r="F32" s="32"/>
      <c r="G32" s="33"/>
      <c r="H32" s="42"/>
      <c r="I32" s="25"/>
      <c r="J32" s="25"/>
    </row>
    <row r="33" spans="2:10">
      <c r="D33" s="920" t="s">
        <v>1108</v>
      </c>
      <c r="E33" s="920"/>
      <c r="F33" s="920"/>
      <c r="G33" s="33"/>
      <c r="H33" s="42">
        <v>0</v>
      </c>
      <c r="I33" s="25"/>
      <c r="J33" s="25"/>
    </row>
    <row r="34" spans="2:10">
      <c r="D34" s="32"/>
      <c r="E34" s="32"/>
      <c r="F34" s="32"/>
      <c r="G34" s="33"/>
      <c r="H34" s="42"/>
      <c r="I34" s="25"/>
      <c r="J34" s="25"/>
    </row>
    <row r="35" spans="2:10">
      <c r="D35" s="920" t="s">
        <v>1107</v>
      </c>
      <c r="E35" s="920"/>
      <c r="F35" s="920"/>
      <c r="G35" s="33"/>
      <c r="H35" s="42">
        <v>0</v>
      </c>
      <c r="I35" s="25"/>
      <c r="J35" s="25"/>
    </row>
    <row r="36" spans="2:10">
      <c r="D36" s="33"/>
      <c r="E36" s="33"/>
      <c r="F36" s="33"/>
      <c r="G36" s="33"/>
      <c r="H36" s="49"/>
      <c r="I36" s="25"/>
      <c r="J36" s="25"/>
    </row>
    <row r="37" spans="2:10">
      <c r="D37" s="921" t="s">
        <v>1044</v>
      </c>
      <c r="E37" s="921"/>
      <c r="F37" s="921"/>
      <c r="G37" s="34"/>
      <c r="H37" s="43">
        <f>SUM(H13:H35)</f>
        <v>0</v>
      </c>
      <c r="I37" s="25"/>
      <c r="J37" s="25"/>
    </row>
    <row r="38" spans="2:10">
      <c r="H38" s="35"/>
      <c r="I38" s="25"/>
      <c r="J38" s="25"/>
    </row>
    <row r="39" spans="2:10">
      <c r="H39" s="35"/>
      <c r="I39" s="25"/>
      <c r="J39" s="25"/>
    </row>
    <row r="40" spans="2:10">
      <c r="B40" s="922"/>
      <c r="C40" s="922"/>
      <c r="D40" s="922"/>
      <c r="E40" s="922"/>
      <c r="F40" s="922"/>
      <c r="G40" s="922"/>
      <c r="H40" s="922"/>
      <c r="I40" s="922"/>
      <c r="J40" s="922"/>
    </row>
    <row r="41" spans="2:10">
      <c r="B41" s="922"/>
      <c r="C41" s="922"/>
      <c r="D41" s="922"/>
      <c r="E41" s="922"/>
      <c r="F41" s="922"/>
      <c r="G41" s="922"/>
      <c r="H41" s="922"/>
      <c r="I41" s="922"/>
      <c r="J41" s="922"/>
    </row>
    <row r="43" spans="2:10">
      <c r="B43" s="23" t="s">
        <v>6</v>
      </c>
      <c r="D43" s="923">
        <f ca="1">TODAY()</f>
        <v>42606</v>
      </c>
      <c r="E43" s="923"/>
      <c r="F43" s="923"/>
      <c r="G43" s="923"/>
    </row>
  </sheetData>
  <sheetProtection selectLockedCells="1" selectUnlockedCells="1"/>
  <mergeCells count="16">
    <mergeCell ref="D15:F15"/>
    <mergeCell ref="D17:F17"/>
    <mergeCell ref="D19:F19"/>
    <mergeCell ref="D29:F29"/>
    <mergeCell ref="D25:F25"/>
    <mergeCell ref="D27:F27"/>
    <mergeCell ref="D31:F31"/>
    <mergeCell ref="D11:F11"/>
    <mergeCell ref="D13:F13"/>
    <mergeCell ref="D21:F21"/>
    <mergeCell ref="D23:F23"/>
    <mergeCell ref="D43:G43"/>
    <mergeCell ref="B40:J41"/>
    <mergeCell ref="D33:F33"/>
    <mergeCell ref="D35:F35"/>
    <mergeCell ref="D37:F37"/>
  </mergeCells>
  <pageMargins left="0.39374999999999999" right="0.39374999999999999" top="0.19652777777777777" bottom="0.19652777777777777" header="0.51180555555555551" footer="0.19652777777777777"/>
  <pageSetup paperSize="9" scale="90" firstPageNumber="0" orientation="portrait" horizontalDpi="300" verticalDpi="300" r:id="rId1"/>
  <headerFooter alignWithMargins="0">
    <oddFooter>&amp;R&amp;9&amp;Z&amp;F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93"/>
  <sheetViews>
    <sheetView workbookViewId="0">
      <selection activeCell="B92" sqref="B92"/>
    </sheetView>
  </sheetViews>
  <sheetFormatPr defaultRowHeight="15"/>
  <cols>
    <col min="1" max="1" width="1.7109375" style="225" customWidth="1"/>
    <col min="2" max="2" width="27.140625" style="225" customWidth="1"/>
    <col min="3" max="3" width="19.140625" style="225" customWidth="1"/>
    <col min="4" max="4" width="14.7109375" style="225" customWidth="1"/>
    <col min="5" max="5" width="19.42578125" style="225" customWidth="1"/>
    <col min="6" max="6" width="27.85546875" style="225" customWidth="1"/>
    <col min="7" max="7" width="12.42578125" style="225" customWidth="1"/>
    <col min="8" max="8" width="21.42578125" style="225" customWidth="1"/>
    <col min="9" max="9" width="25.140625" style="225" customWidth="1"/>
    <col min="10" max="16384" width="9.140625" style="225"/>
  </cols>
  <sheetData>
    <row r="1" spans="1:9" ht="24" customHeight="1">
      <c r="A1" s="439"/>
      <c r="C1" s="465" t="s">
        <v>6795</v>
      </c>
    </row>
    <row r="2" spans="1:9" s="227" customFormat="1" ht="27.75">
      <c r="B2" s="425"/>
      <c r="C2" s="466" t="s">
        <v>6796</v>
      </c>
    </row>
    <row r="3" spans="1:9" s="227" customFormat="1">
      <c r="B3" s="229"/>
    </row>
    <row r="4" spans="1:9" ht="15.75">
      <c r="A4" s="227"/>
      <c r="B4" s="941" t="s">
        <v>1080</v>
      </c>
      <c r="C4" s="942"/>
      <c r="D4" s="942"/>
      <c r="E4" s="942"/>
      <c r="F4" s="942"/>
      <c r="G4" s="942"/>
      <c r="H4" s="942"/>
      <c r="I4" s="943"/>
    </row>
    <row r="5" spans="1:9" ht="18.75">
      <c r="A5" s="227"/>
      <c r="B5" s="465"/>
      <c r="C5" s="433"/>
      <c r="D5" s="433"/>
      <c r="E5" s="433"/>
      <c r="F5" s="433"/>
      <c r="G5" s="433"/>
      <c r="H5" s="433"/>
      <c r="I5" s="433"/>
    </row>
    <row r="6" spans="1:9">
      <c r="B6" s="483" t="s">
        <v>1081</v>
      </c>
      <c r="C6" s="483" t="s">
        <v>1082</v>
      </c>
      <c r="D6" s="483" t="s">
        <v>1083</v>
      </c>
      <c r="E6" s="483" t="s">
        <v>1084</v>
      </c>
      <c r="F6" s="483" t="s">
        <v>1085</v>
      </c>
      <c r="G6" s="483" t="s">
        <v>1086</v>
      </c>
      <c r="H6" s="483" t="s">
        <v>1087</v>
      </c>
      <c r="I6" s="483" t="s">
        <v>1088</v>
      </c>
    </row>
    <row r="7" spans="1:9">
      <c r="B7" s="419"/>
      <c r="C7" s="419"/>
      <c r="D7" s="419"/>
      <c r="E7" s="419"/>
      <c r="F7" s="419"/>
      <c r="G7" s="419"/>
      <c r="H7" s="419"/>
      <c r="I7" s="419"/>
    </row>
    <row r="8" spans="1:9">
      <c r="B8" s="468">
        <v>10000</v>
      </c>
      <c r="C8" s="470">
        <v>114</v>
      </c>
      <c r="D8" s="468">
        <f>B8*C8</f>
        <v>1140000</v>
      </c>
      <c r="E8" s="471">
        <v>26</v>
      </c>
      <c r="F8" s="472">
        <f>D8*E8</f>
        <v>29640000</v>
      </c>
      <c r="G8" s="473" t="s">
        <v>1089</v>
      </c>
      <c r="H8" s="474">
        <v>4980</v>
      </c>
      <c r="I8" s="474">
        <f>B8*H8</f>
        <v>49800000</v>
      </c>
    </row>
    <row r="9" spans="1:9">
      <c r="B9" s="475"/>
      <c r="C9" s="475"/>
      <c r="D9" s="475"/>
      <c r="E9" s="475"/>
      <c r="F9" s="475"/>
      <c r="G9" s="475"/>
      <c r="H9" s="475"/>
      <c r="I9" s="475"/>
    </row>
    <row r="10" spans="1:9" ht="15.75">
      <c r="A10" s="227"/>
      <c r="B10" s="944" t="s">
        <v>846</v>
      </c>
      <c r="C10" s="945"/>
      <c r="D10" s="945"/>
      <c r="E10" s="945"/>
      <c r="F10" s="945"/>
      <c r="G10" s="945"/>
      <c r="H10" s="945"/>
      <c r="I10" s="946"/>
    </row>
    <row r="11" spans="1:9" ht="18.75">
      <c r="A11" s="227"/>
      <c r="B11" s="465"/>
      <c r="C11" s="433"/>
      <c r="D11" s="433"/>
      <c r="E11" s="433"/>
      <c r="F11" s="433"/>
      <c r="G11" s="433"/>
      <c r="H11" s="433"/>
      <c r="I11" s="433"/>
    </row>
    <row r="12" spans="1:9">
      <c r="B12" s="483" t="s">
        <v>1081</v>
      </c>
      <c r="C12" s="483" t="s">
        <v>1090</v>
      </c>
      <c r="D12" s="483" t="s">
        <v>1091</v>
      </c>
      <c r="E12" s="483" t="s">
        <v>1092</v>
      </c>
      <c r="F12" s="483" t="s">
        <v>1093</v>
      </c>
      <c r="G12" s="483" t="s">
        <v>1086</v>
      </c>
      <c r="H12" s="483" t="s">
        <v>1087</v>
      </c>
      <c r="I12" s="483" t="s">
        <v>1088</v>
      </c>
    </row>
    <row r="13" spans="1:9">
      <c r="B13" s="419"/>
      <c r="C13" s="419"/>
      <c r="D13" s="419"/>
      <c r="E13" s="419"/>
      <c r="F13" s="419"/>
      <c r="G13" s="419"/>
      <c r="H13" s="419"/>
      <c r="I13" s="419"/>
    </row>
    <row r="14" spans="1:9">
      <c r="B14" s="468">
        <v>10000</v>
      </c>
      <c r="C14" s="470">
        <v>2200</v>
      </c>
      <c r="D14" s="468">
        <f>B14*C14</f>
        <v>22000000</v>
      </c>
      <c r="E14" s="474">
        <v>240</v>
      </c>
      <c r="F14" s="474">
        <f>(D14*E14)/1000</f>
        <v>5280000</v>
      </c>
      <c r="G14" s="473" t="s">
        <v>1089</v>
      </c>
      <c r="H14" s="474"/>
      <c r="I14" s="474"/>
    </row>
    <row r="15" spans="1:9">
      <c r="B15" s="475"/>
      <c r="C15" s="475"/>
      <c r="D15" s="475"/>
      <c r="E15" s="475"/>
      <c r="F15" s="475"/>
      <c r="G15" s="475"/>
      <c r="H15" s="475"/>
      <c r="I15" s="475"/>
    </row>
    <row r="16" spans="1:9" ht="15.75">
      <c r="A16" s="227"/>
      <c r="B16" s="944" t="s">
        <v>8</v>
      </c>
      <c r="C16" s="945"/>
      <c r="D16" s="945"/>
      <c r="E16" s="945"/>
      <c r="F16" s="945"/>
      <c r="G16" s="945"/>
      <c r="H16" s="945"/>
      <c r="I16" s="946"/>
    </row>
    <row r="17" spans="1:9" ht="18.75">
      <c r="A17" s="227"/>
      <c r="B17" s="465"/>
      <c r="C17" s="433"/>
      <c r="D17" s="433"/>
      <c r="E17" s="433"/>
      <c r="F17" s="433"/>
      <c r="G17" s="433"/>
      <c r="H17" s="433"/>
      <c r="I17" s="433"/>
    </row>
    <row r="18" spans="1:9">
      <c r="B18" s="483" t="s">
        <v>1081</v>
      </c>
      <c r="C18" s="483" t="s">
        <v>1094</v>
      </c>
      <c r="D18" s="483" t="s">
        <v>1095</v>
      </c>
      <c r="E18" s="483" t="s">
        <v>1084</v>
      </c>
      <c r="F18" s="483" t="s">
        <v>1085</v>
      </c>
      <c r="G18" s="483" t="s">
        <v>1086</v>
      </c>
      <c r="H18" s="483" t="s">
        <v>1087</v>
      </c>
      <c r="I18" s="483" t="s">
        <v>1088</v>
      </c>
    </row>
    <row r="19" spans="1:9">
      <c r="B19" s="419"/>
      <c r="C19" s="419"/>
      <c r="D19" s="419"/>
      <c r="E19" s="419"/>
      <c r="F19" s="419"/>
      <c r="G19" s="419"/>
      <c r="H19" s="419"/>
      <c r="I19" s="419"/>
    </row>
    <row r="20" spans="1:9">
      <c r="B20" s="468">
        <v>30000</v>
      </c>
      <c r="C20" s="470">
        <v>58.53</v>
      </c>
      <c r="D20" s="468">
        <f>B20*C20</f>
        <v>1755900</v>
      </c>
      <c r="E20" s="471">
        <v>23</v>
      </c>
      <c r="F20" s="472">
        <f>D20*E20</f>
        <v>40385700</v>
      </c>
      <c r="G20" s="473" t="s">
        <v>1089</v>
      </c>
      <c r="H20" s="474">
        <v>1524</v>
      </c>
      <c r="I20" s="474">
        <f>B20*H20</f>
        <v>45720000</v>
      </c>
    </row>
    <row r="21" spans="1:9">
      <c r="B21" s="475"/>
      <c r="C21" s="475"/>
      <c r="D21" s="475"/>
      <c r="E21" s="475"/>
      <c r="F21" s="475"/>
      <c r="G21" s="475"/>
      <c r="H21" s="475"/>
      <c r="I21" s="475"/>
    </row>
    <row r="22" spans="1:9" ht="15.75">
      <c r="A22" s="227"/>
      <c r="B22" s="944" t="s">
        <v>9</v>
      </c>
      <c r="C22" s="945"/>
      <c r="D22" s="945"/>
      <c r="E22" s="945"/>
      <c r="F22" s="945"/>
      <c r="G22" s="945"/>
      <c r="H22" s="945"/>
      <c r="I22" s="946"/>
    </row>
    <row r="23" spans="1:9" ht="18.75">
      <c r="A23" s="227"/>
      <c r="B23" s="465"/>
      <c r="C23" s="433"/>
      <c r="D23" s="433"/>
      <c r="E23" s="433"/>
      <c r="F23" s="433"/>
      <c r="G23" s="433"/>
      <c r="H23" s="433"/>
      <c r="I23" s="433"/>
    </row>
    <row r="24" spans="1:9">
      <c r="B24" s="483" t="s">
        <v>1081</v>
      </c>
      <c r="C24" s="483" t="s">
        <v>1094</v>
      </c>
      <c r="D24" s="483" t="s">
        <v>1095</v>
      </c>
      <c r="E24" s="483" t="s">
        <v>1092</v>
      </c>
      <c r="F24" s="483" t="s">
        <v>1093</v>
      </c>
      <c r="G24" s="483" t="s">
        <v>1086</v>
      </c>
      <c r="H24" s="483" t="s">
        <v>1087</v>
      </c>
      <c r="I24" s="483" t="s">
        <v>1088</v>
      </c>
    </row>
    <row r="25" spans="1:9">
      <c r="B25" s="419"/>
      <c r="C25" s="419"/>
      <c r="D25" s="419"/>
      <c r="E25" s="419"/>
      <c r="F25" s="419"/>
      <c r="G25" s="419"/>
      <c r="H25" s="419"/>
      <c r="I25" s="419"/>
    </row>
    <row r="26" spans="1:9">
      <c r="B26" s="468">
        <v>14000</v>
      </c>
      <c r="C26" s="470">
        <v>131</v>
      </c>
      <c r="D26" s="468">
        <f>B26*C26</f>
        <v>1834000</v>
      </c>
      <c r="E26" s="476">
        <v>18.77</v>
      </c>
      <c r="F26" s="474">
        <f>(D26*E26)</f>
        <v>34424180</v>
      </c>
      <c r="G26" s="473" t="s">
        <v>1096</v>
      </c>
      <c r="H26" s="474">
        <v>1000</v>
      </c>
      <c r="I26" s="474">
        <f>B26*H26</f>
        <v>14000000</v>
      </c>
    </row>
    <row r="27" spans="1:9">
      <c r="B27" s="475"/>
      <c r="C27" s="475"/>
      <c r="D27" s="475"/>
      <c r="E27" s="475"/>
      <c r="F27" s="475"/>
      <c r="G27" s="475"/>
      <c r="H27" s="475"/>
      <c r="I27" s="475"/>
    </row>
    <row r="28" spans="1:9" ht="15.75">
      <c r="A28" s="227"/>
      <c r="B28" s="944" t="s">
        <v>1097</v>
      </c>
      <c r="C28" s="945"/>
      <c r="D28" s="945"/>
      <c r="E28" s="945"/>
      <c r="F28" s="945"/>
      <c r="G28" s="945"/>
      <c r="H28" s="945"/>
      <c r="I28" s="946"/>
    </row>
    <row r="29" spans="1:9" ht="18.75">
      <c r="A29" s="227"/>
      <c r="B29" s="465"/>
      <c r="C29" s="433"/>
      <c r="D29" s="433"/>
      <c r="E29" s="433"/>
      <c r="F29" s="433"/>
      <c r="G29" s="433"/>
      <c r="H29" s="433"/>
      <c r="I29" s="433"/>
    </row>
    <row r="30" spans="1:9">
      <c r="B30" s="484" t="s">
        <v>1098</v>
      </c>
      <c r="C30" s="485"/>
      <c r="D30" s="483" t="s">
        <v>1099</v>
      </c>
      <c r="E30" s="483" t="s">
        <v>1092</v>
      </c>
      <c r="F30" s="483" t="s">
        <v>1093</v>
      </c>
      <c r="G30" s="483" t="s">
        <v>1086</v>
      </c>
      <c r="H30" s="483" t="s">
        <v>1100</v>
      </c>
      <c r="I30" s="483" t="s">
        <v>1101</v>
      </c>
    </row>
    <row r="31" spans="1:9">
      <c r="B31" s="419"/>
      <c r="C31" s="419"/>
      <c r="D31" s="419"/>
      <c r="E31" s="419"/>
      <c r="F31" s="419"/>
      <c r="G31" s="419"/>
      <c r="H31" s="419"/>
      <c r="I31" s="419"/>
    </row>
    <row r="32" spans="1:9">
      <c r="B32" s="482" t="s">
        <v>1102</v>
      </c>
      <c r="C32" s="470"/>
      <c r="D32" s="468"/>
      <c r="E32" s="474"/>
      <c r="F32" s="474">
        <v>6500000</v>
      </c>
      <c r="G32" s="473"/>
      <c r="H32" s="474"/>
      <c r="I32" s="474">
        <v>6500000</v>
      </c>
    </row>
    <row r="33" spans="1:9">
      <c r="B33" s="470"/>
      <c r="C33" s="470"/>
      <c r="D33" s="468"/>
      <c r="E33" s="474"/>
      <c r="F33" s="474"/>
      <c r="G33" s="473"/>
      <c r="H33" s="474"/>
      <c r="I33" s="474"/>
    </row>
    <row r="34" spans="1:9">
      <c r="A34" s="227"/>
      <c r="B34" s="477" t="s">
        <v>1103</v>
      </c>
      <c r="C34" s="478">
        <v>1.85</v>
      </c>
      <c r="D34" s="469"/>
      <c r="E34" s="479" t="s">
        <v>1104</v>
      </c>
      <c r="F34" s="480">
        <f>((F8+F20)*C34)+F32+F14+F26</f>
        <v>175751725</v>
      </c>
      <c r="G34" s="479"/>
      <c r="H34" s="479"/>
      <c r="I34" s="480">
        <f>I32+I26+I20+I8+I14</f>
        <v>116020000</v>
      </c>
    </row>
    <row r="35" spans="1:9">
      <c r="A35" s="227"/>
      <c r="B35" s="469"/>
      <c r="C35" s="419"/>
      <c r="D35" s="419"/>
      <c r="E35" s="469"/>
      <c r="F35" s="469"/>
      <c r="G35" s="469"/>
      <c r="H35" s="469"/>
      <c r="I35" s="469"/>
    </row>
    <row r="36" spans="1:9">
      <c r="B36" s="470"/>
      <c r="C36" s="470"/>
      <c r="D36" s="468"/>
      <c r="E36" s="479" t="s">
        <v>1105</v>
      </c>
      <c r="F36" s="480">
        <f>F34-I34</f>
        <v>59731725</v>
      </c>
      <c r="G36" s="481">
        <f>F36/F34</f>
        <v>0.33986423177354302</v>
      </c>
      <c r="H36" s="469"/>
      <c r="I36" s="469"/>
    </row>
    <row r="37" spans="1:9">
      <c r="E37" s="401"/>
      <c r="F37" s="401"/>
      <c r="G37" s="401"/>
      <c r="H37" s="401"/>
      <c r="I37" s="401"/>
    </row>
    <row r="41" spans="1:9">
      <c r="D41" s="442"/>
      <c r="E41" s="442"/>
      <c r="F41" s="442"/>
    </row>
    <row r="53" ht="5.25" customHeight="1"/>
    <row r="54" hidden="1"/>
    <row r="55" hidden="1"/>
    <row r="56" hidden="1"/>
    <row r="57" hidden="1"/>
    <row r="68" spans="5:5">
      <c r="E68" s="399"/>
    </row>
    <row r="79" spans="5:5" hidden="1"/>
    <row r="80" spans="5:5" hidden="1"/>
    <row r="81" spans="2:12" hidden="1"/>
    <row r="87" spans="2:12">
      <c r="B87" s="225" t="s">
        <v>98</v>
      </c>
      <c r="C87" s="225" t="s">
        <v>6987</v>
      </c>
      <c r="D87" s="399">
        <v>42425</v>
      </c>
      <c r="E87" s="399">
        <v>42663</v>
      </c>
      <c r="F87" s="225" t="s">
        <v>22</v>
      </c>
      <c r="H87" s="225">
        <v>0</v>
      </c>
      <c r="I87" s="225">
        <v>18352</v>
      </c>
      <c r="J87" s="225">
        <v>0</v>
      </c>
      <c r="K87" s="225">
        <v>0</v>
      </c>
      <c r="L87" s="225">
        <v>0</v>
      </c>
    </row>
    <row r="90" spans="2:12" ht="6" customHeight="1"/>
    <row r="92" spans="2:12" ht="16.5" customHeight="1">
      <c r="C92" s="399"/>
    </row>
    <row r="93" spans="2:12" ht="9" customHeight="1"/>
  </sheetData>
  <mergeCells count="5">
    <mergeCell ref="B4:I4"/>
    <mergeCell ref="B10:I10"/>
    <mergeCell ref="B16:I16"/>
    <mergeCell ref="B22:I22"/>
    <mergeCell ref="B28:I28"/>
  </mergeCells>
  <pageMargins left="0.25" right="0.25" top="0.75" bottom="0.75" header="0.3" footer="0.3"/>
  <pageSetup scale="6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93"/>
  <sheetViews>
    <sheetView showGridLines="0" zoomScaleNormal="100" workbookViewId="0">
      <selection activeCell="B92" sqref="B92"/>
    </sheetView>
  </sheetViews>
  <sheetFormatPr defaultRowHeight="15"/>
  <cols>
    <col min="1" max="1" width="1.7109375" style="225" customWidth="1"/>
    <col min="2" max="2" width="27.140625" style="225" customWidth="1"/>
    <col min="3" max="3" width="1.7109375" style="225" customWidth="1"/>
    <col min="4" max="4" width="19.140625" style="225" customWidth="1"/>
    <col min="5" max="5" width="1.7109375" style="225" customWidth="1"/>
    <col min="6" max="6" width="14.7109375" style="225" customWidth="1"/>
    <col min="7" max="7" width="1.7109375" style="225" customWidth="1"/>
    <col min="8" max="8" width="19.42578125" style="225" customWidth="1"/>
    <col min="9" max="9" width="1.7109375" style="225" customWidth="1"/>
    <col min="10" max="10" width="27.85546875" style="225" customWidth="1"/>
    <col min="11" max="11" width="1.7109375" style="225" customWidth="1"/>
    <col min="12" max="12" width="12.42578125" style="225" customWidth="1"/>
    <col min="13" max="13" width="1.7109375" style="225" customWidth="1"/>
    <col min="14" max="14" width="21.42578125" style="225" customWidth="1"/>
    <col min="15" max="15" width="1.7109375" style="225" customWidth="1"/>
    <col min="16" max="16" width="25.140625" style="225" customWidth="1"/>
    <col min="17" max="16384" width="9.140625" style="225"/>
  </cols>
  <sheetData>
    <row r="1" spans="1:16" ht="23.25" customHeight="1">
      <c r="A1" s="439"/>
      <c r="D1" s="381" t="s">
        <v>6797</v>
      </c>
    </row>
    <row r="2" spans="1:16" s="227" customFormat="1" ht="15.75" customHeight="1">
      <c r="B2" s="425"/>
      <c r="D2" s="403" t="s">
        <v>5641</v>
      </c>
    </row>
    <row r="3" spans="1:16" s="227" customFormat="1" ht="18.75">
      <c r="B3" s="381"/>
    </row>
    <row r="4" spans="1:16" ht="15.75">
      <c r="A4" s="227"/>
      <c r="B4" s="464" t="s">
        <v>1080</v>
      </c>
      <c r="C4" s="440"/>
      <c r="D4" s="440"/>
      <c r="E4" s="440"/>
      <c r="F4" s="440"/>
      <c r="G4" s="440"/>
      <c r="H4" s="440"/>
      <c r="I4" s="440"/>
      <c r="J4" s="440"/>
      <c r="K4" s="440"/>
      <c r="L4" s="440"/>
      <c r="M4" s="440"/>
      <c r="N4" s="440"/>
      <c r="O4" s="440"/>
      <c r="P4" s="440"/>
    </row>
    <row r="5" spans="1:16">
      <c r="A5" s="227"/>
      <c r="B5" s="451"/>
      <c r="C5" s="459"/>
      <c r="D5" s="459"/>
      <c r="E5" s="459"/>
      <c r="F5" s="459"/>
      <c r="G5" s="459"/>
      <c r="H5" s="459"/>
      <c r="I5" s="459"/>
      <c r="J5" s="459"/>
      <c r="K5" s="459"/>
      <c r="L5" s="459"/>
      <c r="M5" s="459"/>
      <c r="N5" s="459"/>
      <c r="O5" s="459"/>
      <c r="P5" s="459"/>
    </row>
    <row r="6" spans="1:16">
      <c r="B6" s="486" t="s">
        <v>1081</v>
      </c>
      <c r="C6" s="463"/>
      <c r="D6" s="486" t="s">
        <v>1082</v>
      </c>
      <c r="E6" s="463"/>
      <c r="F6" s="486" t="s">
        <v>1083</v>
      </c>
      <c r="G6" s="463"/>
      <c r="H6" s="486" t="s">
        <v>1084</v>
      </c>
      <c r="I6" s="463"/>
      <c r="J6" s="486" t="s">
        <v>1085</v>
      </c>
      <c r="K6" s="463"/>
      <c r="L6" s="486" t="s">
        <v>1086</v>
      </c>
      <c r="M6" s="463"/>
      <c r="N6" s="486" t="s">
        <v>1087</v>
      </c>
      <c r="O6" s="463"/>
      <c r="P6" s="486" t="s">
        <v>1088</v>
      </c>
    </row>
    <row r="7" spans="1:16">
      <c r="B7" s="402"/>
      <c r="C7" s="402"/>
      <c r="D7" s="402"/>
      <c r="E7" s="402"/>
      <c r="F7" s="402"/>
      <c r="G7" s="402"/>
      <c r="H7" s="402"/>
      <c r="I7" s="402"/>
      <c r="J7" s="402"/>
      <c r="K7" s="402"/>
      <c r="L7" s="402"/>
      <c r="M7" s="402"/>
      <c r="N7" s="402"/>
      <c r="O7" s="402"/>
      <c r="P7" s="402"/>
    </row>
    <row r="8" spans="1:16">
      <c r="B8" s="450">
        <v>8651.5</v>
      </c>
      <c r="C8" s="451"/>
      <c r="D8" s="452">
        <v>113</v>
      </c>
      <c r="E8" s="451"/>
      <c r="F8" s="450">
        <f>B8*D8</f>
        <v>977619.5</v>
      </c>
      <c r="G8" s="451"/>
      <c r="H8" s="453">
        <v>24.8</v>
      </c>
      <c r="I8" s="451"/>
      <c r="J8" s="454">
        <f>F8*H8</f>
        <v>24244963.600000001</v>
      </c>
      <c r="K8" s="451"/>
      <c r="L8" s="455" t="s">
        <v>1096</v>
      </c>
      <c r="M8" s="402"/>
      <c r="N8" s="456">
        <v>6000</v>
      </c>
      <c r="O8" s="402"/>
      <c r="P8" s="456">
        <f>B8*N8</f>
        <v>51909000</v>
      </c>
    </row>
    <row r="9" spans="1:16">
      <c r="B9" s="451"/>
      <c r="C9" s="451"/>
      <c r="D9" s="451"/>
      <c r="E9" s="451"/>
      <c r="F9" s="451"/>
      <c r="G9" s="451"/>
      <c r="H9" s="451"/>
      <c r="I9" s="451">
        <v>27</v>
      </c>
      <c r="J9" s="451"/>
      <c r="K9" s="451"/>
      <c r="L9" s="451"/>
      <c r="M9" s="402"/>
      <c r="N9" s="451"/>
      <c r="O9" s="402"/>
      <c r="P9" s="451"/>
    </row>
    <row r="10" spans="1:16" ht="15.75">
      <c r="A10" s="227"/>
      <c r="B10" s="444" t="s">
        <v>846</v>
      </c>
      <c r="C10" s="444"/>
      <c r="D10" s="444"/>
      <c r="E10" s="444"/>
      <c r="F10" s="444"/>
      <c r="G10" s="444"/>
      <c r="H10" s="444"/>
      <c r="I10" s="444"/>
      <c r="J10" s="444"/>
      <c r="K10" s="444"/>
      <c r="L10" s="444"/>
      <c r="M10" s="444"/>
      <c r="N10" s="444"/>
      <c r="O10" s="444"/>
      <c r="P10" s="444"/>
    </row>
    <row r="11" spans="1:16">
      <c r="A11" s="227"/>
      <c r="B11" s="451"/>
      <c r="C11" s="459"/>
      <c r="D11" s="459"/>
      <c r="E11" s="459"/>
      <c r="F11" s="459"/>
      <c r="G11" s="459"/>
      <c r="H11" s="459"/>
      <c r="I11" s="459"/>
      <c r="J11" s="459"/>
      <c r="K11" s="459"/>
      <c r="L11" s="459"/>
      <c r="M11" s="459"/>
      <c r="N11" s="459"/>
      <c r="O11" s="459"/>
      <c r="P11" s="459"/>
    </row>
    <row r="12" spans="1:16">
      <c r="B12" s="486" t="s">
        <v>1081</v>
      </c>
      <c r="C12" s="463"/>
      <c r="D12" s="486" t="s">
        <v>1090</v>
      </c>
      <c r="E12" s="463"/>
      <c r="F12" s="486" t="s">
        <v>1091</v>
      </c>
      <c r="G12" s="463"/>
      <c r="H12" s="486" t="s">
        <v>1092</v>
      </c>
      <c r="I12" s="463"/>
      <c r="J12" s="486" t="s">
        <v>1093</v>
      </c>
      <c r="K12" s="463"/>
      <c r="L12" s="486" t="s">
        <v>1086</v>
      </c>
      <c r="M12" s="463"/>
      <c r="N12" s="486" t="s">
        <v>1087</v>
      </c>
      <c r="O12" s="463"/>
      <c r="P12" s="486" t="s">
        <v>1088</v>
      </c>
    </row>
    <row r="13" spans="1:16">
      <c r="B13" s="402"/>
      <c r="C13" s="402"/>
      <c r="D13" s="402"/>
      <c r="E13" s="402"/>
      <c r="F13" s="402"/>
      <c r="G13" s="402"/>
      <c r="H13" s="402"/>
      <c r="I13" s="402"/>
      <c r="J13" s="402"/>
      <c r="K13" s="402"/>
      <c r="L13" s="402"/>
      <c r="M13" s="402"/>
      <c r="N13" s="402"/>
      <c r="O13" s="402"/>
      <c r="P13" s="402"/>
    </row>
    <row r="14" spans="1:16">
      <c r="B14" s="450">
        <v>8651.5</v>
      </c>
      <c r="C14" s="451"/>
      <c r="D14" s="452">
        <v>2106</v>
      </c>
      <c r="E14" s="451"/>
      <c r="F14" s="450">
        <f>B14*D14</f>
        <v>18220059</v>
      </c>
      <c r="G14" s="451"/>
      <c r="H14" s="456">
        <v>350</v>
      </c>
      <c r="I14" s="451"/>
      <c r="J14" s="456">
        <f>(F14*H14)/1000</f>
        <v>6377020.6500000004</v>
      </c>
      <c r="K14" s="451"/>
      <c r="L14" s="455" t="s">
        <v>1096</v>
      </c>
      <c r="M14" s="402"/>
      <c r="N14" s="456"/>
      <c r="O14" s="402"/>
      <c r="P14" s="456"/>
    </row>
    <row r="15" spans="1:16">
      <c r="B15" s="451"/>
      <c r="C15" s="451"/>
      <c r="D15" s="451"/>
      <c r="E15" s="451"/>
      <c r="F15" s="451"/>
      <c r="G15" s="451"/>
      <c r="H15" s="451"/>
      <c r="I15" s="451"/>
      <c r="J15" s="451"/>
      <c r="K15" s="451"/>
      <c r="L15" s="451"/>
      <c r="M15" s="402"/>
      <c r="N15" s="451"/>
      <c r="O15" s="402"/>
      <c r="P15" s="451"/>
    </row>
    <row r="16" spans="1:16" ht="15.75">
      <c r="A16" s="227"/>
      <c r="B16" s="444" t="s">
        <v>8</v>
      </c>
      <c r="C16" s="443"/>
      <c r="D16" s="443"/>
      <c r="E16" s="443"/>
      <c r="F16" s="443"/>
      <c r="G16" s="443"/>
      <c r="H16" s="443"/>
      <c r="I16" s="443"/>
      <c r="J16" s="443"/>
      <c r="K16" s="443"/>
      <c r="L16" s="443"/>
      <c r="M16" s="443"/>
      <c r="N16" s="443"/>
      <c r="O16" s="443"/>
      <c r="P16" s="443"/>
    </row>
    <row r="17" spans="1:16">
      <c r="A17" s="227"/>
      <c r="B17" s="451"/>
      <c r="C17" s="459"/>
      <c r="D17" s="459"/>
      <c r="E17" s="459"/>
      <c r="F17" s="459"/>
      <c r="G17" s="459"/>
      <c r="H17" s="449" t="s">
        <v>1084</v>
      </c>
      <c r="I17" s="459"/>
      <c r="J17" s="459"/>
      <c r="K17" s="459"/>
      <c r="L17" s="459"/>
      <c r="M17" s="459"/>
      <c r="N17" s="459"/>
      <c r="O17" s="459"/>
      <c r="P17" s="459"/>
    </row>
    <row r="18" spans="1:16">
      <c r="B18" s="486" t="s">
        <v>1081</v>
      </c>
      <c r="C18" s="463"/>
      <c r="D18" s="486" t="s">
        <v>1094</v>
      </c>
      <c r="E18" s="463"/>
      <c r="F18" s="486" t="s">
        <v>1095</v>
      </c>
      <c r="G18" s="463"/>
      <c r="H18" s="486"/>
      <c r="I18" s="463"/>
      <c r="J18" s="486" t="s">
        <v>1085</v>
      </c>
      <c r="K18" s="463"/>
      <c r="L18" s="486" t="s">
        <v>1086</v>
      </c>
      <c r="M18" s="463"/>
      <c r="N18" s="486" t="s">
        <v>1087</v>
      </c>
      <c r="O18" s="463"/>
      <c r="P18" s="486" t="s">
        <v>1088</v>
      </c>
    </row>
    <row r="19" spans="1:16">
      <c r="B19" s="402"/>
      <c r="C19" s="402"/>
      <c r="D19" s="402"/>
      <c r="E19" s="402"/>
      <c r="F19" s="402"/>
      <c r="G19" s="402"/>
      <c r="H19" s="402"/>
      <c r="I19" s="402"/>
      <c r="J19" s="402"/>
      <c r="K19" s="402"/>
      <c r="L19" s="402"/>
      <c r="M19" s="402"/>
      <c r="N19" s="402"/>
      <c r="O19" s="402"/>
      <c r="P19" s="402"/>
    </row>
    <row r="20" spans="1:16">
      <c r="B20" s="450">
        <v>37094.699999999997</v>
      </c>
      <c r="C20" s="451"/>
      <c r="D20" s="452">
        <v>48.57</v>
      </c>
      <c r="E20" s="451"/>
      <c r="F20" s="450">
        <f>B20*D20</f>
        <v>1801689.5789999999</v>
      </c>
      <c r="G20" s="451"/>
      <c r="H20" s="453">
        <v>23</v>
      </c>
      <c r="I20" s="451"/>
      <c r="J20" s="454">
        <f>F20*H20</f>
        <v>41438860.317000002</v>
      </c>
      <c r="K20" s="451"/>
      <c r="L20" s="455" t="s">
        <v>1089</v>
      </c>
      <c r="M20" s="402"/>
      <c r="N20" s="456">
        <v>2200</v>
      </c>
      <c r="O20" s="402"/>
      <c r="P20" s="456">
        <f>B20*N20</f>
        <v>81608340</v>
      </c>
    </row>
    <row r="21" spans="1:16">
      <c r="B21" s="451"/>
      <c r="C21" s="451"/>
      <c r="D21" s="451"/>
      <c r="E21" s="451"/>
      <c r="F21" s="451"/>
      <c r="G21" s="451"/>
      <c r="H21" s="451"/>
      <c r="I21" s="451"/>
      <c r="J21" s="451"/>
      <c r="K21" s="451"/>
      <c r="L21" s="451"/>
      <c r="M21" s="402"/>
      <c r="N21" s="451"/>
      <c r="O21" s="402"/>
      <c r="P21" s="451"/>
    </row>
    <row r="22" spans="1:16" ht="15.75">
      <c r="A22" s="227"/>
      <c r="B22" s="444" t="s">
        <v>9</v>
      </c>
      <c r="C22" s="443"/>
      <c r="D22" s="443"/>
      <c r="E22" s="443"/>
      <c r="F22" s="443"/>
      <c r="G22" s="443"/>
      <c r="H22" s="443"/>
      <c r="I22" s="443">
        <v>43</v>
      </c>
      <c r="J22" s="443"/>
      <c r="K22" s="443"/>
      <c r="L22" s="443"/>
      <c r="M22" s="443"/>
      <c r="N22" s="443"/>
      <c r="O22" s="443"/>
      <c r="P22" s="443"/>
    </row>
    <row r="23" spans="1:16">
      <c r="A23" s="227"/>
      <c r="B23" s="451"/>
      <c r="C23" s="459"/>
      <c r="D23" s="459"/>
      <c r="E23" s="459"/>
      <c r="F23" s="459"/>
      <c r="G23" s="459"/>
      <c r="H23" s="459"/>
      <c r="I23" s="459"/>
      <c r="J23" s="459"/>
      <c r="K23" s="459"/>
      <c r="L23" s="459"/>
      <c r="M23" s="459"/>
      <c r="N23" s="459"/>
      <c r="O23" s="459"/>
      <c r="P23" s="459"/>
    </row>
    <row r="24" spans="1:16">
      <c r="B24" s="486" t="s">
        <v>1081</v>
      </c>
      <c r="C24" s="463"/>
      <c r="D24" s="486" t="s">
        <v>1094</v>
      </c>
      <c r="E24" s="463"/>
      <c r="F24" s="486" t="s">
        <v>1095</v>
      </c>
      <c r="G24" s="463"/>
      <c r="H24" s="486" t="s">
        <v>1092</v>
      </c>
      <c r="I24" s="463"/>
      <c r="J24" s="486" t="s">
        <v>1093</v>
      </c>
      <c r="K24" s="463"/>
      <c r="L24" s="486" t="s">
        <v>1086</v>
      </c>
      <c r="M24" s="463"/>
      <c r="N24" s="486" t="s">
        <v>1087</v>
      </c>
      <c r="O24" s="463"/>
      <c r="P24" s="486" t="s">
        <v>1088</v>
      </c>
    </row>
    <row r="25" spans="1:16">
      <c r="B25" s="402"/>
      <c r="C25" s="402"/>
      <c r="D25" s="402"/>
      <c r="E25" s="402"/>
      <c r="F25" s="402"/>
      <c r="G25" s="402"/>
      <c r="H25" s="402"/>
      <c r="I25" s="402"/>
      <c r="J25" s="402"/>
      <c r="K25" s="402"/>
      <c r="L25" s="402"/>
      <c r="M25" s="402"/>
      <c r="N25" s="402"/>
      <c r="O25" s="402"/>
      <c r="P25" s="402"/>
    </row>
    <row r="26" spans="1:16">
      <c r="B26" s="450">
        <v>19332.830000000002</v>
      </c>
      <c r="C26" s="451"/>
      <c r="D26" s="452">
        <v>139</v>
      </c>
      <c r="E26" s="451"/>
      <c r="F26" s="450">
        <f>B26*D26</f>
        <v>2687263.37</v>
      </c>
      <c r="G26" s="451"/>
      <c r="H26" s="457">
        <v>15</v>
      </c>
      <c r="I26" s="451"/>
      <c r="J26" s="456">
        <f>(F26*H26)</f>
        <v>40308950.550000004</v>
      </c>
      <c r="K26" s="451"/>
      <c r="L26" s="455" t="s">
        <v>1096</v>
      </c>
      <c r="M26" s="402"/>
      <c r="N26" s="456">
        <v>1100</v>
      </c>
      <c r="O26" s="402"/>
      <c r="P26" s="456">
        <f>B26*N26</f>
        <v>21266113.000000004</v>
      </c>
    </row>
    <row r="27" spans="1:16">
      <c r="B27" s="451"/>
      <c r="C27" s="451"/>
      <c r="D27" s="451"/>
      <c r="E27" s="451"/>
      <c r="F27" s="451"/>
      <c r="G27" s="451"/>
      <c r="H27" s="451"/>
      <c r="I27" s="451"/>
      <c r="J27" s="451"/>
      <c r="K27" s="451"/>
      <c r="L27" s="451"/>
      <c r="M27" s="402"/>
      <c r="N27" s="451"/>
      <c r="O27" s="402"/>
      <c r="P27" s="451"/>
    </row>
    <row r="28" spans="1:16" ht="15.75">
      <c r="A28" s="227"/>
      <c r="B28" s="444" t="s">
        <v>1097</v>
      </c>
      <c r="C28" s="445"/>
      <c r="D28" s="445"/>
      <c r="E28" s="445"/>
      <c r="F28" s="445"/>
      <c r="G28" s="445"/>
      <c r="H28" s="445"/>
      <c r="I28" s="445"/>
      <c r="J28" s="445"/>
      <c r="K28" s="445"/>
      <c r="L28" s="445"/>
      <c r="M28" s="445"/>
      <c r="N28" s="445"/>
      <c r="O28" s="445"/>
      <c r="P28" s="445"/>
    </row>
    <row r="29" spans="1:16">
      <c r="A29" s="227"/>
      <c r="B29" s="451"/>
      <c r="C29" s="459"/>
      <c r="D29" s="459"/>
      <c r="E29" s="459"/>
      <c r="F29" s="459"/>
      <c r="G29" s="459"/>
      <c r="H29" s="459"/>
      <c r="I29" s="459"/>
      <c r="J29" s="459"/>
      <c r="K29" s="459"/>
      <c r="L29" s="459"/>
      <c r="M29" s="459"/>
      <c r="N29" s="459"/>
      <c r="O29" s="459"/>
      <c r="P29" s="459"/>
    </row>
    <row r="30" spans="1:16">
      <c r="B30" s="947" t="s">
        <v>1098</v>
      </c>
      <c r="C30" s="947"/>
      <c r="D30" s="947"/>
      <c r="E30" s="463"/>
      <c r="F30" s="486" t="s">
        <v>1099</v>
      </c>
      <c r="G30" s="463"/>
      <c r="H30" s="486" t="s">
        <v>1092</v>
      </c>
      <c r="I30" s="463"/>
      <c r="J30" s="486" t="s">
        <v>1093</v>
      </c>
      <c r="K30" s="463"/>
      <c r="L30" s="486" t="s">
        <v>1086</v>
      </c>
      <c r="M30" s="463"/>
      <c r="N30" s="486" t="s">
        <v>1100</v>
      </c>
      <c r="O30" s="463"/>
      <c r="P30" s="486" t="s">
        <v>1101</v>
      </c>
    </row>
    <row r="31" spans="1:16">
      <c r="B31" s="402"/>
      <c r="C31" s="402"/>
      <c r="D31" s="402"/>
      <c r="E31" s="402"/>
      <c r="F31" s="402"/>
      <c r="G31" s="402"/>
      <c r="H31" s="402"/>
      <c r="I31" s="402"/>
      <c r="J31" s="402"/>
      <c r="K31" s="402"/>
      <c r="L31" s="402"/>
      <c r="M31" s="402"/>
      <c r="N31" s="402"/>
      <c r="O31" s="402"/>
      <c r="P31" s="402"/>
    </row>
    <row r="32" spans="1:16">
      <c r="B32" s="452" t="s">
        <v>1102</v>
      </c>
      <c r="C32" s="451"/>
      <c r="D32" s="452"/>
      <c r="E32" s="451"/>
      <c r="F32" s="450"/>
      <c r="G32" s="451"/>
      <c r="H32" s="456"/>
      <c r="I32" s="451"/>
      <c r="J32" s="456">
        <v>6500000</v>
      </c>
      <c r="K32" s="451"/>
      <c r="L32" s="455"/>
      <c r="M32" s="402"/>
      <c r="N32" s="456"/>
      <c r="O32" s="402"/>
      <c r="P32" s="456">
        <v>3500000</v>
      </c>
    </row>
    <row r="33" spans="1:16">
      <c r="B33" s="452"/>
      <c r="C33" s="451"/>
      <c r="D33" s="452"/>
      <c r="E33" s="451"/>
      <c r="F33" s="450"/>
      <c r="G33" s="451"/>
      <c r="H33" s="456"/>
      <c r="I33" s="451"/>
      <c r="J33" s="456"/>
      <c r="K33" s="451"/>
      <c r="L33" s="455"/>
      <c r="M33" s="402"/>
      <c r="N33" s="456"/>
      <c r="O33" s="402"/>
      <c r="P33" s="456"/>
    </row>
    <row r="34" spans="1:16">
      <c r="A34" s="227"/>
      <c r="B34" s="446" t="s">
        <v>1103</v>
      </c>
      <c r="C34" s="447"/>
      <c r="D34" s="448">
        <v>2.0499999999999998</v>
      </c>
      <c r="E34" s="451"/>
      <c r="F34" s="451"/>
      <c r="G34" s="458"/>
      <c r="H34" s="460" t="s">
        <v>1104</v>
      </c>
      <c r="I34" s="460"/>
      <c r="J34" s="461">
        <f>((J8+J20)*D34)+J32+J14+J26</f>
        <v>187837810.22985002</v>
      </c>
      <c r="K34" s="461"/>
      <c r="L34" s="460"/>
      <c r="M34" s="460"/>
      <c r="N34" s="460"/>
      <c r="O34" s="460"/>
      <c r="P34" s="461">
        <f>P32+P26+P20+P8+P14</f>
        <v>158283453</v>
      </c>
    </row>
    <row r="35" spans="1:16">
      <c r="A35" s="227"/>
      <c r="B35" s="451"/>
      <c r="C35" s="459"/>
      <c r="D35" s="459"/>
      <c r="E35" s="459"/>
      <c r="F35" s="459"/>
      <c r="G35" s="459"/>
      <c r="H35" s="451"/>
      <c r="I35" s="451"/>
      <c r="J35" s="451"/>
      <c r="K35" s="451"/>
      <c r="L35" s="451"/>
      <c r="M35" s="451"/>
      <c r="N35" s="451"/>
      <c r="O35" s="451"/>
      <c r="P35" s="451"/>
    </row>
    <row r="36" spans="1:16">
      <c r="B36" s="452"/>
      <c r="C36" s="451"/>
      <c r="D36" s="452"/>
      <c r="E36" s="451"/>
      <c r="F36" s="450"/>
      <c r="G36" s="458"/>
      <c r="H36" s="460" t="s">
        <v>1105</v>
      </c>
      <c r="I36" s="460"/>
      <c r="J36" s="461">
        <f>J34-P34</f>
        <v>29554357.229850024</v>
      </c>
      <c r="K36" s="461"/>
      <c r="L36" s="462">
        <f>J36/J34</f>
        <v>0.15733976665126939</v>
      </c>
      <c r="M36" s="463"/>
      <c r="N36" s="463"/>
      <c r="O36" s="463"/>
      <c r="P36" s="463"/>
    </row>
    <row r="37" spans="1:16">
      <c r="H37" s="401"/>
      <c r="I37" s="401"/>
      <c r="J37" s="401"/>
      <c r="K37" s="401"/>
      <c r="L37" s="401"/>
      <c r="M37" s="401"/>
      <c r="N37" s="401"/>
      <c r="O37" s="401"/>
      <c r="P37" s="401"/>
    </row>
    <row r="41" spans="1:16">
      <c r="F41" s="442"/>
      <c r="H41" s="442"/>
      <c r="J41" s="442"/>
    </row>
    <row r="53" ht="5.25" customHeight="1"/>
    <row r="54" hidden="1"/>
    <row r="55" hidden="1"/>
    <row r="56" hidden="1"/>
    <row r="57" hidden="1"/>
    <row r="68" spans="8:8">
      <c r="H68" s="399">
        <v>42221</v>
      </c>
    </row>
    <row r="79" spans="8:8" hidden="1"/>
    <row r="80" spans="8:8" hidden="1"/>
    <row r="81" spans="2:12" hidden="1"/>
    <row r="87" spans="2:12">
      <c r="B87" s="225" t="s">
        <v>98</v>
      </c>
      <c r="C87" s="225" t="s">
        <v>6987</v>
      </c>
      <c r="D87" s="399">
        <v>42425</v>
      </c>
      <c r="E87" s="399">
        <v>42663</v>
      </c>
      <c r="F87" s="225" t="s">
        <v>22</v>
      </c>
      <c r="H87" s="225">
        <v>0</v>
      </c>
      <c r="I87" s="225">
        <v>18352</v>
      </c>
      <c r="J87" s="225">
        <v>0</v>
      </c>
      <c r="K87" s="225">
        <v>0</v>
      </c>
      <c r="L87" s="225">
        <v>0</v>
      </c>
    </row>
    <row r="90" spans="2:12" ht="6" customHeight="1"/>
    <row r="92" spans="2:12" ht="16.5" customHeight="1">
      <c r="D92" s="399"/>
      <c r="E92" s="399"/>
    </row>
    <row r="93" spans="2:12" ht="9" customHeight="1"/>
  </sheetData>
  <mergeCells count="1">
    <mergeCell ref="B30:D30"/>
  </mergeCells>
  <pageMargins left="0.25" right="0.25" top="0.75" bottom="0.75" header="0.3" footer="0.3"/>
  <pageSetup paperSize="9" scale="54" fitToHeight="0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S93"/>
  <sheetViews>
    <sheetView showGridLines="0" zoomScaleNormal="100" workbookViewId="0">
      <selection activeCell="B92" sqref="B92"/>
    </sheetView>
  </sheetViews>
  <sheetFormatPr defaultRowHeight="15"/>
  <cols>
    <col min="1" max="1" width="1.7109375" style="225" customWidth="1"/>
    <col min="2" max="2" width="27.140625" style="225" customWidth="1"/>
    <col min="3" max="3" width="1.7109375" style="225" customWidth="1"/>
    <col min="4" max="4" width="19.140625" style="225" customWidth="1"/>
    <col min="5" max="5" width="1.7109375" style="225" customWidth="1"/>
    <col min="6" max="6" width="14.7109375" style="225" customWidth="1"/>
    <col min="7" max="7" width="1.7109375" style="225" customWidth="1"/>
    <col min="8" max="8" width="19.42578125" style="225" customWidth="1"/>
    <col min="9" max="9" width="1.7109375" style="225" customWidth="1"/>
    <col min="10" max="10" width="27.85546875" style="225" customWidth="1"/>
    <col min="11" max="11" width="1.7109375" style="225" customWidth="1"/>
    <col min="12" max="12" width="12.42578125" style="225" customWidth="1"/>
    <col min="13" max="13" width="1.7109375" style="225" customWidth="1"/>
    <col min="14" max="14" width="21.42578125" style="225" customWidth="1"/>
    <col min="15" max="15" width="1.7109375" style="225" customWidth="1"/>
    <col min="16" max="16" width="25.140625" style="225" customWidth="1"/>
    <col min="17" max="17" width="1.5703125" style="225" customWidth="1"/>
    <col min="18" max="16384" width="9.140625" style="225"/>
  </cols>
  <sheetData>
    <row r="1" spans="2:18" s="227" customFormat="1" ht="18.75">
      <c r="D1" s="381" t="s">
        <v>6798</v>
      </c>
    </row>
    <row r="2" spans="2:18" s="227" customFormat="1" ht="18" customHeight="1">
      <c r="B2" s="425"/>
      <c r="D2" s="403" t="s">
        <v>6799</v>
      </c>
    </row>
    <row r="3" spans="2:18" s="227" customFormat="1" ht="18.75">
      <c r="B3" s="381"/>
    </row>
    <row r="4" spans="2:18" s="227" customFormat="1" ht="15.75">
      <c r="B4" s="464" t="s">
        <v>1080</v>
      </c>
      <c r="C4" s="440"/>
      <c r="D4" s="440"/>
      <c r="E4" s="440"/>
      <c r="F4" s="440"/>
      <c r="G4" s="440"/>
      <c r="H4" s="440"/>
      <c r="I4" s="440"/>
      <c r="J4" s="440"/>
      <c r="K4" s="440"/>
      <c r="L4" s="440"/>
      <c r="M4" s="440"/>
      <c r="N4" s="440"/>
      <c r="O4" s="440"/>
      <c r="P4" s="440"/>
    </row>
    <row r="5" spans="2:18" s="227" customFormat="1" ht="8.1" customHeight="1">
      <c r="B5" s="381"/>
    </row>
    <row r="6" spans="2:18">
      <c r="B6" s="449" t="s">
        <v>1081</v>
      </c>
      <c r="C6" s="402"/>
      <c r="D6" s="449" t="s">
        <v>1082</v>
      </c>
      <c r="E6" s="402"/>
      <c r="F6" s="449" t="s">
        <v>1083</v>
      </c>
      <c r="G6" s="402"/>
      <c r="H6" s="449" t="s">
        <v>1084</v>
      </c>
      <c r="I6" s="402"/>
      <c r="J6" s="449" t="s">
        <v>1085</v>
      </c>
      <c r="K6" s="402"/>
      <c r="L6" s="449" t="s">
        <v>1086</v>
      </c>
      <c r="M6" s="402"/>
      <c r="N6" s="449" t="s">
        <v>1087</v>
      </c>
      <c r="O6" s="402"/>
      <c r="P6" s="449" t="s">
        <v>1088</v>
      </c>
    </row>
    <row r="7" spans="2:18" ht="8.1" customHeight="1">
      <c r="B7" s="402"/>
      <c r="C7" s="402"/>
      <c r="D7" s="402"/>
      <c r="E7" s="402"/>
      <c r="F7" s="402"/>
      <c r="G7" s="402"/>
      <c r="H7" s="402"/>
      <c r="I7" s="402"/>
      <c r="J7" s="402"/>
      <c r="K7" s="402"/>
      <c r="L7" s="402"/>
      <c r="M7" s="402"/>
      <c r="N7" s="402"/>
      <c r="O7" s="402"/>
      <c r="P7" s="402"/>
    </row>
    <row r="8" spans="2:18">
      <c r="B8" s="553">
        <v>14015</v>
      </c>
      <c r="C8" s="451"/>
      <c r="D8" s="552">
        <v>119</v>
      </c>
      <c r="E8" s="451"/>
      <c r="F8" s="553">
        <f>B8*D8</f>
        <v>1667785</v>
      </c>
      <c r="G8" s="451"/>
      <c r="H8" s="557">
        <v>24.5</v>
      </c>
      <c r="I8" s="451"/>
      <c r="J8" s="558">
        <f>F8*H8</f>
        <v>40860732.5</v>
      </c>
      <c r="K8" s="451"/>
      <c r="L8" s="555" t="s">
        <v>1089</v>
      </c>
      <c r="M8" s="402"/>
      <c r="N8" s="554">
        <v>6300</v>
      </c>
      <c r="O8" s="402"/>
      <c r="P8" s="554">
        <f>B8*N8</f>
        <v>88294500</v>
      </c>
      <c r="R8" s="551"/>
    </row>
    <row r="9" spans="2:18">
      <c r="B9" s="229"/>
      <c r="C9" s="229"/>
      <c r="D9" s="229"/>
      <c r="E9" s="229"/>
      <c r="F9" s="229"/>
      <c r="G9" s="229"/>
      <c r="H9" s="229"/>
      <c r="I9" s="229"/>
      <c r="J9" s="229"/>
      <c r="K9" s="229"/>
      <c r="L9" s="229"/>
      <c r="N9" s="229"/>
      <c r="P9" s="229"/>
    </row>
    <row r="10" spans="2:18" s="227" customFormat="1" ht="15.75">
      <c r="B10" s="444" t="s">
        <v>846</v>
      </c>
      <c r="C10" s="444"/>
      <c r="D10" s="444"/>
      <c r="E10" s="444"/>
      <c r="F10" s="444"/>
      <c r="G10" s="444"/>
      <c r="H10" s="444"/>
      <c r="I10" s="444"/>
      <c r="J10" s="444"/>
      <c r="K10" s="444"/>
      <c r="L10" s="444"/>
      <c r="M10" s="444"/>
      <c r="N10" s="444"/>
      <c r="O10" s="444"/>
      <c r="P10" s="444"/>
    </row>
    <row r="11" spans="2:18" s="227" customFormat="1" ht="8.1" customHeight="1">
      <c r="B11" s="381"/>
    </row>
    <row r="12" spans="2:18">
      <c r="B12" s="449" t="s">
        <v>1081</v>
      </c>
      <c r="C12" s="402"/>
      <c r="D12" s="449" t="s">
        <v>1090</v>
      </c>
      <c r="E12" s="402"/>
      <c r="F12" s="449" t="s">
        <v>1091</v>
      </c>
      <c r="G12" s="402"/>
      <c r="H12" s="449" t="s">
        <v>1092</v>
      </c>
      <c r="I12" s="402"/>
      <c r="J12" s="449" t="s">
        <v>1093</v>
      </c>
      <c r="K12" s="402"/>
      <c r="L12" s="449" t="s">
        <v>1086</v>
      </c>
      <c r="M12" s="402"/>
      <c r="N12" s="449" t="s">
        <v>1087</v>
      </c>
      <c r="O12" s="402"/>
      <c r="P12" s="449" t="s">
        <v>1088</v>
      </c>
    </row>
    <row r="13" spans="2:18" ht="8.1" customHeight="1">
      <c r="B13" s="402"/>
      <c r="C13" s="402"/>
      <c r="D13" s="402"/>
      <c r="E13" s="402"/>
      <c r="F13" s="402"/>
      <c r="G13" s="402"/>
      <c r="H13" s="402"/>
      <c r="I13" s="402"/>
      <c r="J13" s="402"/>
      <c r="K13" s="402"/>
      <c r="L13" s="402"/>
      <c r="M13" s="402"/>
      <c r="N13" s="402"/>
      <c r="O13" s="402"/>
      <c r="P13" s="402"/>
    </row>
    <row r="14" spans="2:18">
      <c r="B14" s="553">
        <v>14015</v>
      </c>
      <c r="C14" s="451"/>
      <c r="D14" s="552">
        <v>2250</v>
      </c>
      <c r="E14" s="451"/>
      <c r="F14" s="553">
        <f>B14*D14</f>
        <v>31533750</v>
      </c>
      <c r="G14" s="451"/>
      <c r="H14" s="554">
        <v>350</v>
      </c>
      <c r="I14" s="451"/>
      <c r="J14" s="554">
        <f>(F14*H14)/1000</f>
        <v>11036812.5</v>
      </c>
      <c r="K14" s="451"/>
      <c r="L14" s="555"/>
      <c r="M14" s="402"/>
      <c r="N14" s="554"/>
      <c r="O14" s="402"/>
      <c r="P14" s="554"/>
    </row>
    <row r="15" spans="2:18">
      <c r="B15" s="229"/>
      <c r="C15" s="229"/>
      <c r="D15" s="229"/>
      <c r="E15" s="229"/>
      <c r="F15" s="229"/>
      <c r="G15" s="229"/>
      <c r="H15" s="229"/>
      <c r="I15" s="229"/>
      <c r="J15" s="229"/>
      <c r="K15" s="229"/>
      <c r="L15" s="229"/>
      <c r="N15" s="229"/>
      <c r="P15" s="229"/>
    </row>
    <row r="16" spans="2:18" s="227" customFormat="1" ht="15.75">
      <c r="B16" s="444" t="s">
        <v>8</v>
      </c>
      <c r="C16" s="443"/>
      <c r="D16" s="443"/>
      <c r="E16" s="443"/>
      <c r="F16" s="443"/>
      <c r="G16" s="443"/>
      <c r="H16" s="443"/>
      <c r="I16" s="443"/>
      <c r="J16" s="443"/>
      <c r="K16" s="443"/>
      <c r="L16" s="443"/>
      <c r="M16" s="443"/>
      <c r="N16" s="443"/>
      <c r="O16" s="443"/>
      <c r="P16" s="443"/>
    </row>
    <row r="17" spans="2:19" s="227" customFormat="1" ht="8.1" customHeight="1">
      <c r="B17" s="381"/>
    </row>
    <row r="18" spans="2:19">
      <c r="B18" s="449" t="s">
        <v>1081</v>
      </c>
      <c r="C18" s="402"/>
      <c r="D18" s="449" t="s">
        <v>1094</v>
      </c>
      <c r="E18" s="402"/>
      <c r="F18" s="449" t="s">
        <v>1095</v>
      </c>
      <c r="G18" s="402"/>
      <c r="H18" s="449" t="s">
        <v>1084</v>
      </c>
      <c r="I18" s="402"/>
      <c r="J18" s="449" t="s">
        <v>1085</v>
      </c>
      <c r="K18" s="402"/>
      <c r="L18" s="449" t="s">
        <v>1086</v>
      </c>
      <c r="M18" s="402"/>
      <c r="N18" s="449" t="s">
        <v>1087</v>
      </c>
      <c r="O18" s="402"/>
      <c r="P18" s="449" t="s">
        <v>1088</v>
      </c>
      <c r="Q18" s="402"/>
      <c r="R18" s="402"/>
    </row>
    <row r="19" spans="2:19" ht="8.1" customHeight="1">
      <c r="B19" s="402"/>
      <c r="C19" s="402"/>
      <c r="D19" s="402"/>
      <c r="E19" s="402"/>
      <c r="F19" s="402"/>
      <c r="G19" s="402"/>
      <c r="H19" s="402"/>
      <c r="I19" s="402"/>
      <c r="J19" s="402"/>
      <c r="K19" s="402"/>
      <c r="L19" s="402"/>
      <c r="M19" s="402"/>
      <c r="N19" s="402"/>
      <c r="O19" s="402"/>
      <c r="P19" s="402"/>
      <c r="Q19" s="402"/>
      <c r="R19" s="402"/>
    </row>
    <row r="20" spans="2:19">
      <c r="B20" s="553">
        <v>35981</v>
      </c>
      <c r="C20" s="451"/>
      <c r="D20" s="552">
        <v>57.8</v>
      </c>
      <c r="E20" s="451"/>
      <c r="F20" s="553">
        <f>B20*D20</f>
        <v>2079701.7999999998</v>
      </c>
      <c r="G20" s="451"/>
      <c r="H20" s="557">
        <v>23.3</v>
      </c>
      <c r="I20" s="451"/>
      <c r="J20" s="558">
        <f>F20*H20</f>
        <v>48457051.939999998</v>
      </c>
      <c r="K20" s="451"/>
      <c r="L20" s="555" t="s">
        <v>1089</v>
      </c>
      <c r="M20" s="402"/>
      <c r="N20" s="554">
        <v>2250</v>
      </c>
      <c r="O20" s="402"/>
      <c r="P20" s="554">
        <f>B20*N20</f>
        <v>80957250</v>
      </c>
      <c r="Q20" s="402"/>
      <c r="R20" s="559"/>
      <c r="S20" s="551"/>
    </row>
    <row r="21" spans="2:19">
      <c r="B21" s="229"/>
      <c r="C21" s="229"/>
      <c r="D21" s="229"/>
      <c r="E21" s="229"/>
      <c r="F21" s="229"/>
      <c r="G21" s="229"/>
      <c r="H21" s="229"/>
      <c r="I21" s="229"/>
      <c r="J21" s="229"/>
      <c r="K21" s="229"/>
      <c r="L21" s="229"/>
      <c r="N21" s="229"/>
      <c r="P21" s="229"/>
    </row>
    <row r="22" spans="2:19" s="227" customFormat="1" ht="15.75">
      <c r="B22" s="444" t="s">
        <v>9</v>
      </c>
      <c r="C22" s="443"/>
      <c r="D22" s="443"/>
      <c r="E22" s="443"/>
      <c r="F22" s="443"/>
      <c r="G22" s="443"/>
      <c r="H22" s="443"/>
      <c r="I22" s="443">
        <v>43</v>
      </c>
      <c r="J22" s="443"/>
      <c r="K22" s="443"/>
      <c r="L22" s="443"/>
      <c r="M22" s="443"/>
      <c r="N22" s="443"/>
      <c r="O22" s="443"/>
      <c r="P22" s="443"/>
    </row>
    <row r="23" spans="2:19" s="227" customFormat="1" ht="8.1" customHeight="1">
      <c r="B23" s="381"/>
    </row>
    <row r="24" spans="2:19">
      <c r="B24" s="449" t="s">
        <v>1081</v>
      </c>
      <c r="C24" s="402"/>
      <c r="D24" s="449" t="s">
        <v>1094</v>
      </c>
      <c r="E24" s="402"/>
      <c r="F24" s="449" t="s">
        <v>1095</v>
      </c>
      <c r="G24" s="402"/>
      <c r="H24" s="449" t="s">
        <v>1092</v>
      </c>
      <c r="I24" s="402"/>
      <c r="J24" s="449" t="s">
        <v>1093</v>
      </c>
      <c r="K24" s="402"/>
      <c r="L24" s="449" t="s">
        <v>1086</v>
      </c>
      <c r="M24" s="402"/>
      <c r="N24" s="449" t="s">
        <v>1087</v>
      </c>
      <c r="O24" s="402"/>
      <c r="P24" s="449" t="s">
        <v>1088</v>
      </c>
    </row>
    <row r="25" spans="2:19" ht="8.1" customHeight="1">
      <c r="B25" s="402"/>
      <c r="C25" s="402"/>
      <c r="D25" s="402"/>
      <c r="E25" s="402"/>
      <c r="F25" s="402"/>
      <c r="G25" s="402"/>
      <c r="H25" s="402"/>
      <c r="I25" s="402"/>
      <c r="J25" s="402"/>
      <c r="K25" s="402"/>
      <c r="L25" s="402"/>
      <c r="M25" s="402"/>
      <c r="N25" s="402"/>
      <c r="O25" s="402"/>
      <c r="P25" s="402"/>
    </row>
    <row r="26" spans="2:19">
      <c r="B26" s="553">
        <v>12749</v>
      </c>
      <c r="C26" s="451"/>
      <c r="D26" s="552">
        <v>112</v>
      </c>
      <c r="E26" s="451"/>
      <c r="F26" s="553">
        <f>B26*D26</f>
        <v>1427888</v>
      </c>
      <c r="G26" s="451"/>
      <c r="H26" s="556">
        <v>15.4</v>
      </c>
      <c r="I26" s="451"/>
      <c r="J26" s="554">
        <f>(F26*H26)</f>
        <v>21989475.199999999</v>
      </c>
      <c r="K26" s="451"/>
      <c r="L26" s="555" t="s">
        <v>1096</v>
      </c>
      <c r="M26" s="402"/>
      <c r="N26" s="554">
        <v>1400</v>
      </c>
      <c r="O26" s="402"/>
      <c r="P26" s="554">
        <f>B26*N26</f>
        <v>17848600</v>
      </c>
      <c r="R26" s="551"/>
    </row>
    <row r="27" spans="2:19">
      <c r="B27" s="451"/>
      <c r="C27" s="451"/>
      <c r="D27" s="451"/>
      <c r="E27" s="451"/>
      <c r="F27" s="451"/>
      <c r="G27" s="451"/>
      <c r="H27" s="451"/>
      <c r="I27" s="451"/>
      <c r="J27" s="451"/>
      <c r="K27" s="451"/>
      <c r="L27" s="451"/>
      <c r="M27" s="402"/>
      <c r="N27" s="451"/>
      <c r="O27" s="402"/>
      <c r="P27" s="451"/>
    </row>
    <row r="28" spans="2:19" s="227" customFormat="1" ht="15.75">
      <c r="B28" s="444" t="s">
        <v>1097</v>
      </c>
      <c r="C28" s="445"/>
      <c r="D28" s="445"/>
      <c r="E28" s="445"/>
      <c r="F28" s="445"/>
      <c r="G28" s="445"/>
      <c r="H28" s="445"/>
      <c r="I28" s="445"/>
      <c r="J28" s="445"/>
      <c r="K28" s="445"/>
      <c r="L28" s="445"/>
      <c r="M28" s="445"/>
      <c r="N28" s="445"/>
      <c r="O28" s="445"/>
      <c r="P28" s="445"/>
    </row>
    <row r="29" spans="2:19" s="227" customFormat="1" ht="8.1" customHeight="1">
      <c r="B29" s="381"/>
    </row>
    <row r="30" spans="2:19">
      <c r="B30" s="948" t="s">
        <v>1098</v>
      </c>
      <c r="C30" s="948"/>
      <c r="D30" s="948"/>
      <c r="E30" s="402"/>
      <c r="F30" s="449" t="s">
        <v>1099</v>
      </c>
      <c r="G30" s="402"/>
      <c r="H30" s="449" t="s">
        <v>1092</v>
      </c>
      <c r="I30" s="402"/>
      <c r="J30" s="449" t="s">
        <v>1093</v>
      </c>
      <c r="K30" s="402"/>
      <c r="L30" s="449" t="s">
        <v>1086</v>
      </c>
      <c r="M30" s="402"/>
      <c r="N30" s="449" t="s">
        <v>1100</v>
      </c>
      <c r="O30" s="402"/>
      <c r="P30" s="449" t="s">
        <v>1101</v>
      </c>
    </row>
    <row r="31" spans="2:19" ht="8.1" customHeight="1">
      <c r="B31" s="402"/>
      <c r="C31" s="402"/>
      <c r="D31" s="402"/>
      <c r="E31" s="402"/>
      <c r="F31" s="402"/>
      <c r="G31" s="402"/>
      <c r="H31" s="402"/>
      <c r="I31" s="402"/>
      <c r="J31" s="402"/>
      <c r="K31" s="402"/>
      <c r="L31" s="402"/>
      <c r="M31" s="402"/>
      <c r="N31" s="402"/>
      <c r="O31" s="402"/>
      <c r="P31" s="402"/>
    </row>
    <row r="32" spans="2:19">
      <c r="B32" s="552" t="s">
        <v>1102</v>
      </c>
      <c r="C32" s="451"/>
      <c r="D32" s="552"/>
      <c r="E32" s="451"/>
      <c r="F32" s="553"/>
      <c r="G32" s="451"/>
      <c r="H32" s="554"/>
      <c r="I32" s="451"/>
      <c r="J32" s="554">
        <v>6500000</v>
      </c>
      <c r="K32" s="451"/>
      <c r="L32" s="555"/>
      <c r="M32" s="402"/>
      <c r="N32" s="554"/>
      <c r="O32" s="402"/>
      <c r="P32" s="554"/>
    </row>
    <row r="33" spans="2:16">
      <c r="B33" s="552"/>
      <c r="C33" s="451"/>
      <c r="D33" s="552"/>
      <c r="E33" s="451"/>
      <c r="F33" s="553"/>
      <c r="G33" s="451"/>
      <c r="H33" s="554"/>
      <c r="I33" s="451"/>
      <c r="J33" s="554"/>
      <c r="K33" s="451"/>
      <c r="L33" s="555"/>
      <c r="M33" s="402"/>
      <c r="N33" s="554"/>
      <c r="O33" s="402"/>
      <c r="P33" s="554"/>
    </row>
    <row r="34" spans="2:16" s="227" customFormat="1">
      <c r="B34" s="446" t="s">
        <v>1103</v>
      </c>
      <c r="C34" s="447"/>
      <c r="D34" s="448">
        <v>2.6252</v>
      </c>
      <c r="E34" s="451"/>
      <c r="F34" s="451"/>
      <c r="G34" s="458"/>
      <c r="H34" s="460" t="s">
        <v>1104</v>
      </c>
      <c r="I34" s="460"/>
      <c r="J34" s="461">
        <f>((J8+J20)*D34)+J32+J14+J26</f>
        <v>274003335.411888</v>
      </c>
      <c r="K34" s="461"/>
      <c r="L34" s="460"/>
      <c r="M34" s="460"/>
      <c r="N34" s="460"/>
      <c r="O34" s="460"/>
      <c r="P34" s="461">
        <f>P32+P26+P20+P8+P14</f>
        <v>187100350</v>
      </c>
    </row>
    <row r="35" spans="2:16" s="227" customFormat="1" ht="8.1" customHeight="1">
      <c r="B35" s="451"/>
      <c r="C35" s="459"/>
      <c r="D35" s="459"/>
      <c r="E35" s="459"/>
      <c r="F35" s="459"/>
      <c r="G35" s="459"/>
      <c r="H35" s="451"/>
      <c r="I35" s="451"/>
      <c r="J35" s="451"/>
      <c r="K35" s="451"/>
      <c r="L35" s="451"/>
      <c r="M35" s="451"/>
      <c r="N35" s="451"/>
      <c r="O35" s="451"/>
      <c r="P35" s="451"/>
    </row>
    <row r="36" spans="2:16">
      <c r="B36" s="552"/>
      <c r="C36" s="451"/>
      <c r="D36" s="552"/>
      <c r="E36" s="451"/>
      <c r="F36" s="553"/>
      <c r="G36" s="458"/>
      <c r="H36" s="460" t="s">
        <v>1105</v>
      </c>
      <c r="I36" s="460"/>
      <c r="J36" s="461">
        <f>J34-P34</f>
        <v>86902985.411888003</v>
      </c>
      <c r="K36" s="461"/>
      <c r="L36" s="560">
        <f>J36/J34</f>
        <v>0.31716031953134244</v>
      </c>
      <c r="M36" s="463"/>
      <c r="N36" s="463"/>
      <c r="O36" s="463"/>
      <c r="P36" s="463"/>
    </row>
    <row r="37" spans="2:16">
      <c r="B37" s="402"/>
      <c r="C37" s="402"/>
      <c r="D37" s="402"/>
      <c r="E37" s="402"/>
      <c r="F37" s="402"/>
      <c r="G37" s="402"/>
      <c r="H37" s="463"/>
      <c r="I37" s="463"/>
      <c r="J37" s="463"/>
      <c r="K37" s="463"/>
      <c r="L37" s="463"/>
      <c r="M37" s="463"/>
      <c r="N37" s="463"/>
      <c r="O37" s="463"/>
      <c r="P37" s="463"/>
    </row>
    <row r="38" spans="2:16">
      <c r="B38" s="402"/>
      <c r="C38" s="402"/>
      <c r="D38" s="402"/>
      <c r="E38" s="402"/>
      <c r="F38" s="402"/>
      <c r="G38" s="402"/>
      <c r="H38" s="463"/>
      <c r="I38" s="463"/>
      <c r="J38" s="463"/>
      <c r="K38" s="463"/>
      <c r="L38" s="463"/>
      <c r="M38" s="463"/>
      <c r="N38" s="463"/>
      <c r="O38" s="463"/>
      <c r="P38" s="463"/>
    </row>
    <row r="39" spans="2:16">
      <c r="B39" s="402"/>
      <c r="C39" s="402"/>
      <c r="D39" s="402"/>
      <c r="E39" s="402"/>
      <c r="F39" s="402"/>
      <c r="G39" s="402"/>
      <c r="H39" s="402"/>
      <c r="I39" s="402"/>
      <c r="J39" s="402"/>
      <c r="K39" s="402"/>
      <c r="L39" s="402"/>
      <c r="M39" s="402"/>
      <c r="N39" s="402"/>
      <c r="O39" s="402"/>
      <c r="P39" s="402"/>
    </row>
    <row r="41" spans="2:16">
      <c r="F41" s="548"/>
      <c r="H41" s="548"/>
      <c r="J41" s="548"/>
    </row>
    <row r="53" ht="5.25" customHeight="1"/>
    <row r="54" hidden="1"/>
    <row r="55" hidden="1"/>
    <row r="56" hidden="1"/>
    <row r="57" hidden="1"/>
    <row r="68" spans="8:8">
      <c r="H68" s="399"/>
    </row>
    <row r="79" spans="8:8" hidden="1"/>
    <row r="80" spans="8:8" hidden="1"/>
    <row r="81" spans="2:12" hidden="1"/>
    <row r="87" spans="2:12">
      <c r="B87" s="225" t="s">
        <v>98</v>
      </c>
      <c r="C87" s="225" t="s">
        <v>6987</v>
      </c>
      <c r="D87" s="399">
        <v>42425</v>
      </c>
      <c r="E87" s="399">
        <v>42663</v>
      </c>
      <c r="F87" s="225" t="s">
        <v>22</v>
      </c>
      <c r="H87" s="225">
        <v>0</v>
      </c>
      <c r="I87" s="225">
        <v>18352</v>
      </c>
      <c r="J87" s="225">
        <v>0</v>
      </c>
      <c r="K87" s="225">
        <v>0</v>
      </c>
      <c r="L87" s="225">
        <v>0</v>
      </c>
    </row>
    <row r="90" spans="2:12" ht="6" customHeight="1"/>
    <row r="92" spans="2:12" ht="16.5" customHeight="1">
      <c r="D92" s="399"/>
      <c r="E92" s="399"/>
    </row>
    <row r="93" spans="2:12" ht="9" customHeight="1"/>
  </sheetData>
  <mergeCells count="1">
    <mergeCell ref="B30:D30"/>
  </mergeCells>
  <pageMargins left="0.25" right="0.25" top="0.75" bottom="0.75" header="0.3" footer="0.3"/>
  <pageSetup paperSize="9" scale="54" fitToHeight="0" orientation="portrait" horizontalDpi="200" verticalDpi="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P95"/>
  <sheetViews>
    <sheetView zoomScale="90" zoomScaleNormal="90" workbookViewId="0">
      <selection activeCell="H9" sqref="H9"/>
    </sheetView>
  </sheetViews>
  <sheetFormatPr defaultRowHeight="15"/>
  <cols>
    <col min="1" max="1" width="1.7109375" style="225" customWidth="1"/>
    <col min="2" max="2" width="27.140625" style="225" customWidth="1"/>
    <col min="3" max="3" width="1.7109375" style="225" customWidth="1"/>
    <col min="4" max="4" width="19.140625" style="225" customWidth="1"/>
    <col min="5" max="5" width="1.7109375" style="225" customWidth="1"/>
    <col min="6" max="6" width="14.7109375" style="225" customWidth="1"/>
    <col min="7" max="7" width="1.7109375" style="225" customWidth="1"/>
    <col min="8" max="8" width="19.42578125" style="225" customWidth="1"/>
    <col min="9" max="9" width="1.7109375" style="225" customWidth="1"/>
    <col min="10" max="10" width="27.85546875" style="225" customWidth="1"/>
    <col min="11" max="11" width="1.7109375" style="225" customWidth="1"/>
    <col min="12" max="12" width="12.42578125" style="225" customWidth="1"/>
    <col min="13" max="13" width="1.7109375" style="225" customWidth="1"/>
    <col min="14" max="14" width="21.42578125" style="225" customWidth="1"/>
    <col min="15" max="15" width="1.7109375" style="225" customWidth="1"/>
    <col min="16" max="16" width="25.140625" style="225" customWidth="1"/>
    <col min="17" max="17" width="1.5703125" style="225" customWidth="1"/>
    <col min="18" max="16384" width="9.140625" style="225"/>
  </cols>
  <sheetData>
    <row r="1" spans="2:16" ht="18.75">
      <c r="B1" s="227"/>
      <c r="C1" s="227"/>
      <c r="D1" s="381" t="s">
        <v>5980</v>
      </c>
      <c r="E1" s="227"/>
      <c r="F1" s="227"/>
    </row>
    <row r="2" spans="2:16" s="227" customFormat="1" ht="17.25" customHeight="1">
      <c r="B2" s="425"/>
      <c r="D2" s="403" t="s">
        <v>5762</v>
      </c>
    </row>
    <row r="3" spans="2:16" s="227" customFormat="1" ht="17.25" customHeight="1">
      <c r="B3" s="425"/>
      <c r="D3" s="403"/>
    </row>
    <row r="4" spans="2:16" s="227" customFormat="1">
      <c r="B4" s="229"/>
    </row>
    <row r="5" spans="2:16" s="227" customFormat="1" ht="15.75">
      <c r="B5" s="464" t="s">
        <v>1080</v>
      </c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</row>
    <row r="6" spans="2:16" s="227" customFormat="1" ht="8.1" customHeight="1">
      <c r="B6" s="381"/>
    </row>
    <row r="7" spans="2:16">
      <c r="B7" s="449" t="s">
        <v>1081</v>
      </c>
      <c r="C7" s="402"/>
      <c r="D7" s="449" t="s">
        <v>1082</v>
      </c>
      <c r="E7" s="402"/>
      <c r="F7" s="449" t="s">
        <v>1083</v>
      </c>
      <c r="G7" s="402"/>
      <c r="H7" s="449" t="s">
        <v>1084</v>
      </c>
      <c r="I7" s="402"/>
      <c r="J7" s="449" t="s">
        <v>1085</v>
      </c>
      <c r="K7" s="402"/>
      <c r="L7" s="449" t="s">
        <v>1086</v>
      </c>
      <c r="M7" s="402"/>
      <c r="N7" s="449" t="s">
        <v>1087</v>
      </c>
      <c r="O7" s="402"/>
      <c r="P7" s="449" t="s">
        <v>1088</v>
      </c>
    </row>
    <row r="8" spans="2:16" ht="8.1" customHeight="1">
      <c r="B8" s="402"/>
      <c r="C8" s="402"/>
      <c r="D8" s="402"/>
      <c r="E8" s="402"/>
      <c r="F8" s="402"/>
      <c r="G8" s="402"/>
      <c r="H8" s="402"/>
      <c r="I8" s="402"/>
      <c r="J8" s="402"/>
      <c r="K8" s="402"/>
      <c r="L8" s="402"/>
      <c r="M8" s="402"/>
      <c r="N8" s="402"/>
      <c r="O8" s="402"/>
      <c r="P8" s="402"/>
    </row>
    <row r="9" spans="2:16">
      <c r="B9" s="553">
        <v>9000.7999999999993</v>
      </c>
      <c r="C9" s="451"/>
      <c r="D9" s="552">
        <f>F9/B9</f>
        <v>117.54510710159099</v>
      </c>
      <c r="E9" s="451"/>
      <c r="F9" s="553">
        <v>1058000</v>
      </c>
      <c r="G9" s="451"/>
      <c r="H9" s="557">
        <v>23</v>
      </c>
      <c r="I9" s="451"/>
      <c r="J9" s="558">
        <f>F9*H9</f>
        <v>24334000</v>
      </c>
      <c r="K9" s="451"/>
      <c r="L9" s="555" t="s">
        <v>1089</v>
      </c>
      <c r="M9" s="402"/>
      <c r="N9" s="554">
        <v>6800</v>
      </c>
      <c r="O9" s="402"/>
      <c r="P9" s="554">
        <f>B9*N9</f>
        <v>61205439.999999993</v>
      </c>
    </row>
    <row r="10" spans="2:16">
      <c r="B10" s="229"/>
      <c r="C10" s="229"/>
      <c r="D10" s="229"/>
      <c r="E10" s="229"/>
      <c r="F10" s="229"/>
      <c r="G10" s="229"/>
      <c r="H10" s="229"/>
      <c r="I10" s="229"/>
      <c r="J10" s="229"/>
      <c r="K10" s="229"/>
      <c r="L10" s="229"/>
      <c r="N10" s="229"/>
      <c r="P10" s="229"/>
    </row>
    <row r="11" spans="2:16" s="227" customFormat="1" ht="15.75">
      <c r="B11" s="444" t="s">
        <v>846</v>
      </c>
      <c r="C11" s="444"/>
      <c r="D11" s="444"/>
      <c r="E11" s="444"/>
      <c r="F11" s="444"/>
      <c r="G11" s="444"/>
      <c r="H11" s="444"/>
      <c r="I11" s="444"/>
      <c r="J11" s="444"/>
      <c r="K11" s="444"/>
      <c r="L11" s="444"/>
      <c r="M11" s="444"/>
      <c r="N11" s="444"/>
      <c r="O11" s="444"/>
      <c r="P11" s="444"/>
    </row>
    <row r="12" spans="2:16" s="227" customFormat="1" ht="8.1" customHeight="1">
      <c r="B12" s="381"/>
    </row>
    <row r="13" spans="2:16">
      <c r="B13" s="449" t="s">
        <v>1081</v>
      </c>
      <c r="C13" s="402"/>
      <c r="D13" s="449" t="s">
        <v>1090</v>
      </c>
      <c r="E13" s="402"/>
      <c r="F13" s="449" t="s">
        <v>1091</v>
      </c>
      <c r="G13" s="402"/>
      <c r="H13" s="449" t="s">
        <v>1092</v>
      </c>
      <c r="I13" s="402"/>
      <c r="J13" s="449" t="s">
        <v>1093</v>
      </c>
      <c r="K13" s="402"/>
      <c r="L13" s="449" t="s">
        <v>1086</v>
      </c>
      <c r="M13" s="402"/>
      <c r="N13" s="449" t="s">
        <v>1087</v>
      </c>
      <c r="O13" s="402"/>
      <c r="P13" s="449" t="s">
        <v>1088</v>
      </c>
    </row>
    <row r="14" spans="2:16" ht="8.1" customHeight="1">
      <c r="B14" s="402"/>
      <c r="C14" s="402"/>
      <c r="D14" s="402"/>
      <c r="E14" s="402"/>
      <c r="F14" s="402"/>
      <c r="G14" s="402"/>
      <c r="H14" s="402"/>
      <c r="I14" s="402"/>
      <c r="J14" s="402"/>
      <c r="K14" s="402"/>
      <c r="L14" s="402"/>
      <c r="M14" s="402"/>
      <c r="N14" s="402"/>
      <c r="O14" s="402"/>
      <c r="P14" s="402"/>
    </row>
    <row r="15" spans="2:16">
      <c r="B15" s="553">
        <f>B9</f>
        <v>9000.7999999999993</v>
      </c>
      <c r="C15" s="451"/>
      <c r="D15" s="552">
        <f>F15/B15</f>
        <v>2253.7996622522446</v>
      </c>
      <c r="E15" s="451"/>
      <c r="F15" s="553">
        <v>20286000</v>
      </c>
      <c r="G15" s="451"/>
      <c r="H15" s="554">
        <v>400</v>
      </c>
      <c r="I15" s="451"/>
      <c r="J15" s="554">
        <f>(F15*H15)/1000</f>
        <v>8114400</v>
      </c>
      <c r="K15" s="451"/>
      <c r="L15" s="555"/>
      <c r="M15" s="402"/>
      <c r="N15" s="554"/>
      <c r="O15" s="402"/>
      <c r="P15" s="554"/>
    </row>
    <row r="16" spans="2:16">
      <c r="B16" s="451"/>
      <c r="C16" s="451"/>
      <c r="D16" s="451"/>
      <c r="E16" s="451"/>
      <c r="F16" s="451"/>
      <c r="G16" s="451"/>
      <c r="H16" s="451"/>
      <c r="I16" s="451"/>
      <c r="J16" s="451"/>
      <c r="K16" s="451"/>
      <c r="L16" s="451"/>
      <c r="M16" s="402"/>
      <c r="N16" s="451"/>
      <c r="O16" s="402"/>
      <c r="P16" s="451"/>
    </row>
    <row r="17" spans="2:16" s="227" customFormat="1" ht="15.75">
      <c r="B17" s="444" t="s">
        <v>8</v>
      </c>
      <c r="C17" s="443"/>
      <c r="D17" s="443"/>
      <c r="E17" s="443"/>
      <c r="F17" s="443"/>
      <c r="G17" s="443"/>
      <c r="H17" s="443"/>
      <c r="I17" s="443"/>
      <c r="J17" s="443"/>
      <c r="K17" s="443"/>
      <c r="L17" s="443"/>
      <c r="M17" s="443"/>
      <c r="N17" s="443"/>
      <c r="O17" s="443"/>
      <c r="P17" s="443"/>
    </row>
    <row r="18" spans="2:16" s="227" customFormat="1" ht="8.1" customHeight="1">
      <c r="B18" s="381"/>
    </row>
    <row r="19" spans="2:16">
      <c r="B19" s="449" t="s">
        <v>1081</v>
      </c>
      <c r="C19" s="402"/>
      <c r="D19" s="449" t="s">
        <v>1094</v>
      </c>
      <c r="E19" s="402"/>
      <c r="F19" s="449" t="s">
        <v>1095</v>
      </c>
      <c r="G19" s="402"/>
      <c r="H19" s="449" t="s">
        <v>1084</v>
      </c>
      <c r="I19" s="402"/>
      <c r="J19" s="449" t="s">
        <v>1085</v>
      </c>
      <c r="K19" s="402"/>
      <c r="L19" s="449" t="s">
        <v>1086</v>
      </c>
      <c r="M19" s="402"/>
      <c r="N19" s="449" t="s">
        <v>1087</v>
      </c>
      <c r="O19" s="402"/>
      <c r="P19" s="449" t="s">
        <v>1088</v>
      </c>
    </row>
    <row r="20" spans="2:16" ht="8.1" customHeight="1">
      <c r="B20" s="402"/>
      <c r="C20" s="402"/>
      <c r="D20" s="402"/>
      <c r="E20" s="402"/>
      <c r="F20" s="402"/>
      <c r="G20" s="402"/>
      <c r="H20" s="402"/>
      <c r="I20" s="402"/>
      <c r="J20" s="402"/>
      <c r="K20" s="402"/>
      <c r="L20" s="402"/>
      <c r="M20" s="402"/>
      <c r="N20" s="402"/>
      <c r="O20" s="402"/>
      <c r="P20" s="402"/>
    </row>
    <row r="21" spans="2:16">
      <c r="B21" s="553">
        <v>36000</v>
      </c>
      <c r="C21" s="451"/>
      <c r="D21" s="552">
        <v>56.17</v>
      </c>
      <c r="E21" s="451"/>
      <c r="F21" s="553">
        <f>B21*D21</f>
        <v>2022120</v>
      </c>
      <c r="G21" s="451"/>
      <c r="H21" s="557">
        <v>18</v>
      </c>
      <c r="I21" s="451"/>
      <c r="J21" s="558">
        <f>F21*H21</f>
        <v>36398160</v>
      </c>
      <c r="K21" s="451"/>
      <c r="L21" s="555" t="s">
        <v>1089</v>
      </c>
      <c r="M21" s="402"/>
      <c r="N21" s="554">
        <f>P21/B21</f>
        <v>1964.7089722222222</v>
      </c>
      <c r="O21" s="402"/>
      <c r="P21" s="554">
        <v>70729523</v>
      </c>
    </row>
    <row r="22" spans="2:16">
      <c r="B22" s="229"/>
      <c r="C22" s="229"/>
      <c r="D22" s="229"/>
      <c r="E22" s="229"/>
      <c r="F22" s="229"/>
      <c r="G22" s="229"/>
      <c r="H22" s="229"/>
      <c r="I22" s="229"/>
      <c r="J22" s="229"/>
      <c r="K22" s="229"/>
      <c r="L22" s="229"/>
      <c r="N22" s="229"/>
      <c r="P22" s="229"/>
    </row>
    <row r="23" spans="2:16" s="227" customFormat="1" ht="15.75">
      <c r="B23" s="444" t="s">
        <v>9</v>
      </c>
      <c r="C23" s="443"/>
      <c r="D23" s="443"/>
      <c r="E23" s="443"/>
      <c r="F23" s="443"/>
      <c r="G23" s="443"/>
      <c r="H23" s="443"/>
      <c r="I23" s="443">
        <v>43</v>
      </c>
      <c r="J23" s="443"/>
      <c r="K23" s="443"/>
      <c r="L23" s="443"/>
      <c r="M23" s="443"/>
      <c r="N23" s="443"/>
      <c r="O23" s="443"/>
      <c r="P23" s="443"/>
    </row>
    <row r="24" spans="2:16" s="227" customFormat="1" ht="8.1" customHeight="1">
      <c r="B24" s="381"/>
    </row>
    <row r="25" spans="2:16">
      <c r="B25" s="449" t="s">
        <v>1081</v>
      </c>
      <c r="C25" s="402"/>
      <c r="D25" s="449" t="s">
        <v>1094</v>
      </c>
      <c r="E25" s="402"/>
      <c r="F25" s="449" t="s">
        <v>1095</v>
      </c>
      <c r="G25" s="402"/>
      <c r="H25" s="449" t="s">
        <v>1092</v>
      </c>
      <c r="I25" s="402"/>
      <c r="J25" s="449" t="s">
        <v>1093</v>
      </c>
      <c r="K25" s="402"/>
      <c r="L25" s="449" t="s">
        <v>1086</v>
      </c>
      <c r="M25" s="402"/>
      <c r="N25" s="449" t="s">
        <v>1087</v>
      </c>
      <c r="O25" s="402"/>
      <c r="P25" s="449" t="s">
        <v>1088</v>
      </c>
    </row>
    <row r="26" spans="2:16" ht="8.1" customHeight="1">
      <c r="B26" s="402"/>
      <c r="C26" s="402"/>
      <c r="D26" s="402"/>
      <c r="E26" s="402"/>
      <c r="F26" s="402"/>
      <c r="G26" s="402"/>
      <c r="H26" s="402"/>
      <c r="I26" s="402"/>
      <c r="J26" s="402"/>
      <c r="K26" s="402"/>
      <c r="L26" s="402"/>
      <c r="M26" s="402"/>
      <c r="N26" s="402"/>
      <c r="O26" s="402"/>
      <c r="P26" s="402"/>
    </row>
    <row r="27" spans="2:16">
      <c r="B27" s="553">
        <v>18605.3</v>
      </c>
      <c r="C27" s="451"/>
      <c r="D27" s="552">
        <v>98.03</v>
      </c>
      <c r="E27" s="451"/>
      <c r="F27" s="553">
        <f>B27*D27</f>
        <v>1823877.5589999999</v>
      </c>
      <c r="G27" s="451"/>
      <c r="H27" s="556">
        <v>20</v>
      </c>
      <c r="I27" s="451"/>
      <c r="J27" s="554">
        <f>(F27*H27)</f>
        <v>36477551.18</v>
      </c>
      <c r="K27" s="451"/>
      <c r="L27" s="555" t="s">
        <v>1096</v>
      </c>
      <c r="M27" s="402"/>
      <c r="N27" s="554">
        <f>P27/B27</f>
        <v>1111.9582054575847</v>
      </c>
      <c r="O27" s="402"/>
      <c r="P27" s="554">
        <v>20688316</v>
      </c>
    </row>
    <row r="28" spans="2:16"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N28" s="229"/>
      <c r="P28" s="229"/>
    </row>
    <row r="29" spans="2:16" s="227" customFormat="1" ht="15.75">
      <c r="B29" s="444" t="s">
        <v>1484</v>
      </c>
      <c r="C29" s="443"/>
      <c r="D29" s="443"/>
      <c r="E29" s="443"/>
      <c r="F29" s="443"/>
      <c r="G29" s="443"/>
      <c r="H29" s="443"/>
      <c r="I29" s="443"/>
      <c r="J29" s="443"/>
      <c r="K29" s="443"/>
      <c r="L29" s="443"/>
      <c r="M29" s="443"/>
      <c r="N29" s="443"/>
      <c r="O29" s="443"/>
      <c r="P29" s="443"/>
    </row>
    <row r="30" spans="2:16" s="227" customFormat="1" ht="8.1" customHeight="1">
      <c r="B30" s="381"/>
    </row>
    <row r="31" spans="2:16">
      <c r="B31" s="449" t="s">
        <v>1081</v>
      </c>
      <c r="C31" s="402"/>
      <c r="D31" s="449" t="s">
        <v>1094</v>
      </c>
      <c r="E31" s="402"/>
      <c r="F31" s="449" t="s">
        <v>1095</v>
      </c>
      <c r="G31" s="402"/>
      <c r="H31" s="449" t="s">
        <v>1084</v>
      </c>
      <c r="I31" s="402"/>
      <c r="J31" s="449" t="s">
        <v>1085</v>
      </c>
      <c r="K31" s="402"/>
      <c r="L31" s="449" t="s">
        <v>1086</v>
      </c>
      <c r="M31" s="402"/>
      <c r="N31" s="449" t="s">
        <v>1087</v>
      </c>
      <c r="O31" s="402"/>
      <c r="P31" s="449" t="s">
        <v>1088</v>
      </c>
    </row>
    <row r="32" spans="2:16" ht="8.1" customHeight="1">
      <c r="B32" s="402"/>
      <c r="C32" s="402"/>
      <c r="D32" s="402"/>
      <c r="E32" s="402"/>
      <c r="F32" s="402"/>
      <c r="G32" s="402"/>
      <c r="H32" s="402"/>
      <c r="I32" s="402"/>
      <c r="J32" s="402"/>
      <c r="K32" s="402"/>
      <c r="L32" s="402"/>
      <c r="M32" s="402"/>
      <c r="N32" s="402"/>
      <c r="O32" s="402"/>
      <c r="P32" s="402"/>
    </row>
    <row r="33" spans="2:16">
      <c r="B33" s="553">
        <v>4353</v>
      </c>
      <c r="C33" s="451"/>
      <c r="D33" s="552">
        <v>45</v>
      </c>
      <c r="E33" s="451"/>
      <c r="F33" s="553">
        <v>156708</v>
      </c>
      <c r="G33" s="451"/>
      <c r="H33" s="563">
        <v>40</v>
      </c>
      <c r="I33" s="451"/>
      <c r="J33" s="554">
        <f>(F33*H33)</f>
        <v>6268320</v>
      </c>
      <c r="K33" s="451"/>
      <c r="L33" s="555" t="s">
        <v>1096</v>
      </c>
      <c r="M33" s="402"/>
      <c r="N33" s="554">
        <v>2881</v>
      </c>
      <c r="O33" s="402"/>
      <c r="P33" s="554">
        <f>B33*N33</f>
        <v>12540993</v>
      </c>
    </row>
    <row r="34" spans="2:16">
      <c r="B34" s="235"/>
      <c r="C34" s="229"/>
      <c r="D34" s="548"/>
      <c r="E34" s="229"/>
      <c r="F34" s="235"/>
      <c r="G34" s="229"/>
      <c r="H34" s="561"/>
      <c r="I34" s="229"/>
      <c r="J34" s="550"/>
      <c r="K34" s="229"/>
      <c r="L34" s="549"/>
      <c r="N34" s="550"/>
      <c r="P34" s="550"/>
    </row>
    <row r="35" spans="2:16" ht="15.75">
      <c r="B35" s="444" t="s">
        <v>1485</v>
      </c>
      <c r="C35" s="443"/>
      <c r="D35" s="443"/>
      <c r="E35" s="443"/>
      <c r="F35" s="443"/>
      <c r="G35" s="443"/>
      <c r="H35" s="443"/>
      <c r="I35" s="443"/>
      <c r="J35" s="443"/>
      <c r="K35" s="443"/>
      <c r="L35" s="443"/>
      <c r="M35" s="443"/>
      <c r="N35" s="443"/>
      <c r="O35" s="443"/>
      <c r="P35" s="443"/>
    </row>
    <row r="36" spans="2:16" ht="18.75">
      <c r="B36" s="381"/>
      <c r="C36" s="227"/>
      <c r="D36" s="227"/>
      <c r="E36" s="227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</row>
    <row r="37" spans="2:16">
      <c r="B37" s="449" t="s">
        <v>1081</v>
      </c>
      <c r="C37" s="402"/>
      <c r="D37" s="449" t="s">
        <v>1094</v>
      </c>
      <c r="E37" s="402"/>
      <c r="F37" s="449" t="s">
        <v>1095</v>
      </c>
      <c r="G37" s="402"/>
      <c r="H37" s="449" t="s">
        <v>1092</v>
      </c>
      <c r="I37" s="402"/>
      <c r="J37" s="449" t="s">
        <v>1093</v>
      </c>
      <c r="K37" s="402"/>
      <c r="L37" s="449" t="s">
        <v>1086</v>
      </c>
      <c r="M37" s="402"/>
      <c r="N37" s="449" t="s">
        <v>1087</v>
      </c>
      <c r="O37" s="402"/>
      <c r="P37" s="449" t="s">
        <v>1088</v>
      </c>
    </row>
    <row r="38" spans="2:16">
      <c r="B38" s="402"/>
      <c r="C38" s="402"/>
      <c r="D38" s="402"/>
      <c r="E38" s="402"/>
      <c r="F38" s="402"/>
      <c r="G38" s="402"/>
      <c r="H38" s="402"/>
      <c r="I38" s="402"/>
      <c r="J38" s="402"/>
      <c r="K38" s="402"/>
      <c r="L38" s="402"/>
      <c r="M38" s="402"/>
      <c r="N38" s="402"/>
      <c r="O38" s="402"/>
      <c r="P38" s="402"/>
    </row>
    <row r="39" spans="2:16">
      <c r="B39" s="553">
        <v>775.7</v>
      </c>
      <c r="C39" s="451"/>
      <c r="D39" s="552">
        <v>41.52</v>
      </c>
      <c r="E39" s="451"/>
      <c r="F39" s="553">
        <f>B39*D39</f>
        <v>32207.064000000006</v>
      </c>
      <c r="G39" s="451"/>
      <c r="H39" s="564">
        <v>45</v>
      </c>
      <c r="I39" s="451"/>
      <c r="J39" s="554">
        <f>(F39*H39)</f>
        <v>1449317.8800000004</v>
      </c>
      <c r="K39" s="451"/>
      <c r="L39" s="555" t="s">
        <v>1096</v>
      </c>
      <c r="M39" s="402"/>
      <c r="N39" s="554">
        <f>P39/B39</f>
        <v>1957.6202140002576</v>
      </c>
      <c r="O39" s="402"/>
      <c r="P39" s="554">
        <v>1518526</v>
      </c>
    </row>
    <row r="40" spans="2:16">
      <c r="B40" s="553"/>
      <c r="C40" s="451"/>
      <c r="D40" s="552"/>
      <c r="E40" s="451"/>
      <c r="F40" s="553"/>
      <c r="G40" s="451"/>
      <c r="H40" s="563"/>
      <c r="I40" s="451"/>
      <c r="J40" s="554"/>
      <c r="K40" s="451"/>
      <c r="L40" s="555"/>
      <c r="M40" s="402"/>
      <c r="N40" s="554"/>
      <c r="O40" s="402"/>
      <c r="P40" s="554"/>
    </row>
    <row r="41" spans="2:16">
      <c r="B41" s="552"/>
      <c r="C41" s="451"/>
      <c r="D41" s="552"/>
      <c r="E41" s="451"/>
      <c r="F41" s="553"/>
      <c r="G41" s="451"/>
      <c r="H41" s="554"/>
      <c r="I41" s="451"/>
      <c r="J41" s="554"/>
      <c r="K41" s="451"/>
      <c r="L41" s="555"/>
      <c r="M41" s="402"/>
      <c r="N41" s="554"/>
      <c r="O41" s="402"/>
      <c r="P41" s="554"/>
    </row>
    <row r="42" spans="2:16">
      <c r="B42" s="446" t="s">
        <v>1103</v>
      </c>
      <c r="C42" s="447"/>
      <c r="D42" s="448">
        <v>3.4</v>
      </c>
      <c r="E42" s="451"/>
      <c r="F42" s="451"/>
      <c r="G42" s="460"/>
      <c r="H42" s="460" t="s">
        <v>1104</v>
      </c>
      <c r="I42" s="460"/>
      <c r="J42" s="461">
        <f>(J33+J21+J9)*D42+J27+J15+J39</f>
        <v>273842901.06</v>
      </c>
      <c r="K42" s="461"/>
      <c r="L42" s="460"/>
      <c r="M42" s="460"/>
      <c r="N42" s="460"/>
      <c r="O42" s="460"/>
      <c r="P42" s="461">
        <f>P33+P27+P9+P21+P39</f>
        <v>166682798</v>
      </c>
    </row>
    <row r="43" spans="2:16">
      <c r="B43" s="451"/>
      <c r="C43" s="459"/>
      <c r="D43" s="459"/>
      <c r="E43" s="459"/>
      <c r="F43" s="459"/>
      <c r="G43" s="565"/>
      <c r="H43" s="566"/>
      <c r="I43" s="566"/>
      <c r="J43" s="566"/>
      <c r="K43" s="566"/>
      <c r="L43" s="566"/>
      <c r="M43" s="566"/>
      <c r="N43" s="566"/>
      <c r="O43" s="566"/>
      <c r="P43" s="566"/>
    </row>
    <row r="44" spans="2:16" s="227" customFormat="1">
      <c r="B44" s="552"/>
      <c r="C44" s="451"/>
      <c r="D44" s="552"/>
      <c r="E44" s="451"/>
      <c r="F44" s="553"/>
      <c r="G44" s="460"/>
      <c r="H44" s="460" t="s">
        <v>1105</v>
      </c>
      <c r="I44" s="460"/>
      <c r="J44" s="461">
        <f>J42-P42</f>
        <v>107160103.06</v>
      </c>
      <c r="K44" s="461"/>
      <c r="L44" s="560">
        <f>J44/J42</f>
        <v>0.39131963123820701</v>
      </c>
      <c r="M44" s="567"/>
      <c r="N44" s="567"/>
      <c r="O44" s="567"/>
      <c r="P44" s="567"/>
    </row>
    <row r="45" spans="2:16" s="227" customFormat="1" ht="8.1" customHeight="1">
      <c r="B45" s="451"/>
      <c r="C45" s="459"/>
      <c r="D45" s="459"/>
      <c r="E45" s="459"/>
      <c r="F45" s="459"/>
      <c r="G45" s="565"/>
      <c r="H45" s="565"/>
      <c r="I45" s="565"/>
      <c r="J45" s="565"/>
      <c r="K45" s="565"/>
      <c r="L45" s="565"/>
      <c r="M45" s="565"/>
      <c r="N45" s="565"/>
      <c r="O45" s="565"/>
      <c r="P45" s="565"/>
    </row>
    <row r="50" spans="6:10">
      <c r="F50" s="548"/>
      <c r="H50" s="548"/>
      <c r="J50" s="548"/>
    </row>
    <row r="55" spans="6:10" ht="5.25" customHeight="1"/>
    <row r="56" spans="6:10" hidden="1"/>
    <row r="57" spans="6:10" hidden="1"/>
    <row r="58" spans="6:10" hidden="1"/>
    <row r="59" spans="6:10" hidden="1"/>
    <row r="70" spans="8:8">
      <c r="H70" s="399"/>
    </row>
    <row r="79" spans="8:8" hidden="1"/>
    <row r="80" spans="8:8" hidden="1"/>
    <row r="81" spans="2:12" hidden="1"/>
    <row r="87" spans="2:12">
      <c r="B87" s="225" t="s">
        <v>98</v>
      </c>
      <c r="C87" s="225" t="s">
        <v>6987</v>
      </c>
      <c r="D87" s="399">
        <v>42425</v>
      </c>
      <c r="E87" s="399">
        <v>42663</v>
      </c>
      <c r="F87" s="225" t="s">
        <v>22</v>
      </c>
      <c r="H87" s="225">
        <v>0</v>
      </c>
      <c r="I87" s="225">
        <v>18352</v>
      </c>
      <c r="J87" s="225">
        <v>0</v>
      </c>
      <c r="K87" s="225">
        <v>0</v>
      </c>
      <c r="L87" s="225">
        <v>0</v>
      </c>
    </row>
    <row r="92" spans="2:12" ht="6" customHeight="1"/>
    <row r="94" spans="2:12" ht="16.5" customHeight="1">
      <c r="D94" s="399"/>
      <c r="E94" s="399"/>
    </row>
    <row r="95" spans="2:12" ht="9" customHeight="1"/>
  </sheetData>
  <pageMargins left="0.25" right="0.25" top="0.75" bottom="0.75" header="0.3" footer="0.3"/>
  <pageSetup paperSize="9" scale="54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106"/>
  <sheetViews>
    <sheetView workbookViewId="0">
      <selection activeCell="F34" sqref="F34"/>
    </sheetView>
  </sheetViews>
  <sheetFormatPr defaultRowHeight="15"/>
  <cols>
    <col min="1" max="1" width="1.7109375" style="225" customWidth="1"/>
    <col min="2" max="2" width="27.140625" style="225" customWidth="1"/>
    <col min="3" max="3" width="1.7109375" style="225" customWidth="1"/>
    <col min="4" max="4" width="19.140625" style="225" customWidth="1"/>
    <col min="5" max="5" width="1.7109375" style="225" customWidth="1"/>
    <col min="6" max="6" width="14.7109375" style="225" customWidth="1"/>
    <col min="7" max="7" width="1.7109375" style="225" customWidth="1"/>
    <col min="8" max="8" width="19.42578125" style="225" customWidth="1"/>
    <col min="9" max="9" width="1.7109375" style="225" customWidth="1"/>
    <col min="10" max="10" width="27.85546875" style="225" customWidth="1"/>
    <col min="11" max="11" width="1.7109375" style="225" customWidth="1"/>
    <col min="12" max="12" width="12.42578125" style="225" customWidth="1"/>
    <col min="13" max="13" width="1.7109375" style="225" customWidth="1"/>
    <col min="14" max="14" width="21.42578125" style="225" customWidth="1"/>
    <col min="15" max="15" width="1.7109375" style="225" customWidth="1"/>
    <col min="16" max="16" width="25.140625" style="225" customWidth="1"/>
    <col min="17" max="17" width="1.5703125" style="225" customWidth="1"/>
    <col min="18" max="16384" width="9.140625" style="225"/>
  </cols>
  <sheetData>
    <row r="1" spans="2:16" ht="18.75">
      <c r="D1" s="293" t="s">
        <v>5981</v>
      </c>
    </row>
    <row r="2" spans="2:16" s="227" customFormat="1" ht="18.75">
      <c r="B2" s="381"/>
      <c r="D2" s="299" t="s">
        <v>6813</v>
      </c>
    </row>
    <row r="3" spans="2:16" s="227" customFormat="1">
      <c r="B3" s="229"/>
    </row>
    <row r="4" spans="2:16" s="227" customFormat="1">
      <c r="B4" s="229"/>
    </row>
    <row r="5" spans="2:16" s="227" customFormat="1" ht="15.75">
      <c r="B5" s="464" t="s">
        <v>1080</v>
      </c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</row>
    <row r="6" spans="2:16" s="227" customFormat="1" ht="8.1" customHeight="1">
      <c r="B6" s="381"/>
    </row>
    <row r="7" spans="2:16">
      <c r="B7" s="449" t="s">
        <v>1081</v>
      </c>
      <c r="C7" s="402"/>
      <c r="D7" s="449" t="s">
        <v>1082</v>
      </c>
      <c r="E7" s="402"/>
      <c r="F7" s="449" t="s">
        <v>1083</v>
      </c>
      <c r="G7" s="402"/>
      <c r="H7" s="449" t="s">
        <v>1084</v>
      </c>
      <c r="I7" s="402"/>
      <c r="J7" s="449" t="s">
        <v>1085</v>
      </c>
      <c r="K7" s="402"/>
      <c r="L7" s="449" t="s">
        <v>1086</v>
      </c>
      <c r="M7" s="402"/>
      <c r="N7" s="449" t="s">
        <v>1087</v>
      </c>
      <c r="O7" s="402"/>
      <c r="P7" s="449" t="s">
        <v>1088</v>
      </c>
    </row>
    <row r="8" spans="2:16" ht="8.1" customHeight="1">
      <c r="B8" s="402"/>
      <c r="C8" s="402"/>
      <c r="D8" s="402"/>
      <c r="E8" s="402"/>
      <c r="F8" s="402"/>
      <c r="G8" s="402"/>
      <c r="H8" s="402"/>
      <c r="I8" s="402"/>
      <c r="J8" s="402"/>
      <c r="K8" s="402"/>
      <c r="L8" s="402"/>
      <c r="M8" s="402"/>
      <c r="N8" s="402"/>
      <c r="O8" s="402"/>
      <c r="P8" s="402"/>
    </row>
    <row r="9" spans="2:16">
      <c r="B9" s="553">
        <v>7276</v>
      </c>
      <c r="C9" s="451"/>
      <c r="D9" s="552">
        <f>[1]RESULTADO!$D$13</f>
        <v>115</v>
      </c>
      <c r="E9" s="451"/>
      <c r="F9" s="553">
        <f>B9*D9</f>
        <v>836740</v>
      </c>
      <c r="G9" s="451"/>
      <c r="H9" s="557">
        <v>22</v>
      </c>
      <c r="I9" s="451"/>
      <c r="J9" s="558">
        <f>F9*H9</f>
        <v>18408280</v>
      </c>
      <c r="K9" s="451"/>
      <c r="L9" s="555" t="s">
        <v>1089</v>
      </c>
      <c r="M9" s="402"/>
      <c r="N9" s="554">
        <f>[1]RESULTADO!$N$13</f>
        <v>7687.0221760201384</v>
      </c>
      <c r="O9" s="402"/>
      <c r="P9" s="554">
        <f>B9*N9</f>
        <v>55930773.352722526</v>
      </c>
    </row>
    <row r="10" spans="2:16">
      <c r="B10" s="229"/>
      <c r="C10" s="229"/>
      <c r="D10" s="229"/>
      <c r="E10" s="229"/>
      <c r="F10" s="229"/>
      <c r="G10" s="229"/>
      <c r="H10" s="229"/>
      <c r="I10" s="229"/>
      <c r="J10" s="229"/>
      <c r="K10" s="229"/>
      <c r="L10" s="229"/>
      <c r="N10" s="229"/>
      <c r="P10" s="229"/>
    </row>
    <row r="11" spans="2:16" s="227" customFormat="1" ht="15.75">
      <c r="B11" s="444" t="s">
        <v>846</v>
      </c>
      <c r="C11" s="444"/>
      <c r="D11" s="444"/>
      <c r="E11" s="444"/>
      <c r="F11" s="444"/>
      <c r="G11" s="444"/>
      <c r="H11" s="444"/>
      <c r="I11" s="444"/>
      <c r="J11" s="444"/>
      <c r="K11" s="444"/>
      <c r="L11" s="444"/>
      <c r="M11" s="444"/>
      <c r="N11" s="444"/>
      <c r="O11" s="444"/>
      <c r="P11" s="444"/>
    </row>
    <row r="12" spans="2:16" s="227" customFormat="1" ht="8.1" customHeight="1">
      <c r="B12" s="381"/>
    </row>
    <row r="13" spans="2:16">
      <c r="B13" s="449" t="s">
        <v>1081</v>
      </c>
      <c r="C13" s="402"/>
      <c r="D13" s="449" t="s">
        <v>1090</v>
      </c>
      <c r="E13" s="402"/>
      <c r="F13" s="449" t="s">
        <v>1091</v>
      </c>
      <c r="G13" s="402"/>
      <c r="H13" s="449" t="s">
        <v>1092</v>
      </c>
      <c r="I13" s="402"/>
      <c r="J13" s="449" t="s">
        <v>1093</v>
      </c>
      <c r="K13" s="402"/>
      <c r="L13" s="449" t="s">
        <v>1086</v>
      </c>
      <c r="M13" s="402"/>
      <c r="N13" s="449" t="s">
        <v>1087</v>
      </c>
      <c r="O13" s="402"/>
      <c r="P13" s="449" t="s">
        <v>1088</v>
      </c>
    </row>
    <row r="14" spans="2:16" ht="8.1" customHeight="1">
      <c r="B14" s="402"/>
      <c r="C14" s="402"/>
      <c r="D14" s="402"/>
      <c r="E14" s="402"/>
      <c r="F14" s="402"/>
      <c r="G14" s="402"/>
      <c r="H14" s="402"/>
      <c r="I14" s="402"/>
      <c r="J14" s="402"/>
      <c r="K14" s="402"/>
      <c r="L14" s="402"/>
      <c r="M14" s="402"/>
      <c r="N14" s="402"/>
      <c r="O14" s="402"/>
      <c r="P14" s="402"/>
    </row>
    <row r="15" spans="2:16">
      <c r="B15" s="553">
        <f>B9</f>
        <v>7276</v>
      </c>
      <c r="C15" s="451"/>
      <c r="D15" s="552">
        <f>[1]RESULTADO!$D$19</f>
        <v>2250</v>
      </c>
      <c r="E15" s="451"/>
      <c r="F15" s="553">
        <f>B15*D15</f>
        <v>16371000</v>
      </c>
      <c r="G15" s="451"/>
      <c r="H15" s="554">
        <f>[1]RESULTADO!$H$19</f>
        <v>420</v>
      </c>
      <c r="I15" s="451"/>
      <c r="J15" s="554">
        <f>(F15*H15)/1000</f>
        <v>6875820</v>
      </c>
      <c r="K15" s="451"/>
      <c r="L15" s="555"/>
      <c r="M15" s="402"/>
      <c r="N15" s="554"/>
      <c r="O15" s="402"/>
      <c r="P15" s="554"/>
    </row>
    <row r="16" spans="2:16">
      <c r="B16" s="229"/>
      <c r="C16" s="229"/>
      <c r="D16" s="229"/>
      <c r="E16" s="229"/>
      <c r="F16" s="229"/>
      <c r="G16" s="229"/>
      <c r="H16" s="229"/>
      <c r="I16" s="229"/>
      <c r="J16" s="229"/>
      <c r="K16" s="229"/>
      <c r="L16" s="229"/>
      <c r="N16" s="229"/>
      <c r="P16" s="229"/>
    </row>
    <row r="17" spans="2:16" s="227" customFormat="1" ht="15.75">
      <c r="B17" s="444" t="s">
        <v>8</v>
      </c>
      <c r="C17" s="443"/>
      <c r="D17" s="443"/>
      <c r="E17" s="443"/>
      <c r="F17" s="443"/>
      <c r="G17" s="443"/>
      <c r="H17" s="443"/>
      <c r="I17" s="443"/>
      <c r="J17" s="443"/>
      <c r="K17" s="443"/>
      <c r="L17" s="443"/>
      <c r="M17" s="443"/>
      <c r="N17" s="443"/>
      <c r="O17" s="443"/>
      <c r="P17" s="443"/>
    </row>
    <row r="18" spans="2:16" s="227" customFormat="1" ht="8.1" customHeight="1">
      <c r="B18" s="381"/>
    </row>
    <row r="19" spans="2:16">
      <c r="B19" s="449" t="s">
        <v>1081</v>
      </c>
      <c r="C19" s="402"/>
      <c r="D19" s="449" t="s">
        <v>1094</v>
      </c>
      <c r="E19" s="402"/>
      <c r="F19" s="449" t="s">
        <v>1095</v>
      </c>
      <c r="G19" s="402"/>
      <c r="H19" s="449" t="s">
        <v>1084</v>
      </c>
      <c r="I19" s="402"/>
      <c r="J19" s="449" t="s">
        <v>1085</v>
      </c>
      <c r="K19" s="402"/>
      <c r="L19" s="449" t="s">
        <v>1086</v>
      </c>
      <c r="M19" s="402"/>
      <c r="N19" s="449" t="s">
        <v>1087</v>
      </c>
      <c r="O19" s="402"/>
      <c r="P19" s="449" t="s">
        <v>1088</v>
      </c>
    </row>
    <row r="20" spans="2:16" ht="8.1" customHeight="1">
      <c r="B20" s="402"/>
      <c r="C20" s="402"/>
      <c r="D20" s="402"/>
      <c r="E20" s="402"/>
      <c r="F20" s="402"/>
      <c r="G20" s="402"/>
      <c r="H20" s="402"/>
      <c r="I20" s="402"/>
      <c r="J20" s="402"/>
      <c r="K20" s="402"/>
      <c r="L20" s="402"/>
      <c r="M20" s="402"/>
      <c r="N20" s="402"/>
      <c r="O20" s="402"/>
      <c r="P20" s="402"/>
    </row>
    <row r="21" spans="2:16">
      <c r="B21" s="553">
        <f>[1]RESUMO!$E$203+[1]RESUMO!$E$208</f>
        <v>35145</v>
      </c>
      <c r="C21" s="451"/>
      <c r="D21" s="552">
        <f>F21/B21</f>
        <v>60.417185943946507</v>
      </c>
      <c r="E21" s="451"/>
      <c r="F21" s="553">
        <v>2123362</v>
      </c>
      <c r="G21" s="451"/>
      <c r="H21" s="557">
        <f>[1]RESULTADO!$H$25</f>
        <v>16.68</v>
      </c>
      <c r="I21" s="451"/>
      <c r="J21" s="558">
        <f>F21*H21</f>
        <v>35417678.159999996</v>
      </c>
      <c r="K21" s="451"/>
      <c r="L21" s="555" t="s">
        <v>1089</v>
      </c>
      <c r="M21" s="402"/>
      <c r="N21" s="554">
        <v>1980</v>
      </c>
      <c r="O21" s="402"/>
      <c r="P21" s="554">
        <f>B21*N21</f>
        <v>69587100</v>
      </c>
    </row>
    <row r="22" spans="2:16">
      <c r="B22" s="229"/>
      <c r="C22" s="229"/>
      <c r="D22" s="229"/>
      <c r="E22" s="229"/>
      <c r="F22" s="229"/>
      <c r="G22" s="229"/>
      <c r="H22" s="229"/>
      <c r="I22" s="229"/>
      <c r="J22" s="229"/>
      <c r="K22" s="229"/>
      <c r="L22" s="229"/>
      <c r="N22" s="229"/>
      <c r="P22" s="229"/>
    </row>
    <row r="23" spans="2:16" s="227" customFormat="1" ht="15.75">
      <c r="B23" s="444" t="s">
        <v>9</v>
      </c>
      <c r="C23" s="443"/>
      <c r="D23" s="443"/>
      <c r="E23" s="443"/>
      <c r="F23" s="443"/>
      <c r="G23" s="443"/>
      <c r="H23" s="443"/>
      <c r="I23" s="443">
        <v>43</v>
      </c>
      <c r="J23" s="443"/>
      <c r="K23" s="443"/>
      <c r="L23" s="443"/>
      <c r="M23" s="443"/>
      <c r="N23" s="443"/>
      <c r="O23" s="443"/>
      <c r="P23" s="443"/>
    </row>
    <row r="24" spans="2:16" s="227" customFormat="1" ht="8.1" customHeight="1">
      <c r="B24" s="381"/>
    </row>
    <row r="25" spans="2:16">
      <c r="B25" s="449" t="s">
        <v>1081</v>
      </c>
      <c r="C25" s="402"/>
      <c r="D25" s="449" t="s">
        <v>1094</v>
      </c>
      <c r="E25" s="402"/>
      <c r="F25" s="449" t="s">
        <v>1095</v>
      </c>
      <c r="G25" s="402"/>
      <c r="H25" s="449" t="s">
        <v>1092</v>
      </c>
      <c r="I25" s="402"/>
      <c r="J25" s="449" t="s">
        <v>1093</v>
      </c>
      <c r="K25" s="402"/>
      <c r="L25" s="449" t="s">
        <v>1086</v>
      </c>
      <c r="M25" s="402"/>
      <c r="N25" s="449" t="s">
        <v>1087</v>
      </c>
      <c r="O25" s="402"/>
      <c r="P25" s="449" t="s">
        <v>1088</v>
      </c>
    </row>
    <row r="26" spans="2:16" ht="8.1" customHeight="1">
      <c r="B26" s="402"/>
      <c r="C26" s="402"/>
      <c r="D26" s="402"/>
      <c r="E26" s="402"/>
      <c r="F26" s="402"/>
      <c r="G26" s="402"/>
      <c r="H26" s="402"/>
      <c r="I26" s="402"/>
      <c r="J26" s="402"/>
      <c r="K26" s="402"/>
      <c r="L26" s="402"/>
      <c r="M26" s="402"/>
      <c r="N26" s="402"/>
      <c r="O26" s="402"/>
      <c r="P26" s="402"/>
    </row>
    <row r="27" spans="2:16">
      <c r="B27" s="553">
        <f>[1]RESUMO!$E$223</f>
        <v>25014.880000000001</v>
      </c>
      <c r="C27" s="451"/>
      <c r="D27" s="552">
        <v>110</v>
      </c>
      <c r="E27" s="451"/>
      <c r="F27" s="553">
        <f>B27*D27</f>
        <v>2751636.8000000003</v>
      </c>
      <c r="G27" s="451"/>
      <c r="H27" s="556">
        <v>22</v>
      </c>
      <c r="I27" s="451"/>
      <c r="J27" s="554">
        <f>(F27*H27)</f>
        <v>60536009.600000009</v>
      </c>
      <c r="K27" s="451"/>
      <c r="L27" s="555" t="s">
        <v>1096</v>
      </c>
      <c r="M27" s="402"/>
      <c r="N27" s="554">
        <v>1100</v>
      </c>
      <c r="O27" s="402"/>
      <c r="P27" s="554">
        <f>B27*N27</f>
        <v>27516368</v>
      </c>
    </row>
    <row r="28" spans="2:16"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N28" s="229"/>
      <c r="P28" s="229"/>
    </row>
    <row r="29" spans="2:16" s="227" customFormat="1" ht="15.75">
      <c r="B29" s="444" t="s">
        <v>1484</v>
      </c>
      <c r="C29" s="443"/>
      <c r="D29" s="443"/>
      <c r="E29" s="443"/>
      <c r="F29" s="443"/>
      <c r="G29" s="443"/>
      <c r="H29" s="443"/>
      <c r="I29" s="443"/>
      <c r="J29" s="443"/>
      <c r="K29" s="443"/>
      <c r="L29" s="443"/>
      <c r="M29" s="443"/>
      <c r="N29" s="443"/>
      <c r="O29" s="443"/>
      <c r="P29" s="443"/>
    </row>
    <row r="30" spans="2:16" s="227" customFormat="1" ht="8.1" customHeight="1">
      <c r="B30" s="381"/>
    </row>
    <row r="31" spans="2:16">
      <c r="B31" s="449" t="s">
        <v>1081</v>
      </c>
      <c r="C31" s="402"/>
      <c r="D31" s="449" t="s">
        <v>1094</v>
      </c>
      <c r="E31" s="402"/>
      <c r="F31" s="449" t="s">
        <v>1095</v>
      </c>
      <c r="G31" s="402"/>
      <c r="H31" s="449" t="s">
        <v>1084</v>
      </c>
      <c r="I31" s="402"/>
      <c r="J31" s="449" t="s">
        <v>1085</v>
      </c>
      <c r="K31" s="402"/>
      <c r="L31" s="449" t="s">
        <v>1086</v>
      </c>
      <c r="M31" s="402"/>
      <c r="N31" s="449" t="s">
        <v>1087</v>
      </c>
      <c r="O31" s="402"/>
      <c r="P31" s="449" t="s">
        <v>1088</v>
      </c>
    </row>
    <row r="32" spans="2:16" ht="8.1" customHeight="1">
      <c r="B32" s="402"/>
      <c r="C32" s="402"/>
      <c r="D32" s="402"/>
      <c r="E32" s="402"/>
      <c r="F32" s="402"/>
      <c r="G32" s="402"/>
      <c r="H32" s="402"/>
      <c r="I32" s="402"/>
      <c r="J32" s="402"/>
      <c r="K32" s="402"/>
      <c r="L32" s="402"/>
      <c r="M32" s="402"/>
      <c r="N32" s="402"/>
      <c r="O32" s="402"/>
      <c r="P32" s="402"/>
    </row>
    <row r="33" spans="2:18">
      <c r="B33" s="553">
        <f>[1]RESUMO!$E$213+[1]RESUMO!$E$218</f>
        <v>6545.5</v>
      </c>
      <c r="C33" s="451"/>
      <c r="D33" s="552">
        <v>40</v>
      </c>
      <c r="E33" s="451"/>
      <c r="F33" s="553">
        <f>D33*B33*0.6</f>
        <v>157092</v>
      </c>
      <c r="G33" s="451"/>
      <c r="H33" s="563">
        <f>[1]RESULTADO!$H$37</f>
        <v>40</v>
      </c>
      <c r="I33" s="451"/>
      <c r="J33" s="554">
        <f>(F33*H33)</f>
        <v>6283680</v>
      </c>
      <c r="K33" s="451"/>
      <c r="L33" s="555" t="s">
        <v>1096</v>
      </c>
      <c r="M33" s="402"/>
      <c r="N33" s="554">
        <v>2800</v>
      </c>
      <c r="O33" s="402"/>
      <c r="P33" s="554">
        <f>B33*N33</f>
        <v>18327400</v>
      </c>
    </row>
    <row r="34" spans="2:18">
      <c r="B34" s="235"/>
      <c r="C34" s="229"/>
      <c r="D34" s="548"/>
      <c r="E34" s="229"/>
      <c r="F34" s="235"/>
      <c r="G34" s="229"/>
      <c r="H34" s="561"/>
      <c r="I34" s="229"/>
      <c r="J34" s="550"/>
      <c r="K34" s="229"/>
      <c r="L34" s="549"/>
      <c r="N34" s="550"/>
      <c r="P34" s="550"/>
    </row>
    <row r="35" spans="2:18" ht="15.75">
      <c r="B35" s="444" t="s">
        <v>1485</v>
      </c>
      <c r="C35" s="443"/>
      <c r="D35" s="443"/>
      <c r="E35" s="443"/>
      <c r="F35" s="443"/>
      <c r="G35" s="443"/>
      <c r="H35" s="443"/>
      <c r="I35" s="443"/>
      <c r="J35" s="443"/>
      <c r="K35" s="443"/>
      <c r="L35" s="443"/>
      <c r="M35" s="443"/>
      <c r="N35" s="443"/>
      <c r="O35" s="443"/>
      <c r="P35" s="443"/>
    </row>
    <row r="36" spans="2:18" ht="18.75">
      <c r="B36" s="381"/>
      <c r="C36" s="227"/>
      <c r="D36" s="227"/>
      <c r="E36" s="227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</row>
    <row r="37" spans="2:18">
      <c r="B37" s="449" t="s">
        <v>1081</v>
      </c>
      <c r="C37" s="402"/>
      <c r="D37" s="449" t="s">
        <v>1094</v>
      </c>
      <c r="E37" s="402"/>
      <c r="F37" s="449" t="s">
        <v>1095</v>
      </c>
      <c r="G37" s="402"/>
      <c r="H37" s="449" t="s">
        <v>1092</v>
      </c>
      <c r="I37" s="402"/>
      <c r="J37" s="449" t="s">
        <v>1093</v>
      </c>
      <c r="K37" s="402"/>
      <c r="L37" s="449" t="s">
        <v>1086</v>
      </c>
      <c r="M37" s="402"/>
      <c r="N37" s="449" t="s">
        <v>1087</v>
      </c>
      <c r="O37" s="402"/>
      <c r="P37" s="449" t="s">
        <v>1088</v>
      </c>
    </row>
    <row r="38" spans="2:18">
      <c r="B38" s="402"/>
      <c r="C38" s="402"/>
      <c r="D38" s="402"/>
      <c r="E38" s="402"/>
      <c r="F38" s="402"/>
      <c r="G38" s="402"/>
      <c r="H38" s="402"/>
      <c r="I38" s="402"/>
      <c r="J38" s="402"/>
      <c r="K38" s="402"/>
      <c r="L38" s="402"/>
      <c r="M38" s="402"/>
      <c r="N38" s="402"/>
      <c r="O38" s="402"/>
      <c r="P38" s="402"/>
    </row>
    <row r="39" spans="2:18">
      <c r="B39" s="553">
        <f>[1]RESUMO!$E$233</f>
        <v>521</v>
      </c>
      <c r="C39" s="451"/>
      <c r="D39" s="552">
        <f>[1]RESULTADO!$D$43</f>
        <v>45</v>
      </c>
      <c r="E39" s="451"/>
      <c r="F39" s="553">
        <f>B39*D39</f>
        <v>23445</v>
      </c>
      <c r="G39" s="451"/>
      <c r="H39" s="564">
        <f>[1]RESULTADO!$H$43</f>
        <v>45</v>
      </c>
      <c r="I39" s="451"/>
      <c r="J39" s="554">
        <f>(F39*H39)</f>
        <v>1055025</v>
      </c>
      <c r="K39" s="451"/>
      <c r="L39" s="555" t="s">
        <v>1096</v>
      </c>
      <c r="M39" s="402"/>
      <c r="N39" s="554">
        <v>1800</v>
      </c>
      <c r="O39" s="402"/>
      <c r="P39" s="554">
        <f>B39*N39</f>
        <v>937800</v>
      </c>
    </row>
    <row r="40" spans="2:18">
      <c r="B40" s="235"/>
      <c r="C40" s="229"/>
      <c r="D40" s="548"/>
      <c r="E40" s="229"/>
      <c r="F40" s="235"/>
      <c r="G40" s="229"/>
      <c r="H40" s="561"/>
      <c r="I40" s="229"/>
      <c r="J40" s="550"/>
      <c r="K40" s="229"/>
      <c r="L40" s="549"/>
      <c r="N40" s="550"/>
      <c r="P40" s="550"/>
    </row>
    <row r="41" spans="2:18" ht="15.75">
      <c r="B41" s="444" t="s">
        <v>5764</v>
      </c>
      <c r="C41" s="443"/>
      <c r="D41" s="443"/>
      <c r="E41" s="443"/>
      <c r="F41" s="443"/>
      <c r="G41" s="443"/>
      <c r="H41" s="443"/>
      <c r="I41" s="443"/>
      <c r="J41" s="443"/>
      <c r="K41" s="443"/>
      <c r="L41" s="443"/>
      <c r="M41" s="443"/>
      <c r="N41" s="443"/>
      <c r="O41" s="443"/>
      <c r="P41" s="443"/>
    </row>
    <row r="42" spans="2:18">
      <c r="B42" s="451"/>
      <c r="C42" s="459"/>
      <c r="D42" s="459"/>
      <c r="E42" s="459"/>
      <c r="F42" s="459"/>
      <c r="G42" s="459"/>
      <c r="H42" s="459"/>
      <c r="I42" s="459"/>
      <c r="J42" s="459"/>
      <c r="K42" s="459"/>
      <c r="L42" s="459"/>
      <c r="M42" s="459"/>
      <c r="N42" s="459"/>
      <c r="O42" s="459"/>
      <c r="P42" s="459"/>
      <c r="Q42" s="402"/>
      <c r="R42" s="402"/>
    </row>
    <row r="43" spans="2:18">
      <c r="B43" s="449" t="s">
        <v>5765</v>
      </c>
      <c r="C43" s="402"/>
      <c r="D43" s="449" t="s">
        <v>5766</v>
      </c>
      <c r="E43" s="402"/>
      <c r="F43" s="449" t="s">
        <v>1083</v>
      </c>
      <c r="G43" s="402"/>
      <c r="H43" s="449" t="s">
        <v>1092</v>
      </c>
      <c r="I43" s="402"/>
      <c r="J43" s="449" t="s">
        <v>1093</v>
      </c>
      <c r="K43" s="402"/>
      <c r="L43" s="449" t="s">
        <v>1086</v>
      </c>
      <c r="M43" s="402"/>
      <c r="N43" s="449" t="s">
        <v>5768</v>
      </c>
      <c r="O43" s="402"/>
      <c r="P43" s="449" t="s">
        <v>1088</v>
      </c>
      <c r="Q43" s="402"/>
      <c r="R43" s="402"/>
    </row>
    <row r="44" spans="2:18">
      <c r="B44" s="402"/>
      <c r="C44" s="402"/>
      <c r="D44" s="402"/>
      <c r="E44" s="402"/>
      <c r="F44" s="402"/>
      <c r="G44" s="402"/>
      <c r="H44" s="402"/>
      <c r="I44" s="402"/>
      <c r="J44" s="402"/>
      <c r="K44" s="402"/>
      <c r="L44" s="402"/>
      <c r="M44" s="402"/>
      <c r="N44" s="402"/>
      <c r="O44" s="402"/>
      <c r="P44" s="402"/>
      <c r="Q44" s="402"/>
      <c r="R44" s="402"/>
    </row>
    <row r="45" spans="2:18">
      <c r="B45" s="553">
        <v>8000</v>
      </c>
      <c r="C45" s="451"/>
      <c r="D45" s="552">
        <v>20</v>
      </c>
      <c r="E45" s="451"/>
      <c r="F45" s="553">
        <f>B45*D45</f>
        <v>160000</v>
      </c>
      <c r="G45" s="451"/>
      <c r="H45" s="564">
        <v>146</v>
      </c>
      <c r="I45" s="451"/>
      <c r="J45" s="554">
        <f>(F45*H45)</f>
        <v>23360000</v>
      </c>
      <c r="K45" s="451"/>
      <c r="L45" s="555" t="s">
        <v>5767</v>
      </c>
      <c r="M45" s="402"/>
      <c r="N45" s="554">
        <f>[1]RESULTADO!$N$49</f>
        <v>2220.1359165779854</v>
      </c>
      <c r="O45" s="402"/>
      <c r="P45" s="554">
        <f>B45*N45</f>
        <v>17761087.332623884</v>
      </c>
      <c r="Q45" s="402"/>
      <c r="R45" s="402"/>
    </row>
    <row r="46" spans="2:18">
      <c r="B46" s="553"/>
      <c r="C46" s="451"/>
      <c r="D46" s="552"/>
      <c r="E46" s="451"/>
      <c r="F46" s="553"/>
      <c r="G46" s="451"/>
      <c r="H46" s="563"/>
      <c r="I46" s="451"/>
      <c r="J46" s="554"/>
      <c r="K46" s="451"/>
      <c r="L46" s="555"/>
      <c r="M46" s="402"/>
      <c r="N46" s="554"/>
      <c r="O46" s="402"/>
      <c r="P46" s="554"/>
      <c r="Q46" s="402"/>
      <c r="R46" s="402"/>
    </row>
    <row r="47" spans="2:18" hidden="1">
      <c r="B47" s="568" t="s">
        <v>5769</v>
      </c>
      <c r="C47" s="568"/>
      <c r="D47" s="568"/>
      <c r="E47" s="568"/>
      <c r="F47" s="568"/>
      <c r="G47" s="568"/>
      <c r="H47" s="568"/>
      <c r="I47" s="568"/>
      <c r="J47" s="568"/>
      <c r="K47" s="568"/>
      <c r="L47" s="568"/>
      <c r="M47" s="568"/>
      <c r="N47" s="568"/>
      <c r="O47" s="568"/>
      <c r="P47" s="568"/>
      <c r="Q47" s="402"/>
      <c r="R47" s="402"/>
    </row>
    <row r="48" spans="2:18" hidden="1">
      <c r="B48" s="451"/>
      <c r="C48" s="459"/>
      <c r="D48" s="459"/>
      <c r="E48" s="459"/>
      <c r="F48" s="459"/>
      <c r="G48" s="459"/>
      <c r="H48" s="459"/>
      <c r="I48" s="459"/>
      <c r="J48" s="459"/>
      <c r="K48" s="459"/>
      <c r="L48" s="459"/>
      <c r="M48" s="459"/>
      <c r="N48" s="459"/>
      <c r="O48" s="459"/>
      <c r="P48" s="459"/>
      <c r="Q48" s="402"/>
      <c r="R48" s="402"/>
    </row>
    <row r="49" spans="2:18" hidden="1">
      <c r="B49" s="449" t="s">
        <v>1081</v>
      </c>
      <c r="C49" s="402"/>
      <c r="D49" s="449" t="s">
        <v>1094</v>
      </c>
      <c r="E49" s="402"/>
      <c r="F49" s="449" t="s">
        <v>1095</v>
      </c>
      <c r="G49" s="402"/>
      <c r="H49" s="449" t="s">
        <v>1092</v>
      </c>
      <c r="I49" s="402"/>
      <c r="J49" s="449" t="s">
        <v>1093</v>
      </c>
      <c r="K49" s="402"/>
      <c r="L49" s="449" t="s">
        <v>1086</v>
      </c>
      <c r="M49" s="402"/>
      <c r="N49" s="449" t="s">
        <v>1087</v>
      </c>
      <c r="O49" s="402"/>
      <c r="P49" s="449" t="s">
        <v>1088</v>
      </c>
      <c r="Q49" s="402"/>
      <c r="R49" s="402"/>
    </row>
    <row r="50" spans="2:18" hidden="1">
      <c r="B50" s="402"/>
      <c r="C50" s="402"/>
      <c r="D50" s="402"/>
      <c r="E50" s="402"/>
      <c r="F50" s="402"/>
      <c r="G50" s="402"/>
      <c r="H50" s="402"/>
      <c r="I50" s="402"/>
      <c r="J50" s="402"/>
      <c r="K50" s="402"/>
      <c r="L50" s="402"/>
      <c r="M50" s="402"/>
      <c r="N50" s="402"/>
      <c r="O50" s="402"/>
      <c r="P50" s="402"/>
      <c r="Q50" s="402"/>
      <c r="R50" s="402"/>
    </row>
    <row r="51" spans="2:18" hidden="1">
      <c r="B51" s="553">
        <v>400</v>
      </c>
      <c r="C51" s="451"/>
      <c r="D51" s="552">
        <v>0</v>
      </c>
      <c r="E51" s="451"/>
      <c r="F51" s="553">
        <f>B51*D51</f>
        <v>0</v>
      </c>
      <c r="G51" s="451"/>
      <c r="H51" s="564">
        <v>0</v>
      </c>
      <c r="I51" s="451"/>
      <c r="J51" s="554">
        <f>(F51*H51)</f>
        <v>0</v>
      </c>
      <c r="K51" s="451"/>
      <c r="L51" s="555" t="s">
        <v>5770</v>
      </c>
      <c r="M51" s="402"/>
      <c r="N51" s="554">
        <v>2891</v>
      </c>
      <c r="O51" s="402"/>
      <c r="P51" s="554">
        <v>0</v>
      </c>
      <c r="Q51" s="402"/>
      <c r="R51" s="402"/>
    </row>
    <row r="52" spans="2:18">
      <c r="B52" s="552"/>
      <c r="C52" s="451"/>
      <c r="D52" s="552"/>
      <c r="E52" s="451"/>
      <c r="F52" s="553"/>
      <c r="G52" s="451"/>
      <c r="H52" s="554"/>
      <c r="I52" s="451"/>
      <c r="J52" s="554"/>
      <c r="K52" s="451"/>
      <c r="L52" s="555"/>
      <c r="M52" s="402"/>
      <c r="N52" s="554"/>
      <c r="O52" s="402"/>
      <c r="P52" s="554"/>
      <c r="Q52" s="402"/>
      <c r="R52" s="402"/>
    </row>
    <row r="53" spans="2:18">
      <c r="B53" s="446" t="s">
        <v>1103</v>
      </c>
      <c r="C53" s="447"/>
      <c r="D53" s="448">
        <v>3.7</v>
      </c>
      <c r="E53" s="451"/>
      <c r="F53" s="451"/>
      <c r="G53" s="460"/>
      <c r="H53" s="460" t="s">
        <v>1104</v>
      </c>
      <c r="I53" s="460"/>
      <c r="J53" s="461">
        <f>(J33+J21+J9)*D53+J51+J27+J15+J39+J45</f>
        <v>314232515.792</v>
      </c>
      <c r="K53" s="461"/>
      <c r="L53" s="460"/>
      <c r="M53" s="460"/>
      <c r="N53" s="460"/>
      <c r="O53" s="460"/>
      <c r="P53" s="461">
        <f>P51+P33+P27+P9+P21+P39+P45</f>
        <v>190060528.68534642</v>
      </c>
      <c r="Q53" s="402"/>
      <c r="R53" s="402"/>
    </row>
    <row r="54" spans="2:18">
      <c r="B54" s="451"/>
      <c r="C54" s="459"/>
      <c r="D54" s="459"/>
      <c r="E54" s="459"/>
      <c r="F54" s="459"/>
      <c r="G54" s="565"/>
      <c r="H54" s="566"/>
      <c r="I54" s="566"/>
      <c r="J54" s="566"/>
      <c r="K54" s="566"/>
      <c r="L54" s="566"/>
      <c r="M54" s="566"/>
      <c r="N54" s="566"/>
      <c r="O54" s="566"/>
      <c r="P54" s="566"/>
      <c r="Q54" s="402"/>
      <c r="R54" s="402"/>
    </row>
    <row r="55" spans="2:18" s="227" customFormat="1">
      <c r="B55" s="552"/>
      <c r="C55" s="451"/>
      <c r="D55" s="552"/>
      <c r="E55" s="451"/>
      <c r="F55" s="553"/>
      <c r="G55" s="460"/>
      <c r="H55" s="460" t="s">
        <v>1105</v>
      </c>
      <c r="I55" s="460"/>
      <c r="J55" s="461">
        <f>J53-P53</f>
        <v>124171987.10665357</v>
      </c>
      <c r="K55" s="461"/>
      <c r="L55" s="560">
        <f>J55/J53</f>
        <v>0.39515957409336583</v>
      </c>
      <c r="M55" s="567"/>
      <c r="N55" s="567"/>
      <c r="O55" s="567"/>
      <c r="P55" s="567"/>
      <c r="Q55" s="459"/>
      <c r="R55" s="459"/>
    </row>
    <row r="56" spans="2:18" s="227" customFormat="1" ht="8.1" customHeight="1">
      <c r="B56" s="451"/>
      <c r="C56" s="459"/>
      <c r="D56" s="459"/>
      <c r="E56" s="459"/>
      <c r="F56" s="459"/>
      <c r="G56" s="565"/>
      <c r="H56" s="566"/>
      <c r="I56" s="566"/>
      <c r="J56" s="566"/>
      <c r="K56" s="566"/>
      <c r="L56" s="566"/>
      <c r="M56" s="566"/>
      <c r="N56" s="566"/>
      <c r="O56" s="566"/>
      <c r="P56" s="566"/>
      <c r="Q56" s="459"/>
      <c r="R56" s="459"/>
    </row>
    <row r="57" spans="2:18">
      <c r="B57" s="402"/>
      <c r="C57" s="402"/>
      <c r="D57" s="402"/>
      <c r="E57" s="402"/>
      <c r="F57" s="402"/>
      <c r="G57" s="402"/>
      <c r="H57" s="402"/>
      <c r="I57" s="402"/>
      <c r="J57" s="402"/>
      <c r="K57" s="402"/>
      <c r="L57" s="402"/>
      <c r="M57" s="402"/>
      <c r="N57" s="402"/>
      <c r="O57" s="402"/>
      <c r="P57" s="402"/>
      <c r="Q57" s="402"/>
      <c r="R57" s="402"/>
    </row>
    <row r="58" spans="2:18">
      <c r="B58" s="402"/>
      <c r="C58" s="402"/>
      <c r="D58" s="402"/>
      <c r="E58" s="402"/>
      <c r="F58" s="402"/>
      <c r="G58" s="402"/>
      <c r="H58" s="402"/>
      <c r="I58" s="402"/>
      <c r="J58" s="402"/>
      <c r="K58" s="402"/>
      <c r="L58" s="402"/>
      <c r="M58" s="402"/>
      <c r="N58" s="402"/>
      <c r="O58" s="402"/>
      <c r="P58" s="402"/>
      <c r="Q58" s="402"/>
      <c r="R58" s="402"/>
    </row>
    <row r="59" spans="2:18">
      <c r="B59" s="402"/>
      <c r="C59" s="402"/>
      <c r="D59" s="402"/>
      <c r="E59" s="402"/>
      <c r="F59" s="402"/>
      <c r="G59" s="402"/>
      <c r="H59" s="402"/>
      <c r="I59" s="402"/>
      <c r="J59" s="402"/>
      <c r="K59" s="402"/>
      <c r="L59" s="402"/>
      <c r="M59" s="402"/>
      <c r="N59" s="402"/>
      <c r="O59" s="402"/>
      <c r="P59" s="402"/>
      <c r="Q59" s="402"/>
      <c r="R59" s="402"/>
    </row>
    <row r="60" spans="2:18">
      <c r="B60" s="402"/>
      <c r="C60" s="402"/>
      <c r="D60" s="402"/>
      <c r="E60" s="402"/>
      <c r="F60" s="402"/>
      <c r="G60" s="402"/>
      <c r="H60" s="402"/>
      <c r="I60" s="402"/>
      <c r="J60" s="402"/>
      <c r="K60" s="402"/>
      <c r="L60" s="402"/>
      <c r="M60" s="402"/>
      <c r="N60" s="402"/>
      <c r="O60" s="402"/>
      <c r="P60" s="402"/>
      <c r="Q60" s="402"/>
      <c r="R60" s="402"/>
    </row>
    <row r="61" spans="2:18">
      <c r="B61" s="402"/>
      <c r="C61" s="402"/>
      <c r="D61" s="402"/>
      <c r="E61" s="402"/>
      <c r="F61" s="552"/>
      <c r="G61" s="402"/>
      <c r="H61" s="552"/>
      <c r="I61" s="402"/>
      <c r="J61" s="552"/>
      <c r="K61" s="402"/>
      <c r="L61" s="402"/>
      <c r="M61" s="402"/>
      <c r="N61" s="402"/>
      <c r="O61" s="402"/>
      <c r="P61" s="402"/>
      <c r="Q61" s="402"/>
      <c r="R61" s="402"/>
    </row>
    <row r="66" ht="5.25" customHeight="1"/>
    <row r="67" hidden="1"/>
    <row r="68" hidden="1"/>
    <row r="69" hidden="1"/>
    <row r="70" hidden="1"/>
    <row r="79" hidden="1"/>
    <row r="80" hidden="1"/>
    <row r="81" spans="2:12" hidden="1">
      <c r="H81" s="399"/>
    </row>
    <row r="87" spans="2:12">
      <c r="B87" s="225" t="s">
        <v>98</v>
      </c>
      <c r="C87" s="225" t="s">
        <v>6987</v>
      </c>
      <c r="D87" s="399">
        <v>42425</v>
      </c>
      <c r="E87" s="399">
        <v>42663</v>
      </c>
      <c r="F87" s="225" t="s">
        <v>22</v>
      </c>
      <c r="H87" s="225">
        <v>0</v>
      </c>
      <c r="I87" s="225">
        <v>18352</v>
      </c>
      <c r="J87" s="225">
        <v>0</v>
      </c>
      <c r="K87" s="225">
        <v>0</v>
      </c>
      <c r="L87" s="225">
        <v>0</v>
      </c>
    </row>
    <row r="103" spans="4:5" ht="6" customHeight="1"/>
    <row r="105" spans="4:5" ht="16.5" customHeight="1">
      <c r="D105" s="399"/>
      <c r="E105" s="399"/>
    </row>
    <row r="106" spans="4:5" ht="9" customHeight="1"/>
  </sheetData>
  <pageMargins left="0.34" right="0.25" top="0.75" bottom="0.75" header="0.3" footer="0.3"/>
  <pageSetup paperSize="9" scale="53" fitToHeight="0" orientation="portrait" horizontalDpi="200" verticalDpi="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P106"/>
  <sheetViews>
    <sheetView tabSelected="1" topLeftCell="A7" workbookViewId="0">
      <selection activeCell="D54" sqref="D54"/>
    </sheetView>
  </sheetViews>
  <sheetFormatPr defaultRowHeight="15"/>
  <cols>
    <col min="1" max="1" width="1.7109375" style="225" customWidth="1"/>
    <col min="2" max="2" width="27.140625" style="225" customWidth="1"/>
    <col min="3" max="3" width="1.7109375" style="225" customWidth="1"/>
    <col min="4" max="4" width="19.140625" style="225" customWidth="1"/>
    <col min="5" max="5" width="1.7109375" style="225" customWidth="1"/>
    <col min="6" max="6" width="14.7109375" style="225" customWidth="1"/>
    <col min="7" max="7" width="1.7109375" style="225" customWidth="1"/>
    <col min="8" max="8" width="19.42578125" style="225" customWidth="1"/>
    <col min="9" max="9" width="1.7109375" style="225" customWidth="1"/>
    <col min="10" max="10" width="27.85546875" style="225" customWidth="1"/>
    <col min="11" max="11" width="1.7109375" style="225" customWidth="1"/>
    <col min="12" max="12" width="12.42578125" style="225" customWidth="1"/>
    <col min="13" max="13" width="1.7109375" style="225" customWidth="1"/>
    <col min="14" max="14" width="21.42578125" style="225" customWidth="1"/>
    <col min="15" max="15" width="1.7109375" style="225" customWidth="1"/>
    <col min="16" max="16" width="25.140625" style="225" customWidth="1"/>
    <col min="17" max="17" width="1.5703125" style="225" customWidth="1"/>
    <col min="18" max="16384" width="9.140625" style="225"/>
  </cols>
  <sheetData>
    <row r="1" spans="2:16" ht="18.75">
      <c r="D1" s="293" t="s">
        <v>6773</v>
      </c>
    </row>
    <row r="2" spans="2:16" s="227" customFormat="1" ht="18.75">
      <c r="B2" s="381"/>
      <c r="D2" s="299" t="s">
        <v>8157</v>
      </c>
    </row>
    <row r="3" spans="2:16" s="227" customFormat="1">
      <c r="B3" s="229"/>
    </row>
    <row r="4" spans="2:16" s="227" customFormat="1">
      <c r="B4" s="229"/>
    </row>
    <row r="5" spans="2:16" s="227" customFormat="1" ht="15.75">
      <c r="B5" s="464" t="s">
        <v>1080</v>
      </c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</row>
    <row r="6" spans="2:16" s="227" customFormat="1" ht="8.1" customHeight="1">
      <c r="B6" s="381"/>
    </row>
    <row r="7" spans="2:16">
      <c r="B7" s="449" t="s">
        <v>1081</v>
      </c>
      <c r="C7" s="402"/>
      <c r="D7" s="449" t="s">
        <v>1082</v>
      </c>
      <c r="E7" s="402"/>
      <c r="F7" s="449" t="s">
        <v>1083</v>
      </c>
      <c r="G7" s="402"/>
      <c r="H7" s="449" t="s">
        <v>1084</v>
      </c>
      <c r="I7" s="402"/>
      <c r="J7" s="449" t="s">
        <v>1085</v>
      </c>
      <c r="K7" s="402"/>
      <c r="L7" s="449" t="s">
        <v>1086</v>
      </c>
      <c r="M7" s="402"/>
      <c r="N7" s="449" t="s">
        <v>1087</v>
      </c>
      <c r="O7" s="402"/>
      <c r="P7" s="449" t="s">
        <v>1088</v>
      </c>
    </row>
    <row r="8" spans="2:16" ht="8.1" customHeight="1">
      <c r="B8" s="402"/>
      <c r="C8" s="402"/>
      <c r="D8" s="402"/>
      <c r="E8" s="402"/>
      <c r="F8" s="402"/>
      <c r="G8" s="402"/>
      <c r="H8" s="402"/>
      <c r="I8" s="402"/>
      <c r="J8" s="402"/>
      <c r="K8" s="402"/>
      <c r="L8" s="402"/>
      <c r="M8" s="402"/>
      <c r="N8" s="402"/>
      <c r="O8" s="402"/>
      <c r="P8" s="402"/>
    </row>
    <row r="9" spans="2:16">
      <c r="B9" s="553">
        <v>6000</v>
      </c>
      <c r="C9" s="451"/>
      <c r="D9" s="552">
        <f>[1]RESULTADO!$D$13</f>
        <v>115</v>
      </c>
      <c r="E9" s="451"/>
      <c r="F9" s="553">
        <f>B9*D9</f>
        <v>690000</v>
      </c>
      <c r="G9" s="451"/>
      <c r="H9" s="557">
        <v>22</v>
      </c>
      <c r="I9" s="451"/>
      <c r="J9" s="558">
        <f>F9*H9</f>
        <v>15180000</v>
      </c>
      <c r="K9" s="451"/>
      <c r="L9" s="555" t="s">
        <v>1089</v>
      </c>
      <c r="M9" s="402"/>
      <c r="N9" s="554">
        <v>7500</v>
      </c>
      <c r="O9" s="402"/>
      <c r="P9" s="554">
        <f>B9*N9</f>
        <v>45000000</v>
      </c>
    </row>
    <row r="10" spans="2:16">
      <c r="B10" s="229"/>
      <c r="C10" s="229"/>
      <c r="D10" s="229"/>
      <c r="E10" s="229"/>
      <c r="F10" s="229"/>
      <c r="G10" s="229"/>
      <c r="H10" s="229"/>
      <c r="I10" s="229"/>
      <c r="J10" s="229"/>
      <c r="K10" s="229"/>
      <c r="L10" s="229"/>
      <c r="N10" s="229"/>
      <c r="P10" s="229"/>
    </row>
    <row r="11" spans="2:16" s="227" customFormat="1" ht="15.75">
      <c r="B11" s="444" t="s">
        <v>846</v>
      </c>
      <c r="C11" s="444"/>
      <c r="D11" s="444"/>
      <c r="E11" s="444"/>
      <c r="F11" s="444"/>
      <c r="G11" s="444"/>
      <c r="H11" s="444"/>
      <c r="I11" s="444"/>
      <c r="J11" s="444"/>
      <c r="K11" s="444"/>
      <c r="L11" s="444"/>
      <c r="M11" s="444"/>
      <c r="N11" s="444"/>
      <c r="O11" s="444"/>
      <c r="P11" s="444"/>
    </row>
    <row r="12" spans="2:16" s="227" customFormat="1" ht="8.1" customHeight="1">
      <c r="B12" s="381"/>
    </row>
    <row r="13" spans="2:16">
      <c r="B13" s="449" t="s">
        <v>1081</v>
      </c>
      <c r="C13" s="402"/>
      <c r="D13" s="449" t="s">
        <v>1090</v>
      </c>
      <c r="E13" s="402"/>
      <c r="F13" s="449" t="s">
        <v>1091</v>
      </c>
      <c r="G13" s="402"/>
      <c r="H13" s="449" t="s">
        <v>1092</v>
      </c>
      <c r="I13" s="402"/>
      <c r="J13" s="449" t="s">
        <v>1093</v>
      </c>
      <c r="K13" s="402"/>
      <c r="L13" s="449" t="s">
        <v>1086</v>
      </c>
      <c r="M13" s="402"/>
      <c r="N13" s="449" t="s">
        <v>1087</v>
      </c>
      <c r="O13" s="402"/>
      <c r="P13" s="449" t="s">
        <v>1088</v>
      </c>
    </row>
    <row r="14" spans="2:16" ht="8.1" customHeight="1">
      <c r="B14" s="402"/>
      <c r="C14" s="402"/>
      <c r="D14" s="402"/>
      <c r="E14" s="402"/>
      <c r="F14" s="402"/>
      <c r="G14" s="402"/>
      <c r="H14" s="402"/>
      <c r="I14" s="402"/>
      <c r="J14" s="402"/>
      <c r="K14" s="402"/>
      <c r="L14" s="402"/>
      <c r="M14" s="402"/>
      <c r="N14" s="402"/>
      <c r="O14" s="402"/>
      <c r="P14" s="402"/>
    </row>
    <row r="15" spans="2:16">
      <c r="B15" s="553">
        <f>B9</f>
        <v>6000</v>
      </c>
      <c r="C15" s="451"/>
      <c r="D15" s="552">
        <f>[1]RESULTADO!$D$19</f>
        <v>2250</v>
      </c>
      <c r="E15" s="451"/>
      <c r="F15" s="553">
        <f>B15*D15</f>
        <v>13500000</v>
      </c>
      <c r="G15" s="451"/>
      <c r="H15" s="554">
        <f>[1]RESULTADO!$H$19</f>
        <v>420</v>
      </c>
      <c r="I15" s="451"/>
      <c r="J15" s="554">
        <f>(F15*H15)/1000</f>
        <v>5670000</v>
      </c>
      <c r="K15" s="451"/>
      <c r="L15" s="555"/>
      <c r="M15" s="402"/>
      <c r="N15" s="554"/>
      <c r="O15" s="402"/>
      <c r="P15" s="554"/>
    </row>
    <row r="16" spans="2:16">
      <c r="B16" s="229"/>
      <c r="C16" s="229"/>
      <c r="D16" s="229"/>
      <c r="E16" s="229"/>
      <c r="F16" s="229"/>
      <c r="G16" s="229"/>
      <c r="H16" s="229"/>
      <c r="I16" s="229"/>
      <c r="J16" s="229"/>
      <c r="K16" s="229"/>
      <c r="L16" s="229"/>
      <c r="N16" s="229"/>
      <c r="P16" s="229"/>
    </row>
    <row r="17" spans="2:16" s="227" customFormat="1" ht="15.75">
      <c r="B17" s="444" t="s">
        <v>8</v>
      </c>
      <c r="C17" s="443"/>
      <c r="D17" s="443"/>
      <c r="E17" s="443"/>
      <c r="F17" s="443"/>
      <c r="G17" s="443"/>
      <c r="H17" s="443"/>
      <c r="I17" s="443"/>
      <c r="J17" s="443"/>
      <c r="K17" s="443"/>
      <c r="L17" s="443"/>
      <c r="M17" s="443"/>
      <c r="N17" s="443"/>
      <c r="O17" s="443"/>
      <c r="P17" s="443"/>
    </row>
    <row r="18" spans="2:16" s="227" customFormat="1" ht="8.1" customHeight="1">
      <c r="B18" s="381"/>
    </row>
    <row r="19" spans="2:16">
      <c r="B19" s="449" t="s">
        <v>1081</v>
      </c>
      <c r="C19" s="402"/>
      <c r="D19" s="449" t="s">
        <v>1094</v>
      </c>
      <c r="E19" s="402"/>
      <c r="F19" s="449" t="s">
        <v>1095</v>
      </c>
      <c r="G19" s="402"/>
      <c r="H19" s="449" t="s">
        <v>1084</v>
      </c>
      <c r="I19" s="402"/>
      <c r="J19" s="449" t="s">
        <v>1085</v>
      </c>
      <c r="K19" s="402"/>
      <c r="L19" s="449" t="s">
        <v>1086</v>
      </c>
      <c r="M19" s="402"/>
      <c r="N19" s="449" t="s">
        <v>1087</v>
      </c>
      <c r="O19" s="402"/>
      <c r="P19" s="449" t="s">
        <v>1088</v>
      </c>
    </row>
    <row r="20" spans="2:16" ht="8.1" customHeight="1">
      <c r="B20" s="402"/>
      <c r="C20" s="402"/>
      <c r="D20" s="402"/>
      <c r="E20" s="402"/>
      <c r="F20" s="402"/>
      <c r="G20" s="402"/>
      <c r="H20" s="402"/>
      <c r="I20" s="402"/>
      <c r="J20" s="402"/>
      <c r="K20" s="402"/>
      <c r="L20" s="402"/>
      <c r="M20" s="402"/>
      <c r="N20" s="402"/>
      <c r="O20" s="402"/>
      <c r="P20" s="402"/>
    </row>
    <row r="21" spans="2:16">
      <c r="B21" s="553">
        <v>37000</v>
      </c>
      <c r="C21" s="451"/>
      <c r="D21" s="552">
        <v>55</v>
      </c>
      <c r="E21" s="451"/>
      <c r="F21" s="553">
        <f>B21*D21</f>
        <v>2035000</v>
      </c>
      <c r="G21" s="451"/>
      <c r="H21" s="557">
        <v>17</v>
      </c>
      <c r="I21" s="451"/>
      <c r="J21" s="558">
        <f>F21*H21</f>
        <v>34595000</v>
      </c>
      <c r="K21" s="451"/>
      <c r="L21" s="555" t="s">
        <v>1089</v>
      </c>
      <c r="M21" s="402"/>
      <c r="N21" s="554">
        <v>2180</v>
      </c>
      <c r="O21" s="402"/>
      <c r="P21" s="554">
        <f>B21*N21</f>
        <v>80660000</v>
      </c>
    </row>
    <row r="22" spans="2:16">
      <c r="B22" s="229"/>
      <c r="C22" s="229"/>
      <c r="D22" s="229"/>
      <c r="E22" s="229"/>
      <c r="F22" s="229"/>
      <c r="G22" s="229"/>
      <c r="H22" s="229"/>
      <c r="I22" s="229"/>
      <c r="J22" s="229"/>
      <c r="K22" s="229"/>
      <c r="L22" s="229"/>
      <c r="N22" s="229"/>
      <c r="P22" s="229"/>
    </row>
    <row r="23" spans="2:16" s="227" customFormat="1" ht="15.75">
      <c r="B23" s="444" t="s">
        <v>9</v>
      </c>
      <c r="C23" s="443"/>
      <c r="D23" s="443"/>
      <c r="E23" s="443"/>
      <c r="F23" s="443"/>
      <c r="G23" s="443"/>
      <c r="H23" s="443"/>
      <c r="I23" s="443">
        <v>43</v>
      </c>
      <c r="J23" s="443"/>
      <c r="K23" s="443"/>
      <c r="L23" s="443"/>
      <c r="M23" s="443"/>
      <c r="N23" s="443"/>
      <c r="O23" s="443"/>
      <c r="P23" s="443"/>
    </row>
    <row r="24" spans="2:16" s="227" customFormat="1" ht="8.1" customHeight="1">
      <c r="B24" s="381"/>
    </row>
    <row r="25" spans="2:16">
      <c r="B25" s="449" t="s">
        <v>1081</v>
      </c>
      <c r="C25" s="402"/>
      <c r="D25" s="449" t="s">
        <v>1094</v>
      </c>
      <c r="E25" s="402"/>
      <c r="F25" s="449" t="s">
        <v>1095</v>
      </c>
      <c r="G25" s="402"/>
      <c r="H25" s="449" t="s">
        <v>1092</v>
      </c>
      <c r="I25" s="402"/>
      <c r="J25" s="449" t="s">
        <v>1093</v>
      </c>
      <c r="K25" s="402"/>
      <c r="L25" s="449" t="s">
        <v>1086</v>
      </c>
      <c r="M25" s="402"/>
      <c r="N25" s="449" t="s">
        <v>1087</v>
      </c>
      <c r="O25" s="402"/>
      <c r="P25" s="449" t="s">
        <v>1088</v>
      </c>
    </row>
    <row r="26" spans="2:16" ht="8.1" customHeight="1">
      <c r="B26" s="402"/>
      <c r="C26" s="402"/>
      <c r="D26" s="402"/>
      <c r="E26" s="402"/>
      <c r="F26" s="402"/>
      <c r="G26" s="402"/>
      <c r="H26" s="402"/>
      <c r="I26" s="402"/>
      <c r="J26" s="402"/>
      <c r="K26" s="402"/>
      <c r="L26" s="402"/>
      <c r="M26" s="402"/>
      <c r="N26" s="402"/>
      <c r="O26" s="402"/>
      <c r="P26" s="402"/>
    </row>
    <row r="27" spans="2:16">
      <c r="B27" s="553">
        <v>22000</v>
      </c>
      <c r="C27" s="451"/>
      <c r="D27" s="552">
        <v>110</v>
      </c>
      <c r="E27" s="451"/>
      <c r="F27" s="553">
        <f>B27*D27</f>
        <v>2420000</v>
      </c>
      <c r="G27" s="451"/>
      <c r="H27" s="556">
        <v>21</v>
      </c>
      <c r="I27" s="451"/>
      <c r="J27" s="554">
        <f>(F27*H27)</f>
        <v>50820000</v>
      </c>
      <c r="K27" s="451"/>
      <c r="L27" s="555" t="s">
        <v>1096</v>
      </c>
      <c r="M27" s="402"/>
      <c r="N27" s="554">
        <v>1100</v>
      </c>
      <c r="O27" s="402"/>
      <c r="P27" s="554">
        <f>B27*N27</f>
        <v>24200000</v>
      </c>
    </row>
    <row r="28" spans="2:16"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N28" s="229"/>
      <c r="P28" s="229"/>
    </row>
    <row r="29" spans="2:16" s="227" customFormat="1" ht="15.75">
      <c r="B29" s="444" t="s">
        <v>1484</v>
      </c>
      <c r="C29" s="443"/>
      <c r="D29" s="443"/>
      <c r="E29" s="443"/>
      <c r="F29" s="443"/>
      <c r="G29" s="443"/>
      <c r="H29" s="443"/>
      <c r="I29" s="443"/>
      <c r="J29" s="443"/>
      <c r="K29" s="443"/>
      <c r="L29" s="443"/>
      <c r="M29" s="443"/>
      <c r="N29" s="443"/>
      <c r="O29" s="443"/>
      <c r="P29" s="443"/>
    </row>
    <row r="30" spans="2:16" s="227" customFormat="1" ht="8.1" customHeight="1">
      <c r="B30" s="381"/>
    </row>
    <row r="31" spans="2:16">
      <c r="B31" s="449" t="s">
        <v>1081</v>
      </c>
      <c r="C31" s="402"/>
      <c r="D31" s="449" t="s">
        <v>1094</v>
      </c>
      <c r="E31" s="402"/>
      <c r="F31" s="449" t="s">
        <v>1095</v>
      </c>
      <c r="G31" s="402"/>
      <c r="H31" s="449" t="s">
        <v>1084</v>
      </c>
      <c r="I31" s="402"/>
      <c r="J31" s="449" t="s">
        <v>1085</v>
      </c>
      <c r="K31" s="402"/>
      <c r="L31" s="449" t="s">
        <v>1086</v>
      </c>
      <c r="M31" s="402"/>
      <c r="N31" s="449" t="s">
        <v>1087</v>
      </c>
      <c r="O31" s="402"/>
      <c r="P31" s="449" t="s">
        <v>1088</v>
      </c>
    </row>
    <row r="32" spans="2:16" ht="8.1" customHeight="1">
      <c r="B32" s="402"/>
      <c r="C32" s="402"/>
      <c r="D32" s="402"/>
      <c r="E32" s="402"/>
      <c r="F32" s="402"/>
      <c r="G32" s="402"/>
      <c r="H32" s="402"/>
      <c r="I32" s="402"/>
      <c r="J32" s="402"/>
      <c r="K32" s="402"/>
      <c r="L32" s="402"/>
      <c r="M32" s="402"/>
      <c r="N32" s="402"/>
      <c r="O32" s="402"/>
      <c r="P32" s="402"/>
    </row>
    <row r="33" spans="2:16">
      <c r="B33" s="553">
        <v>4500</v>
      </c>
      <c r="C33" s="451"/>
      <c r="D33" s="552">
        <f>[1]RESULTADO!$D$37</f>
        <v>45</v>
      </c>
      <c r="E33" s="451"/>
      <c r="F33" s="553">
        <f>D33*B33*0.8</f>
        <v>162000</v>
      </c>
      <c r="G33" s="451"/>
      <c r="H33" s="563">
        <f>[1]RESULTADO!$H$37</f>
        <v>40</v>
      </c>
      <c r="I33" s="451"/>
      <c r="J33" s="554">
        <f>(F33*H33)</f>
        <v>6480000</v>
      </c>
      <c r="K33" s="451"/>
      <c r="L33" s="555" t="s">
        <v>1096</v>
      </c>
      <c r="M33" s="402"/>
      <c r="N33" s="554">
        <v>2800</v>
      </c>
      <c r="O33" s="402"/>
      <c r="P33" s="554">
        <f>B33*N33</f>
        <v>12600000</v>
      </c>
    </row>
    <row r="34" spans="2:16">
      <c r="B34" s="235"/>
      <c r="C34" s="229"/>
      <c r="D34" s="548"/>
      <c r="E34" s="229"/>
      <c r="F34" s="235"/>
      <c r="G34" s="229"/>
      <c r="H34" s="561"/>
      <c r="I34" s="229"/>
      <c r="J34" s="550"/>
      <c r="K34" s="229"/>
      <c r="L34" s="549"/>
      <c r="N34" s="550"/>
      <c r="P34" s="550"/>
    </row>
    <row r="35" spans="2:16" ht="15.75" hidden="1">
      <c r="B35" s="443" t="s">
        <v>1485</v>
      </c>
      <c r="C35" s="443"/>
      <c r="D35" s="443"/>
      <c r="E35" s="443"/>
      <c r="F35" s="443"/>
      <c r="G35" s="443"/>
      <c r="H35" s="443"/>
      <c r="I35" s="443"/>
      <c r="J35" s="443"/>
      <c r="K35" s="443"/>
      <c r="L35" s="443"/>
      <c r="M35" s="443"/>
      <c r="N35" s="443"/>
      <c r="O35" s="443"/>
      <c r="P35" s="443"/>
    </row>
    <row r="36" spans="2:16" ht="18.75" hidden="1">
      <c r="B36" s="381"/>
      <c r="C36" s="227"/>
      <c r="D36" s="227"/>
      <c r="E36" s="227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</row>
    <row r="37" spans="2:16" hidden="1">
      <c r="B37" s="441" t="s">
        <v>1081</v>
      </c>
      <c r="D37" s="441" t="s">
        <v>1094</v>
      </c>
      <c r="F37" s="441" t="s">
        <v>1095</v>
      </c>
      <c r="H37" s="441" t="s">
        <v>1092</v>
      </c>
      <c r="J37" s="441" t="s">
        <v>1093</v>
      </c>
      <c r="L37" s="441" t="s">
        <v>1086</v>
      </c>
      <c r="N37" s="441" t="s">
        <v>1087</v>
      </c>
      <c r="P37" s="441" t="s">
        <v>1088</v>
      </c>
    </row>
    <row r="38" spans="2:16" hidden="1"/>
    <row r="39" spans="2:16" hidden="1">
      <c r="B39" s="235"/>
      <c r="C39" s="229"/>
      <c r="D39" s="548"/>
      <c r="E39" s="229"/>
      <c r="F39" s="235"/>
      <c r="G39" s="229"/>
      <c r="H39" s="562"/>
      <c r="I39" s="229"/>
      <c r="J39" s="550"/>
      <c r="K39" s="229"/>
      <c r="L39" s="549"/>
      <c r="N39" s="550"/>
      <c r="P39" s="550"/>
    </row>
    <row r="40" spans="2:16" hidden="1">
      <c r="B40" s="235"/>
      <c r="C40" s="229"/>
      <c r="D40" s="548"/>
      <c r="E40" s="229"/>
      <c r="F40" s="235"/>
      <c r="G40" s="229"/>
      <c r="H40" s="561"/>
      <c r="I40" s="229"/>
      <c r="J40" s="550"/>
      <c r="K40" s="229"/>
      <c r="L40" s="549"/>
      <c r="N40" s="550"/>
      <c r="P40" s="550"/>
    </row>
    <row r="41" spans="2:16" ht="15.75">
      <c r="B41" s="444" t="s">
        <v>5764</v>
      </c>
      <c r="C41" s="443"/>
      <c r="D41" s="443"/>
      <c r="E41" s="443"/>
      <c r="F41" s="443"/>
      <c r="G41" s="443"/>
      <c r="H41" s="443"/>
      <c r="I41" s="443"/>
      <c r="J41" s="443"/>
      <c r="K41" s="443"/>
      <c r="L41" s="443"/>
      <c r="M41" s="443"/>
      <c r="N41" s="443"/>
      <c r="O41" s="443"/>
      <c r="P41" s="443"/>
    </row>
    <row r="42" spans="2:16" ht="18.75">
      <c r="B42" s="381"/>
      <c r="C42" s="227"/>
      <c r="D42" s="227"/>
      <c r="E42" s="227"/>
      <c r="F42" s="227"/>
      <c r="G42" s="227"/>
      <c r="H42" s="227"/>
      <c r="I42" s="227"/>
      <c r="J42" s="227"/>
      <c r="K42" s="227"/>
      <c r="L42" s="227"/>
      <c r="M42" s="227"/>
      <c r="N42" s="227"/>
      <c r="O42" s="227"/>
      <c r="P42" s="227"/>
    </row>
    <row r="43" spans="2:16">
      <c r="B43" s="449" t="s">
        <v>5765</v>
      </c>
      <c r="C43" s="402"/>
      <c r="D43" s="449" t="s">
        <v>5766</v>
      </c>
      <c r="E43" s="402"/>
      <c r="F43" s="449" t="s">
        <v>1083</v>
      </c>
      <c r="G43" s="402"/>
      <c r="H43" s="449" t="s">
        <v>1092</v>
      </c>
      <c r="I43" s="402"/>
      <c r="J43" s="449" t="s">
        <v>1093</v>
      </c>
      <c r="K43" s="402"/>
      <c r="L43" s="449" t="s">
        <v>1086</v>
      </c>
      <c r="M43" s="402"/>
      <c r="N43" s="449" t="s">
        <v>5768</v>
      </c>
      <c r="O43" s="402"/>
      <c r="P43" s="449" t="s">
        <v>1088</v>
      </c>
    </row>
    <row r="44" spans="2:16">
      <c r="B44" s="402"/>
      <c r="C44" s="402"/>
      <c r="D44" s="402"/>
      <c r="E44" s="402"/>
      <c r="F44" s="402"/>
      <c r="G44" s="402"/>
      <c r="H44" s="402"/>
      <c r="I44" s="402"/>
      <c r="J44" s="402"/>
      <c r="K44" s="402"/>
      <c r="L44" s="402"/>
      <c r="M44" s="402"/>
      <c r="N44" s="402"/>
      <c r="O44" s="402"/>
      <c r="P44" s="402"/>
    </row>
    <row r="45" spans="2:16">
      <c r="B45" s="553">
        <v>10000</v>
      </c>
      <c r="C45" s="451"/>
      <c r="D45" s="552">
        <v>20</v>
      </c>
      <c r="E45" s="451"/>
      <c r="F45" s="553">
        <f>B45*D45</f>
        <v>200000</v>
      </c>
      <c r="G45" s="451"/>
      <c r="H45" s="564">
        <v>145</v>
      </c>
      <c r="I45" s="451"/>
      <c r="J45" s="554">
        <f>(F45*H45)</f>
        <v>29000000</v>
      </c>
      <c r="K45" s="451"/>
      <c r="L45" s="555" t="s">
        <v>5767</v>
      </c>
      <c r="M45" s="402"/>
      <c r="N45" s="554">
        <v>2230</v>
      </c>
      <c r="O45" s="402"/>
      <c r="P45" s="554">
        <f>B45*N45</f>
        <v>22300000</v>
      </c>
    </row>
    <row r="46" spans="2:16">
      <c r="B46" s="553"/>
      <c r="C46" s="451"/>
      <c r="D46" s="552"/>
      <c r="E46" s="451"/>
      <c r="F46" s="553"/>
      <c r="G46" s="451"/>
      <c r="H46" s="563"/>
      <c r="I46" s="451"/>
      <c r="J46" s="554"/>
      <c r="K46" s="451"/>
      <c r="L46" s="555"/>
      <c r="M46" s="402"/>
      <c r="N46" s="554"/>
      <c r="O46" s="402"/>
      <c r="P46" s="554"/>
    </row>
    <row r="47" spans="2:16" hidden="1">
      <c r="B47" s="568" t="s">
        <v>5769</v>
      </c>
      <c r="C47" s="568"/>
      <c r="D47" s="568"/>
      <c r="E47" s="568"/>
      <c r="F47" s="568"/>
      <c r="G47" s="568"/>
      <c r="H47" s="568"/>
      <c r="I47" s="568"/>
      <c r="J47" s="568"/>
      <c r="K47" s="568"/>
      <c r="L47" s="568"/>
      <c r="M47" s="568"/>
      <c r="N47" s="568"/>
      <c r="O47" s="568"/>
      <c r="P47" s="568"/>
    </row>
    <row r="48" spans="2:16" hidden="1">
      <c r="B48" s="451"/>
      <c r="C48" s="459"/>
      <c r="D48" s="459"/>
      <c r="E48" s="459"/>
      <c r="F48" s="459"/>
      <c r="G48" s="459"/>
      <c r="H48" s="459"/>
      <c r="I48" s="459"/>
      <c r="J48" s="459"/>
      <c r="K48" s="459"/>
      <c r="L48" s="459"/>
      <c r="M48" s="459"/>
      <c r="N48" s="459"/>
      <c r="O48" s="459"/>
      <c r="P48" s="459"/>
    </row>
    <row r="49" spans="2:16" hidden="1">
      <c r="B49" s="449" t="s">
        <v>1081</v>
      </c>
      <c r="C49" s="402"/>
      <c r="D49" s="449" t="s">
        <v>1094</v>
      </c>
      <c r="E49" s="402"/>
      <c r="F49" s="449" t="s">
        <v>1095</v>
      </c>
      <c r="G49" s="402"/>
      <c r="H49" s="449" t="s">
        <v>1092</v>
      </c>
      <c r="I49" s="402"/>
      <c r="J49" s="449" t="s">
        <v>1093</v>
      </c>
      <c r="K49" s="402"/>
      <c r="L49" s="449" t="s">
        <v>1086</v>
      </c>
      <c r="M49" s="402"/>
      <c r="N49" s="449" t="s">
        <v>1087</v>
      </c>
      <c r="O49" s="402"/>
      <c r="P49" s="449" t="s">
        <v>1088</v>
      </c>
    </row>
    <row r="50" spans="2:16" hidden="1">
      <c r="B50" s="402"/>
      <c r="C50" s="402"/>
      <c r="D50" s="402"/>
      <c r="E50" s="402"/>
      <c r="F50" s="402"/>
      <c r="G50" s="402"/>
      <c r="H50" s="402"/>
      <c r="I50" s="402"/>
      <c r="J50" s="402"/>
      <c r="K50" s="402"/>
      <c r="L50" s="402"/>
      <c r="M50" s="402"/>
      <c r="N50" s="402"/>
      <c r="O50" s="402"/>
      <c r="P50" s="402"/>
    </row>
    <row r="51" spans="2:16" hidden="1">
      <c r="B51" s="553">
        <v>400</v>
      </c>
      <c r="C51" s="451"/>
      <c r="D51" s="552">
        <v>0</v>
      </c>
      <c r="E51" s="451"/>
      <c r="F51" s="553">
        <f>B51*D51</f>
        <v>0</v>
      </c>
      <c r="G51" s="451"/>
      <c r="H51" s="564">
        <v>0</v>
      </c>
      <c r="I51" s="451"/>
      <c r="J51" s="554">
        <f>(F51*H51)</f>
        <v>0</v>
      </c>
      <c r="K51" s="451"/>
      <c r="L51" s="555" t="s">
        <v>5770</v>
      </c>
      <c r="M51" s="402"/>
      <c r="N51" s="554">
        <v>2891</v>
      </c>
      <c r="O51" s="402"/>
      <c r="P51" s="554">
        <v>0</v>
      </c>
    </row>
    <row r="52" spans="2:16">
      <c r="B52" s="552"/>
      <c r="C52" s="451"/>
      <c r="D52" s="552"/>
      <c r="E52" s="451"/>
      <c r="F52" s="553"/>
      <c r="G52" s="451"/>
      <c r="H52" s="554"/>
      <c r="I52" s="451"/>
      <c r="J52" s="554"/>
      <c r="K52" s="451"/>
      <c r="L52" s="555"/>
      <c r="M52" s="402"/>
      <c r="N52" s="554"/>
      <c r="O52" s="402"/>
      <c r="P52" s="554"/>
    </row>
    <row r="53" spans="2:16">
      <c r="B53" s="446" t="s">
        <v>1103</v>
      </c>
      <c r="C53" s="447"/>
      <c r="D53" s="448">
        <v>3.2</v>
      </c>
      <c r="E53" s="451"/>
      <c r="F53" s="451"/>
      <c r="G53" s="460"/>
      <c r="H53" s="460" t="s">
        <v>1104</v>
      </c>
      <c r="I53" s="460"/>
      <c r="J53" s="461">
        <f>(J33+J21+J9)*D53+J51+J27+J15+J39+J45</f>
        <v>265506000</v>
      </c>
      <c r="K53" s="461"/>
      <c r="L53" s="460"/>
      <c r="M53" s="460"/>
      <c r="N53" s="460"/>
      <c r="O53" s="460"/>
      <c r="P53" s="461">
        <f>P51+P33+P27+P9+P21+P39+P45</f>
        <v>184760000</v>
      </c>
    </row>
    <row r="54" spans="2:16">
      <c r="B54" s="451"/>
      <c r="C54" s="459"/>
      <c r="D54" s="459"/>
      <c r="E54" s="459"/>
      <c r="F54" s="459"/>
      <c r="G54" s="566"/>
      <c r="H54" s="566"/>
      <c r="I54" s="566"/>
      <c r="J54" s="566"/>
      <c r="K54" s="566"/>
      <c r="L54" s="566"/>
      <c r="M54" s="566"/>
      <c r="N54" s="566"/>
      <c r="O54" s="566"/>
      <c r="P54" s="566"/>
    </row>
    <row r="55" spans="2:16" s="227" customFormat="1">
      <c r="B55" s="552"/>
      <c r="C55" s="451"/>
      <c r="D55" s="552"/>
      <c r="E55" s="451"/>
      <c r="F55" s="553"/>
      <c r="G55" s="460"/>
      <c r="H55" s="460" t="s">
        <v>1105</v>
      </c>
      <c r="I55" s="460"/>
      <c r="J55" s="461">
        <f>J53-P53</f>
        <v>80746000</v>
      </c>
      <c r="K55" s="461"/>
      <c r="L55" s="560">
        <f>J55/J53</f>
        <v>0.30412118746845646</v>
      </c>
      <c r="M55" s="567"/>
      <c r="N55" s="567"/>
      <c r="O55" s="567"/>
      <c r="P55" s="567"/>
    </row>
    <row r="56" spans="2:16" s="227" customFormat="1" ht="8.1" customHeight="1">
      <c r="B56" s="451"/>
      <c r="C56" s="459"/>
      <c r="D56" s="459"/>
      <c r="E56" s="459"/>
      <c r="F56" s="459"/>
      <c r="G56" s="565"/>
      <c r="H56" s="565"/>
      <c r="I56" s="565"/>
      <c r="J56" s="565"/>
      <c r="K56" s="565"/>
      <c r="L56" s="565"/>
      <c r="M56" s="565"/>
      <c r="N56" s="565"/>
      <c r="O56" s="565"/>
      <c r="P56" s="565"/>
    </row>
    <row r="57" spans="2:16">
      <c r="B57" s="402"/>
      <c r="C57" s="402"/>
      <c r="D57" s="402"/>
      <c r="E57" s="402"/>
      <c r="F57" s="402"/>
      <c r="G57" s="402"/>
      <c r="H57" s="402"/>
      <c r="I57" s="402"/>
      <c r="J57" s="402"/>
      <c r="K57" s="402"/>
      <c r="L57" s="402"/>
      <c r="M57" s="402"/>
      <c r="N57" s="402"/>
      <c r="O57" s="402"/>
      <c r="P57" s="402"/>
    </row>
    <row r="58" spans="2:16">
      <c r="B58" s="402"/>
      <c r="C58" s="402"/>
      <c r="D58" s="402"/>
      <c r="E58" s="402"/>
      <c r="F58" s="402"/>
      <c r="G58" s="402"/>
      <c r="H58" s="402"/>
      <c r="I58" s="402"/>
      <c r="J58" s="402"/>
      <c r="K58" s="402"/>
      <c r="L58" s="402"/>
      <c r="M58" s="402"/>
      <c r="N58" s="402"/>
      <c r="O58" s="402"/>
      <c r="P58" s="402"/>
    </row>
    <row r="59" spans="2:16">
      <c r="B59" s="402"/>
      <c r="C59" s="402"/>
      <c r="D59" s="402"/>
      <c r="E59" s="402"/>
      <c r="F59" s="402"/>
      <c r="G59" s="402"/>
      <c r="H59" s="402"/>
      <c r="I59" s="402"/>
      <c r="J59" s="402"/>
      <c r="K59" s="402"/>
      <c r="L59" s="402"/>
      <c r="M59" s="402"/>
      <c r="N59" s="402"/>
      <c r="O59" s="402"/>
      <c r="P59" s="402"/>
    </row>
    <row r="61" spans="2:16">
      <c r="F61" s="548"/>
      <c r="H61" s="548"/>
      <c r="J61" s="548"/>
    </row>
    <row r="66" ht="5.25" customHeight="1"/>
    <row r="67" hidden="1"/>
    <row r="68" hidden="1"/>
    <row r="69" hidden="1"/>
    <row r="70" hidden="1"/>
    <row r="79" hidden="1"/>
    <row r="80" hidden="1"/>
    <row r="81" spans="2:12" hidden="1">
      <c r="H81" s="399"/>
    </row>
    <row r="87" spans="2:12">
      <c r="B87" s="225" t="s">
        <v>98</v>
      </c>
      <c r="C87" s="225" t="s">
        <v>6987</v>
      </c>
      <c r="D87" s="399">
        <v>42425</v>
      </c>
      <c r="E87" s="399">
        <v>42663</v>
      </c>
      <c r="F87" s="225" t="s">
        <v>22</v>
      </c>
      <c r="H87" s="225">
        <v>0</v>
      </c>
      <c r="I87" s="225">
        <v>18352</v>
      </c>
      <c r="J87" s="225">
        <v>0</v>
      </c>
      <c r="K87" s="225">
        <v>0</v>
      </c>
      <c r="L87" s="225">
        <v>0</v>
      </c>
    </row>
    <row r="103" spans="4:5" ht="6" customHeight="1"/>
    <row r="105" spans="4:5" ht="16.5" customHeight="1">
      <c r="D105" s="399"/>
      <c r="E105" s="399"/>
    </row>
    <row r="106" spans="4:5" ht="9" customHeight="1"/>
  </sheetData>
  <pageMargins left="0.25" right="0.25" top="0.75" bottom="0.75" header="0.3" footer="0.3"/>
  <pageSetup paperSize="9" scale="55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14"/>
  <sheetViews>
    <sheetView showGridLines="0" topLeftCell="A22" zoomScale="85" zoomScaleNormal="85" zoomScalePageLayoutView="70" workbookViewId="0">
      <selection activeCell="B92" sqref="B92"/>
    </sheetView>
  </sheetViews>
  <sheetFormatPr defaultRowHeight="15"/>
  <cols>
    <col min="1" max="2" width="1.7109375" style="225" customWidth="1"/>
    <col min="3" max="3" width="43.140625" style="225" customWidth="1"/>
    <col min="4" max="4" width="0.85546875" style="226" customWidth="1"/>
    <col min="5" max="5" width="14.85546875" style="240" customWidth="1"/>
    <col min="6" max="6" width="0.7109375" style="226" customWidth="1"/>
    <col min="7" max="7" width="15.7109375" style="225" customWidth="1"/>
    <col min="8" max="8" width="0.85546875" style="226" customWidth="1"/>
    <col min="9" max="9" width="19.42578125" style="225" customWidth="1"/>
    <col min="10" max="10" width="0.85546875" style="226" customWidth="1"/>
    <col min="11" max="11" width="15.7109375" style="225" customWidth="1"/>
    <col min="12" max="12" width="0.85546875" style="226" customWidth="1"/>
    <col min="13" max="13" width="15.7109375" style="225" customWidth="1"/>
    <col min="14" max="14" width="0.85546875" style="226" customWidth="1"/>
    <col min="15" max="15" width="15.7109375" style="225" customWidth="1"/>
    <col min="16" max="16" width="0.85546875" style="240" customWidth="1"/>
    <col min="17" max="17" width="15.7109375" style="225" customWidth="1"/>
    <col min="18" max="16384" width="9.140625" style="225"/>
  </cols>
  <sheetData>
    <row r="1" spans="3:17" ht="18.75">
      <c r="E1" s="288" t="s">
        <v>6786</v>
      </c>
    </row>
    <row r="2" spans="3:17" ht="15" customHeight="1">
      <c r="D2" s="287"/>
      <c r="E2" s="289" t="s">
        <v>6814</v>
      </c>
      <c r="F2" s="287"/>
      <c r="G2" s="287"/>
      <c r="H2" s="287"/>
      <c r="I2" s="287"/>
      <c r="J2" s="287"/>
      <c r="K2" s="287"/>
      <c r="L2" s="287"/>
      <c r="M2" s="287"/>
      <c r="N2" s="287"/>
      <c r="O2" s="287"/>
      <c r="P2" s="225"/>
    </row>
    <row r="3" spans="3:17" ht="15" customHeight="1"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25"/>
    </row>
    <row r="4" spans="3:17" ht="15" customHeight="1">
      <c r="C4" s="287"/>
      <c r="D4" s="287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25"/>
    </row>
    <row r="5" spans="3:17" s="227" customFormat="1">
      <c r="C5" s="229"/>
      <c r="D5" s="228"/>
      <c r="E5" s="230"/>
      <c r="F5" s="228"/>
      <c r="G5" s="229"/>
      <c r="H5" s="228"/>
      <c r="J5" s="228"/>
      <c r="L5" s="228"/>
      <c r="N5" s="228"/>
      <c r="P5" s="230"/>
    </row>
    <row r="6" spans="3:17" s="227" customFormat="1" ht="18.75">
      <c r="C6" s="293" t="s">
        <v>992</v>
      </c>
      <c r="D6" s="228"/>
      <c r="E6" s="230"/>
      <c r="F6" s="228"/>
      <c r="G6" s="231"/>
      <c r="H6" s="228"/>
      <c r="I6" s="232"/>
      <c r="J6" s="228"/>
      <c r="K6" s="233"/>
      <c r="L6" s="228"/>
      <c r="M6" s="233"/>
      <c r="N6" s="228"/>
      <c r="O6" s="233"/>
      <c r="P6" s="230"/>
      <c r="Q6" s="232"/>
    </row>
    <row r="7" spans="3:17" ht="6" customHeight="1">
      <c r="D7" s="234"/>
      <c r="E7" s="235"/>
      <c r="F7" s="234"/>
      <c r="H7" s="234"/>
      <c r="I7" s="235"/>
      <c r="J7" s="234"/>
      <c r="K7" s="235"/>
      <c r="L7" s="234"/>
      <c r="M7" s="235"/>
      <c r="N7" s="234"/>
      <c r="O7" s="235"/>
      <c r="P7" s="235"/>
      <c r="Q7" s="235"/>
    </row>
    <row r="8" spans="3:17" s="227" customFormat="1" ht="15.75">
      <c r="C8" s="290" t="s">
        <v>971</v>
      </c>
      <c r="D8" s="291"/>
      <c r="E8" s="290">
        <v>2015</v>
      </c>
      <c r="F8" s="291"/>
      <c r="G8" s="290">
        <v>2014</v>
      </c>
      <c r="H8" s="291"/>
      <c r="I8" s="290">
        <v>2013</v>
      </c>
      <c r="J8" s="291"/>
      <c r="K8" s="292">
        <v>2012</v>
      </c>
      <c r="L8" s="291"/>
      <c r="M8" s="290">
        <v>2011</v>
      </c>
      <c r="N8" s="291"/>
      <c r="O8" s="290">
        <v>2010</v>
      </c>
      <c r="P8" s="239"/>
      <c r="Q8" s="236" t="s">
        <v>972</v>
      </c>
    </row>
    <row r="9" spans="3:17" ht="6" customHeight="1">
      <c r="E9" s="225"/>
    </row>
    <row r="10" spans="3:17">
      <c r="C10" s="241" t="s">
        <v>977</v>
      </c>
      <c r="D10" s="234"/>
      <c r="E10" s="242">
        <v>0</v>
      </c>
      <c r="F10" s="234"/>
      <c r="G10" s="242">
        <v>0</v>
      </c>
      <c r="H10" s="243"/>
      <c r="I10" s="242">
        <v>652.77</v>
      </c>
      <c r="J10" s="243"/>
      <c r="K10" s="242">
        <v>0</v>
      </c>
      <c r="L10" s="243"/>
      <c r="M10" s="242">
        <v>442</v>
      </c>
      <c r="N10" s="243"/>
      <c r="O10" s="242">
        <v>0</v>
      </c>
      <c r="P10" s="244"/>
      <c r="Q10" s="242">
        <f>48526.0791+3434.1442-1504.8055+537</f>
        <v>50992.417800000003</v>
      </c>
    </row>
    <row r="11" spans="3:17">
      <c r="C11" s="246" t="s">
        <v>1034</v>
      </c>
      <c r="D11" s="234"/>
      <c r="E11" s="247">
        <v>0</v>
      </c>
      <c r="F11" s="234"/>
      <c r="G11" s="247">
        <v>0</v>
      </c>
      <c r="H11" s="243"/>
      <c r="I11" s="247">
        <v>0</v>
      </c>
      <c r="J11" s="243"/>
      <c r="K11" s="247">
        <v>0</v>
      </c>
      <c r="L11" s="243"/>
      <c r="M11" s="247">
        <v>0</v>
      </c>
      <c r="N11" s="243"/>
      <c r="O11" s="247">
        <v>0</v>
      </c>
      <c r="P11" s="244"/>
      <c r="Q11" s="247">
        <v>16329.144</v>
      </c>
    </row>
    <row r="12" spans="3:17">
      <c r="C12" s="241" t="s">
        <v>1035</v>
      </c>
      <c r="D12" s="234"/>
      <c r="E12" s="242">
        <v>0</v>
      </c>
      <c r="F12" s="234"/>
      <c r="G12" s="242">
        <v>0</v>
      </c>
      <c r="H12" s="243"/>
      <c r="I12" s="242"/>
      <c r="J12" s="243">
        <v>27</v>
      </c>
      <c r="K12" s="242"/>
      <c r="L12" s="243"/>
      <c r="M12" s="242">
        <v>0</v>
      </c>
      <c r="N12" s="243"/>
      <c r="O12" s="242">
        <v>250</v>
      </c>
      <c r="P12" s="244"/>
      <c r="Q12" s="242">
        <v>1750</v>
      </c>
    </row>
    <row r="13" spans="3:17">
      <c r="C13" s="246" t="s">
        <v>1036</v>
      </c>
      <c r="D13" s="234"/>
      <c r="E13" s="247">
        <v>0</v>
      </c>
      <c r="F13" s="234"/>
      <c r="G13" s="247">
        <v>0</v>
      </c>
      <c r="H13" s="243"/>
      <c r="I13" s="247">
        <v>0</v>
      </c>
      <c r="J13" s="243"/>
      <c r="K13" s="247">
        <v>1566.33</v>
      </c>
      <c r="L13" s="243"/>
      <c r="M13" s="247">
        <v>0</v>
      </c>
      <c r="N13" s="243"/>
      <c r="O13" s="247">
        <v>0</v>
      </c>
      <c r="P13" s="244"/>
      <c r="Q13" s="247">
        <v>0</v>
      </c>
    </row>
    <row r="14" spans="3:17">
      <c r="C14" s="241" t="s">
        <v>1037</v>
      </c>
      <c r="D14" s="234"/>
      <c r="E14" s="242">
        <v>0</v>
      </c>
      <c r="F14" s="234"/>
      <c r="G14" s="242">
        <v>0</v>
      </c>
      <c r="H14" s="243"/>
      <c r="I14" s="242">
        <v>1546.89</v>
      </c>
      <c r="J14" s="243"/>
      <c r="K14" s="242">
        <v>0</v>
      </c>
      <c r="L14" s="243"/>
      <c r="M14" s="242">
        <v>0</v>
      </c>
      <c r="N14" s="243"/>
      <c r="O14" s="242">
        <v>0</v>
      </c>
      <c r="P14" s="244"/>
      <c r="Q14" s="242">
        <v>0</v>
      </c>
    </row>
    <row r="15" spans="3:17">
      <c r="C15" s="246" t="s">
        <v>1038</v>
      </c>
      <c r="D15" s="234"/>
      <c r="E15" s="247">
        <v>0</v>
      </c>
      <c r="F15" s="234"/>
      <c r="G15" s="247">
        <v>0</v>
      </c>
      <c r="H15" s="243"/>
      <c r="I15" s="247"/>
      <c r="J15" s="243"/>
      <c r="K15" s="247">
        <v>0</v>
      </c>
      <c r="L15" s="243"/>
      <c r="M15" s="247">
        <v>0</v>
      </c>
      <c r="N15" s="243"/>
      <c r="O15" s="247">
        <v>0</v>
      </c>
      <c r="P15" s="244"/>
      <c r="Q15" s="247">
        <v>12000</v>
      </c>
    </row>
    <row r="16" spans="3:17">
      <c r="C16" s="241" t="s">
        <v>1039</v>
      </c>
      <c r="D16" s="234"/>
      <c r="E16" s="242">
        <v>1732.59</v>
      </c>
      <c r="F16" s="234"/>
      <c r="G16" s="242">
        <v>4735.49</v>
      </c>
      <c r="H16" s="243"/>
      <c r="I16" s="242">
        <v>3821.84</v>
      </c>
      <c r="J16" s="243"/>
      <c r="K16" s="242">
        <v>0</v>
      </c>
      <c r="L16" s="243"/>
      <c r="M16" s="242">
        <v>0</v>
      </c>
      <c r="N16" s="243"/>
      <c r="O16" s="242">
        <v>0</v>
      </c>
      <c r="P16" s="244"/>
      <c r="Q16" s="242">
        <v>0</v>
      </c>
    </row>
    <row r="17" spans="3:18">
      <c r="C17" s="246" t="s">
        <v>1040</v>
      </c>
      <c r="D17" s="234"/>
      <c r="E17" s="247">
        <v>0</v>
      </c>
      <c r="F17" s="234"/>
      <c r="G17" s="247">
        <v>0</v>
      </c>
      <c r="H17" s="243"/>
      <c r="I17" s="247">
        <v>0</v>
      </c>
      <c r="J17" s="243"/>
      <c r="K17" s="247">
        <v>0</v>
      </c>
      <c r="L17" s="243"/>
      <c r="M17" s="247">
        <v>0</v>
      </c>
      <c r="N17" s="243"/>
      <c r="O17" s="247">
        <v>1445</v>
      </c>
      <c r="P17" s="244"/>
      <c r="Q17" s="247">
        <v>0</v>
      </c>
    </row>
    <row r="18" spans="3:18">
      <c r="C18" s="241" t="s">
        <v>1456</v>
      </c>
      <c r="D18" s="234"/>
      <c r="E18" s="242">
        <v>0</v>
      </c>
      <c r="F18" s="234"/>
      <c r="G18" s="242">
        <f>711+50</f>
        <v>761</v>
      </c>
      <c r="H18" s="243"/>
      <c r="I18" s="242"/>
      <c r="J18" s="243"/>
      <c r="K18" s="242">
        <v>0</v>
      </c>
      <c r="L18" s="243"/>
      <c r="M18" s="242">
        <v>0</v>
      </c>
      <c r="N18" s="243"/>
      <c r="O18" s="242">
        <v>0</v>
      </c>
      <c r="P18" s="244"/>
      <c r="Q18" s="242">
        <v>0</v>
      </c>
    </row>
    <row r="19" spans="3:18" ht="6" customHeight="1">
      <c r="D19" s="234"/>
      <c r="E19" s="248"/>
      <c r="F19" s="234"/>
      <c r="G19" s="248"/>
      <c r="H19" s="243"/>
      <c r="I19" s="244"/>
      <c r="J19" s="243"/>
      <c r="K19" s="244"/>
      <c r="L19" s="243"/>
      <c r="M19" s="244"/>
      <c r="N19" s="243"/>
      <c r="O19" s="244"/>
      <c r="P19" s="244"/>
      <c r="Q19" s="244"/>
    </row>
    <row r="20" spans="3:18" ht="6" customHeight="1">
      <c r="D20" s="234"/>
      <c r="E20" s="248"/>
      <c r="F20" s="234"/>
      <c r="G20" s="248"/>
      <c r="H20" s="243"/>
      <c r="I20" s="244"/>
      <c r="J20" s="243"/>
      <c r="K20" s="244"/>
      <c r="L20" s="243"/>
      <c r="M20" s="244"/>
      <c r="N20" s="243"/>
      <c r="O20" s="244"/>
      <c r="P20" s="244"/>
      <c r="Q20" s="244"/>
    </row>
    <row r="21" spans="3:18" s="249" customFormat="1" ht="15.75">
      <c r="C21" s="250" t="s">
        <v>973</v>
      </c>
      <c r="D21" s="251"/>
      <c r="E21" s="252">
        <f>SUM(E10:E18)</f>
        <v>1732.59</v>
      </c>
      <c r="F21" s="251"/>
      <c r="G21" s="252">
        <f>SUM(G10:G18)</f>
        <v>5496.49</v>
      </c>
      <c r="H21" s="253"/>
      <c r="I21" s="252">
        <f>SUM(I10:I18)</f>
        <v>6021.5</v>
      </c>
      <c r="J21" s="253"/>
      <c r="K21" s="252">
        <f>SUM(K10:K18)</f>
        <v>1566.33</v>
      </c>
      <c r="L21" s="253"/>
      <c r="M21" s="252">
        <f>SUM(M10:M18)</f>
        <v>442</v>
      </c>
      <c r="N21" s="253"/>
      <c r="O21" s="252">
        <f>SUM(O10:O18)</f>
        <v>1695</v>
      </c>
      <c r="P21" s="254"/>
      <c r="Q21" s="949">
        <f>SUM(Q10:Q18)</f>
        <v>81071.561799999996</v>
      </c>
    </row>
    <row r="22" spans="3:18" s="249" customFormat="1" ht="15.75">
      <c r="C22" s="250" t="s">
        <v>974</v>
      </c>
      <c r="D22" s="255"/>
      <c r="E22" s="252">
        <f>G22+E21</f>
        <v>98025.471799999999</v>
      </c>
      <c r="F22" s="255"/>
      <c r="G22" s="252">
        <f>I22+G21</f>
        <v>96292.881800000003</v>
      </c>
      <c r="H22" s="256"/>
      <c r="I22" s="252">
        <f>K22+I21</f>
        <v>90796.391799999998</v>
      </c>
      <c r="J22" s="256"/>
      <c r="K22" s="252">
        <f>M22+K21</f>
        <v>84774.891799999998</v>
      </c>
      <c r="L22" s="256"/>
      <c r="M22" s="252">
        <f>O22+M21</f>
        <v>83208.561799999996</v>
      </c>
      <c r="N22" s="256"/>
      <c r="O22" s="252">
        <f>Q21+O21</f>
        <v>82766.561799999996</v>
      </c>
      <c r="P22" s="257"/>
      <c r="Q22" s="949"/>
    </row>
    <row r="23" spans="3:18">
      <c r="O23" s="248"/>
    </row>
    <row r="25" spans="3:18">
      <c r="J25" s="226">
        <v>43</v>
      </c>
    </row>
    <row r="27" spans="3:18" s="227" customFormat="1" ht="15.75">
      <c r="C27" s="236" t="s">
        <v>975</v>
      </c>
      <c r="D27" s="258"/>
      <c r="E27" s="236">
        <v>2015</v>
      </c>
      <c r="F27" s="258"/>
      <c r="G27" s="236">
        <v>2014</v>
      </c>
      <c r="H27" s="258"/>
      <c r="I27" s="236">
        <v>2013</v>
      </c>
      <c r="J27" s="258"/>
      <c r="K27" s="238">
        <v>2012</v>
      </c>
      <c r="L27" s="258"/>
      <c r="M27" s="236">
        <v>2011</v>
      </c>
      <c r="N27" s="258"/>
      <c r="O27" s="236">
        <v>2010</v>
      </c>
      <c r="P27" s="259"/>
      <c r="Q27" s="236" t="s">
        <v>972</v>
      </c>
    </row>
    <row r="28" spans="3:18" ht="6" customHeight="1">
      <c r="E28" s="225"/>
    </row>
    <row r="29" spans="3:18">
      <c r="C29" s="260" t="s">
        <v>0</v>
      </c>
      <c r="D29" s="234"/>
      <c r="E29" s="261">
        <v>0</v>
      </c>
      <c r="F29" s="234"/>
      <c r="G29" s="261">
        <f>4469.54+711</f>
        <v>5180.54</v>
      </c>
      <c r="H29" s="262"/>
      <c r="I29" s="263">
        <v>3556</v>
      </c>
      <c r="J29" s="262"/>
      <c r="K29" s="263">
        <f>1566-245</f>
        <v>1321</v>
      </c>
      <c r="L29" s="262"/>
      <c r="M29" s="263">
        <v>442</v>
      </c>
      <c r="N29" s="262"/>
      <c r="O29" s="263">
        <v>1695</v>
      </c>
      <c r="P29" s="264"/>
      <c r="Q29" s="263">
        <f>41922+199+1</f>
        <v>42122</v>
      </c>
      <c r="R29" s="245"/>
    </row>
    <row r="30" spans="3:18">
      <c r="C30" s="225" t="s">
        <v>976</v>
      </c>
      <c r="D30" s="234"/>
      <c r="E30" s="265">
        <v>1733</v>
      </c>
      <c r="F30" s="234"/>
      <c r="G30" s="265">
        <f>265.95+50</f>
        <v>315.95</v>
      </c>
      <c r="H30" s="262"/>
      <c r="I30" s="264">
        <v>2152</v>
      </c>
      <c r="J30" s="262"/>
      <c r="K30" s="264">
        <v>245</v>
      </c>
      <c r="L30" s="262"/>
      <c r="M30" s="264">
        <v>0</v>
      </c>
      <c r="N30" s="262"/>
      <c r="O30" s="264">
        <v>0</v>
      </c>
      <c r="P30" s="264"/>
      <c r="Q30" s="264">
        <v>35516</v>
      </c>
    </row>
    <row r="31" spans="3:18">
      <c r="C31" s="260" t="s">
        <v>978</v>
      </c>
      <c r="D31" s="234"/>
      <c r="E31" s="261">
        <v>0</v>
      </c>
      <c r="F31" s="234"/>
      <c r="G31" s="261">
        <v>0</v>
      </c>
      <c r="H31" s="262"/>
      <c r="I31" s="263">
        <v>314</v>
      </c>
      <c r="J31" s="262"/>
      <c r="K31" s="263">
        <v>0</v>
      </c>
      <c r="L31" s="262"/>
      <c r="M31" s="263">
        <v>0</v>
      </c>
      <c r="N31" s="262"/>
      <c r="O31" s="263">
        <v>0</v>
      </c>
      <c r="P31" s="264"/>
      <c r="Q31" s="263">
        <v>3434</v>
      </c>
    </row>
    <row r="32" spans="3:18" ht="6" customHeight="1">
      <c r="D32" s="234"/>
      <c r="E32" s="265"/>
      <c r="F32" s="234"/>
      <c r="G32" s="265"/>
      <c r="H32" s="262"/>
      <c r="I32" s="264"/>
      <c r="J32" s="262"/>
      <c r="K32" s="264"/>
      <c r="L32" s="262"/>
      <c r="M32" s="264"/>
      <c r="N32" s="262"/>
      <c r="O32" s="264"/>
      <c r="P32" s="264"/>
      <c r="Q32" s="264"/>
    </row>
    <row r="33" spans="3:17" s="249" customFormat="1" ht="15.75">
      <c r="C33" s="250" t="s">
        <v>973</v>
      </c>
      <c r="D33" s="251"/>
      <c r="E33" s="266">
        <f>SUM(E29:E31)</f>
        <v>1733</v>
      </c>
      <c r="F33" s="251"/>
      <c r="G33" s="266">
        <f>SUM(G29:G31)</f>
        <v>5496.49</v>
      </c>
      <c r="H33" s="267"/>
      <c r="I33" s="266">
        <f>SUM(I29:I31)</f>
        <v>6022</v>
      </c>
      <c r="J33" s="267"/>
      <c r="K33" s="266">
        <f>SUM(K29:K31)</f>
        <v>1566</v>
      </c>
      <c r="L33" s="267"/>
      <c r="M33" s="266">
        <f>SUM(M29:M31)</f>
        <v>442</v>
      </c>
      <c r="N33" s="267"/>
      <c r="O33" s="266">
        <f>SUM(O29:O31)</f>
        <v>1695</v>
      </c>
      <c r="P33" s="268"/>
      <c r="Q33" s="950">
        <f>SUM(Q29:Q31)</f>
        <v>81072</v>
      </c>
    </row>
    <row r="34" spans="3:17" s="249" customFormat="1" ht="15.75">
      <c r="C34" s="250" t="s">
        <v>974</v>
      </c>
      <c r="D34" s="255"/>
      <c r="E34" s="266">
        <f>G34+E33</f>
        <v>98025.49</v>
      </c>
      <c r="F34" s="255"/>
      <c r="G34" s="266">
        <f>I34+G33</f>
        <v>96292.49</v>
      </c>
      <c r="H34" s="269"/>
      <c r="I34" s="266">
        <f>K34+I33-1</f>
        <v>90796</v>
      </c>
      <c r="J34" s="269"/>
      <c r="K34" s="266">
        <f>M34+K33</f>
        <v>84775</v>
      </c>
      <c r="L34" s="269"/>
      <c r="M34" s="266">
        <f>O34+M33</f>
        <v>83209</v>
      </c>
      <c r="N34" s="269"/>
      <c r="O34" s="266">
        <f>Q33+O33</f>
        <v>82767</v>
      </c>
      <c r="P34" s="270"/>
      <c r="Q34" s="950"/>
    </row>
    <row r="37" spans="3:17" ht="14.25" customHeight="1"/>
    <row r="39" spans="3:17" ht="15.75">
      <c r="C39" s="231" t="s">
        <v>993</v>
      </c>
      <c r="G39" s="231"/>
    </row>
    <row r="40" spans="3:17" ht="6" customHeight="1">
      <c r="D40" s="234"/>
      <c r="E40" s="235"/>
      <c r="F40" s="234"/>
      <c r="H40" s="234"/>
      <c r="I40" s="235"/>
      <c r="J40" s="234"/>
      <c r="K40" s="235"/>
      <c r="L40" s="234"/>
      <c r="M40" s="235"/>
      <c r="N40" s="234"/>
      <c r="O40" s="235"/>
      <c r="P40" s="235"/>
      <c r="Q40" s="235"/>
    </row>
    <row r="41" spans="3:17" s="227" customFormat="1" ht="15.75">
      <c r="C41" s="236" t="s">
        <v>979</v>
      </c>
      <c r="D41" s="237"/>
      <c r="E41" s="236" t="s">
        <v>980</v>
      </c>
      <c r="F41" s="237"/>
      <c r="G41" s="238" t="s">
        <v>981</v>
      </c>
      <c r="H41" s="237"/>
      <c r="I41" s="236" t="s">
        <v>982</v>
      </c>
      <c r="J41" s="237"/>
      <c r="K41" s="236" t="s">
        <v>983</v>
      </c>
      <c r="L41" s="237"/>
      <c r="M41" s="236" t="s">
        <v>868</v>
      </c>
      <c r="N41" s="228"/>
      <c r="O41" s="236" t="s">
        <v>5316</v>
      </c>
    </row>
    <row r="42" spans="3:17" ht="6" customHeight="1">
      <c r="E42" s="225"/>
    </row>
    <row r="43" spans="3:17">
      <c r="C43" s="952" t="s">
        <v>6777</v>
      </c>
      <c r="D43" s="271"/>
      <c r="E43" s="953" t="s">
        <v>989</v>
      </c>
      <c r="F43" s="271"/>
      <c r="G43" s="953">
        <v>640</v>
      </c>
      <c r="H43" s="271"/>
      <c r="I43" s="953" t="s">
        <v>987</v>
      </c>
      <c r="J43" s="272"/>
      <c r="K43" s="273" t="s">
        <v>984</v>
      </c>
      <c r="L43" s="272"/>
      <c r="M43" s="273" t="s">
        <v>8</v>
      </c>
      <c r="O43" s="273" t="s">
        <v>5317</v>
      </c>
    </row>
    <row r="44" spans="3:17">
      <c r="C44" s="952"/>
      <c r="D44" s="271"/>
      <c r="E44" s="953"/>
      <c r="F44" s="271"/>
      <c r="G44" s="953"/>
      <c r="H44" s="271"/>
      <c r="I44" s="953"/>
      <c r="J44" s="272"/>
      <c r="K44" s="273" t="s">
        <v>985</v>
      </c>
      <c r="L44" s="272"/>
      <c r="M44" s="273" t="s">
        <v>9</v>
      </c>
      <c r="O44" s="273" t="s">
        <v>5317</v>
      </c>
    </row>
    <row r="45" spans="3:17">
      <c r="C45" s="226" t="s">
        <v>6778</v>
      </c>
      <c r="D45" s="272"/>
      <c r="E45" s="234" t="s">
        <v>990</v>
      </c>
      <c r="F45" s="272"/>
      <c r="G45" s="234">
        <v>1876</v>
      </c>
      <c r="H45" s="272"/>
      <c r="I45" s="272" t="s">
        <v>988</v>
      </c>
      <c r="J45" s="272"/>
      <c r="K45" s="272" t="s">
        <v>986</v>
      </c>
      <c r="L45" s="272"/>
      <c r="M45" s="272" t="s">
        <v>8</v>
      </c>
      <c r="O45" s="272" t="s">
        <v>5317</v>
      </c>
    </row>
    <row r="46" spans="3:17">
      <c r="C46" s="274" t="s">
        <v>6779</v>
      </c>
      <c r="D46" s="272"/>
      <c r="E46" s="275" t="s">
        <v>1167</v>
      </c>
      <c r="F46" s="272"/>
      <c r="G46" s="275">
        <f>750*2.42</f>
        <v>1815</v>
      </c>
      <c r="H46" s="272"/>
      <c r="I46" s="273" t="s">
        <v>1168</v>
      </c>
      <c r="J46" s="272"/>
      <c r="K46" s="273" t="s">
        <v>1169</v>
      </c>
      <c r="L46" s="272"/>
      <c r="M46" s="273" t="s">
        <v>25</v>
      </c>
      <c r="O46" s="273" t="s">
        <v>5318</v>
      </c>
    </row>
    <row r="47" spans="3:17">
      <c r="C47" s="226" t="s">
        <v>6778</v>
      </c>
      <c r="D47" s="272"/>
      <c r="E47" s="234" t="s">
        <v>990</v>
      </c>
      <c r="F47" s="272"/>
      <c r="G47" s="234">
        <v>328</v>
      </c>
      <c r="H47" s="272"/>
      <c r="I47" s="272" t="s">
        <v>1170</v>
      </c>
      <c r="J47" s="272"/>
      <c r="K47" s="272" t="s">
        <v>1171</v>
      </c>
      <c r="L47" s="272"/>
      <c r="M47" s="272" t="s">
        <v>8</v>
      </c>
      <c r="O47" s="272" t="s">
        <v>5317</v>
      </c>
    </row>
    <row r="48" spans="3:17" ht="6" customHeight="1">
      <c r="D48" s="234"/>
      <c r="E48" s="235"/>
      <c r="F48" s="234"/>
      <c r="G48" s="235"/>
      <c r="H48" s="234"/>
      <c r="I48" s="235"/>
      <c r="J48" s="234"/>
      <c r="K48" s="235"/>
      <c r="L48" s="234"/>
      <c r="M48" s="235"/>
      <c r="O48" s="235"/>
    </row>
    <row r="49" spans="1:17" s="249" customFormat="1" ht="15.75">
      <c r="C49" s="954" t="s">
        <v>991</v>
      </c>
      <c r="D49" s="954"/>
      <c r="E49" s="954"/>
      <c r="F49" s="251"/>
      <c r="G49" s="276">
        <f>SUM(G43:G47)</f>
        <v>4659</v>
      </c>
      <c r="H49" s="251"/>
      <c r="I49" s="276"/>
      <c r="J49" s="251"/>
      <c r="K49" s="276"/>
      <c r="L49" s="251">
        <v>157</v>
      </c>
      <c r="M49" s="277"/>
      <c r="N49" s="278"/>
      <c r="O49" s="277"/>
    </row>
    <row r="54" spans="1:17" ht="18.75">
      <c r="A54" s="279"/>
      <c r="B54" s="279"/>
      <c r="C54" s="293" t="s">
        <v>994</v>
      </c>
      <c r="G54" s="231"/>
    </row>
    <row r="55" spans="1:17" ht="6" customHeight="1">
      <c r="D55" s="234"/>
      <c r="E55" s="235"/>
      <c r="F55" s="234"/>
      <c r="H55" s="234"/>
      <c r="I55" s="235"/>
      <c r="J55" s="234"/>
      <c r="K55" s="235"/>
      <c r="L55" s="234"/>
      <c r="M55" s="235"/>
      <c r="N55" s="234"/>
      <c r="O55" s="235"/>
      <c r="P55" s="235"/>
      <c r="Q55" s="235"/>
    </row>
    <row r="56" spans="1:17" s="227" customFormat="1" ht="16.5" customHeight="1">
      <c r="C56" s="236" t="s">
        <v>999</v>
      </c>
      <c r="D56" s="237"/>
      <c r="E56" s="236" t="s">
        <v>21</v>
      </c>
      <c r="F56" s="237"/>
      <c r="G56" s="238" t="s">
        <v>998</v>
      </c>
      <c r="H56" s="237"/>
      <c r="I56" s="236" t="s">
        <v>997</v>
      </c>
      <c r="J56" s="237"/>
      <c r="K56" s="236" t="s">
        <v>996</v>
      </c>
      <c r="L56" s="237"/>
      <c r="M56" s="236" t="s">
        <v>995</v>
      </c>
      <c r="N56" s="228"/>
    </row>
    <row r="57" spans="1:17" ht="6" customHeight="1">
      <c r="E57" s="225"/>
    </row>
    <row r="58" spans="1:17">
      <c r="C58" s="260" t="s">
        <v>1000</v>
      </c>
      <c r="D58" s="272"/>
      <c r="E58" s="280">
        <v>52088.26</v>
      </c>
      <c r="F58" s="272"/>
      <c r="G58" s="280">
        <f>31173+465+328</f>
        <v>31966</v>
      </c>
      <c r="H58" s="272"/>
      <c r="I58" s="280">
        <v>6825</v>
      </c>
      <c r="J58" s="272"/>
      <c r="K58" s="280">
        <v>13297</v>
      </c>
      <c r="L58" s="272"/>
      <c r="M58" s="280">
        <v>0</v>
      </c>
    </row>
    <row r="59" spans="1:17">
      <c r="C59" s="225" t="s">
        <v>1001</v>
      </c>
      <c r="D59" s="272"/>
      <c r="E59" s="235">
        <v>16329</v>
      </c>
      <c r="F59" s="272"/>
      <c r="G59" s="235">
        <v>5400</v>
      </c>
      <c r="H59" s="272"/>
      <c r="I59" s="235">
        <v>0</v>
      </c>
      <c r="J59" s="272"/>
      <c r="K59" s="235">
        <v>10929</v>
      </c>
      <c r="L59" s="272"/>
      <c r="M59" s="235">
        <v>0</v>
      </c>
    </row>
    <row r="60" spans="1:17">
      <c r="C60" s="260" t="s">
        <v>1002</v>
      </c>
      <c r="D60" s="272"/>
      <c r="E60" s="280">
        <f>SUM(G60:M60)</f>
        <v>2000</v>
      </c>
      <c r="F60" s="272"/>
      <c r="G60" s="280">
        <v>1959</v>
      </c>
      <c r="H60" s="272"/>
      <c r="I60" s="280">
        <v>0</v>
      </c>
      <c r="J60" s="272"/>
      <c r="K60" s="280">
        <v>41</v>
      </c>
      <c r="L60" s="272"/>
      <c r="M60" s="280">
        <v>0</v>
      </c>
    </row>
    <row r="61" spans="1:17">
      <c r="C61" s="225" t="s">
        <v>1003</v>
      </c>
      <c r="D61" s="272"/>
      <c r="E61" s="235">
        <f>SUM(G61:M61)</f>
        <v>1566</v>
      </c>
      <c r="F61" s="272"/>
      <c r="G61" s="235">
        <v>868</v>
      </c>
      <c r="H61" s="272"/>
      <c r="I61" s="235">
        <v>239</v>
      </c>
      <c r="J61" s="272"/>
      <c r="K61" s="235">
        <v>459</v>
      </c>
      <c r="L61" s="272"/>
      <c r="M61" s="235">
        <v>0</v>
      </c>
    </row>
    <row r="62" spans="1:17">
      <c r="C62" s="260" t="s">
        <v>1004</v>
      </c>
      <c r="D62" s="272"/>
      <c r="E62" s="280">
        <v>12001</v>
      </c>
      <c r="F62" s="272"/>
      <c r="G62" s="280">
        <v>1555</v>
      </c>
      <c r="H62" s="272"/>
      <c r="I62" s="280">
        <v>0</v>
      </c>
      <c r="J62" s="272"/>
      <c r="K62" s="280">
        <v>10446</v>
      </c>
      <c r="L62" s="272"/>
      <c r="M62" s="280">
        <v>0</v>
      </c>
    </row>
    <row r="63" spans="1:17">
      <c r="C63" s="225" t="s">
        <v>1007</v>
      </c>
      <c r="D63" s="272"/>
      <c r="E63" s="235">
        <v>1547</v>
      </c>
      <c r="F63" s="272"/>
      <c r="G63" s="235">
        <v>1062</v>
      </c>
      <c r="H63" s="272"/>
      <c r="I63" s="235">
        <v>360</v>
      </c>
      <c r="J63" s="272"/>
      <c r="K63" s="235">
        <v>125</v>
      </c>
      <c r="L63" s="272"/>
      <c r="M63" s="235">
        <v>0</v>
      </c>
    </row>
    <row r="64" spans="1:17">
      <c r="C64" s="260" t="s">
        <v>1005</v>
      </c>
      <c r="D64" s="272"/>
      <c r="E64" s="280">
        <f>SUM(G64:M64)</f>
        <v>10288</v>
      </c>
      <c r="F64" s="272"/>
      <c r="G64" s="280">
        <v>4510</v>
      </c>
      <c r="H64" s="272"/>
      <c r="I64" s="280">
        <v>0</v>
      </c>
      <c r="J64" s="272"/>
      <c r="K64" s="280">
        <f>2547+1731+500</f>
        <v>4778</v>
      </c>
      <c r="L64" s="272"/>
      <c r="M64" s="280">
        <v>1000</v>
      </c>
    </row>
    <row r="65" spans="3:14">
      <c r="C65" s="240" t="s">
        <v>1457</v>
      </c>
      <c r="D65" s="272"/>
      <c r="E65" s="235">
        <v>761</v>
      </c>
      <c r="F65" s="272"/>
      <c r="G65" s="235">
        <v>540</v>
      </c>
      <c r="H65" s="272"/>
      <c r="I65" s="235">
        <v>0</v>
      </c>
      <c r="J65" s="272"/>
      <c r="K65" s="235">
        <v>221</v>
      </c>
      <c r="L65" s="272">
        <v>1524</v>
      </c>
      <c r="M65" s="235"/>
    </row>
    <row r="66" spans="3:14">
      <c r="C66" s="260" t="s">
        <v>1006</v>
      </c>
      <c r="D66" s="272"/>
      <c r="E66" s="280">
        <f>SUM(G66:M66)</f>
        <v>1444</v>
      </c>
      <c r="F66" s="272"/>
      <c r="G66" s="280">
        <v>0</v>
      </c>
      <c r="H66" s="272"/>
      <c r="I66" s="280">
        <v>0</v>
      </c>
      <c r="J66" s="272"/>
      <c r="K66" s="280">
        <v>1444</v>
      </c>
      <c r="L66" s="272"/>
      <c r="M66" s="280">
        <v>0</v>
      </c>
    </row>
    <row r="67" spans="3:14" ht="6" customHeight="1">
      <c r="D67" s="234"/>
      <c r="E67" s="235"/>
      <c r="F67" s="234"/>
      <c r="G67" s="235"/>
      <c r="H67" s="234"/>
      <c r="I67" s="235"/>
      <c r="J67" s="234"/>
      <c r="K67" s="235"/>
      <c r="L67" s="234"/>
      <c r="M67" s="235"/>
    </row>
    <row r="68" spans="3:14" s="249" customFormat="1" ht="15.75">
      <c r="C68" s="281" t="s">
        <v>991</v>
      </c>
      <c r="D68" s="251"/>
      <c r="E68" s="276">
        <f>SUM(E58:E66)+1</f>
        <v>98025.260000000009</v>
      </c>
      <c r="F68" s="251"/>
      <c r="G68" s="276">
        <f>SUM(G58:G66)</f>
        <v>47860</v>
      </c>
      <c r="H68" s="251"/>
      <c r="I68" s="276">
        <f>SUM(I58:I66)</f>
        <v>7424</v>
      </c>
      <c r="J68" s="251"/>
      <c r="K68" s="276">
        <f>SUM(K58:K66)</f>
        <v>41740</v>
      </c>
      <c r="L68" s="251"/>
      <c r="M68" s="276">
        <f>SUM(M58:M66)</f>
        <v>1000</v>
      </c>
      <c r="N68" s="278"/>
    </row>
    <row r="69" spans="3:14">
      <c r="G69" s="245"/>
    </row>
    <row r="70" spans="3:14">
      <c r="G70" s="265"/>
      <c r="K70" s="245"/>
    </row>
    <row r="71" spans="3:14">
      <c r="E71" s="282"/>
      <c r="G71" s="245"/>
      <c r="I71" s="951"/>
      <c r="J71" s="951"/>
      <c r="K71" s="951"/>
      <c r="L71" s="951"/>
      <c r="M71" s="951"/>
      <c r="N71" s="951"/>
    </row>
    <row r="72" spans="3:14">
      <c r="E72" s="832" t="str">
        <f ca="1">CELL("filename")</f>
        <v xml:space="preserve">G:\Google Drive\00_Relatorios Gerenciais Masutti\[#Dossie para Bancos-mensal.xlsx]safra 16 17 </v>
      </c>
      <c r="G72" s="245"/>
      <c r="I72" s="283"/>
      <c r="J72" s="283"/>
      <c r="K72" s="283"/>
      <c r="L72" s="283"/>
      <c r="M72" s="283"/>
      <c r="N72" s="283"/>
    </row>
    <row r="73" spans="3:14">
      <c r="E73" s="282"/>
      <c r="G73" s="245"/>
      <c r="I73" s="283"/>
      <c r="J73" s="283"/>
      <c r="K73" s="283"/>
      <c r="L73" s="283"/>
      <c r="M73" s="283"/>
      <c r="N73" s="283"/>
    </row>
    <row r="74" spans="3:14">
      <c r="E74" s="282"/>
      <c r="G74" s="245"/>
      <c r="I74" s="283"/>
      <c r="J74" s="283"/>
      <c r="K74" s="283"/>
      <c r="L74" s="283"/>
      <c r="M74" s="283"/>
      <c r="N74" s="283"/>
    </row>
    <row r="75" spans="3:14">
      <c r="E75" s="282"/>
      <c r="G75" s="245"/>
      <c r="I75" s="283"/>
      <c r="J75" s="283"/>
      <c r="K75" s="283"/>
      <c r="L75" s="283"/>
      <c r="M75" s="283"/>
      <c r="N75" s="283"/>
    </row>
    <row r="76" spans="3:14">
      <c r="E76" s="282"/>
      <c r="G76" s="245"/>
      <c r="I76" s="283"/>
      <c r="J76" s="283"/>
      <c r="K76" s="283"/>
      <c r="L76" s="283"/>
      <c r="M76" s="283"/>
      <c r="N76" s="283"/>
    </row>
    <row r="77" spans="3:14">
      <c r="E77" s="282"/>
      <c r="G77" s="245"/>
      <c r="I77" s="283"/>
      <c r="J77" s="283"/>
      <c r="K77" s="283"/>
      <c r="L77" s="283"/>
      <c r="M77" s="283"/>
      <c r="N77" s="283"/>
    </row>
    <row r="78" spans="3:14">
      <c r="E78" s="282"/>
      <c r="G78" s="245"/>
      <c r="I78" s="283"/>
      <c r="J78" s="283"/>
      <c r="K78" s="283"/>
      <c r="L78" s="283"/>
      <c r="M78" s="283"/>
      <c r="N78" s="283"/>
    </row>
    <row r="79" spans="3:14" hidden="1">
      <c r="E79" s="282"/>
      <c r="G79" s="245"/>
      <c r="I79" s="283"/>
      <c r="J79" s="283"/>
      <c r="K79" s="283"/>
      <c r="L79" s="283"/>
      <c r="M79" s="283"/>
      <c r="N79" s="283"/>
    </row>
    <row r="80" spans="3:14" hidden="1">
      <c r="E80" s="282"/>
      <c r="G80" s="245"/>
      <c r="I80" s="283"/>
      <c r="J80" s="283"/>
      <c r="K80" s="283"/>
      <c r="L80" s="283"/>
      <c r="M80" s="283"/>
      <c r="N80" s="283"/>
    </row>
    <row r="81" spans="2:14" hidden="1">
      <c r="E81" s="282"/>
      <c r="G81" s="245"/>
      <c r="I81" s="283"/>
      <c r="J81" s="283"/>
      <c r="K81" s="283"/>
      <c r="L81" s="283"/>
      <c r="M81" s="283"/>
      <c r="N81" s="283"/>
    </row>
    <row r="82" spans="2:14">
      <c r="E82" s="282"/>
      <c r="G82" s="245"/>
      <c r="I82" s="283"/>
      <c r="J82" s="283"/>
      <c r="K82" s="283"/>
      <c r="L82" s="283"/>
      <c r="M82" s="283"/>
      <c r="N82" s="283"/>
    </row>
    <row r="83" spans="2:14">
      <c r="E83" s="282"/>
      <c r="G83" s="245"/>
      <c r="I83" s="283"/>
      <c r="J83" s="283"/>
      <c r="K83" s="283"/>
      <c r="L83" s="283"/>
      <c r="M83" s="283"/>
      <c r="N83" s="283"/>
    </row>
    <row r="84" spans="2:14">
      <c r="E84" s="282"/>
      <c r="G84" s="245"/>
      <c r="I84" s="283"/>
      <c r="J84" s="283"/>
      <c r="K84" s="283"/>
      <c r="L84" s="283"/>
      <c r="M84" s="283"/>
      <c r="N84" s="283"/>
    </row>
    <row r="85" spans="2:14">
      <c r="E85" s="282"/>
      <c r="G85" s="245"/>
      <c r="I85" s="283"/>
      <c r="J85" s="283"/>
      <c r="K85" s="283"/>
      <c r="L85" s="283"/>
      <c r="M85" s="283"/>
      <c r="N85" s="283"/>
    </row>
    <row r="86" spans="2:14">
      <c r="E86" s="282"/>
      <c r="G86" s="245"/>
      <c r="I86" s="283"/>
      <c r="J86" s="283"/>
      <c r="K86" s="283"/>
      <c r="L86" s="283"/>
      <c r="M86" s="283"/>
      <c r="N86" s="283"/>
    </row>
    <row r="87" spans="2:14">
      <c r="B87" s="225" t="s">
        <v>98</v>
      </c>
      <c r="C87" s="225" t="s">
        <v>6987</v>
      </c>
      <c r="D87" s="285">
        <v>42425</v>
      </c>
      <c r="E87" s="282">
        <v>42663</v>
      </c>
      <c r="F87" s="226" t="s">
        <v>22</v>
      </c>
      <c r="G87" s="245"/>
      <c r="H87" s="226">
        <v>0</v>
      </c>
      <c r="I87" s="283">
        <v>18352</v>
      </c>
      <c r="J87" s="283">
        <v>0</v>
      </c>
      <c r="K87" s="283">
        <v>0</v>
      </c>
      <c r="L87" s="283">
        <v>0</v>
      </c>
      <c r="M87" s="283"/>
      <c r="N87" s="283"/>
    </row>
    <row r="88" spans="2:14">
      <c r="E88" s="282"/>
      <c r="G88" s="245"/>
      <c r="I88" s="283"/>
      <c r="J88" s="283"/>
      <c r="K88" s="283"/>
      <c r="L88" s="283"/>
      <c r="M88" s="283"/>
      <c r="N88" s="283"/>
    </row>
    <row r="110" spans="5:6" ht="6" customHeight="1"/>
    <row r="112" spans="5:6" ht="16.5" customHeight="1">
      <c r="E112" s="284"/>
      <c r="F112" s="285"/>
    </row>
    <row r="113" spans="8:13" ht="9" customHeight="1"/>
    <row r="114" spans="8:13">
      <c r="H114" s="286"/>
      <c r="I114" s="282"/>
      <c r="J114" s="286"/>
      <c r="K114" s="282"/>
      <c r="L114" s="286"/>
      <c r="M114" s="282"/>
    </row>
  </sheetData>
  <sheetProtection selectLockedCells="1" selectUnlockedCells="1"/>
  <mergeCells count="8">
    <mergeCell ref="Q21:Q22"/>
    <mergeCell ref="Q33:Q34"/>
    <mergeCell ref="I71:N71"/>
    <mergeCell ref="C43:C44"/>
    <mergeCell ref="I43:I44"/>
    <mergeCell ref="G43:G44"/>
    <mergeCell ref="E43:E44"/>
    <mergeCell ref="C49:E49"/>
  </mergeCells>
  <pageMargins left="0.67" right="0.25" top="0.75" bottom="0" header="0.3" footer="0"/>
  <pageSetup paperSize="9" scale="63" firstPageNumber="0" fitToHeight="0" orientation="portrait" horizontalDpi="200" verticalDpi="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97"/>
  <sheetViews>
    <sheetView showGridLines="0" zoomScale="80" zoomScaleNormal="80" workbookViewId="0">
      <selection activeCell="V7" sqref="V7"/>
    </sheetView>
  </sheetViews>
  <sheetFormatPr defaultRowHeight="15"/>
  <cols>
    <col min="1" max="1" width="2.28515625" style="225" customWidth="1"/>
    <col min="2" max="2" width="39.42578125" style="225" customWidth="1"/>
    <col min="3" max="3" width="0.85546875" style="240" customWidth="1"/>
    <col min="4" max="4" width="10.7109375" style="225" customWidth="1"/>
    <col min="5" max="5" width="0.85546875" style="240" customWidth="1"/>
    <col min="6" max="6" width="15.7109375" style="225" customWidth="1"/>
    <col min="7" max="7" width="0.85546875" style="240" customWidth="1"/>
    <col min="8" max="8" width="19.42578125" style="225" customWidth="1"/>
    <col min="9" max="9" width="0.85546875" style="240" customWidth="1"/>
    <col min="10" max="10" width="15.7109375" style="225" customWidth="1"/>
    <col min="11" max="11" width="0.85546875" style="240" customWidth="1"/>
    <col min="12" max="12" width="18.85546875" style="225" customWidth="1"/>
    <col min="13" max="13" width="0.85546875" style="240" customWidth="1"/>
    <col min="14" max="14" width="8.140625" style="225" customWidth="1"/>
    <col min="15" max="16384" width="9.140625" style="225"/>
  </cols>
  <sheetData>
    <row r="1" spans="2:15" ht="18.75">
      <c r="D1" s="293" t="s">
        <v>26</v>
      </c>
    </row>
    <row r="2" spans="2:15" s="227" customFormat="1" ht="15" customHeight="1">
      <c r="B2" s="569"/>
      <c r="C2" s="569"/>
      <c r="D2" s="570" t="s">
        <v>7026</v>
      </c>
      <c r="E2" s="230"/>
      <c r="G2" s="230"/>
      <c r="I2" s="230"/>
      <c r="K2" s="230"/>
      <c r="M2" s="230"/>
    </row>
    <row r="3" spans="2:15" s="227" customFormat="1" ht="15" customHeight="1">
      <c r="B3" s="569"/>
      <c r="C3" s="569"/>
      <c r="D3" s="569"/>
      <c r="E3" s="230"/>
      <c r="G3" s="230"/>
      <c r="I3" s="230"/>
      <c r="K3" s="230"/>
      <c r="M3" s="230"/>
    </row>
    <row r="4" spans="2:15" s="227" customFormat="1">
      <c r="B4" s="229"/>
      <c r="C4" s="386"/>
      <c r="E4" s="230"/>
      <c r="F4" s="571" t="s">
        <v>1230</v>
      </c>
      <c r="G4" s="572"/>
      <c r="H4" s="571" t="s">
        <v>1231</v>
      </c>
      <c r="I4" s="572"/>
      <c r="J4" s="571" t="s">
        <v>1405</v>
      </c>
      <c r="K4" s="572"/>
      <c r="L4" s="573"/>
      <c r="M4" s="230"/>
    </row>
    <row r="5" spans="2:15" s="227" customFormat="1" ht="31.5">
      <c r="B5" s="581" t="s">
        <v>27</v>
      </c>
      <c r="C5" s="582"/>
      <c r="D5" s="581" t="s">
        <v>20</v>
      </c>
      <c r="E5" s="582"/>
      <c r="F5" s="583" t="s">
        <v>1172</v>
      </c>
      <c r="G5" s="582"/>
      <c r="H5" s="584" t="s">
        <v>28</v>
      </c>
      <c r="I5" s="582"/>
      <c r="J5" s="581" t="s">
        <v>29</v>
      </c>
      <c r="K5" s="582"/>
      <c r="L5" s="581" t="s">
        <v>21</v>
      </c>
      <c r="M5" s="582"/>
      <c r="N5" s="581" t="s">
        <v>30</v>
      </c>
    </row>
    <row r="6" spans="2:15" ht="6" customHeight="1">
      <c r="D6" s="429"/>
    </row>
    <row r="7" spans="2:15">
      <c r="B7" s="603" t="s">
        <v>41</v>
      </c>
      <c r="C7" s="408"/>
      <c r="D7" s="604">
        <f t="array" ref="D7">COUNTIF('BD Anexo 11'!$C:$C,'11-Patrimonio Consolidado'!$B7)-2</f>
        <v>23</v>
      </c>
      <c r="E7" s="408"/>
      <c r="F7" s="605">
        <f t="array" ref="F7">SUM(IF(('BD Anexo 11'!$A:$A='11-Patrimonio Consolidado'!$F$4)*('BD Anexo 11'!$C:$C='11-Patrimonio Consolidado'!$B7),'BD Anexo 11'!$G:$G))/1000</f>
        <v>12084.904929999997</v>
      </c>
      <c r="G7" s="408"/>
      <c r="H7" s="605">
        <f t="array" ref="H7">SUM(IF(('BD Anexo 11'!$A:$A='11-Patrimonio Consolidado'!$H$4)*('BD Anexo 11'!$C:$C='11-Patrimonio Consolidado'!$B7),'BD Anexo 11'!$G:$G))/1000</f>
        <v>0</v>
      </c>
      <c r="I7" s="408"/>
      <c r="J7" s="605">
        <f t="array" ref="J7">SUM(IF(('BD Anexo 11'!$A:$A='11-Patrimonio Consolidado'!$J$4)*('BD Anexo 11'!$C:$C='11-Patrimonio Consolidado'!$B7),'BD Anexo 11'!$G:$G))/1000</f>
        <v>0</v>
      </c>
      <c r="K7" s="408"/>
      <c r="L7" s="605">
        <f>SUM(F7:J7)</f>
        <v>12084.904929999997</v>
      </c>
      <c r="M7" s="408"/>
      <c r="N7" s="606">
        <f>L7/$L$52</f>
        <v>8.8548902398963899E-3</v>
      </c>
      <c r="O7" s="576"/>
    </row>
    <row r="8" spans="2:15">
      <c r="B8" s="585" t="s">
        <v>1016</v>
      </c>
      <c r="C8" s="408"/>
      <c r="D8" s="586">
        <f t="array" ref="D8">COUNTIF('BD Anexo 11'!$C:$C,'11-Patrimonio Consolidado'!$B8)-2</f>
        <v>2</v>
      </c>
      <c r="E8" s="408"/>
      <c r="F8" s="587">
        <f t="array" ref="F8">SUM(IF(('BD Anexo 11'!$A:$A='11-Patrimonio Consolidado'!$F$4)*('BD Anexo 11'!$C:$C='11-Patrimonio Consolidado'!$B8),'BD Anexo 11'!$G:$G))/1000</f>
        <v>2065.6351</v>
      </c>
      <c r="G8" s="408"/>
      <c r="H8" s="587">
        <f t="array" ref="H8">SUM(IF(('BD Anexo 11'!$A:$A='11-Patrimonio Consolidado'!$H$4)*('BD Anexo 11'!$C:$C='11-Patrimonio Consolidado'!$B8),'BD Anexo 11'!$G:$G))/1000</f>
        <v>1295.518</v>
      </c>
      <c r="I8" s="408"/>
      <c r="J8" s="587">
        <f t="array" ref="J8">SUM(IF(('BD Anexo 11'!$A:$A='11-Patrimonio Consolidado'!$J$4)*('BD Anexo 11'!$C:$C='11-Patrimonio Consolidado'!$B8),'BD Anexo 11'!$G:$G))/1000</f>
        <v>0</v>
      </c>
      <c r="K8" s="408"/>
      <c r="L8" s="587">
        <f>SUM(F8:J8)</f>
        <v>3361.1531</v>
      </c>
      <c r="M8" s="408"/>
      <c r="N8" s="575">
        <f>L8/$L$52</f>
        <v>2.462794862879199E-3</v>
      </c>
      <c r="O8" s="576"/>
    </row>
    <row r="9" spans="2:15">
      <c r="B9" s="603" t="s">
        <v>1018</v>
      </c>
      <c r="C9" s="408"/>
      <c r="D9" s="604">
        <f t="array" ref="D9">COUNTIF('BD Anexo 11'!$C:$C,'11-Patrimonio Consolidado'!$B9)-2</f>
        <v>1</v>
      </c>
      <c r="E9" s="408"/>
      <c r="F9" s="605">
        <f t="array" ref="F9">SUM(IF(('BD Anexo 11'!$A:$A='11-Patrimonio Consolidado'!$F$4)*('BD Anexo 11'!$C:$C='11-Patrimonio Consolidado'!$B9),'BD Anexo 11'!$G:$G))/1000</f>
        <v>0</v>
      </c>
      <c r="G9" s="408"/>
      <c r="H9" s="605">
        <f t="array" ref="H9">SUM(IF(('BD Anexo 11'!$A:$A='11-Patrimonio Consolidado'!$H$4)*('BD Anexo 11'!$C:$C='11-Patrimonio Consolidado'!$B9),'BD Anexo 11'!$G:$G))/1000</f>
        <v>3923.5450000000001</v>
      </c>
      <c r="I9" s="408"/>
      <c r="J9" s="605">
        <f t="array" ref="J9">SUM(IF(('BD Anexo 11'!$A:$A='11-Patrimonio Consolidado'!$J$4)*('BD Anexo 11'!$C:$C='11-Patrimonio Consolidado'!$B9),'BD Anexo 11'!$G:$G))/1000</f>
        <v>0</v>
      </c>
      <c r="K9" s="408"/>
      <c r="L9" s="605">
        <f t="shared" ref="L9:L50" si="0">SUM(F9:J9)</f>
        <v>3923.5450000000001</v>
      </c>
      <c r="M9" s="408"/>
      <c r="N9" s="606">
        <f t="shared" ref="N9:N50" si="1">L9/$L$52</f>
        <v>2.8748724567992357E-3</v>
      </c>
      <c r="O9" s="576"/>
    </row>
    <row r="10" spans="2:15">
      <c r="B10" s="585" t="s">
        <v>32</v>
      </c>
      <c r="C10" s="408"/>
      <c r="D10" s="586">
        <f t="array" ref="D10">COUNTIF('BD Anexo 11'!$C:$C,'11-Patrimonio Consolidado'!$B10)-2</f>
        <v>13</v>
      </c>
      <c r="E10" s="408"/>
      <c r="F10" s="587">
        <f t="array" ref="F10">SUM(IF(('BD Anexo 11'!$A:$A='11-Patrimonio Consolidado'!$F$4)*('BD Anexo 11'!$C:$C='11-Patrimonio Consolidado'!$B10),'BD Anexo 11'!$G:$G))/1000</f>
        <v>1706.3247700000002</v>
      </c>
      <c r="G10" s="408"/>
      <c r="H10" s="587">
        <f t="array" ref="H10">SUM(IF(('BD Anexo 11'!$A:$A='11-Patrimonio Consolidado'!$H$4)*('BD Anexo 11'!$C:$C='11-Patrimonio Consolidado'!$B10),'BD Anexo 11'!$G:$G))/1000</f>
        <v>0</v>
      </c>
      <c r="I10" s="408"/>
      <c r="J10" s="587">
        <f t="array" ref="J10">SUM(IF(('BD Anexo 11'!$A:$A='11-Patrimonio Consolidado'!$J$4)*('BD Anexo 11'!$C:$C='11-Patrimonio Consolidado'!$B10),'BD Anexo 11'!$G:$G))/1000</f>
        <v>0</v>
      </c>
      <c r="K10" s="408"/>
      <c r="L10" s="587">
        <f t="shared" si="0"/>
        <v>1706.3247700000002</v>
      </c>
      <c r="M10" s="408"/>
      <c r="N10" s="575">
        <f t="shared" si="1"/>
        <v>1.2502637496517284E-3</v>
      </c>
      <c r="O10" s="576"/>
    </row>
    <row r="11" spans="2:15">
      <c r="B11" s="603" t="s">
        <v>33</v>
      </c>
      <c r="C11" s="408"/>
      <c r="D11" s="604">
        <f t="array" ref="D11">COUNTIF('BD Anexo 11'!$C:$C,'11-Patrimonio Consolidado'!$B11)-2</f>
        <v>11</v>
      </c>
      <c r="E11" s="408"/>
      <c r="F11" s="605">
        <f t="array" ref="F11">SUM(IF(('BD Anexo 11'!$A:$A='11-Patrimonio Consolidado'!$F$4)*('BD Anexo 11'!$C:$C='11-Patrimonio Consolidado'!$B11),'BD Anexo 11'!$G:$G))/1000</f>
        <v>15203.35966</v>
      </c>
      <c r="G11" s="408"/>
      <c r="H11" s="605">
        <f t="array" ref="H11">SUM(IF(('BD Anexo 11'!$A:$A='11-Patrimonio Consolidado'!$H$4)*('BD Anexo 11'!$C:$C='11-Patrimonio Consolidado'!$B11),'BD Anexo 11'!$G:$G))/1000</f>
        <v>0</v>
      </c>
      <c r="I11" s="408"/>
      <c r="J11" s="605">
        <f t="array" ref="J11">SUM(IF(('BD Anexo 11'!$A:$A='11-Patrimonio Consolidado'!$J$4)*('BD Anexo 11'!$C:$C='11-Patrimonio Consolidado'!$B11),'BD Anexo 11'!$G:$G))/1000</f>
        <v>0</v>
      </c>
      <c r="K11" s="408"/>
      <c r="L11" s="605">
        <f t="shared" si="0"/>
        <v>15203.35966</v>
      </c>
      <c r="M11" s="408"/>
      <c r="N11" s="606">
        <f t="shared" si="1"/>
        <v>1.1139854375914278E-2</v>
      </c>
      <c r="O11" s="576"/>
    </row>
    <row r="12" spans="2:15">
      <c r="B12" s="585" t="s">
        <v>34</v>
      </c>
      <c r="C12" s="408"/>
      <c r="D12" s="586">
        <f t="array" ref="D12">COUNTIF('BD Anexo 11'!$C:$C,'11-Patrimonio Consolidado'!$B12)-2</f>
        <v>49</v>
      </c>
      <c r="E12" s="408"/>
      <c r="F12" s="587">
        <f t="array" ref="F12">SUM(IF(('BD Anexo 11'!$A:$A='11-Patrimonio Consolidado'!$F$4)*('BD Anexo 11'!$C:$C='11-Patrimonio Consolidado'!$B12),'BD Anexo 11'!$G:$G))/1000</f>
        <v>16862.303119999997</v>
      </c>
      <c r="G12" s="408"/>
      <c r="H12" s="587">
        <f t="array" ref="H12">SUM(IF(('BD Anexo 11'!$A:$A='11-Patrimonio Consolidado'!$H$4)*('BD Anexo 11'!$C:$C='11-Patrimonio Consolidado'!$B12),'BD Anexo 11'!$G:$G))/1000</f>
        <v>0</v>
      </c>
      <c r="I12" s="408"/>
      <c r="J12" s="587">
        <f t="array" ref="J12">SUM(IF(('BD Anexo 11'!$A:$A='11-Patrimonio Consolidado'!$J$4)*('BD Anexo 11'!$C:$C='11-Patrimonio Consolidado'!$B12),'BD Anexo 11'!$G:$G))/1000</f>
        <v>0</v>
      </c>
      <c r="K12" s="408"/>
      <c r="L12" s="587">
        <f t="shared" si="0"/>
        <v>16862.303119999997</v>
      </c>
      <c r="M12" s="408"/>
      <c r="N12" s="575">
        <f t="shared" si="1"/>
        <v>1.235540074037326E-2</v>
      </c>
      <c r="O12" s="576"/>
    </row>
    <row r="13" spans="2:15">
      <c r="B13" s="603" t="s">
        <v>35</v>
      </c>
      <c r="C13" s="408"/>
      <c r="D13" s="604">
        <f t="array" ref="D13">COUNTIF('BD Anexo 11'!$C:$C,'11-Patrimonio Consolidado'!$B13)-2</f>
        <v>12</v>
      </c>
      <c r="E13" s="408"/>
      <c r="F13" s="605">
        <f t="array" ref="F13">SUM(IF(('BD Anexo 11'!$A:$A='11-Patrimonio Consolidado'!$F$4)*('BD Anexo 11'!$C:$C='11-Patrimonio Consolidado'!$B13),'BD Anexo 11'!$G:$G))/1000</f>
        <v>2334.2513399999998</v>
      </c>
      <c r="G13" s="408"/>
      <c r="H13" s="605">
        <f t="array" ref="H13">SUM(IF(('BD Anexo 11'!$A:$A='11-Patrimonio Consolidado'!$H$4)*('BD Anexo 11'!$C:$C='11-Patrimonio Consolidado'!$B13),'BD Anexo 11'!$G:$G))/1000</f>
        <v>0</v>
      </c>
      <c r="I13" s="408"/>
      <c r="J13" s="605">
        <f t="array" ref="J13">SUM(IF(('BD Anexo 11'!$A:$A='11-Patrimonio Consolidado'!$J$4)*('BD Anexo 11'!$C:$C='11-Patrimonio Consolidado'!$B13),'BD Anexo 11'!$G:$G))/1000</f>
        <v>0</v>
      </c>
      <c r="K13" s="408"/>
      <c r="L13" s="605">
        <f t="shared" si="0"/>
        <v>2334.2513399999998</v>
      </c>
      <c r="M13" s="408"/>
      <c r="N13" s="606">
        <f t="shared" si="1"/>
        <v>1.7103601168363576E-3</v>
      </c>
      <c r="O13" s="576"/>
    </row>
    <row r="14" spans="2:15">
      <c r="B14" s="585" t="s">
        <v>36</v>
      </c>
      <c r="C14" s="408"/>
      <c r="D14" s="586">
        <f t="array" ref="D14">COUNTIF('BD Anexo 11'!$C:$C,'11-Patrimonio Consolidado'!$B14)-2</f>
        <v>115</v>
      </c>
      <c r="E14" s="408"/>
      <c r="F14" s="587">
        <f t="array" ref="F14">SUM(IF(('BD Anexo 11'!$A:$A='11-Patrimonio Consolidado'!$F$4)*('BD Anexo 11'!$C:$C='11-Patrimonio Consolidado'!$B14),'BD Anexo 11'!$G:$G))/1000</f>
        <v>5475.8484100000005</v>
      </c>
      <c r="G14" s="408"/>
      <c r="H14" s="587">
        <f t="array" ref="H14">SUM(IF(('BD Anexo 11'!$A:$A='11-Patrimonio Consolidado'!$H$4)*('BD Anexo 11'!$C:$C='11-Patrimonio Consolidado'!$B14),'BD Anexo 11'!$G:$G))/1000</f>
        <v>0</v>
      </c>
      <c r="I14" s="408"/>
      <c r="J14" s="587">
        <f t="array" ref="J14">SUM(IF(('BD Anexo 11'!$A:$A='11-Patrimonio Consolidado'!$J$4)*('BD Anexo 11'!$C:$C='11-Patrimonio Consolidado'!$B14),'BD Anexo 11'!$G:$G))/1000</f>
        <v>0</v>
      </c>
      <c r="K14" s="408"/>
      <c r="L14" s="587">
        <f t="shared" si="0"/>
        <v>5475.8484100000005</v>
      </c>
      <c r="M14" s="408"/>
      <c r="N14" s="575">
        <f t="shared" si="1"/>
        <v>4.012281182327943E-3</v>
      </c>
      <c r="O14" s="576"/>
    </row>
    <row r="15" spans="2:15">
      <c r="B15" s="603" t="s">
        <v>37</v>
      </c>
      <c r="C15" s="408"/>
      <c r="D15" s="604">
        <f t="array" ref="D15">COUNTIF('BD Anexo 11'!$C:$C,'11-Patrimonio Consolidado'!$B15)-2</f>
        <v>28</v>
      </c>
      <c r="E15" s="408"/>
      <c r="F15" s="605">
        <f t="array" ref="F15">SUM(IF(('BD Anexo 11'!$A:$A='11-Patrimonio Consolidado'!$F$4)*('BD Anexo 11'!$C:$C='11-Patrimonio Consolidado'!$B15),'BD Anexo 11'!$G:$G))/1000</f>
        <v>2447.2211100000004</v>
      </c>
      <c r="G15" s="408"/>
      <c r="H15" s="605">
        <f t="array" ref="H15">SUM(IF(('BD Anexo 11'!$A:$A='11-Patrimonio Consolidado'!$H$4)*('BD Anexo 11'!$C:$C='11-Patrimonio Consolidado'!$B15),'BD Anexo 11'!$G:$G))/1000</f>
        <v>2245</v>
      </c>
      <c r="I15" s="408"/>
      <c r="J15" s="605">
        <f t="array" ref="J15">SUM(IF(('BD Anexo 11'!$A:$A='11-Patrimonio Consolidado'!$J$4)*('BD Anexo 11'!$C:$C='11-Patrimonio Consolidado'!$B15),'BD Anexo 11'!$G:$G))/1000</f>
        <v>0</v>
      </c>
      <c r="K15" s="408"/>
      <c r="L15" s="605">
        <f t="shared" si="0"/>
        <v>4692.2211100000004</v>
      </c>
      <c r="M15" s="408"/>
      <c r="N15" s="606">
        <f t="shared" si="1"/>
        <v>3.4380992776560323E-3</v>
      </c>
      <c r="O15" s="576"/>
    </row>
    <row r="16" spans="2:15">
      <c r="B16" s="585" t="s">
        <v>38</v>
      </c>
      <c r="C16" s="408"/>
      <c r="D16" s="586">
        <f t="array" ref="D16">COUNTIF('BD Anexo 11'!$C:$C,'11-Patrimonio Consolidado'!$B16)-2</f>
        <v>10</v>
      </c>
      <c r="E16" s="408"/>
      <c r="F16" s="587">
        <f t="array" ref="F16">SUM(IF(('BD Anexo 11'!$A:$A='11-Patrimonio Consolidado'!$F$4)*('BD Anexo 11'!$C:$C='11-Patrimonio Consolidado'!$B16),'BD Anexo 11'!$G:$G))/1000</f>
        <v>1207.9059999999999</v>
      </c>
      <c r="G16" s="408"/>
      <c r="H16" s="587">
        <f t="array" ref="H16">SUM(IF(('BD Anexo 11'!$A:$A='11-Patrimonio Consolidado'!$H$4)*('BD Anexo 11'!$C:$C='11-Patrimonio Consolidado'!$B16),'BD Anexo 11'!$G:$G))/1000</f>
        <v>0</v>
      </c>
      <c r="I16" s="408"/>
      <c r="J16" s="587">
        <f t="array" ref="J16">SUM(IF(('BD Anexo 11'!$A:$A='11-Patrimonio Consolidado'!$J$4)*('BD Anexo 11'!$C:$C='11-Patrimonio Consolidado'!$B16),'BD Anexo 11'!$G:$G))/1000</f>
        <v>0</v>
      </c>
      <c r="K16" s="408"/>
      <c r="L16" s="587">
        <f t="shared" si="0"/>
        <v>1207.9059999999999</v>
      </c>
      <c r="M16" s="408"/>
      <c r="N16" s="575">
        <f t="shared" si="1"/>
        <v>8.8506075240695273E-4</v>
      </c>
      <c r="O16" s="576"/>
    </row>
    <row r="17" spans="2:15">
      <c r="B17" s="603" t="s">
        <v>39</v>
      </c>
      <c r="C17" s="408"/>
      <c r="D17" s="604">
        <f t="array" ref="D17">COUNTIF('BD Anexo 11'!$C:$C,'11-Patrimonio Consolidado'!$B17)-2</f>
        <v>75</v>
      </c>
      <c r="E17" s="408"/>
      <c r="F17" s="605">
        <f t="array" ref="F17">SUM(IF(('BD Anexo 11'!$A:$A='11-Patrimonio Consolidado'!$F$4)*('BD Anexo 11'!$C:$C='11-Patrimonio Consolidado'!$B17),'BD Anexo 11'!$G:$G))/1000</f>
        <v>2700.4608499999999</v>
      </c>
      <c r="G17" s="408"/>
      <c r="H17" s="605">
        <f t="array" ref="H17">SUM(IF(('BD Anexo 11'!$A:$A='11-Patrimonio Consolidado'!$H$4)*('BD Anexo 11'!$C:$C='11-Patrimonio Consolidado'!$B17),'BD Anexo 11'!$G:$G))/1000</f>
        <v>0</v>
      </c>
      <c r="I17" s="408"/>
      <c r="J17" s="605">
        <f t="array" ref="J17">SUM(IF(('BD Anexo 11'!$A:$A='11-Patrimonio Consolidado'!$J$4)*('BD Anexo 11'!$C:$C='11-Patrimonio Consolidado'!$B17),'BD Anexo 11'!$G:$G))/1000</f>
        <v>0</v>
      </c>
      <c r="K17" s="408"/>
      <c r="L17" s="605">
        <f t="shared" si="0"/>
        <v>2700.4608499999999</v>
      </c>
      <c r="M17" s="408"/>
      <c r="N17" s="606">
        <f t="shared" si="1"/>
        <v>1.9786903217191725E-3</v>
      </c>
      <c r="O17" s="576"/>
    </row>
    <row r="18" spans="2:15">
      <c r="B18" s="585" t="s">
        <v>40</v>
      </c>
      <c r="C18" s="408"/>
      <c r="D18" s="586">
        <f t="array" ref="D18">COUNTIF('BD Anexo 11'!$C:$C,'11-Patrimonio Consolidado'!$B18)-2</f>
        <v>30</v>
      </c>
      <c r="E18" s="408"/>
      <c r="F18" s="587">
        <f t="array" ref="F18">SUM(IF(('BD Anexo 11'!$A:$A='11-Patrimonio Consolidado'!$F$4)*('BD Anexo 11'!$C:$C='11-Patrimonio Consolidado'!$B18),'BD Anexo 11'!$G:$G))/1000</f>
        <v>6056.6005300000006</v>
      </c>
      <c r="G18" s="408"/>
      <c r="H18" s="587">
        <f t="array" ref="H18">SUM(IF(('BD Anexo 11'!$A:$A='11-Patrimonio Consolidado'!$H$4)*('BD Anexo 11'!$C:$C='11-Patrimonio Consolidado'!$B18),'BD Anexo 11'!$G:$G))/1000</f>
        <v>0</v>
      </c>
      <c r="I18" s="408"/>
      <c r="J18" s="587">
        <f t="array" ref="J18">SUM(IF(('BD Anexo 11'!$A:$A='11-Patrimonio Consolidado'!$J$4)*('BD Anexo 11'!$C:$C='11-Patrimonio Consolidado'!$B18),'BD Anexo 11'!$G:$G))/1000</f>
        <v>0</v>
      </c>
      <c r="K18" s="408"/>
      <c r="L18" s="587">
        <f t="shared" si="0"/>
        <v>6056.6005300000006</v>
      </c>
      <c r="M18" s="408"/>
      <c r="N18" s="575">
        <f t="shared" si="1"/>
        <v>4.4378117354414576E-3</v>
      </c>
      <c r="O18" s="576"/>
    </row>
    <row r="19" spans="2:15">
      <c r="B19" s="603" t="s">
        <v>42</v>
      </c>
      <c r="C19" s="408"/>
      <c r="D19" s="604">
        <f t="array" ref="D19">COUNTIF('BD Anexo 11'!$C:$C,'11-Patrimonio Consolidado'!$B19)-2</f>
        <v>60</v>
      </c>
      <c r="E19" s="408"/>
      <c r="F19" s="605">
        <f t="array" ref="F19">SUM(IF(('BD Anexo 11'!$A:$A='11-Patrimonio Consolidado'!$F$4)*('BD Anexo 11'!$C:$C='11-Patrimonio Consolidado'!$B19),'BD Anexo 11'!$G:$G))/1000</f>
        <v>31333.028909999997</v>
      </c>
      <c r="G19" s="408"/>
      <c r="H19" s="605">
        <f t="array" ref="H19">SUM(IF(('BD Anexo 11'!$A:$A='11-Patrimonio Consolidado'!$H$4)*('BD Anexo 11'!$C:$C='11-Patrimonio Consolidado'!$B19),'BD Anexo 11'!$G:$G))/1000</f>
        <v>0</v>
      </c>
      <c r="I19" s="408"/>
      <c r="J19" s="605">
        <f t="array" ref="J19">SUM(IF(('BD Anexo 11'!$A:$A='11-Patrimonio Consolidado'!$J$4)*('BD Anexo 11'!$C:$C='11-Patrimonio Consolidado'!$B19),'BD Anexo 11'!$G:$G))/1000</f>
        <v>0</v>
      </c>
      <c r="K19" s="408"/>
      <c r="L19" s="605">
        <f t="shared" si="0"/>
        <v>31333.028909999997</v>
      </c>
      <c r="M19" s="408"/>
      <c r="N19" s="606">
        <f t="shared" si="1"/>
        <v>2.2958437280941893E-2</v>
      </c>
      <c r="O19" s="576"/>
    </row>
    <row r="20" spans="2:15">
      <c r="B20" s="585" t="s">
        <v>43</v>
      </c>
      <c r="C20" s="408"/>
      <c r="D20" s="586">
        <f t="array" ref="D20">COUNTIF('BD Anexo 11'!$C:$C,'11-Patrimonio Consolidado'!$B20)-2</f>
        <v>341</v>
      </c>
      <c r="E20" s="408"/>
      <c r="F20" s="587">
        <f t="array" ref="F20">SUM(IF(('BD Anexo 11'!$A:$A='11-Patrimonio Consolidado'!$F$4)*('BD Anexo 11'!$C:$C='11-Patrimonio Consolidado'!$B20),'BD Anexo 11'!$G:$G))/1000</f>
        <v>616.61646999999994</v>
      </c>
      <c r="G20" s="408"/>
      <c r="H20" s="587">
        <f t="array" ref="H20">SUM(IF(('BD Anexo 11'!$A:$A='11-Patrimonio Consolidado'!$H$4)*('BD Anexo 11'!$C:$C='11-Patrimonio Consolidado'!$B20),'BD Anexo 11'!$G:$G))/1000</f>
        <v>136.54872999999998</v>
      </c>
      <c r="I20" s="408"/>
      <c r="J20" s="587">
        <f t="array" ref="J20">SUM(IF(('BD Anexo 11'!$A:$A='11-Patrimonio Consolidado'!$J$4)*('BD Anexo 11'!$C:$C='11-Patrimonio Consolidado'!$B20),'BD Anexo 11'!$G:$G))/1000</f>
        <v>0</v>
      </c>
      <c r="K20" s="408"/>
      <c r="L20" s="587">
        <f t="shared" si="0"/>
        <v>753.16519999999991</v>
      </c>
      <c r="M20" s="408"/>
      <c r="N20" s="575">
        <f t="shared" si="1"/>
        <v>5.5186161721088641E-4</v>
      </c>
      <c r="O20" s="576"/>
    </row>
    <row r="21" spans="2:15">
      <c r="B21" s="603" t="s">
        <v>44</v>
      </c>
      <c r="C21" s="408"/>
      <c r="D21" s="604">
        <f t="array" ref="D21">COUNTIF('BD Anexo 11'!$C:$C,'11-Patrimonio Consolidado'!$B21)-2</f>
        <v>13</v>
      </c>
      <c r="E21" s="408"/>
      <c r="F21" s="605">
        <f t="array" ref="F21">SUM(IF(('BD Anexo 11'!$A:$A='11-Patrimonio Consolidado'!$F$4)*('BD Anexo 11'!$C:$C='11-Patrimonio Consolidado'!$B21),'BD Anexo 11'!$G:$G))/1000</f>
        <v>8229.2233899999992</v>
      </c>
      <c r="G21" s="408"/>
      <c r="H21" s="605">
        <f t="array" ref="H21">SUM(IF(('BD Anexo 11'!$A:$A='11-Patrimonio Consolidado'!$H$4)*('BD Anexo 11'!$C:$C='11-Patrimonio Consolidado'!$B21),'BD Anexo 11'!$G:$G))/1000</f>
        <v>0</v>
      </c>
      <c r="I21" s="408"/>
      <c r="J21" s="605">
        <f t="array" ref="J21">SUM(IF(('BD Anexo 11'!$A:$A='11-Patrimonio Consolidado'!$J$4)*('BD Anexo 11'!$C:$C='11-Patrimonio Consolidado'!$B21),'BD Anexo 11'!$G:$G))/1000</f>
        <v>0</v>
      </c>
      <c r="K21" s="408"/>
      <c r="L21" s="605">
        <f t="shared" si="0"/>
        <v>8229.2233899999992</v>
      </c>
      <c r="M21" s="408"/>
      <c r="N21" s="606">
        <f t="shared" si="1"/>
        <v>6.0297429148280521E-3</v>
      </c>
      <c r="O21" s="576"/>
    </row>
    <row r="22" spans="2:15">
      <c r="B22" s="585" t="s">
        <v>45</v>
      </c>
      <c r="C22" s="408"/>
      <c r="D22" s="586">
        <f t="array" ref="D22">COUNTIF('BD Anexo 11'!$C:$C,'11-Patrimonio Consolidado'!$B22)-2</f>
        <v>19</v>
      </c>
      <c r="E22" s="408"/>
      <c r="F22" s="587">
        <f t="array" ref="F22">SUM(IF(('BD Anexo 11'!$A:$A='11-Patrimonio Consolidado'!$F$4)*('BD Anexo 11'!$C:$C='11-Patrimonio Consolidado'!$B22),'BD Anexo 11'!$G:$G))/1000</f>
        <v>10068.709000000001</v>
      </c>
      <c r="G22" s="408"/>
      <c r="H22" s="587">
        <f t="array" ref="H22">SUM(IF(('BD Anexo 11'!$A:$A='11-Patrimonio Consolidado'!$H$4)*('BD Anexo 11'!$C:$C='11-Patrimonio Consolidado'!$B22),'BD Anexo 11'!$G:$G))/1000</f>
        <v>0</v>
      </c>
      <c r="I22" s="408"/>
      <c r="J22" s="587">
        <f t="array" ref="J22">SUM(IF(('BD Anexo 11'!$A:$A='11-Patrimonio Consolidado'!$J$4)*('BD Anexo 11'!$C:$C='11-Patrimonio Consolidado'!$B22),'BD Anexo 11'!$G:$G))/1000</f>
        <v>0</v>
      </c>
      <c r="K22" s="408"/>
      <c r="L22" s="587">
        <f t="shared" si="0"/>
        <v>10068.709000000001</v>
      </c>
      <c r="M22" s="408"/>
      <c r="N22" s="575">
        <f t="shared" si="1"/>
        <v>7.3775767015865946E-3</v>
      </c>
      <c r="O22" s="576"/>
    </row>
    <row r="23" spans="2:15">
      <c r="B23" s="603" t="s">
        <v>46</v>
      </c>
      <c r="C23" s="408"/>
      <c r="D23" s="604">
        <f t="array" ref="D23">COUNTIF('BD Anexo 11'!$C:$C,'11-Patrimonio Consolidado'!$B23)-2</f>
        <v>41</v>
      </c>
      <c r="E23" s="408"/>
      <c r="F23" s="605">
        <f t="array" ref="F23">SUM(IF(('BD Anexo 11'!$A:$A='11-Patrimonio Consolidado'!$F$4)*('BD Anexo 11'!$C:$C='11-Patrimonio Consolidado'!$B23),'BD Anexo 11'!$G:$G))/1000</f>
        <v>1144.6958500000001</v>
      </c>
      <c r="G23" s="408"/>
      <c r="H23" s="605">
        <f t="array" ref="H23">SUM(IF(('BD Anexo 11'!$A:$A='11-Patrimonio Consolidado'!$H$4)*('BD Anexo 11'!$C:$C='11-Patrimonio Consolidado'!$B23),'BD Anexo 11'!$G:$G))/1000</f>
        <v>0</v>
      </c>
      <c r="I23" s="408"/>
      <c r="J23" s="605">
        <f t="array" ref="J23">SUM(IF(('BD Anexo 11'!$A:$A='11-Patrimonio Consolidado'!$J$4)*('BD Anexo 11'!$C:$C='11-Patrimonio Consolidado'!$B23),'BD Anexo 11'!$G:$G))/1000</f>
        <v>0</v>
      </c>
      <c r="K23" s="408"/>
      <c r="L23" s="605">
        <f t="shared" si="0"/>
        <v>1144.6958500000001</v>
      </c>
      <c r="M23" s="408"/>
      <c r="N23" s="606">
        <f t="shared" si="1"/>
        <v>8.3874520888058872E-4</v>
      </c>
      <c r="O23" s="576"/>
    </row>
    <row r="24" spans="2:15">
      <c r="B24" s="585" t="s">
        <v>47</v>
      </c>
      <c r="C24" s="408"/>
      <c r="D24" s="586">
        <f t="array" ref="D24">COUNTIF('BD Anexo 11'!$C:$C,'11-Patrimonio Consolidado'!$B24)-2</f>
        <v>141</v>
      </c>
      <c r="E24" s="408"/>
      <c r="F24" s="587">
        <f t="array" ref="F24">SUM(IF(('BD Anexo 11'!$A:$A='11-Patrimonio Consolidado'!$F$4)*('BD Anexo 11'!$C:$C='11-Patrimonio Consolidado'!$B24),'BD Anexo 11'!$G:$G))/1000</f>
        <v>604420.55220999999</v>
      </c>
      <c r="G24" s="408"/>
      <c r="H24" s="587">
        <f t="array" ref="H24">SUM(IF(('BD Anexo 11'!$A:$A='11-Patrimonio Consolidado'!$H$4)*('BD Anexo 11'!$C:$C='11-Patrimonio Consolidado'!$B24),'BD Anexo 11'!$G:$G))/1000</f>
        <v>497417.88935000001</v>
      </c>
      <c r="I24" s="408"/>
      <c r="J24" s="587">
        <f t="array" ref="J24">SUM(IF(('BD Anexo 11'!$A:$A='11-Patrimonio Consolidado'!$J$4)*('BD Anexo 11'!$C:$C='11-Patrimonio Consolidado'!$B24),'BD Anexo 11'!$G:$G))/1000</f>
        <v>54096.582999999999</v>
      </c>
      <c r="K24" s="408"/>
      <c r="L24" s="587">
        <f t="shared" si="0"/>
        <v>1155935.02456</v>
      </c>
      <c r="M24" s="408"/>
      <c r="N24" s="575">
        <f t="shared" si="1"/>
        <v>0.84698041285548964</v>
      </c>
      <c r="O24" s="576"/>
    </row>
    <row r="25" spans="2:15">
      <c r="B25" s="603" t="s">
        <v>48</v>
      </c>
      <c r="C25" s="408"/>
      <c r="D25" s="604">
        <f t="array" ref="D25">COUNTIF('BD Anexo 11'!$C:$C,'11-Patrimonio Consolidado'!$B25)-2</f>
        <v>27</v>
      </c>
      <c r="E25" s="408"/>
      <c r="F25" s="605">
        <f t="array" ref="F25">SUM(IF(('BD Anexo 11'!$A:$A='11-Patrimonio Consolidado'!$F$4)*('BD Anexo 11'!$C:$C='11-Patrimonio Consolidado'!$B25),'BD Anexo 11'!$G:$G))/1000</f>
        <v>0</v>
      </c>
      <c r="G25" s="408"/>
      <c r="H25" s="605">
        <f t="array" ref="H25">SUM(IF(('BD Anexo 11'!$A:$A='11-Patrimonio Consolidado'!$H$4)*('BD Anexo 11'!$C:$C='11-Patrimonio Consolidado'!$B25),'BD Anexo 11'!$G:$G))/1000</f>
        <v>55.540600000000005</v>
      </c>
      <c r="I25" s="408"/>
      <c r="J25" s="605">
        <f t="array" ref="J25">SUM(IF(('BD Anexo 11'!$A:$A='11-Patrimonio Consolidado'!$J$4)*('BD Anexo 11'!$C:$C='11-Patrimonio Consolidado'!$B25),'BD Anexo 11'!$G:$G))/1000</f>
        <v>0</v>
      </c>
      <c r="K25" s="408"/>
      <c r="L25" s="605">
        <f t="shared" si="0"/>
        <v>55.540600000000005</v>
      </c>
      <c r="M25" s="408"/>
      <c r="N25" s="606">
        <f t="shared" si="1"/>
        <v>4.069588629010337E-5</v>
      </c>
      <c r="O25" s="576"/>
    </row>
    <row r="26" spans="2:15">
      <c r="B26" s="585" t="s">
        <v>49</v>
      </c>
      <c r="C26" s="408"/>
      <c r="D26" s="586">
        <f t="array" ref="D26">COUNTIF('BD Anexo 11'!$C:$C,'11-Patrimonio Consolidado'!$B26)-2</f>
        <v>60</v>
      </c>
      <c r="E26" s="408"/>
      <c r="F26" s="587">
        <f t="array" ref="F26">SUM(IF(('BD Anexo 11'!$A:$A='11-Patrimonio Consolidado'!$F$4)*('BD Anexo 11'!$C:$C='11-Patrimonio Consolidado'!$B26),'BD Anexo 11'!$G:$G))/1000</f>
        <v>1059.25875</v>
      </c>
      <c r="G26" s="408"/>
      <c r="H26" s="587">
        <f t="array" ref="H26">SUM(IF(('BD Anexo 11'!$A:$A='11-Patrimonio Consolidado'!$H$4)*('BD Anexo 11'!$C:$C='11-Patrimonio Consolidado'!$B26),'BD Anexo 11'!$G:$G))/1000</f>
        <v>0</v>
      </c>
      <c r="I26" s="408"/>
      <c r="J26" s="587">
        <f t="array" ref="J26">SUM(IF(('BD Anexo 11'!$A:$A='11-Patrimonio Consolidado'!$J$4)*('BD Anexo 11'!$C:$C='11-Patrimonio Consolidado'!$B26),'BD Anexo 11'!$G:$G))/1000</f>
        <v>0</v>
      </c>
      <c r="K26" s="408"/>
      <c r="L26" s="587">
        <f t="shared" si="0"/>
        <v>1059.25875</v>
      </c>
      <c r="M26" s="408"/>
      <c r="N26" s="575">
        <f t="shared" si="1"/>
        <v>7.7614346337268644E-4</v>
      </c>
      <c r="O26" s="576"/>
    </row>
    <row r="27" spans="2:15">
      <c r="B27" s="603" t="s">
        <v>50</v>
      </c>
      <c r="C27" s="408"/>
      <c r="D27" s="604">
        <f t="array" ref="D27">COUNTIF('BD Anexo 11'!$C:$C,'11-Patrimonio Consolidado'!$B27)-2</f>
        <v>21</v>
      </c>
      <c r="E27" s="408"/>
      <c r="F27" s="605">
        <f t="array" ref="F27">SUM(IF(('BD Anexo 11'!$A:$A='11-Patrimonio Consolidado'!$F$4)*('BD Anexo 11'!$C:$C='11-Patrimonio Consolidado'!$B27),'BD Anexo 11'!$G:$G))/1000</f>
        <v>2322.18309</v>
      </c>
      <c r="G27" s="408"/>
      <c r="H27" s="605">
        <f t="array" ref="H27">SUM(IF(('BD Anexo 11'!$A:$A='11-Patrimonio Consolidado'!$H$4)*('BD Anexo 11'!$C:$C='11-Patrimonio Consolidado'!$B27),'BD Anexo 11'!$G:$G))/1000</f>
        <v>0</v>
      </c>
      <c r="I27" s="408"/>
      <c r="J27" s="605">
        <f t="array" ref="J27">SUM(IF(('BD Anexo 11'!$A:$A='11-Patrimonio Consolidado'!$J$4)*('BD Anexo 11'!$C:$C='11-Patrimonio Consolidado'!$B27),'BD Anexo 11'!$G:$G))/1000</f>
        <v>0</v>
      </c>
      <c r="K27" s="408"/>
      <c r="L27" s="605">
        <f t="shared" si="0"/>
        <v>2322.18309</v>
      </c>
      <c r="M27" s="408"/>
      <c r="N27" s="606">
        <f t="shared" si="1"/>
        <v>1.7015174300501052E-3</v>
      </c>
      <c r="O27" s="576"/>
    </row>
    <row r="28" spans="2:15">
      <c r="B28" s="585" t="s">
        <v>51</v>
      </c>
      <c r="C28" s="408"/>
      <c r="D28" s="586">
        <f t="array" ref="D28">COUNTIF('BD Anexo 11'!$C:$C,'11-Patrimonio Consolidado'!$B28)-2</f>
        <v>380</v>
      </c>
      <c r="E28" s="408"/>
      <c r="F28" s="587">
        <f t="array" ref="F28">SUM(IF(('BD Anexo 11'!$A:$A='11-Patrimonio Consolidado'!$F$4)*('BD Anexo 11'!$C:$C='11-Patrimonio Consolidado'!$B28),'BD Anexo 11'!$G:$G))/1000</f>
        <v>7425.657439999999</v>
      </c>
      <c r="G28" s="408"/>
      <c r="H28" s="587">
        <f t="array" ref="H28">SUM(IF(('BD Anexo 11'!$A:$A='11-Patrimonio Consolidado'!$H$4)*('BD Anexo 11'!$C:$C='11-Patrimonio Consolidado'!$B28),'BD Anexo 11'!$G:$G))/1000</f>
        <v>182</v>
      </c>
      <c r="I28" s="408"/>
      <c r="J28" s="587">
        <f t="array" ref="J28">SUM(IF(('BD Anexo 11'!$A:$A='11-Patrimonio Consolidado'!$J$4)*('BD Anexo 11'!$C:$C='11-Patrimonio Consolidado'!$B28),'BD Anexo 11'!$G:$G))/1000</f>
        <v>0</v>
      </c>
      <c r="K28" s="408"/>
      <c r="L28" s="587">
        <f t="shared" si="0"/>
        <v>7607.657439999999</v>
      </c>
      <c r="M28" s="408"/>
      <c r="N28" s="575">
        <f t="shared" si="1"/>
        <v>5.5743071214984863E-3</v>
      </c>
      <c r="O28" s="576"/>
    </row>
    <row r="29" spans="2:15">
      <c r="B29" s="603" t="s">
        <v>52</v>
      </c>
      <c r="C29" s="408"/>
      <c r="D29" s="604">
        <f t="array" ref="D29">COUNTIF('BD Anexo 11'!$C:$C,'11-Patrimonio Consolidado'!$B29)-2</f>
        <v>21</v>
      </c>
      <c r="E29" s="408"/>
      <c r="F29" s="605">
        <f t="array" ref="F29">SUM(IF(('BD Anexo 11'!$A:$A='11-Patrimonio Consolidado'!$F$4)*('BD Anexo 11'!$C:$C='11-Patrimonio Consolidado'!$B29),'BD Anexo 11'!$G:$G))/1000</f>
        <v>196.74700000000001</v>
      </c>
      <c r="G29" s="408"/>
      <c r="H29" s="605">
        <f t="array" ref="H29">SUM(IF(('BD Anexo 11'!$A:$A='11-Patrimonio Consolidado'!$H$4)*('BD Anexo 11'!$C:$C='11-Patrimonio Consolidado'!$B29),'BD Anexo 11'!$G:$G))/1000</f>
        <v>0</v>
      </c>
      <c r="I29" s="408"/>
      <c r="J29" s="605">
        <f t="array" ref="J29">SUM(IF(('BD Anexo 11'!$A:$A='11-Patrimonio Consolidado'!$J$4)*('BD Anexo 11'!$C:$C='11-Patrimonio Consolidado'!$B29),'BD Anexo 11'!$G:$G))/1000</f>
        <v>0</v>
      </c>
      <c r="K29" s="408"/>
      <c r="L29" s="605">
        <f t="shared" si="0"/>
        <v>196.74700000000001</v>
      </c>
      <c r="M29" s="408"/>
      <c r="N29" s="606">
        <f t="shared" si="1"/>
        <v>1.4416109188447672E-4</v>
      </c>
      <c r="O29" s="576"/>
    </row>
    <row r="30" spans="2:15">
      <c r="B30" s="585" t="s">
        <v>53</v>
      </c>
      <c r="C30" s="408"/>
      <c r="D30" s="586">
        <f t="array" ref="D30">COUNTIF('BD Anexo 11'!$C:$C,'11-Patrimonio Consolidado'!$B30)-2</f>
        <v>197</v>
      </c>
      <c r="E30" s="408"/>
      <c r="F30" s="587">
        <f t="array" ref="F30">SUM(IF(('BD Anexo 11'!$A:$A='11-Patrimonio Consolidado'!$F$4)*('BD Anexo 11'!$C:$C='11-Patrimonio Consolidado'!$B30),'BD Anexo 11'!$G:$G))/1000</f>
        <v>203.48515000000017</v>
      </c>
      <c r="G30" s="408"/>
      <c r="H30" s="587">
        <f t="array" ref="H30">SUM(IF(('BD Anexo 11'!$A:$A='11-Patrimonio Consolidado'!$H$4)*('BD Anexo 11'!$C:$C='11-Patrimonio Consolidado'!$B30),'BD Anexo 11'!$G:$G))/1000</f>
        <v>0</v>
      </c>
      <c r="I30" s="408"/>
      <c r="J30" s="587">
        <f t="array" ref="J30">SUM(IF(('BD Anexo 11'!$A:$A='11-Patrimonio Consolidado'!$J$4)*('BD Anexo 11'!$C:$C='11-Patrimonio Consolidado'!$B30),'BD Anexo 11'!$G:$G))/1000</f>
        <v>0</v>
      </c>
      <c r="K30" s="408"/>
      <c r="L30" s="587">
        <f t="shared" si="0"/>
        <v>203.48515000000017</v>
      </c>
      <c r="M30" s="408"/>
      <c r="N30" s="575">
        <f t="shared" si="1"/>
        <v>1.4909829073010797E-4</v>
      </c>
      <c r="O30" s="576"/>
    </row>
    <row r="31" spans="2:15">
      <c r="B31" s="603" t="s">
        <v>54</v>
      </c>
      <c r="C31" s="408"/>
      <c r="D31" s="604">
        <f t="array" ref="D31">COUNTIF('BD Anexo 11'!$C:$C,'11-Patrimonio Consolidado'!$B31)-2</f>
        <v>257</v>
      </c>
      <c r="E31" s="408"/>
      <c r="F31" s="605">
        <f t="array" ref="F31">SUM(IF(('BD Anexo 11'!$A:$A='11-Patrimonio Consolidado'!$F$4)*('BD Anexo 11'!$C:$C='11-Patrimonio Consolidado'!$B31),'BD Anexo 11'!$G:$G))/1000</f>
        <v>267.22879000000006</v>
      </c>
      <c r="G31" s="408"/>
      <c r="H31" s="605">
        <f t="array" ref="H31">SUM(IF(('BD Anexo 11'!$A:$A='11-Patrimonio Consolidado'!$H$4)*('BD Anexo 11'!$C:$C='11-Patrimonio Consolidado'!$B31),'BD Anexo 11'!$G:$G))/1000</f>
        <v>0</v>
      </c>
      <c r="I31" s="408"/>
      <c r="J31" s="605">
        <f t="array" ref="J31">SUM(IF(('BD Anexo 11'!$A:$A='11-Patrimonio Consolidado'!$J$4)*('BD Anexo 11'!$C:$C='11-Patrimonio Consolidado'!$B31),'BD Anexo 11'!$G:$G))/1000</f>
        <v>0</v>
      </c>
      <c r="K31" s="408"/>
      <c r="L31" s="605">
        <f t="shared" si="0"/>
        <v>267.22879000000006</v>
      </c>
      <c r="M31" s="408"/>
      <c r="N31" s="606">
        <f t="shared" si="1"/>
        <v>1.9580473475767123E-4</v>
      </c>
      <c r="O31" s="576"/>
    </row>
    <row r="32" spans="2:15">
      <c r="B32" s="585" t="s">
        <v>55</v>
      </c>
      <c r="C32" s="408"/>
      <c r="D32" s="586">
        <f t="array" ref="D32">COUNTIF('BD Anexo 11'!$C:$C,'11-Patrimonio Consolidado'!$B32)-2</f>
        <v>1080</v>
      </c>
      <c r="E32" s="408"/>
      <c r="F32" s="587">
        <f t="array" ref="F32">SUM(IF(('BD Anexo 11'!$A:$A='11-Patrimonio Consolidado'!$F$4)*('BD Anexo 11'!$C:$C='11-Patrimonio Consolidado'!$B32),'BD Anexo 11'!$G:$G))/1000</f>
        <v>514.64864999999975</v>
      </c>
      <c r="G32" s="408"/>
      <c r="H32" s="587">
        <f t="array" ref="H32">SUM(IF(('BD Anexo 11'!$A:$A='11-Patrimonio Consolidado'!$H$4)*('BD Anexo 11'!$C:$C='11-Patrimonio Consolidado'!$B32),'BD Anexo 11'!$G:$G))/1000</f>
        <v>0</v>
      </c>
      <c r="I32" s="408"/>
      <c r="J32" s="587">
        <f t="array" ref="J32">SUM(IF(('BD Anexo 11'!$A:$A='11-Patrimonio Consolidado'!$J$4)*('BD Anexo 11'!$C:$C='11-Patrimonio Consolidado'!$B32),'BD Anexo 11'!$G:$G))/1000</f>
        <v>0</v>
      </c>
      <c r="K32" s="408"/>
      <c r="L32" s="587">
        <f t="shared" si="0"/>
        <v>514.64864999999975</v>
      </c>
      <c r="M32" s="408"/>
      <c r="N32" s="575">
        <f t="shared" si="1"/>
        <v>3.7709500689144871E-4</v>
      </c>
      <c r="O32" s="576"/>
    </row>
    <row r="33" spans="2:15">
      <c r="B33" s="603" t="s">
        <v>56</v>
      </c>
      <c r="C33" s="408"/>
      <c r="D33" s="604">
        <f t="array" ref="D33">COUNTIF('BD Anexo 11'!$C:$C,'11-Patrimonio Consolidado'!$B33)-2</f>
        <v>22</v>
      </c>
      <c r="E33" s="408"/>
      <c r="F33" s="605">
        <f t="array" ref="F33">SUM(IF(('BD Anexo 11'!$A:$A='11-Patrimonio Consolidado'!$F$4)*('BD Anexo 11'!$C:$C='11-Patrimonio Consolidado'!$B33),'BD Anexo 11'!$G:$G))/1000</f>
        <v>2262.49667</v>
      </c>
      <c r="G33" s="408"/>
      <c r="H33" s="605">
        <f t="array" ref="H33">SUM(IF(('BD Anexo 11'!$A:$A='11-Patrimonio Consolidado'!$H$4)*('BD Anexo 11'!$C:$C='11-Patrimonio Consolidado'!$B33),'BD Anexo 11'!$G:$G))/1000</f>
        <v>3769</v>
      </c>
      <c r="I33" s="408"/>
      <c r="J33" s="605">
        <f t="array" ref="J33">SUM(IF(('BD Anexo 11'!$A:$A='11-Patrimonio Consolidado'!$J$4)*('BD Anexo 11'!$C:$C='11-Patrimonio Consolidado'!$B33),'BD Anexo 11'!$G:$G))/1000</f>
        <v>0</v>
      </c>
      <c r="K33" s="408"/>
      <c r="L33" s="605">
        <f t="shared" si="0"/>
        <v>6031.4966700000004</v>
      </c>
      <c r="M33" s="408"/>
      <c r="N33" s="606">
        <f t="shared" si="1"/>
        <v>4.4194175547519676E-3</v>
      </c>
      <c r="O33" s="576"/>
    </row>
    <row r="34" spans="2:15">
      <c r="B34" s="585" t="s">
        <v>1024</v>
      </c>
      <c r="C34" s="408"/>
      <c r="D34" s="586">
        <f t="array" ref="D34">COUNTIF('BD Anexo 11'!$C:$C,'11-Patrimonio Consolidado'!$B34)-2</f>
        <v>1</v>
      </c>
      <c r="E34" s="408"/>
      <c r="F34" s="587">
        <f t="array" ref="F34">SUM(IF(('BD Anexo 11'!$A:$A='11-Patrimonio Consolidado'!$F$4)*('BD Anexo 11'!$C:$C='11-Patrimonio Consolidado'!$B34),'BD Anexo 11'!$G:$G))/1000</f>
        <v>1461.3790100000001</v>
      </c>
      <c r="G34" s="408"/>
      <c r="H34" s="587">
        <f t="array" ref="H34">SUM(IF(('BD Anexo 11'!$A:$A='11-Patrimonio Consolidado'!$H$4)*('BD Anexo 11'!$C:$C='11-Patrimonio Consolidado'!$B34),'BD Anexo 11'!$G:$G))/1000</f>
        <v>0</v>
      </c>
      <c r="I34" s="408"/>
      <c r="J34" s="587">
        <f t="array" ref="J34">SUM(IF(('BD Anexo 11'!$A:$A='11-Patrimonio Consolidado'!$J$4)*('BD Anexo 11'!$C:$C='11-Patrimonio Consolidado'!$B34),'BD Anexo 11'!$G:$G))/1000</f>
        <v>0</v>
      </c>
      <c r="K34" s="408"/>
      <c r="L34" s="587">
        <f t="shared" si="0"/>
        <v>1461.3790100000001</v>
      </c>
      <c r="M34" s="408"/>
      <c r="N34" s="575">
        <f t="shared" si="1"/>
        <v>1.0707863079927808E-3</v>
      </c>
      <c r="O34" s="576"/>
    </row>
    <row r="35" spans="2:15">
      <c r="B35" s="603" t="s">
        <v>57</v>
      </c>
      <c r="C35" s="408"/>
      <c r="D35" s="604">
        <f t="array" ref="D35">COUNTIF('BD Anexo 11'!$C:$C,'11-Patrimonio Consolidado'!$B35)-2</f>
        <v>0</v>
      </c>
      <c r="E35" s="408"/>
      <c r="F35" s="605">
        <f t="array" ref="F35">SUM(IF(('BD Anexo 11'!$A:$A='11-Patrimonio Consolidado'!$F$4)*('BD Anexo 11'!$C:$C='11-Patrimonio Consolidado'!$B35),'BD Anexo 11'!$G:$G))/1000</f>
        <v>400</v>
      </c>
      <c r="G35" s="408"/>
      <c r="H35" s="605">
        <f t="array" ref="H35">SUM(IF(('BD Anexo 11'!$A:$A='11-Patrimonio Consolidado'!$H$4)*('BD Anexo 11'!$C:$C='11-Patrimonio Consolidado'!$B35),'BD Anexo 11'!$G:$G))/1000</f>
        <v>560</v>
      </c>
      <c r="I35" s="408"/>
      <c r="J35" s="605">
        <f t="array" ref="J35">SUM(IF(('BD Anexo 11'!$A:$A='11-Patrimonio Consolidado'!$J$4)*('BD Anexo 11'!$C:$C='11-Patrimonio Consolidado'!$B35),'BD Anexo 11'!$G:$G))/1000</f>
        <v>0</v>
      </c>
      <c r="K35" s="408"/>
      <c r="L35" s="605">
        <f t="shared" si="0"/>
        <v>960</v>
      </c>
      <c r="M35" s="408"/>
      <c r="N35" s="606">
        <f t="shared" si="1"/>
        <v>7.0341427421560505E-4</v>
      </c>
      <c r="O35" s="576"/>
    </row>
    <row r="36" spans="2:15">
      <c r="B36" s="585" t="s">
        <v>58</v>
      </c>
      <c r="C36" s="408"/>
      <c r="D36" s="586">
        <f t="array" ref="D36">COUNTIF('BD Anexo 11'!$C:$C,'11-Patrimonio Consolidado'!$B36)-2</f>
        <v>39</v>
      </c>
      <c r="E36" s="408"/>
      <c r="F36" s="587">
        <f t="array" ref="F36">SUM(IF(('BD Anexo 11'!$A:$A='11-Patrimonio Consolidado'!$F$4)*('BD Anexo 11'!$C:$C='11-Patrimonio Consolidado'!$B36),'BD Anexo 11'!$G:$G))/1000</f>
        <v>10323.994349999997</v>
      </c>
      <c r="G36" s="408"/>
      <c r="H36" s="587">
        <f t="array" ref="H36">SUM(IF(('BD Anexo 11'!$A:$A='11-Patrimonio Consolidado'!$H$4)*('BD Anexo 11'!$C:$C='11-Patrimonio Consolidado'!$B36),'BD Anexo 11'!$G:$G))/1000</f>
        <v>0</v>
      </c>
      <c r="I36" s="408"/>
      <c r="J36" s="587">
        <f t="array" ref="J36">SUM(IF(('BD Anexo 11'!$A:$A='11-Patrimonio Consolidado'!$J$4)*('BD Anexo 11'!$C:$C='11-Patrimonio Consolidado'!$B36),'BD Anexo 11'!$G:$G))/1000</f>
        <v>0</v>
      </c>
      <c r="K36" s="408"/>
      <c r="L36" s="587">
        <f t="shared" si="0"/>
        <v>10323.994349999997</v>
      </c>
      <c r="M36" s="408"/>
      <c r="N36" s="575">
        <f t="shared" si="1"/>
        <v>7.5646302007408911E-3</v>
      </c>
      <c r="O36" s="576"/>
    </row>
    <row r="37" spans="2:15">
      <c r="B37" s="603" t="s">
        <v>59</v>
      </c>
      <c r="C37" s="408"/>
      <c r="D37" s="604">
        <f t="array" ref="D37">COUNTIF('BD Anexo 11'!$C:$C,'11-Patrimonio Consolidado'!$B37)-2</f>
        <v>79</v>
      </c>
      <c r="E37" s="408"/>
      <c r="F37" s="605">
        <f t="array" ref="F37">SUM(IF(('BD Anexo 11'!$A:$A='11-Patrimonio Consolidado'!$F$4)*('BD Anexo 11'!$C:$C='11-Patrimonio Consolidado'!$B37),'BD Anexo 11'!$G:$G))/1000</f>
        <v>8010.6562599999988</v>
      </c>
      <c r="G37" s="408"/>
      <c r="H37" s="605">
        <f t="array" ref="H37">SUM(IF(('BD Anexo 11'!$A:$A='11-Patrimonio Consolidado'!$H$4)*('BD Anexo 11'!$C:$C='11-Patrimonio Consolidado'!$B37),'BD Anexo 11'!$G:$G))/1000</f>
        <v>0</v>
      </c>
      <c r="I37" s="408"/>
      <c r="J37" s="605">
        <f t="array" ref="J37">SUM(IF(('BD Anexo 11'!$A:$A='11-Patrimonio Consolidado'!$J$4)*('BD Anexo 11'!$C:$C='11-Patrimonio Consolidado'!$B37),'BD Anexo 11'!$G:$G))/1000</f>
        <v>0</v>
      </c>
      <c r="K37" s="408"/>
      <c r="L37" s="605">
        <f t="shared" si="0"/>
        <v>8010.6562599999988</v>
      </c>
      <c r="M37" s="408"/>
      <c r="N37" s="606">
        <f t="shared" si="1"/>
        <v>5.8695937074152004E-3</v>
      </c>
      <c r="O37" s="576"/>
    </row>
    <row r="38" spans="2:15">
      <c r="B38" s="585" t="s">
        <v>60</v>
      </c>
      <c r="C38" s="408"/>
      <c r="D38" s="586">
        <f t="array" ref="D38">COUNTIF('BD Anexo 11'!$C:$C,'11-Patrimonio Consolidado'!$B38)-2</f>
        <v>8</v>
      </c>
      <c r="E38" s="408"/>
      <c r="F38" s="587">
        <f t="array" ref="F38">SUM(IF(('BD Anexo 11'!$A:$A='11-Patrimonio Consolidado'!$F$4)*('BD Anexo 11'!$C:$C='11-Patrimonio Consolidado'!$B38),'BD Anexo 11'!$G:$G))/1000</f>
        <v>247.85738000000001</v>
      </c>
      <c r="G38" s="408"/>
      <c r="H38" s="587">
        <f t="array" ref="H38">SUM(IF(('BD Anexo 11'!$A:$A='11-Patrimonio Consolidado'!$H$4)*('BD Anexo 11'!$C:$C='11-Patrimonio Consolidado'!$B38),'BD Anexo 11'!$G:$G))/1000</f>
        <v>0</v>
      </c>
      <c r="I38" s="408"/>
      <c r="J38" s="587">
        <f t="array" ref="J38">SUM(IF(('BD Anexo 11'!$A:$A='11-Patrimonio Consolidado'!$J$4)*('BD Anexo 11'!$C:$C='11-Patrimonio Consolidado'!$B38),'BD Anexo 11'!$G:$G))/1000</f>
        <v>0</v>
      </c>
      <c r="K38" s="408"/>
      <c r="L38" s="587">
        <f t="shared" si="0"/>
        <v>247.85738000000001</v>
      </c>
      <c r="M38" s="408"/>
      <c r="N38" s="575">
        <f t="shared" si="1"/>
        <v>1.8161085318925147E-4</v>
      </c>
      <c r="O38" s="576"/>
    </row>
    <row r="39" spans="2:15">
      <c r="B39" s="603" t="s">
        <v>61</v>
      </c>
      <c r="C39" s="408"/>
      <c r="D39" s="604">
        <f t="array" ref="D39">COUNTIF('BD Anexo 11'!$C:$C,'11-Patrimonio Consolidado'!$B39)-2</f>
        <v>14</v>
      </c>
      <c r="E39" s="408"/>
      <c r="F39" s="605">
        <f t="array" ref="F39">SUM(IF(('BD Anexo 11'!$A:$A='11-Patrimonio Consolidado'!$F$4)*('BD Anexo 11'!$C:$C='11-Patrimonio Consolidado'!$B39),'BD Anexo 11'!$G:$G))/1000</f>
        <v>827.0385</v>
      </c>
      <c r="G39" s="408"/>
      <c r="H39" s="605">
        <f t="array" ref="H39">SUM(IF(('BD Anexo 11'!$A:$A='11-Patrimonio Consolidado'!$H$4)*('BD Anexo 11'!$C:$C='11-Patrimonio Consolidado'!$B39),'BD Anexo 11'!$G:$G))/1000</f>
        <v>0</v>
      </c>
      <c r="I39" s="408"/>
      <c r="J39" s="605">
        <f t="array" ref="J39">SUM(IF(('BD Anexo 11'!$A:$A='11-Patrimonio Consolidado'!$J$4)*('BD Anexo 11'!$C:$C='11-Patrimonio Consolidado'!$B39),'BD Anexo 11'!$G:$G))/1000</f>
        <v>0</v>
      </c>
      <c r="K39" s="408"/>
      <c r="L39" s="605">
        <f t="shared" si="0"/>
        <v>827.0385</v>
      </c>
      <c r="M39" s="408"/>
      <c r="N39" s="606">
        <f t="shared" si="1"/>
        <v>6.0599029815194025E-4</v>
      </c>
      <c r="O39" s="576"/>
    </row>
    <row r="40" spans="2:15">
      <c r="B40" s="585" t="s">
        <v>62</v>
      </c>
      <c r="C40" s="408"/>
      <c r="D40" s="586">
        <f t="array" ref="D40">COUNTIF('BD Anexo 11'!$C:$C,'11-Patrimonio Consolidado'!$B40)-2</f>
        <v>30</v>
      </c>
      <c r="E40" s="408"/>
      <c r="F40" s="587">
        <f t="array" ref="F40">SUM(IF(('BD Anexo 11'!$A:$A='11-Patrimonio Consolidado'!$F$4)*('BD Anexo 11'!$C:$C='11-Patrimonio Consolidado'!$B40),'BD Anexo 11'!$G:$G))/1000</f>
        <v>11141.911330000001</v>
      </c>
      <c r="G40" s="408"/>
      <c r="H40" s="587">
        <f t="array" ref="H40">SUM(IF(('BD Anexo 11'!$A:$A='11-Patrimonio Consolidado'!$H$4)*('BD Anexo 11'!$C:$C='11-Patrimonio Consolidado'!$B40),'BD Anexo 11'!$G:$G))/1000</f>
        <v>0</v>
      </c>
      <c r="I40" s="408"/>
      <c r="J40" s="587">
        <f t="array" ref="J40">SUM(IF(('BD Anexo 11'!$A:$A='11-Patrimonio Consolidado'!$J$4)*('BD Anexo 11'!$C:$C='11-Patrimonio Consolidado'!$B40),'BD Anexo 11'!$G:$G))/1000</f>
        <v>0</v>
      </c>
      <c r="K40" s="408"/>
      <c r="L40" s="587">
        <f t="shared" si="0"/>
        <v>11141.911330000001</v>
      </c>
      <c r="M40" s="408"/>
      <c r="N40" s="575">
        <f t="shared" si="1"/>
        <v>8.163936949548518E-3</v>
      </c>
      <c r="O40" s="576"/>
    </row>
    <row r="41" spans="2:15">
      <c r="B41" s="603" t="s">
        <v>6918</v>
      </c>
      <c r="C41" s="408"/>
      <c r="D41" s="604">
        <f t="array" ref="D41">COUNTIF('BD Anexo 11'!$C:$C,'11-Patrimonio Consolidado'!$B41)-2</f>
        <v>-1</v>
      </c>
      <c r="E41" s="408"/>
      <c r="F41" s="605">
        <f t="array" ref="F41">SUM(IF(('BD Anexo 11'!$A:$A='11-Patrimonio Consolidado'!$F$4)*('BD Anexo 11'!$C:$C='11-Patrimonio Consolidado'!$B41),'BD Anexo 11'!$G:$G))/1000</f>
        <v>144.55996999999999</v>
      </c>
      <c r="G41" s="408"/>
      <c r="H41" s="605">
        <f t="array" ref="H41">SUM(IF(('BD Anexo 11'!$A:$A='11-Patrimonio Consolidado'!$H$4)*('BD Anexo 11'!$C:$C='11-Patrimonio Consolidado'!$B41),'BD Anexo 11'!$G:$G))/1000</f>
        <v>0</v>
      </c>
      <c r="I41" s="408"/>
      <c r="J41" s="605">
        <f t="array" ref="J41">SUM(IF(('BD Anexo 11'!$A:$A='11-Patrimonio Consolidado'!$J$4)*('BD Anexo 11'!$C:$C='11-Patrimonio Consolidado'!$B41),'BD Anexo 11'!$G:$G))/1000</f>
        <v>0</v>
      </c>
      <c r="K41" s="408"/>
      <c r="L41" s="605">
        <f t="shared" si="0"/>
        <v>144.55996999999999</v>
      </c>
      <c r="M41" s="408"/>
      <c r="N41" s="606">
        <f t="shared" si="1"/>
        <v>1.0592244414393712E-4</v>
      </c>
      <c r="O41" s="576"/>
    </row>
    <row r="42" spans="2:15">
      <c r="B42" s="585" t="s">
        <v>63</v>
      </c>
      <c r="C42" s="408"/>
      <c r="D42" s="586">
        <f t="array" ref="D42">COUNTIF('BD Anexo 11'!$C:$C,'11-Patrimonio Consolidado'!$B42)-2</f>
        <v>22</v>
      </c>
      <c r="E42" s="408"/>
      <c r="F42" s="587">
        <f t="array" ref="F42">SUM(IF(('BD Anexo 11'!$A:$A='11-Patrimonio Consolidado'!$F$4)*('BD Anexo 11'!$C:$C='11-Patrimonio Consolidado'!$B42),'BD Anexo 11'!$G:$G))/1000</f>
        <v>3336.8893499999999</v>
      </c>
      <c r="G42" s="408"/>
      <c r="H42" s="587">
        <f t="array" ref="H42">SUM(IF(('BD Anexo 11'!$A:$A='11-Patrimonio Consolidado'!$H$4)*('BD Anexo 11'!$C:$C='11-Patrimonio Consolidado'!$B42),'BD Anexo 11'!$G:$G))/1000</f>
        <v>0</v>
      </c>
      <c r="I42" s="408"/>
      <c r="J42" s="587">
        <f t="array" ref="J42">SUM(IF(('BD Anexo 11'!$A:$A='11-Patrimonio Consolidado'!$J$4)*('BD Anexo 11'!$C:$C='11-Patrimonio Consolidado'!$B42),'BD Anexo 11'!$G:$G))/1000</f>
        <v>0</v>
      </c>
      <c r="K42" s="408"/>
      <c r="L42" s="587">
        <f t="shared" si="0"/>
        <v>3336.8893499999999</v>
      </c>
      <c r="M42" s="408"/>
      <c r="N42" s="575">
        <f t="shared" si="1"/>
        <v>2.4450162502792001E-3</v>
      </c>
      <c r="O42" s="576"/>
    </row>
    <row r="43" spans="2:15">
      <c r="B43" s="603" t="s">
        <v>1430</v>
      </c>
      <c r="C43" s="408"/>
      <c r="D43" s="604">
        <f t="array" ref="D43">COUNTIF('BD Anexo 11'!$C:$C,'11-Patrimonio Consolidado'!$B43)-2</f>
        <v>0</v>
      </c>
      <c r="E43" s="408"/>
      <c r="F43" s="605">
        <f t="array" ref="F43">SUM(IF(('BD Anexo 11'!$A:$A='11-Patrimonio Consolidado'!$F$4)*('BD Anexo 11'!$C:$C='11-Patrimonio Consolidado'!$B43),'BD Anexo 11'!$G:$G))/1000</f>
        <v>95.308000000000007</v>
      </c>
      <c r="G43" s="408"/>
      <c r="H43" s="605">
        <f t="array" ref="H43">SUM(IF(('BD Anexo 11'!$A:$A='11-Patrimonio Consolidado'!$H$4)*('BD Anexo 11'!$C:$C='11-Patrimonio Consolidado'!$B43),'BD Anexo 11'!$G:$G))/1000</f>
        <v>0</v>
      </c>
      <c r="I43" s="408"/>
      <c r="J43" s="605">
        <f t="array" ref="J43">SUM(IF(('BD Anexo 11'!$A:$A='11-Patrimonio Consolidado'!$J$4)*('BD Anexo 11'!$C:$C='11-Patrimonio Consolidado'!$B43),'BD Anexo 11'!$G:$G))/1000</f>
        <v>0</v>
      </c>
      <c r="K43" s="408"/>
      <c r="L43" s="605">
        <f t="shared" si="0"/>
        <v>95.308000000000007</v>
      </c>
      <c r="M43" s="408"/>
      <c r="N43" s="606">
        <f t="shared" si="1"/>
        <v>6.9834382965563432E-5</v>
      </c>
      <c r="O43" s="576"/>
    </row>
    <row r="44" spans="2:15">
      <c r="B44" s="585" t="s">
        <v>1267</v>
      </c>
      <c r="C44" s="408"/>
      <c r="D44" s="586">
        <f t="array" ref="D44">COUNTIF('BD Anexo 11'!$C:$C,'11-Patrimonio Consolidado'!$B44)-2</f>
        <v>3</v>
      </c>
      <c r="E44" s="408"/>
      <c r="F44" s="587">
        <f t="array" ref="F44">SUM(IF(('BD Anexo 11'!$A:$A='11-Patrimonio Consolidado'!$F$4)*('BD Anexo 11'!$C:$C='11-Patrimonio Consolidado'!$B44),'BD Anexo 11'!$G:$G))/1000</f>
        <v>1653.0186799999999</v>
      </c>
      <c r="G44" s="408"/>
      <c r="H44" s="587">
        <f t="array" ref="H44">SUM(IF(('BD Anexo 11'!$A:$A='11-Patrimonio Consolidado'!$H$4)*('BD Anexo 11'!$C:$C='11-Patrimonio Consolidado'!$B44),'BD Anexo 11'!$G:$G))/1000</f>
        <v>0</v>
      </c>
      <c r="I44" s="408"/>
      <c r="J44" s="587">
        <f t="array" ref="J44">SUM(IF(('BD Anexo 11'!$A:$A='11-Patrimonio Consolidado'!$J$4)*('BD Anexo 11'!$C:$C='11-Patrimonio Consolidado'!$B44),'BD Anexo 11'!$G:$G))/1000</f>
        <v>0</v>
      </c>
      <c r="K44" s="408"/>
      <c r="L44" s="587">
        <f t="shared" si="0"/>
        <v>1653.0186799999999</v>
      </c>
      <c r="M44" s="408"/>
      <c r="N44" s="575">
        <f t="shared" si="1"/>
        <v>1.2112051406844139E-3</v>
      </c>
      <c r="O44" s="576"/>
    </row>
    <row r="45" spans="2:15">
      <c r="B45" s="603" t="s">
        <v>64</v>
      </c>
      <c r="C45" s="408"/>
      <c r="D45" s="604">
        <f t="array" ref="D45">COUNTIF('BD Anexo 11'!$C:$C,'11-Patrimonio Consolidado'!$B45)-2</f>
        <v>1</v>
      </c>
      <c r="E45" s="408"/>
      <c r="F45" s="605">
        <f t="array" ref="F45">SUM(IF(('BD Anexo 11'!$A:$A='11-Patrimonio Consolidado'!$F$4)*('BD Anexo 11'!$C:$C='11-Patrimonio Consolidado'!$B45),'BD Anexo 11'!$G:$G))/1000</f>
        <v>0</v>
      </c>
      <c r="G45" s="408"/>
      <c r="H45" s="605">
        <f t="array" ref="H45">SUM(IF(('BD Anexo 11'!$A:$A='11-Patrimonio Consolidado'!$H$4)*('BD Anexo 11'!$C:$C='11-Patrimonio Consolidado'!$B45),'BD Anexo 11'!$G:$G))/1000</f>
        <v>52.040459999999996</v>
      </c>
      <c r="I45" s="408"/>
      <c r="J45" s="605">
        <f t="array" ref="J45">SUM(IF(('BD Anexo 11'!$A:$A='11-Patrimonio Consolidado'!$J$4)*('BD Anexo 11'!$C:$C='11-Patrimonio Consolidado'!$B45),'BD Anexo 11'!$G:$G))/1000</f>
        <v>0</v>
      </c>
      <c r="K45" s="408"/>
      <c r="L45" s="605">
        <f t="shared" si="0"/>
        <v>52.040459999999996</v>
      </c>
      <c r="M45" s="408"/>
      <c r="N45" s="606">
        <f t="shared" si="1"/>
        <v>3.8131252500777317E-5</v>
      </c>
      <c r="O45" s="576"/>
    </row>
    <row r="46" spans="2:15">
      <c r="B46" s="585" t="s">
        <v>65</v>
      </c>
      <c r="C46" s="408"/>
      <c r="D46" s="586">
        <f t="array" ref="D46">COUNTIF('BD Anexo 11'!$C:$C,'11-Patrimonio Consolidado'!$B46)-2</f>
        <v>5</v>
      </c>
      <c r="E46" s="408"/>
      <c r="F46" s="587">
        <f t="array" ref="F46">SUM(IF(('BD Anexo 11'!$A:$A='11-Patrimonio Consolidado'!$F$4)*('BD Anexo 11'!$C:$C='11-Patrimonio Consolidado'!$B46),'BD Anexo 11'!$G:$G))/1000</f>
        <v>104.42</v>
      </c>
      <c r="G46" s="408"/>
      <c r="H46" s="587">
        <f t="array" ref="H46">SUM(IF(('BD Anexo 11'!$A:$A='11-Patrimonio Consolidado'!$H$4)*('BD Anexo 11'!$C:$C='11-Patrimonio Consolidado'!$B46),'BD Anexo 11'!$G:$G))/1000</f>
        <v>0</v>
      </c>
      <c r="I46" s="408"/>
      <c r="J46" s="587">
        <f t="array" ref="J46">SUM(IF(('BD Anexo 11'!$A:$A='11-Patrimonio Consolidado'!$J$4)*('BD Anexo 11'!$C:$C='11-Patrimonio Consolidado'!$B46),'BD Anexo 11'!$G:$G))/1000</f>
        <v>0</v>
      </c>
      <c r="K46" s="408"/>
      <c r="L46" s="587">
        <f t="shared" si="0"/>
        <v>104.42</v>
      </c>
      <c r="M46" s="408"/>
      <c r="N46" s="575">
        <f t="shared" si="1"/>
        <v>7.6510956784993204E-5</v>
      </c>
      <c r="O46" s="576"/>
    </row>
    <row r="47" spans="2:15">
      <c r="B47" s="603" t="s">
        <v>66</v>
      </c>
      <c r="C47" s="408"/>
      <c r="D47" s="604">
        <f t="array" ref="D47">COUNTIF('BD Anexo 11'!$C:$C,'11-Patrimonio Consolidado'!$B47)-2</f>
        <v>101</v>
      </c>
      <c r="E47" s="408"/>
      <c r="F47" s="605">
        <f t="array" ref="F47">SUM(IF(('BD Anexo 11'!$A:$A='11-Patrimonio Consolidado'!$F$4)*('BD Anexo 11'!$C:$C='11-Patrimonio Consolidado'!$B47),'BD Anexo 11'!$G:$G))/1000</f>
        <v>18842.439849999992</v>
      </c>
      <c r="G47" s="408"/>
      <c r="H47" s="605">
        <f t="array" ref="H47">SUM(IF(('BD Anexo 11'!$A:$A='11-Patrimonio Consolidado'!$H$4)*('BD Anexo 11'!$C:$C='11-Patrimonio Consolidado'!$B47),'BD Anexo 11'!$G:$G))/1000</f>
        <v>0</v>
      </c>
      <c r="I47" s="408"/>
      <c r="J47" s="605">
        <f t="array" ref="J47">SUM(IF(('BD Anexo 11'!$A:$A='11-Patrimonio Consolidado'!$J$4)*('BD Anexo 11'!$C:$C='11-Patrimonio Consolidado'!$B47),'BD Anexo 11'!$G:$G))/1000</f>
        <v>0</v>
      </c>
      <c r="K47" s="408"/>
      <c r="L47" s="605">
        <f t="shared" si="0"/>
        <v>18842.439849999992</v>
      </c>
      <c r="M47" s="408"/>
      <c r="N47" s="606">
        <f t="shared" si="1"/>
        <v>1.3806292866186393E-2</v>
      </c>
      <c r="O47" s="576"/>
    </row>
    <row r="48" spans="2:15">
      <c r="B48" s="585" t="s">
        <v>67</v>
      </c>
      <c r="C48" s="408"/>
      <c r="D48" s="586">
        <f t="array" ref="D48">COUNTIF('BD Anexo 11'!$C:$C,'11-Patrimonio Consolidado'!$B48)-2</f>
        <v>4</v>
      </c>
      <c r="E48" s="408"/>
      <c r="F48" s="587">
        <f t="array" ref="F48">SUM(IF(('BD Anexo 11'!$A:$A='11-Patrimonio Consolidado'!$F$4)*('BD Anexo 11'!$C:$C='11-Patrimonio Consolidado'!$B48),'BD Anexo 11'!$G:$G))/1000</f>
        <v>2577.7310000000002</v>
      </c>
      <c r="G48" s="408"/>
      <c r="H48" s="587">
        <f t="array" ref="H48">SUM(IF(('BD Anexo 11'!$A:$A='11-Patrimonio Consolidado'!$H$4)*('BD Anexo 11'!$C:$C='11-Patrimonio Consolidado'!$B48),'BD Anexo 11'!$G:$G))/1000</f>
        <v>0</v>
      </c>
      <c r="I48" s="408"/>
      <c r="J48" s="587">
        <f t="array" ref="J48">SUM(IF(('BD Anexo 11'!$A:$A='11-Patrimonio Consolidado'!$J$4)*('BD Anexo 11'!$C:$C='11-Patrimonio Consolidado'!$B48),'BD Anexo 11'!$G:$G))/1000</f>
        <v>0</v>
      </c>
      <c r="K48" s="408"/>
      <c r="L48" s="587">
        <f t="shared" si="0"/>
        <v>2577.7310000000002</v>
      </c>
      <c r="M48" s="408"/>
      <c r="N48" s="575">
        <f t="shared" si="1"/>
        <v>1.8887633130084021E-3</v>
      </c>
      <c r="O48" s="576"/>
    </row>
    <row r="49" spans="2:15">
      <c r="B49" s="603" t="s">
        <v>68</v>
      </c>
      <c r="C49" s="408"/>
      <c r="D49" s="604">
        <f t="array" ref="D49">COUNTIF('BD Anexo 11'!$C:$C,'11-Patrimonio Consolidado'!$B49)-2</f>
        <v>9</v>
      </c>
      <c r="E49" s="408"/>
      <c r="F49" s="605">
        <f t="array" ref="F49">SUM(IF(('BD Anexo 11'!$A:$A='11-Patrimonio Consolidado'!$F$4)*('BD Anexo 11'!$C:$C='11-Patrimonio Consolidado'!$B49),'BD Anexo 11'!$G:$G))/1000</f>
        <v>682.47967000000006</v>
      </c>
      <c r="G49" s="408"/>
      <c r="H49" s="605">
        <f t="array" ref="H49">SUM(IF(('BD Anexo 11'!$A:$A='11-Patrimonio Consolidado'!$H$4)*('BD Anexo 11'!$C:$C='11-Patrimonio Consolidado'!$B49),'BD Anexo 11'!$G:$G))/1000</f>
        <v>0</v>
      </c>
      <c r="I49" s="408"/>
      <c r="J49" s="605">
        <f t="array" ref="J49">SUM(IF(('BD Anexo 11'!$A:$A='11-Patrimonio Consolidado'!$J$4)*('BD Anexo 11'!$C:$C='11-Patrimonio Consolidado'!$B49),'BD Anexo 11'!$G:$G))/1000</f>
        <v>0</v>
      </c>
      <c r="K49" s="408"/>
      <c r="L49" s="605">
        <f t="shared" si="0"/>
        <v>682.47967000000006</v>
      </c>
      <c r="M49" s="408"/>
      <c r="N49" s="606">
        <f t="shared" si="1"/>
        <v>5.0006868931245379E-4</v>
      </c>
      <c r="O49" s="576"/>
    </row>
    <row r="50" spans="2:15">
      <c r="B50" s="585" t="s">
        <v>69</v>
      </c>
      <c r="C50" s="408"/>
      <c r="D50" s="586">
        <f t="array" ref="D50">COUNTIF('BD Anexo 11'!$C:$C,'11-Patrimonio Consolidado'!$B50)-2</f>
        <v>50</v>
      </c>
      <c r="E50" s="408"/>
      <c r="F50" s="587">
        <f t="array" ref="F50">SUM(IF(('BD Anexo 11'!$A:$A='11-Patrimonio Consolidado'!$F$4)*('BD Anexo 11'!$C:$C='11-Patrimonio Consolidado'!$B50),'BD Anexo 11'!$G:$G))/1000</f>
        <v>2979.1538400000009</v>
      </c>
      <c r="G50" s="408"/>
      <c r="H50" s="587">
        <f t="array" ref="H50">SUM(IF(('BD Anexo 11'!$A:$A='11-Patrimonio Consolidado'!$H$4)*('BD Anexo 11'!$C:$C='11-Patrimonio Consolidado'!$B50),'BD Anexo 11'!$G:$G))/1000</f>
        <v>0</v>
      </c>
      <c r="I50" s="408"/>
      <c r="J50" s="587">
        <f t="array" ref="J50">SUM(IF(('BD Anexo 11'!$A:$A='11-Patrimonio Consolidado'!$J$4)*('BD Anexo 11'!$C:$C='11-Patrimonio Consolidado'!$B50),'BD Anexo 11'!$G:$G))/1000</f>
        <v>0</v>
      </c>
      <c r="K50" s="408"/>
      <c r="L50" s="587">
        <f t="shared" si="0"/>
        <v>2979.1538400000009</v>
      </c>
      <c r="M50" s="408"/>
      <c r="N50" s="575">
        <f t="shared" si="1"/>
        <v>2.1828951418127432E-3</v>
      </c>
      <c r="O50" s="576"/>
    </row>
    <row r="51" spans="2:15" ht="6" customHeight="1">
      <c r="D51" s="429"/>
      <c r="F51" s="235"/>
      <c r="H51" s="235"/>
      <c r="J51" s="235"/>
      <c r="L51" s="235"/>
      <c r="N51" s="235"/>
    </row>
    <row r="52" spans="2:15" s="249" customFormat="1">
      <c r="B52" s="955" t="s">
        <v>21</v>
      </c>
      <c r="C52" s="588"/>
      <c r="D52" s="589">
        <f>SUM(D7:D50)</f>
        <v>3414</v>
      </c>
      <c r="E52" s="588"/>
      <c r="F52" s="589">
        <f>SUM(F7:F50)</f>
        <v>801038.18437999988</v>
      </c>
      <c r="G52" s="588"/>
      <c r="H52" s="589">
        <f>SUM(H7:H50)</f>
        <v>509637.08214000001</v>
      </c>
      <c r="I52" s="588"/>
      <c r="J52" s="589">
        <f>SUM(J7:J50)</f>
        <v>54096.582999999999</v>
      </c>
      <c r="K52" s="588"/>
      <c r="L52" s="589">
        <f>SUM(L7:L50)</f>
        <v>1364771.8495200004</v>
      </c>
      <c r="M52" s="588"/>
      <c r="N52" s="956">
        <f>L52/L52</f>
        <v>1</v>
      </c>
    </row>
    <row r="53" spans="2:15" s="249" customFormat="1">
      <c r="B53" s="955"/>
      <c r="C53" s="588"/>
      <c r="D53" s="590"/>
      <c r="E53" s="591"/>
      <c r="F53" s="592">
        <f>F52/L52</f>
        <v>0.58693926362983706</v>
      </c>
      <c r="G53" s="591"/>
      <c r="H53" s="592">
        <f>H52/L52</f>
        <v>0.37342291484048623</v>
      </c>
      <c r="I53" s="591"/>
      <c r="J53" s="592">
        <f>J52/L52</f>
        <v>3.9637821529676286E-2</v>
      </c>
      <c r="K53" s="591"/>
      <c r="L53" s="592">
        <f>L52/L52</f>
        <v>1</v>
      </c>
      <c r="M53" s="591"/>
      <c r="N53" s="956"/>
    </row>
    <row r="55" spans="2:15" s="227" customFormat="1" ht="18.75">
      <c r="B55" s="381" t="s">
        <v>70</v>
      </c>
      <c r="C55" s="386"/>
      <c r="E55" s="230"/>
      <c r="G55" s="230"/>
      <c r="I55" s="230"/>
      <c r="K55" s="230"/>
      <c r="M55" s="230"/>
    </row>
    <row r="56" spans="2:15" ht="5.25" customHeight="1">
      <c r="D56" s="429"/>
    </row>
    <row r="57" spans="2:15" ht="31.5">
      <c r="B57" s="581" t="s">
        <v>27</v>
      </c>
      <c r="C57" s="582"/>
      <c r="D57" s="581" t="s">
        <v>20</v>
      </c>
      <c r="E57" s="593"/>
      <c r="F57" s="583" t="s">
        <v>1172</v>
      </c>
      <c r="G57" s="593"/>
      <c r="H57" s="584" t="s">
        <v>28</v>
      </c>
      <c r="I57" s="593"/>
      <c r="J57" s="581" t="s">
        <v>29</v>
      </c>
      <c r="K57" s="593"/>
      <c r="L57" s="581" t="s">
        <v>21</v>
      </c>
      <c r="M57" s="593"/>
      <c r="N57" s="581" t="s">
        <v>30</v>
      </c>
    </row>
    <row r="58" spans="2:15">
      <c r="B58" s="607" t="s">
        <v>72</v>
      </c>
      <c r="C58" s="409"/>
      <c r="D58" s="604">
        <f t="array" ref="D58">COUNTIF('BD Anexo 11'!$B:$B,'11-Patrimonio Consolidado'!B58)-2</f>
        <v>1885</v>
      </c>
      <c r="E58" s="409"/>
      <c r="F58" s="605">
        <f t="array" ref="F58">SUM(IF(('BD Anexo 11'!$A:$A='11-Patrimonio Consolidado'!$F$4)*('BD Anexo 11'!$B:$B='11-Patrimonio Consolidado'!$B58),'BD Anexo 11'!$G:$G))/1000</f>
        <v>506570.2576100009</v>
      </c>
      <c r="G58" s="409"/>
      <c r="H58" s="605">
        <f t="array" ref="H58">SUM(IF(('BD Anexo 11'!$A:$A='11-Patrimonio Consolidado'!$H$4)*('BD Anexo 11'!$B:$B='11-Patrimonio Consolidado'!$B58),'BD Anexo 11'!$G:$G))/1000</f>
        <v>417349.01520999998</v>
      </c>
      <c r="I58" s="587"/>
      <c r="J58" s="605">
        <f t="array" ref="J58">SUM(IF(('BD Anexo 11'!$A:$A='11-Patrimonio Consolidado'!$J$4)*('BD Anexo 11'!$B:$B='11-Patrimonio Consolidado'!$B58),'BD Anexo 11'!$G:$G))/1000</f>
        <v>53656.582999999999</v>
      </c>
      <c r="K58" s="409"/>
      <c r="L58" s="605">
        <f t="shared" ref="L58:L66" si="2">SUM(F58:J58)</f>
        <v>977575.85582000087</v>
      </c>
      <c r="M58" s="409"/>
      <c r="N58" s="606">
        <f t="shared" ref="N58:N66" si="3">L58/$L$69</f>
        <v>0.71629251157533802</v>
      </c>
    </row>
    <row r="59" spans="2:15">
      <c r="B59" s="594" t="s">
        <v>74</v>
      </c>
      <c r="C59" s="409"/>
      <c r="D59" s="586">
        <f t="array" ref="D59">COUNTIF('BD Anexo 11'!$B:$B,'11-Patrimonio Consolidado'!B59)</f>
        <v>397</v>
      </c>
      <c r="E59" s="409"/>
      <c r="F59" s="587">
        <f t="array" ref="F59">SUM(IF(('BD Anexo 11'!$A:$A='11-Patrimonio Consolidado'!$F$4)*('BD Anexo 11'!$B:$B='11-Patrimonio Consolidado'!$B59),'BD Anexo 11'!$G:$G))/1000</f>
        <v>171250.36102999997</v>
      </c>
      <c r="G59" s="409"/>
      <c r="H59" s="587">
        <f t="array" ref="H59">SUM(IF(('BD Anexo 11'!$A:$A='11-Patrimonio Consolidado'!$H$4)*('BD Anexo 11'!$B:$B='11-Patrimonio Consolidado'!$B59),'BD Anexo 11'!$G:$G))/1000</f>
        <v>44751.451999999997</v>
      </c>
      <c r="I59" s="409"/>
      <c r="J59" s="587">
        <f t="array" ref="J59">SUM(IF(('BD Anexo 11'!$A:$A='11-Patrimonio Consolidado'!$J$4)*('BD Anexo 11'!$B:$B='11-Patrimonio Consolidado'!$B59),'BD Anexo 11'!$G:$G))/1000</f>
        <v>0</v>
      </c>
      <c r="K59" s="409"/>
      <c r="L59" s="587">
        <f t="shared" si="2"/>
        <v>216001.81302999996</v>
      </c>
      <c r="M59" s="409"/>
      <c r="N59" s="575">
        <f t="shared" si="3"/>
        <v>0.15826954014765851</v>
      </c>
    </row>
    <row r="60" spans="2:15">
      <c r="B60" s="607" t="s">
        <v>73</v>
      </c>
      <c r="C60" s="409"/>
      <c r="D60" s="604">
        <f t="array" ref="D60">COUNTIF('BD Anexo 11'!$B:$B,'11-Patrimonio Consolidado'!B60)</f>
        <v>437</v>
      </c>
      <c r="E60" s="409"/>
      <c r="F60" s="605">
        <f t="array" ref="F60">SUM(IF(('BD Anexo 11'!$A:$A='11-Patrimonio Consolidado'!$F$4)*('BD Anexo 11'!$B:$B='11-Patrimonio Consolidado'!$B60),'BD Anexo 11'!$G:$G))/1000</f>
        <v>45241.419549999991</v>
      </c>
      <c r="G60" s="409"/>
      <c r="H60" s="605">
        <f t="array" ref="H60">SUM(IF(('BD Anexo 11'!$A:$A='11-Patrimonio Consolidado'!$H$4)*('BD Anexo 11'!$B:$B='11-Patrimonio Consolidado'!$B60),'BD Anexo 11'!$G:$G))/1000</f>
        <v>7868.3320000000003</v>
      </c>
      <c r="I60" s="587"/>
      <c r="J60" s="605">
        <f t="array" ref="J60">SUM(IF(('BD Anexo 11'!$A:$A='11-Patrimonio Consolidado'!$J$4)*('BD Anexo 11'!$B:$B='11-Patrimonio Consolidado'!$B60),'BD Anexo 11'!$G:$G))/1000</f>
        <v>0</v>
      </c>
      <c r="K60" s="409"/>
      <c r="L60" s="605">
        <f t="shared" si="2"/>
        <v>53109.751549999994</v>
      </c>
      <c r="M60" s="409"/>
      <c r="N60" s="606">
        <f t="shared" si="3"/>
        <v>3.8914747229494097E-2</v>
      </c>
    </row>
    <row r="61" spans="2:15">
      <c r="B61" s="594" t="s">
        <v>75</v>
      </c>
      <c r="C61" s="409"/>
      <c r="D61" s="586">
        <f t="array" ref="D61">COUNTIF('BD Anexo 11'!$B:$B,'11-Patrimonio Consolidado'!B61)</f>
        <v>120</v>
      </c>
      <c r="E61" s="409"/>
      <c r="F61" s="587">
        <f t="array" ref="F61">SUM(IF(('BD Anexo 11'!$A:$A='11-Patrimonio Consolidado'!$F$4)*('BD Anexo 11'!$B:$B='11-Patrimonio Consolidado'!$B61),'BD Anexo 11'!$G:$G))/1000</f>
        <v>30077.02793</v>
      </c>
      <c r="G61" s="409"/>
      <c r="H61" s="587">
        <f t="array" ref="H61">SUM(IF(('BD Anexo 11'!$A:$A='11-Patrimonio Consolidado'!$H$4)*('BD Anexo 11'!$B:$B='11-Patrimonio Consolidado'!$B61),'BD Anexo 11'!$G:$G))/1000</f>
        <v>0</v>
      </c>
      <c r="I61" s="409"/>
      <c r="J61" s="587">
        <f t="array" ref="J61">SUM(IF(('BD Anexo 11'!$A:$A='11-Patrimonio Consolidado'!$J$4)*('BD Anexo 11'!$B:$B='11-Patrimonio Consolidado'!$B61),'BD Anexo 11'!$G:$G))/1000</f>
        <v>0</v>
      </c>
      <c r="K61" s="409"/>
      <c r="L61" s="587">
        <f t="shared" si="2"/>
        <v>30077.02793</v>
      </c>
      <c r="M61" s="409"/>
      <c r="N61" s="575">
        <f t="shared" si="3"/>
        <v>2.2038136220774395E-2</v>
      </c>
    </row>
    <row r="62" spans="2:15">
      <c r="B62" s="607" t="s">
        <v>1012</v>
      </c>
      <c r="C62" s="409"/>
      <c r="D62" s="604">
        <f t="array" ref="D62">COUNTIF('BD Anexo 11'!$B:$B,'11-Patrimonio Consolidado'!B62)</f>
        <v>84</v>
      </c>
      <c r="E62" s="409"/>
      <c r="F62" s="605">
        <f t="array" ref="F62">SUM(IF(('BD Anexo 11'!$A:$A='11-Patrimonio Consolidado'!$F$4)*('BD Anexo 11'!$B:$B='11-Patrimonio Consolidado'!$B62),'BD Anexo 11'!$G:$G))/1000</f>
        <v>5332.3274599999995</v>
      </c>
      <c r="G62" s="409"/>
      <c r="H62" s="605">
        <f t="array" ref="H62">SUM(IF(('BD Anexo 11'!$A:$A='11-Patrimonio Consolidado'!$H$4)*('BD Anexo 11'!$B:$B='11-Patrimonio Consolidado'!$B62),'BD Anexo 11'!$G:$G))/1000</f>
        <v>13059.83979</v>
      </c>
      <c r="I62" s="587"/>
      <c r="J62" s="605">
        <f t="array" ref="J62">SUM(IF(('BD Anexo 11'!$A:$A='11-Patrimonio Consolidado'!$J$4)*('BD Anexo 11'!$B:$B='11-Patrimonio Consolidado'!$B62),'BD Anexo 11'!$G:$G))/1000</f>
        <v>0</v>
      </c>
      <c r="K62" s="409"/>
      <c r="L62" s="605">
        <f t="shared" si="2"/>
        <v>18392.167249999999</v>
      </c>
      <c r="M62" s="409"/>
      <c r="N62" s="606">
        <f t="shared" si="3"/>
        <v>1.3476367684802877E-2</v>
      </c>
    </row>
    <row r="63" spans="2:15">
      <c r="B63" s="594" t="s">
        <v>970</v>
      </c>
      <c r="C63" s="409"/>
      <c r="D63" s="586">
        <f t="array" ref="D63">COUNTIF('BD Anexo 11'!$B:$B,'11-Patrimonio Consolidado'!B63)</f>
        <v>19</v>
      </c>
      <c r="E63" s="409"/>
      <c r="F63" s="587">
        <f t="array" ref="F63">SUM(IF(('BD Anexo 11'!$A:$A='11-Patrimonio Consolidado'!$F$4)*('BD Anexo 11'!$B:$B='11-Patrimonio Consolidado'!$B63),'BD Anexo 11'!$G:$G))/1000</f>
        <v>662.34516000000008</v>
      </c>
      <c r="G63" s="409"/>
      <c r="H63" s="587">
        <f t="array" ref="H63">SUM(IF(('BD Anexo 11'!$A:$A='11-Patrimonio Consolidado'!$H$4)*('BD Anexo 11'!$B:$B='11-Patrimonio Consolidado'!$B63),'BD Anexo 11'!$G:$G))/1000</f>
        <v>9370.9103500000001</v>
      </c>
      <c r="I63" s="409"/>
      <c r="J63" s="587">
        <f t="array" ref="J63">SUM(IF(('BD Anexo 11'!$A:$A='11-Patrimonio Consolidado'!$J$4)*('BD Anexo 11'!$B:$B='11-Patrimonio Consolidado'!$B63),'BD Anexo 11'!$G:$G))/1000</f>
        <v>0</v>
      </c>
      <c r="K63" s="409"/>
      <c r="L63" s="587">
        <f t="shared" si="2"/>
        <v>10033.255510000001</v>
      </c>
      <c r="M63" s="409"/>
      <c r="N63" s="575">
        <f t="shared" si="3"/>
        <v>7.3515991068607992E-3</v>
      </c>
    </row>
    <row r="64" spans="2:15">
      <c r="B64" s="607" t="s">
        <v>965</v>
      </c>
      <c r="C64" s="409"/>
      <c r="D64" s="604">
        <f t="array" ref="D64">COUNTIF('BD Anexo 11'!$B:$B,'11-Patrimonio Consolidado'!B64)</f>
        <v>5</v>
      </c>
      <c r="E64" s="409"/>
      <c r="F64" s="605">
        <f t="array" ref="F64">SUM(IF(('BD Anexo 11'!$A:$A='11-Patrimonio Consolidado'!$F$4)*('BD Anexo 11'!$B:$B='11-Patrimonio Consolidado'!$B64),'BD Anexo 11'!$G:$G))/1000</f>
        <v>1879.9659999999999</v>
      </c>
      <c r="G64" s="409"/>
      <c r="H64" s="605">
        <f t="array" ref="H64">SUM(IF(('BD Anexo 11'!$A:$A='11-Patrimonio Consolidado'!$H$4)*('BD Anexo 11'!$B:$B='11-Patrimonio Consolidado'!$B64),'BD Anexo 11'!$G:$G))/1000</f>
        <v>0</v>
      </c>
      <c r="I64" s="587"/>
      <c r="J64" s="605">
        <f t="array" ref="J64">SUM(IF(('BD Anexo 11'!$A:$A='11-Patrimonio Consolidado'!$J$4)*('BD Anexo 11'!$B:$B='11-Patrimonio Consolidado'!$B64),'BD Anexo 11'!$G:$G))/1000</f>
        <v>0</v>
      </c>
      <c r="K64" s="409"/>
      <c r="L64" s="605">
        <f t="shared" si="2"/>
        <v>1879.9659999999999</v>
      </c>
      <c r="M64" s="409"/>
      <c r="N64" s="606">
        <f t="shared" si="3"/>
        <v>1.3774947077500139E-3</v>
      </c>
    </row>
    <row r="65" spans="2:14">
      <c r="B65" s="594" t="s">
        <v>71</v>
      </c>
      <c r="C65" s="409"/>
      <c r="D65" s="586">
        <f t="array" ref="D65">COUNTIF('BD Anexo 11'!$B:$B,'11-Patrimonio Consolidado'!B65)</f>
        <v>313</v>
      </c>
      <c r="E65" s="409"/>
      <c r="F65" s="587">
        <f t="array" ref="F65">SUM(IF(('BD Anexo 11'!$A:$A='11-Patrimonio Consolidado'!$F$4)*('BD Anexo 11'!$B:$B='11-Patrimonio Consolidado'!$B65),'BD Anexo 11'!$G:$G))/1000</f>
        <v>1113.5109800000005</v>
      </c>
      <c r="G65" s="409"/>
      <c r="H65" s="587">
        <f t="array" ref="H65">SUM(IF(('BD Anexo 11'!$A:$A='11-Patrimonio Consolidado'!$H$4)*('BD Anexo 11'!$B:$B='11-Patrimonio Consolidado'!$B65),'BD Anexo 11'!$G:$G))/1000</f>
        <v>10187.532790000007</v>
      </c>
      <c r="I65" s="409"/>
      <c r="J65" s="587">
        <f t="array" ref="J65">SUM(IF(('BD Anexo 11'!$A:$A='11-Patrimonio Consolidado'!$J$4)*('BD Anexo 11'!$B:$B='11-Patrimonio Consolidado'!$B65),'BD Anexo 11'!$G:$G))/1000</f>
        <v>440</v>
      </c>
      <c r="K65" s="409"/>
      <c r="L65" s="587">
        <f t="shared" si="2"/>
        <v>11741.043770000007</v>
      </c>
      <c r="M65" s="409"/>
      <c r="N65" s="575">
        <f t="shared" si="3"/>
        <v>8.6029351895918777E-3</v>
      </c>
    </row>
    <row r="66" spans="2:14">
      <c r="B66" s="607" t="s">
        <v>968</v>
      </c>
      <c r="C66" s="409"/>
      <c r="D66" s="604">
        <f t="array" ref="D66">COUNTIF('BD Anexo 11'!$B:$B,'11-Patrimonio Consolidado'!B66)</f>
        <v>11</v>
      </c>
      <c r="E66" s="409"/>
      <c r="F66" s="605">
        <f t="array" ref="F66">SUM(IF(('BD Anexo 11'!$A:$A='11-Patrimonio Consolidado'!$F$4)*('BD Anexo 11'!$B:$B='11-Patrimonio Consolidado'!$B66),'BD Anexo 11'!$G:$G))/1000</f>
        <v>5184.7506300000005</v>
      </c>
      <c r="G66" s="409"/>
      <c r="H66" s="605">
        <f t="array" ref="H66">SUM(IF(('BD Anexo 11'!$A:$A='11-Patrimonio Consolidado'!$H$4)*('BD Anexo 11'!$B:$B='11-Patrimonio Consolidado'!$B66),'BD Anexo 11'!$G:$G))/1000</f>
        <v>0</v>
      </c>
      <c r="I66" s="587"/>
      <c r="J66" s="605">
        <f t="array" ref="J66">SUM(IF(('BD Anexo 11'!$A:$A='11-Patrimonio Consolidado'!$J$4)*('BD Anexo 11'!$B:$B='11-Patrimonio Consolidado'!$B66),'BD Anexo 11'!$G:$G))/1000</f>
        <v>0</v>
      </c>
      <c r="K66" s="409"/>
      <c r="L66" s="605">
        <f t="shared" si="2"/>
        <v>5184.7506300000005</v>
      </c>
      <c r="M66" s="409"/>
      <c r="N66" s="606">
        <f t="shared" si="3"/>
        <v>3.7989870847816138E-3</v>
      </c>
    </row>
    <row r="67" spans="2:14">
      <c r="B67" s="594" t="s">
        <v>76</v>
      </c>
      <c r="C67" s="409"/>
      <c r="D67" s="586">
        <f t="array" ref="D67">COUNTIF('BD Anexo 11'!$B:$B,'11-Patrimonio Consolidado'!B67)</f>
        <v>225</v>
      </c>
      <c r="E67" s="409"/>
      <c r="F67" s="587">
        <f t="array" ref="F67">SUM(IF(('BD Anexo 11'!$A:$A='11-Patrimonio Consolidado'!$F$4)*('BD Anexo 11'!$B:$B='11-Patrimonio Consolidado'!$B67),'BD Anexo 11'!$G:$G))/1000</f>
        <v>33726.218030000004</v>
      </c>
      <c r="G67" s="409"/>
      <c r="H67" s="587">
        <f t="array" ref="H67">SUM(IF(('BD Anexo 11'!$A:$A='11-Patrimonio Consolidado'!$H$4)*('BD Anexo 11'!$B:$B='11-Patrimonio Consolidado'!$B67),'BD Anexo 11'!$G:$G))/1000</f>
        <v>7050</v>
      </c>
      <c r="I67" s="409"/>
      <c r="J67" s="587">
        <f t="array" ref="J67">SUM(IF(('BD Anexo 11'!$A:$A='11-Patrimonio Consolidado'!$J$4)*('BD Anexo 11'!$B:$B='11-Patrimonio Consolidado'!$B67),'BD Anexo 11'!$G:$G))/1000</f>
        <v>0</v>
      </c>
      <c r="K67" s="409"/>
      <c r="L67" s="587">
        <f>SUM(F67:J67)</f>
        <v>40776.218030000004</v>
      </c>
      <c r="M67" s="409"/>
      <c r="N67" s="575">
        <f>L67/$L$69</f>
        <v>2.9877681052947611E-2</v>
      </c>
    </row>
    <row r="68" spans="2:14" ht="6" customHeight="1">
      <c r="B68" s="402"/>
      <c r="C68" s="411"/>
      <c r="D68" s="595"/>
      <c r="E68" s="411"/>
      <c r="F68" s="553"/>
      <c r="G68" s="411"/>
      <c r="H68" s="553"/>
      <c r="I68" s="411"/>
      <c r="J68" s="553"/>
      <c r="K68" s="411"/>
      <c r="L68" s="553"/>
      <c r="M68" s="411"/>
      <c r="N68" s="553"/>
    </row>
    <row r="69" spans="2:14" s="249" customFormat="1">
      <c r="B69" s="598" t="s">
        <v>21</v>
      </c>
      <c r="C69" s="599"/>
      <c r="D69" s="600">
        <f>SUM(D58:D67)</f>
        <v>3496</v>
      </c>
      <c r="E69" s="599"/>
      <c r="F69" s="589">
        <f>SUM(F58:F67)</f>
        <v>801038.18438000092</v>
      </c>
      <c r="G69" s="601"/>
      <c r="H69" s="589">
        <f>SUM(H58:H67)</f>
        <v>509637.08214000001</v>
      </c>
      <c r="I69" s="601"/>
      <c r="J69" s="589">
        <f>SUM(J58:J67)</f>
        <v>54096.582999999999</v>
      </c>
      <c r="K69" s="601"/>
      <c r="L69" s="589">
        <f>SUM(L58:L67)</f>
        <v>1364771.8495200011</v>
      </c>
      <c r="M69" s="601"/>
      <c r="N69" s="602">
        <f>L69/L69</f>
        <v>1</v>
      </c>
    </row>
    <row r="70" spans="2:14">
      <c r="D70" s="245"/>
      <c r="H70" s="245"/>
    </row>
    <row r="71" spans="2:14">
      <c r="C71" s="609" t="str">
        <f ca="1">CELL("filename")</f>
        <v xml:space="preserve">G:\Google Drive\00_Relatorios Gerenciais Masutti\[#Dossie para Bancos-mensal.xlsx]safra 16 17 </v>
      </c>
      <c r="D71" s="431"/>
      <c r="E71" s="430"/>
      <c r="F71" s="430"/>
      <c r="G71" s="579"/>
      <c r="H71" s="608"/>
      <c r="I71" s="608"/>
      <c r="J71" s="608"/>
    </row>
    <row r="80" spans="2:14" hidden="1"/>
    <row r="81" spans="4:5" hidden="1"/>
    <row r="82" spans="4:5" hidden="1"/>
    <row r="88" spans="4:5">
      <c r="D88" s="399"/>
      <c r="E88" s="284"/>
    </row>
    <row r="93" spans="4:5" ht="6" customHeight="1"/>
    <row r="95" spans="4:5" ht="16.5" customHeight="1">
      <c r="D95" s="399"/>
      <c r="E95" s="284"/>
    </row>
    <row r="96" spans="4:5" ht="9" customHeight="1"/>
    <row r="97" spans="7:12">
      <c r="G97" s="580"/>
      <c r="H97" s="580"/>
      <c r="I97" s="580"/>
      <c r="J97" s="580"/>
      <c r="K97" s="580"/>
      <c r="L97" s="580"/>
    </row>
  </sheetData>
  <sheetCalcPr fullCalcOnLoad="1"/>
  <sheetProtection selectLockedCells="1" selectUnlockedCells="1"/>
  <autoFilter ref="B5:N50"/>
  <mergeCells count="2">
    <mergeCell ref="B52:B53"/>
    <mergeCell ref="N52:N53"/>
  </mergeCells>
  <pageMargins left="0.25" right="0.25" top="0.75" bottom="0.75" header="0.3" footer="0.3"/>
  <pageSetup paperSize="9" scale="71" firstPageNumber="0" orientation="portrait" horizontalDpi="200" verticalDpi="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N71"/>
  <sheetViews>
    <sheetView showGridLines="0" topLeftCell="A46" zoomScaleNormal="100" workbookViewId="0">
      <selection activeCell="L70" sqref="L70"/>
    </sheetView>
  </sheetViews>
  <sheetFormatPr defaultRowHeight="14.25"/>
  <cols>
    <col min="1" max="1" width="1.7109375" style="23" customWidth="1"/>
    <col min="2" max="2" width="35.7109375" style="23" customWidth="1"/>
    <col min="3" max="3" width="0.85546875" style="40" customWidth="1"/>
    <col min="4" max="4" width="10.7109375" style="23" customWidth="1"/>
    <col min="5" max="5" width="0.85546875" style="40" customWidth="1"/>
    <col min="6" max="6" width="15.7109375" style="23" customWidth="1"/>
    <col min="7" max="7" width="0.85546875" style="40" customWidth="1"/>
    <col min="8" max="8" width="15.7109375" style="23" customWidth="1"/>
    <col min="9" max="9" width="0.85546875" style="40" customWidth="1"/>
    <col min="10" max="10" width="15.7109375" style="23" customWidth="1"/>
    <col min="11" max="11" width="0.85546875" style="40" customWidth="1"/>
    <col min="12" max="12" width="18.85546875" style="23" customWidth="1"/>
    <col min="13" max="13" width="0.85546875" style="40" customWidth="1"/>
    <col min="14" max="14" width="8.140625" style="23" customWidth="1"/>
    <col min="15" max="16384" width="9.140625" style="23"/>
  </cols>
  <sheetData>
    <row r="2" spans="2:14" s="25" customFormat="1" ht="15" customHeight="1">
      <c r="B2" s="959" t="s">
        <v>1106</v>
      </c>
      <c r="C2" s="959"/>
      <c r="D2" s="959"/>
    </row>
    <row r="3" spans="2:14" s="25" customFormat="1" ht="15" customHeight="1">
      <c r="B3" s="959"/>
      <c r="C3" s="959"/>
      <c r="D3" s="959"/>
    </row>
    <row r="4" spans="2:14" s="25" customFormat="1" ht="18">
      <c r="B4" s="26"/>
      <c r="C4" s="57"/>
      <c r="E4" s="57"/>
      <c r="G4" s="57"/>
      <c r="I4" s="57"/>
      <c r="K4" s="57"/>
      <c r="M4" s="57"/>
    </row>
    <row r="5" spans="2:14" s="25" customFormat="1" ht="18.75" thickBot="1">
      <c r="B5" s="26"/>
      <c r="C5" s="57"/>
      <c r="E5" s="57"/>
      <c r="G5" s="57"/>
      <c r="I5" s="57"/>
      <c r="K5" s="57"/>
      <c r="M5" s="57"/>
    </row>
    <row r="6" spans="2:14" s="25" customFormat="1" ht="15.75">
      <c r="B6" s="102" t="s">
        <v>1026</v>
      </c>
      <c r="C6" s="27"/>
      <c r="D6" s="37"/>
      <c r="E6" s="27"/>
      <c r="F6" s="37"/>
      <c r="G6" s="27"/>
      <c r="H6" s="37"/>
      <c r="I6" s="27"/>
      <c r="J6" s="37"/>
      <c r="K6" s="27"/>
      <c r="L6" s="37"/>
      <c r="M6" s="27"/>
      <c r="N6" s="37"/>
    </row>
    <row r="7" spans="2:14" s="25" customFormat="1" ht="16.5" thickBot="1">
      <c r="B7" s="101" t="s">
        <v>1166</v>
      </c>
      <c r="C7" s="28"/>
      <c r="D7" s="38"/>
      <c r="E7" s="28"/>
      <c r="F7" s="38"/>
      <c r="G7" s="28"/>
      <c r="H7" s="38"/>
      <c r="I7" s="28"/>
      <c r="J7" s="38"/>
      <c r="K7" s="28"/>
      <c r="L7" s="38"/>
      <c r="M7" s="28"/>
      <c r="N7" s="38"/>
    </row>
    <row r="8" spans="2:14" s="25" customFormat="1" ht="15">
      <c r="B8" s="29"/>
      <c r="C8" s="39"/>
      <c r="E8" s="39"/>
      <c r="G8" s="39"/>
      <c r="I8" s="39"/>
      <c r="K8" s="39"/>
      <c r="M8" s="39"/>
    </row>
    <row r="9" spans="2:14" s="25" customFormat="1" ht="15">
      <c r="B9" s="76" t="s">
        <v>27</v>
      </c>
      <c r="C9" s="81"/>
      <c r="D9" s="76" t="s">
        <v>20</v>
      </c>
      <c r="E9" s="81"/>
      <c r="F9" s="103" t="s">
        <v>1172</v>
      </c>
      <c r="G9" s="81"/>
      <c r="H9" s="77" t="s">
        <v>28</v>
      </c>
      <c r="I9" s="81"/>
      <c r="J9" s="76" t="s">
        <v>29</v>
      </c>
      <c r="K9" s="81"/>
      <c r="L9" s="76" t="s">
        <v>21</v>
      </c>
      <c r="M9" s="81"/>
      <c r="N9" s="76" t="s">
        <v>30</v>
      </c>
    </row>
    <row r="10" spans="2:14" ht="6" customHeight="1">
      <c r="D10" s="47"/>
    </row>
    <row r="11" spans="2:14">
      <c r="B11" s="55" t="s">
        <v>31</v>
      </c>
      <c r="D11" s="106">
        <v>2</v>
      </c>
      <c r="F11" s="56">
        <v>0</v>
      </c>
      <c r="H11" s="56">
        <v>3795045</v>
      </c>
      <c r="J11" s="56">
        <v>0</v>
      </c>
      <c r="L11" s="56">
        <v>3795045</v>
      </c>
      <c r="N11" s="112">
        <f t="shared" ref="N11:N49" si="0">L11/$L$51</f>
        <v>0.18274661070754111</v>
      </c>
    </row>
    <row r="12" spans="2:14">
      <c r="B12" s="23" t="s">
        <v>32</v>
      </c>
      <c r="D12" s="107">
        <v>0</v>
      </c>
      <c r="F12" s="50">
        <v>0</v>
      </c>
      <c r="H12" s="50">
        <v>0</v>
      </c>
      <c r="J12" s="50">
        <v>0</v>
      </c>
      <c r="L12" s="50">
        <v>0</v>
      </c>
      <c r="N12" s="113">
        <f t="shared" si="0"/>
        <v>0</v>
      </c>
    </row>
    <row r="13" spans="2:14">
      <c r="B13" s="55" t="s">
        <v>33</v>
      </c>
      <c r="D13" s="106">
        <v>0</v>
      </c>
      <c r="F13" s="56">
        <v>0</v>
      </c>
      <c r="H13" s="56">
        <v>0</v>
      </c>
      <c r="J13" s="56">
        <v>0</v>
      </c>
      <c r="L13" s="56">
        <v>0</v>
      </c>
      <c r="N13" s="112">
        <f t="shared" si="0"/>
        <v>0</v>
      </c>
    </row>
    <row r="14" spans="2:14">
      <c r="B14" s="23" t="s">
        <v>34</v>
      </c>
      <c r="D14" s="107">
        <v>0</v>
      </c>
      <c r="F14" s="50">
        <v>0</v>
      </c>
      <c r="H14" s="50">
        <v>0</v>
      </c>
      <c r="J14" s="50">
        <v>0</v>
      </c>
      <c r="L14" s="50">
        <v>0</v>
      </c>
      <c r="N14" s="113">
        <f t="shared" si="0"/>
        <v>0</v>
      </c>
    </row>
    <row r="15" spans="2:14">
      <c r="B15" s="55" t="s">
        <v>35</v>
      </c>
      <c r="D15" s="106">
        <v>0</v>
      </c>
      <c r="F15" s="56">
        <v>0</v>
      </c>
      <c r="H15" s="56">
        <v>0</v>
      </c>
      <c r="J15" s="56">
        <v>0</v>
      </c>
      <c r="L15" s="56">
        <v>0</v>
      </c>
      <c r="N15" s="112">
        <f t="shared" si="0"/>
        <v>0</v>
      </c>
    </row>
    <row r="16" spans="2:14">
      <c r="B16" s="23" t="s">
        <v>36</v>
      </c>
      <c r="D16" s="107">
        <v>0</v>
      </c>
      <c r="F16" s="50">
        <v>0</v>
      </c>
      <c r="H16" s="50">
        <v>0</v>
      </c>
      <c r="J16" s="50">
        <v>0</v>
      </c>
      <c r="L16" s="50">
        <v>0</v>
      </c>
      <c r="N16" s="113">
        <f t="shared" si="0"/>
        <v>0</v>
      </c>
    </row>
    <row r="17" spans="2:14">
      <c r="B17" s="55" t="s">
        <v>37</v>
      </c>
      <c r="D17" s="106">
        <v>0</v>
      </c>
      <c r="F17" s="56">
        <v>0</v>
      </c>
      <c r="H17" s="56">
        <v>0</v>
      </c>
      <c r="J17" s="56">
        <v>0</v>
      </c>
      <c r="L17" s="56">
        <v>0</v>
      </c>
      <c r="N17" s="112">
        <f t="shared" si="0"/>
        <v>0</v>
      </c>
    </row>
    <row r="18" spans="2:14">
      <c r="B18" s="23" t="s">
        <v>38</v>
      </c>
      <c r="D18" s="107">
        <v>0</v>
      </c>
      <c r="F18" s="50">
        <v>0</v>
      </c>
      <c r="H18" s="50">
        <v>0</v>
      </c>
      <c r="J18" s="50">
        <v>0</v>
      </c>
      <c r="L18" s="50">
        <v>0</v>
      </c>
      <c r="N18" s="113">
        <f t="shared" si="0"/>
        <v>0</v>
      </c>
    </row>
    <row r="19" spans="2:14">
      <c r="B19" s="55" t="s">
        <v>39</v>
      </c>
      <c r="D19" s="106">
        <v>4</v>
      </c>
      <c r="F19" s="56">
        <v>15600</v>
      </c>
      <c r="H19" s="56">
        <v>0</v>
      </c>
      <c r="J19" s="56">
        <v>0</v>
      </c>
      <c r="L19" s="56">
        <v>15600</v>
      </c>
      <c r="N19" s="112">
        <f t="shared" si="0"/>
        <v>7.5120245663428005E-4</v>
      </c>
    </row>
    <row r="20" spans="2:14">
      <c r="B20" s="23" t="s">
        <v>40</v>
      </c>
      <c r="D20" s="107">
        <v>0</v>
      </c>
      <c r="F20" s="50">
        <v>0</v>
      </c>
      <c r="H20" s="50">
        <v>0</v>
      </c>
      <c r="J20" s="50">
        <v>0</v>
      </c>
      <c r="L20" s="50">
        <v>0</v>
      </c>
      <c r="N20" s="113">
        <f t="shared" si="0"/>
        <v>0</v>
      </c>
    </row>
    <row r="21" spans="2:14">
      <c r="B21" s="55" t="s">
        <v>41</v>
      </c>
      <c r="D21" s="106">
        <v>0</v>
      </c>
      <c r="F21" s="56">
        <v>0</v>
      </c>
      <c r="H21" s="56">
        <v>0</v>
      </c>
      <c r="J21" s="56">
        <v>0</v>
      </c>
      <c r="L21" s="56">
        <v>0</v>
      </c>
      <c r="N21" s="112">
        <f t="shared" si="0"/>
        <v>0</v>
      </c>
    </row>
    <row r="22" spans="2:14">
      <c r="B22" s="23" t="s">
        <v>42</v>
      </c>
      <c r="D22" s="107">
        <v>14</v>
      </c>
      <c r="F22" s="50">
        <v>8184000</v>
      </c>
      <c r="H22" s="50">
        <v>0</v>
      </c>
      <c r="J22" s="50">
        <v>0</v>
      </c>
      <c r="L22" s="50">
        <v>8184000</v>
      </c>
      <c r="N22" s="113">
        <f t="shared" si="0"/>
        <v>0.39409236571121459</v>
      </c>
    </row>
    <row r="23" spans="2:14">
      <c r="B23" s="55" t="s">
        <v>43</v>
      </c>
      <c r="D23" s="106">
        <v>24</v>
      </c>
      <c r="F23" s="56">
        <v>43336.29</v>
      </c>
      <c r="H23" s="56">
        <v>0</v>
      </c>
      <c r="J23" s="56">
        <v>0</v>
      </c>
      <c r="L23" s="56">
        <v>43336.29</v>
      </c>
      <c r="N23" s="112">
        <f t="shared" si="0"/>
        <v>2.0868158659881784E-3</v>
      </c>
    </row>
    <row r="24" spans="2:14">
      <c r="B24" s="23" t="s">
        <v>44</v>
      </c>
      <c r="D24" s="107">
        <v>1</v>
      </c>
      <c r="F24" s="50">
        <v>5251.77</v>
      </c>
      <c r="H24" s="50">
        <v>0</v>
      </c>
      <c r="J24" s="50">
        <v>0</v>
      </c>
      <c r="L24" s="50">
        <v>5251.77</v>
      </c>
      <c r="N24" s="113">
        <f t="shared" si="0"/>
        <v>2.5289375164603932E-4</v>
      </c>
    </row>
    <row r="25" spans="2:14">
      <c r="B25" s="55" t="s">
        <v>45</v>
      </c>
      <c r="D25" s="106">
        <v>4</v>
      </c>
      <c r="F25" s="56">
        <v>53920</v>
      </c>
      <c r="H25" s="56">
        <v>0</v>
      </c>
      <c r="J25" s="56">
        <v>0</v>
      </c>
      <c r="L25" s="56">
        <v>53920</v>
      </c>
      <c r="N25" s="112">
        <f t="shared" si="0"/>
        <v>2.5964638757513064E-3</v>
      </c>
    </row>
    <row r="26" spans="2:14">
      <c r="B26" s="23" t="s">
        <v>46</v>
      </c>
      <c r="D26" s="107">
        <v>0</v>
      </c>
      <c r="F26" s="50">
        <v>0</v>
      </c>
      <c r="H26" s="50">
        <v>0</v>
      </c>
      <c r="J26" s="50">
        <v>0</v>
      </c>
      <c r="L26" s="50">
        <v>0</v>
      </c>
      <c r="N26" s="113">
        <f t="shared" si="0"/>
        <v>0</v>
      </c>
    </row>
    <row r="27" spans="2:14">
      <c r="B27" s="55" t="s">
        <v>47</v>
      </c>
      <c r="D27" s="106">
        <v>1</v>
      </c>
      <c r="F27" s="56">
        <v>0</v>
      </c>
      <c r="H27" s="56">
        <v>650000</v>
      </c>
      <c r="J27" s="56">
        <v>0</v>
      </c>
      <c r="L27" s="56">
        <v>650000</v>
      </c>
      <c r="N27" s="112">
        <f t="shared" si="0"/>
        <v>3.1300102359761668E-2</v>
      </c>
    </row>
    <row r="28" spans="2:14">
      <c r="B28" s="23" t="s">
        <v>48</v>
      </c>
      <c r="D28" s="107">
        <v>0</v>
      </c>
      <c r="F28" s="50">
        <v>0</v>
      </c>
      <c r="H28" s="50">
        <v>0</v>
      </c>
      <c r="J28" s="50">
        <v>0</v>
      </c>
      <c r="L28" s="50">
        <v>0</v>
      </c>
      <c r="N28" s="113">
        <f t="shared" si="0"/>
        <v>0</v>
      </c>
    </row>
    <row r="29" spans="2:14">
      <c r="B29" s="55" t="s">
        <v>49</v>
      </c>
      <c r="D29" s="106">
        <v>0</v>
      </c>
      <c r="F29" s="56">
        <v>0</v>
      </c>
      <c r="H29" s="56">
        <v>0</v>
      </c>
      <c r="J29" s="56">
        <v>0</v>
      </c>
      <c r="L29" s="56">
        <v>0</v>
      </c>
      <c r="N29" s="112">
        <f t="shared" si="0"/>
        <v>0</v>
      </c>
    </row>
    <row r="30" spans="2:14">
      <c r="B30" s="23" t="s">
        <v>50</v>
      </c>
      <c r="D30" s="107">
        <v>4</v>
      </c>
      <c r="F30" s="50">
        <v>22293.39</v>
      </c>
      <c r="H30" s="50">
        <v>0</v>
      </c>
      <c r="J30" s="50">
        <v>0</v>
      </c>
      <c r="L30" s="50">
        <v>22293.39</v>
      </c>
      <c r="N30" s="113">
        <f t="shared" si="0"/>
        <v>1.0735159829939802E-3</v>
      </c>
    </row>
    <row r="31" spans="2:14">
      <c r="B31" s="55" t="s">
        <v>51</v>
      </c>
      <c r="D31" s="106">
        <v>30</v>
      </c>
      <c r="F31" s="56">
        <v>568343.75000000012</v>
      </c>
      <c r="H31" s="56">
        <v>0</v>
      </c>
      <c r="J31" s="56">
        <v>0</v>
      </c>
      <c r="L31" s="56">
        <v>568343.75000000012</v>
      </c>
      <c r="N31" s="112">
        <f t="shared" si="0"/>
        <v>2.7368027000816614E-2</v>
      </c>
    </row>
    <row r="32" spans="2:14">
      <c r="B32" s="23" t="s">
        <v>52</v>
      </c>
      <c r="D32" s="107">
        <v>3</v>
      </c>
      <c r="F32" s="50">
        <v>65170.25</v>
      </c>
      <c r="H32" s="50">
        <v>0</v>
      </c>
      <c r="J32" s="50">
        <v>0</v>
      </c>
      <c r="L32" s="50">
        <v>65170.25</v>
      </c>
      <c r="N32" s="113">
        <f t="shared" si="0"/>
        <v>3.1382084550942426E-3</v>
      </c>
    </row>
    <row r="33" spans="2:14">
      <c r="B33" s="55" t="s">
        <v>53</v>
      </c>
      <c r="D33" s="106">
        <v>8</v>
      </c>
      <c r="F33" s="56">
        <v>25686.47</v>
      </c>
      <c r="H33" s="56">
        <v>0</v>
      </c>
      <c r="J33" s="56">
        <v>0</v>
      </c>
      <c r="L33" s="56">
        <v>25686.47</v>
      </c>
      <c r="N33" s="112">
        <f t="shared" si="0"/>
        <v>1.2369063696322266E-3</v>
      </c>
    </row>
    <row r="34" spans="2:14">
      <c r="B34" s="23" t="s">
        <v>54</v>
      </c>
      <c r="D34" s="107">
        <v>0</v>
      </c>
      <c r="F34" s="50">
        <v>0</v>
      </c>
      <c r="H34" s="50">
        <v>0</v>
      </c>
      <c r="J34" s="50">
        <v>0</v>
      </c>
      <c r="L34" s="50">
        <v>0</v>
      </c>
      <c r="N34" s="113">
        <f t="shared" si="0"/>
        <v>0</v>
      </c>
    </row>
    <row r="35" spans="2:14">
      <c r="B35" s="55" t="s">
        <v>55</v>
      </c>
      <c r="D35" s="106">
        <v>62</v>
      </c>
      <c r="F35" s="56">
        <v>24105</v>
      </c>
      <c r="H35" s="56">
        <v>0</v>
      </c>
      <c r="J35" s="56">
        <v>0</v>
      </c>
      <c r="L35" s="56">
        <v>24105</v>
      </c>
      <c r="N35" s="112">
        <f t="shared" si="0"/>
        <v>1.1607522575108539E-3</v>
      </c>
    </row>
    <row r="36" spans="2:14">
      <c r="B36" s="23" t="s">
        <v>56</v>
      </c>
      <c r="D36" s="107">
        <v>6</v>
      </c>
      <c r="F36" s="50">
        <v>649000</v>
      </c>
      <c r="H36" s="50">
        <v>0</v>
      </c>
      <c r="J36" s="50">
        <v>0</v>
      </c>
      <c r="L36" s="50">
        <v>649000</v>
      </c>
      <c r="N36" s="113">
        <f t="shared" si="0"/>
        <v>3.1251948356131265E-2</v>
      </c>
    </row>
    <row r="37" spans="2:14">
      <c r="B37" s="55" t="s">
        <v>57</v>
      </c>
      <c r="D37" s="106">
        <v>0</v>
      </c>
      <c r="F37" s="56">
        <v>0</v>
      </c>
      <c r="H37" s="56">
        <v>0</v>
      </c>
      <c r="J37" s="56">
        <v>0</v>
      </c>
      <c r="L37" s="56">
        <v>0</v>
      </c>
      <c r="N37" s="112">
        <f t="shared" si="0"/>
        <v>0</v>
      </c>
    </row>
    <row r="38" spans="2:14">
      <c r="B38" s="23" t="s">
        <v>58</v>
      </c>
      <c r="D38" s="107">
        <v>3</v>
      </c>
      <c r="F38" s="50">
        <v>429000</v>
      </c>
      <c r="H38" s="50">
        <v>0</v>
      </c>
      <c r="J38" s="50">
        <v>0</v>
      </c>
      <c r="L38" s="50">
        <v>429000</v>
      </c>
      <c r="N38" s="113">
        <f t="shared" si="0"/>
        <v>2.0658067557442702E-2</v>
      </c>
    </row>
    <row r="39" spans="2:14">
      <c r="B39" s="55" t="s">
        <v>59</v>
      </c>
      <c r="D39" s="106">
        <v>14</v>
      </c>
      <c r="F39" s="56">
        <v>2822000</v>
      </c>
      <c r="H39" s="56">
        <v>0</v>
      </c>
      <c r="J39" s="56">
        <v>0</v>
      </c>
      <c r="L39" s="56">
        <v>2822000</v>
      </c>
      <c r="N39" s="112">
        <f t="shared" si="0"/>
        <v>0.13589059824499602</v>
      </c>
    </row>
    <row r="40" spans="2:14">
      <c r="B40" s="23" t="s">
        <v>60</v>
      </c>
      <c r="D40" s="107">
        <v>0</v>
      </c>
      <c r="F40" s="50">
        <v>0</v>
      </c>
      <c r="H40" s="50">
        <v>0</v>
      </c>
      <c r="J40" s="50">
        <v>0</v>
      </c>
      <c r="L40" s="50">
        <v>0</v>
      </c>
      <c r="N40" s="113">
        <f t="shared" si="0"/>
        <v>0</v>
      </c>
    </row>
    <row r="41" spans="2:14">
      <c r="B41" s="55" t="s">
        <v>61</v>
      </c>
      <c r="D41" s="106">
        <v>0</v>
      </c>
      <c r="F41" s="56">
        <v>0</v>
      </c>
      <c r="H41" s="56">
        <v>0</v>
      </c>
      <c r="J41" s="56">
        <v>0</v>
      </c>
      <c r="L41" s="56">
        <v>0</v>
      </c>
      <c r="N41" s="112">
        <f t="shared" si="0"/>
        <v>0</v>
      </c>
    </row>
    <row r="42" spans="2:14">
      <c r="B42" s="23" t="s">
        <v>62</v>
      </c>
      <c r="D42" s="107">
        <v>4</v>
      </c>
      <c r="F42" s="50">
        <v>1880000</v>
      </c>
      <c r="H42" s="50">
        <v>0</v>
      </c>
      <c r="J42" s="50">
        <v>0</v>
      </c>
      <c r="L42" s="50">
        <v>1880000</v>
      </c>
      <c r="N42" s="113">
        <f t="shared" si="0"/>
        <v>9.0529526825156817E-2</v>
      </c>
    </row>
    <row r="43" spans="2:14">
      <c r="B43" s="55" t="s">
        <v>63</v>
      </c>
      <c r="D43" s="106">
        <v>0</v>
      </c>
      <c r="F43" s="56">
        <v>0</v>
      </c>
      <c r="H43" s="56">
        <v>0</v>
      </c>
      <c r="J43" s="56">
        <v>0</v>
      </c>
      <c r="L43" s="56">
        <v>0</v>
      </c>
      <c r="N43" s="112">
        <f t="shared" si="0"/>
        <v>0</v>
      </c>
    </row>
    <row r="44" spans="2:14">
      <c r="B44" s="23" t="s">
        <v>64</v>
      </c>
      <c r="D44" s="107">
        <v>0</v>
      </c>
      <c r="F44" s="50">
        <v>0</v>
      </c>
      <c r="H44" s="50">
        <v>0</v>
      </c>
      <c r="J44" s="50">
        <v>0</v>
      </c>
      <c r="L44" s="50">
        <v>0</v>
      </c>
      <c r="N44" s="113">
        <f t="shared" si="0"/>
        <v>0</v>
      </c>
    </row>
    <row r="45" spans="2:14">
      <c r="B45" s="55" t="s">
        <v>65</v>
      </c>
      <c r="D45" s="106">
        <v>0</v>
      </c>
      <c r="F45" s="56">
        <v>0</v>
      </c>
      <c r="H45" s="56">
        <v>0</v>
      </c>
      <c r="J45" s="56">
        <v>0</v>
      </c>
      <c r="L45" s="56">
        <v>0</v>
      </c>
      <c r="N45" s="112">
        <f t="shared" si="0"/>
        <v>0</v>
      </c>
    </row>
    <row r="46" spans="2:14">
      <c r="B46" s="23" t="s">
        <v>66</v>
      </c>
      <c r="D46" s="107">
        <v>6</v>
      </c>
      <c r="F46" s="50">
        <v>1352488</v>
      </c>
      <c r="H46" s="50">
        <v>0</v>
      </c>
      <c r="J46" s="50">
        <v>0</v>
      </c>
      <c r="L46" s="50">
        <v>1352488</v>
      </c>
      <c r="N46" s="113">
        <f t="shared" si="0"/>
        <v>6.5127712062075904E-2</v>
      </c>
    </row>
    <row r="47" spans="2:14">
      <c r="B47" s="55" t="s">
        <v>67</v>
      </c>
      <c r="D47" s="106">
        <v>0</v>
      </c>
      <c r="F47" s="56">
        <v>0</v>
      </c>
      <c r="H47" s="56">
        <v>0</v>
      </c>
      <c r="J47" s="56">
        <v>0</v>
      </c>
      <c r="L47" s="56">
        <v>0</v>
      </c>
      <c r="N47" s="112">
        <f t="shared" si="0"/>
        <v>0</v>
      </c>
    </row>
    <row r="48" spans="2:14">
      <c r="B48" s="40" t="s">
        <v>68</v>
      </c>
      <c r="D48" s="107">
        <v>0</v>
      </c>
      <c r="F48" s="50">
        <v>0</v>
      </c>
      <c r="H48" s="50">
        <v>0</v>
      </c>
      <c r="J48" s="50">
        <v>0</v>
      </c>
      <c r="L48" s="50">
        <v>0</v>
      </c>
      <c r="N48" s="113">
        <f t="shared" si="0"/>
        <v>0</v>
      </c>
    </row>
    <row r="49" spans="2:14">
      <c r="B49" s="55" t="s">
        <v>69</v>
      </c>
      <c r="D49" s="106">
        <v>3</v>
      </c>
      <c r="F49" s="56">
        <v>181465.33</v>
      </c>
      <c r="H49" s="56">
        <v>0</v>
      </c>
      <c r="J49" s="56">
        <v>0</v>
      </c>
      <c r="L49" s="56">
        <v>181465.33</v>
      </c>
      <c r="N49" s="112">
        <f t="shared" si="0"/>
        <v>8.7382821596121985E-3</v>
      </c>
    </row>
    <row r="50" spans="2:14" ht="6" customHeight="1">
      <c r="D50" s="47"/>
      <c r="F50" s="51"/>
      <c r="H50" s="51"/>
      <c r="J50" s="51"/>
      <c r="L50" s="51"/>
      <c r="N50" s="51"/>
    </row>
    <row r="51" spans="2:14" s="54" customFormat="1" ht="15">
      <c r="B51" s="957" t="s">
        <v>21</v>
      </c>
      <c r="C51" s="87"/>
      <c r="D51" s="79">
        <f>SUM(D11:D49)</f>
        <v>193</v>
      </c>
      <c r="E51" s="87"/>
      <c r="F51" s="79">
        <f>SUM(F11:F49)</f>
        <v>16321660.25</v>
      </c>
      <c r="G51" s="87"/>
      <c r="H51" s="79">
        <f>SUM(H11:H49)</f>
        <v>4445045</v>
      </c>
      <c r="I51" s="87"/>
      <c r="J51" s="79">
        <f>SUM(J11:J49)</f>
        <v>0</v>
      </c>
      <c r="K51" s="87"/>
      <c r="L51" s="79">
        <f>SUM(L11:L49)</f>
        <v>20766705.25</v>
      </c>
      <c r="M51" s="87"/>
      <c r="N51" s="958">
        <f>L51/L51</f>
        <v>1</v>
      </c>
    </row>
    <row r="52" spans="2:14" s="54" customFormat="1" ht="15">
      <c r="B52" s="957"/>
      <c r="C52" s="87"/>
      <c r="D52" s="85"/>
      <c r="E52" s="87"/>
      <c r="F52" s="86">
        <f>F51/L51</f>
        <v>0.78595328693269728</v>
      </c>
      <c r="G52" s="87"/>
      <c r="H52" s="86">
        <f>H51/L51</f>
        <v>0.21404671306730277</v>
      </c>
      <c r="I52" s="87"/>
      <c r="J52" s="86">
        <f>J51/L51</f>
        <v>0</v>
      </c>
      <c r="K52" s="87"/>
      <c r="L52" s="86">
        <f>L51/L51</f>
        <v>1</v>
      </c>
      <c r="M52" s="87"/>
      <c r="N52" s="958"/>
    </row>
    <row r="54" spans="2:14" s="25" customFormat="1" ht="15">
      <c r="B54" s="29" t="s">
        <v>70</v>
      </c>
      <c r="C54" s="39"/>
      <c r="E54" s="39"/>
      <c r="G54" s="39"/>
      <c r="I54" s="39"/>
      <c r="K54" s="39"/>
      <c r="M54" s="39"/>
    </row>
    <row r="55" spans="2:14" ht="6" customHeight="1">
      <c r="D55" s="47"/>
    </row>
    <row r="56" spans="2:14" ht="15">
      <c r="B56" s="76" t="s">
        <v>27</v>
      </c>
      <c r="C56" s="81"/>
      <c r="D56" s="76" t="s">
        <v>20</v>
      </c>
      <c r="E56" s="81"/>
      <c r="F56" s="103" t="s">
        <v>1172</v>
      </c>
      <c r="G56" s="81"/>
      <c r="H56" s="77" t="s">
        <v>28</v>
      </c>
      <c r="I56" s="81"/>
      <c r="J56" s="76" t="s">
        <v>29</v>
      </c>
      <c r="K56" s="81"/>
      <c r="L56" s="76" t="s">
        <v>21</v>
      </c>
      <c r="M56" s="81"/>
      <c r="N56" s="76" t="s">
        <v>30</v>
      </c>
    </row>
    <row r="57" spans="2:14">
      <c r="B57" s="23" t="s">
        <v>72</v>
      </c>
      <c r="D57" s="104">
        <v>152</v>
      </c>
      <c r="F57" s="50">
        <v>13637972.910000002</v>
      </c>
      <c r="H57" s="50">
        <v>0</v>
      </c>
      <c r="J57" s="50">
        <v>0</v>
      </c>
      <c r="L57" s="50">
        <v>13637972.910000002</v>
      </c>
      <c r="N57" s="110">
        <f t="shared" ref="N57:N65" si="1">L57/$L$67</f>
        <v>0.6567229970194719</v>
      </c>
    </row>
    <row r="58" spans="2:14">
      <c r="B58" s="55" t="s">
        <v>74</v>
      </c>
      <c r="D58" s="105">
        <v>12</v>
      </c>
      <c r="F58" s="56">
        <v>468581.80000000005</v>
      </c>
      <c r="H58" s="56">
        <v>0</v>
      </c>
      <c r="J58" s="56">
        <v>0</v>
      </c>
      <c r="L58" s="56">
        <v>468581.80000000005</v>
      </c>
      <c r="N58" s="111">
        <f t="shared" si="1"/>
        <v>2.2564089698340572E-2</v>
      </c>
    </row>
    <row r="59" spans="2:14">
      <c r="B59" s="40" t="s">
        <v>73</v>
      </c>
      <c r="D59" s="104">
        <v>19</v>
      </c>
      <c r="F59" s="50">
        <v>1850753.26</v>
      </c>
      <c r="H59" s="50">
        <v>0</v>
      </c>
      <c r="J59" s="50">
        <v>0</v>
      </c>
      <c r="L59" s="50">
        <v>1850753.26</v>
      </c>
      <c r="N59" s="110">
        <f t="shared" si="1"/>
        <v>8.9121179201019377E-2</v>
      </c>
    </row>
    <row r="60" spans="2:14">
      <c r="B60" s="55" t="s">
        <v>75</v>
      </c>
      <c r="D60" s="105">
        <v>2</v>
      </c>
      <c r="F60" s="56">
        <v>15268.95</v>
      </c>
      <c r="H60" s="56">
        <v>0</v>
      </c>
      <c r="J60" s="56">
        <v>0</v>
      </c>
      <c r="L60" s="56">
        <v>15268.95</v>
      </c>
      <c r="N60" s="111">
        <f t="shared" si="1"/>
        <v>7.3526107373243527E-4</v>
      </c>
    </row>
    <row r="61" spans="2:14">
      <c r="B61" s="40" t="s">
        <v>1012</v>
      </c>
      <c r="D61" s="104">
        <v>6</v>
      </c>
      <c r="F61" s="50">
        <v>349083.33</v>
      </c>
      <c r="H61" s="50">
        <v>650000</v>
      </c>
      <c r="J61" s="50">
        <v>0</v>
      </c>
      <c r="L61" s="50">
        <v>999083.33000000007</v>
      </c>
      <c r="N61" s="110">
        <f t="shared" si="1"/>
        <v>4.8109862299894689E-2</v>
      </c>
    </row>
    <row r="62" spans="2:14">
      <c r="B62" s="55" t="s">
        <v>970</v>
      </c>
      <c r="D62" s="105">
        <v>0</v>
      </c>
      <c r="F62" s="56">
        <v>0</v>
      </c>
      <c r="H62" s="56">
        <v>0</v>
      </c>
      <c r="J62" s="56">
        <v>0</v>
      </c>
      <c r="L62" s="56">
        <v>0</v>
      </c>
      <c r="N62" s="111">
        <f t="shared" si="1"/>
        <v>0</v>
      </c>
    </row>
    <row r="63" spans="2:14">
      <c r="B63" s="40" t="s">
        <v>71</v>
      </c>
      <c r="D63" s="104">
        <v>2</v>
      </c>
      <c r="F63" s="50">
        <v>0</v>
      </c>
      <c r="H63" s="50">
        <v>3795045</v>
      </c>
      <c r="J63" s="50">
        <v>0</v>
      </c>
      <c r="L63" s="50">
        <v>3795045</v>
      </c>
      <c r="N63" s="110">
        <f t="shared" si="1"/>
        <v>0.18274661070754111</v>
      </c>
    </row>
    <row r="64" spans="2:14">
      <c r="B64" s="55" t="s">
        <v>968</v>
      </c>
      <c r="D64" s="105">
        <v>0</v>
      </c>
      <c r="F64" s="56">
        <v>0</v>
      </c>
      <c r="H64" s="56">
        <v>0</v>
      </c>
      <c r="J64" s="56">
        <v>0</v>
      </c>
      <c r="L64" s="56">
        <v>0</v>
      </c>
      <c r="N64" s="111">
        <f t="shared" si="1"/>
        <v>0</v>
      </c>
    </row>
    <row r="65" spans="2:14">
      <c r="B65" s="40" t="s">
        <v>76</v>
      </c>
      <c r="D65" s="104">
        <v>0</v>
      </c>
      <c r="F65" s="50">
        <v>0</v>
      </c>
      <c r="H65" s="50">
        <v>0</v>
      </c>
      <c r="J65" s="50">
        <v>0</v>
      </c>
      <c r="L65" s="50">
        <v>0</v>
      </c>
      <c r="N65" s="110">
        <f t="shared" si="1"/>
        <v>0</v>
      </c>
    </row>
    <row r="66" spans="2:14" ht="6" customHeight="1">
      <c r="D66" s="47"/>
      <c r="F66" s="51"/>
      <c r="H66" s="51"/>
      <c r="J66" s="51"/>
      <c r="L66" s="51"/>
      <c r="N66" s="51"/>
    </row>
    <row r="67" spans="2:14" s="54" customFormat="1" ht="15">
      <c r="B67" s="80" t="s">
        <v>21</v>
      </c>
      <c r="C67" s="87"/>
      <c r="D67" s="84">
        <f>SUM(D57:D65)</f>
        <v>193</v>
      </c>
      <c r="E67" s="87"/>
      <c r="F67" s="79">
        <f>SUM(F57:F65)</f>
        <v>16321660.250000002</v>
      </c>
      <c r="G67" s="87"/>
      <c r="H67" s="79">
        <f>SUM(H57:H65)</f>
        <v>4445045</v>
      </c>
      <c r="I67" s="87"/>
      <c r="J67" s="79">
        <f>SUM(J57:J65)</f>
        <v>0</v>
      </c>
      <c r="K67" s="87"/>
      <c r="L67" s="79">
        <f>SUM(L57:L65)</f>
        <v>20766705.25</v>
      </c>
      <c r="M67" s="87"/>
      <c r="N67" s="83">
        <f>L67/L67</f>
        <v>1</v>
      </c>
    </row>
    <row r="69" spans="2:14">
      <c r="B69" s="23" t="s">
        <v>6</v>
      </c>
      <c r="D69" s="923">
        <f ca="1">TODAY()</f>
        <v>42606</v>
      </c>
      <c r="E69" s="923"/>
      <c r="F69" s="923"/>
      <c r="G69" s="36"/>
      <c r="H69" s="36"/>
      <c r="I69" s="36"/>
      <c r="K69" s="23"/>
      <c r="M69" s="23"/>
    </row>
    <row r="71" spans="2:14">
      <c r="L71" s="53"/>
    </row>
  </sheetData>
  <sheetProtection selectLockedCells="1" selectUnlockedCells="1"/>
  <mergeCells count="4">
    <mergeCell ref="B51:B52"/>
    <mergeCell ref="N51:N52"/>
    <mergeCell ref="D69:F69"/>
    <mergeCell ref="B2:D3"/>
  </mergeCells>
  <pageMargins left="0.39374999999999999" right="0.39374999999999999" top="0.19652777777777777" bottom="0.19652777777777777" header="0.51180555555555551" footer="0.19652777777777777"/>
  <pageSetup paperSize="9" scale="74" firstPageNumber="0" orientation="portrait" horizontalDpi="300" verticalDpi="300" r:id="rId1"/>
  <headerFooter alignWithMargins="0">
    <oddFooter>&amp;R&amp;9&amp;Z&amp;F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N71"/>
  <sheetViews>
    <sheetView showGridLines="0" zoomScaleNormal="100" workbookViewId="0">
      <selection activeCell="L70" sqref="L70"/>
    </sheetView>
  </sheetViews>
  <sheetFormatPr defaultRowHeight="14.25"/>
  <cols>
    <col min="1" max="1" width="1.7109375" style="23" customWidth="1"/>
    <col min="2" max="2" width="35.7109375" style="23" customWidth="1"/>
    <col min="3" max="3" width="0.85546875" style="40" customWidth="1"/>
    <col min="4" max="4" width="10.7109375" style="23" customWidth="1"/>
    <col min="5" max="5" width="0.85546875" style="40" customWidth="1"/>
    <col min="6" max="6" width="15.7109375" style="23" customWidth="1"/>
    <col min="7" max="7" width="0.85546875" style="40" customWidth="1"/>
    <col min="8" max="8" width="15.7109375" style="23" customWidth="1"/>
    <col min="9" max="9" width="0.85546875" style="40" customWidth="1"/>
    <col min="10" max="10" width="15.7109375" style="23" customWidth="1"/>
    <col min="11" max="11" width="0.85546875" style="40" customWidth="1"/>
    <col min="12" max="12" width="18.85546875" style="23" customWidth="1"/>
    <col min="13" max="13" width="0.85546875" style="40" customWidth="1"/>
    <col min="14" max="14" width="8.140625" style="23" customWidth="1"/>
    <col min="15" max="16384" width="9.140625" style="23"/>
  </cols>
  <sheetData>
    <row r="2" spans="2:14" s="25" customFormat="1" ht="15" customHeight="1">
      <c r="B2" s="959" t="s">
        <v>1106</v>
      </c>
      <c r="C2" s="959"/>
      <c r="D2" s="959"/>
      <c r="E2" s="41"/>
      <c r="G2" s="41"/>
      <c r="I2" s="41"/>
      <c r="K2" s="41"/>
      <c r="M2" s="41"/>
    </row>
    <row r="3" spans="2:14" s="25" customFormat="1" ht="15" customHeight="1">
      <c r="B3" s="959"/>
      <c r="C3" s="959"/>
      <c r="D3" s="959"/>
      <c r="E3" s="41"/>
      <c r="G3" s="41"/>
      <c r="I3" s="41"/>
      <c r="K3" s="41"/>
      <c r="M3" s="41"/>
    </row>
    <row r="4" spans="2:14" s="25" customFormat="1" ht="18">
      <c r="B4" s="26"/>
      <c r="C4" s="57"/>
      <c r="E4" s="41"/>
      <c r="G4" s="41"/>
      <c r="I4" s="41"/>
      <c r="K4" s="41"/>
      <c r="M4" s="41"/>
    </row>
    <row r="5" spans="2:14" s="25" customFormat="1" ht="18.75" thickBot="1">
      <c r="B5" s="26"/>
      <c r="C5" s="57"/>
      <c r="E5" s="41"/>
      <c r="G5" s="41"/>
      <c r="I5" s="41"/>
      <c r="K5" s="41"/>
      <c r="M5" s="41"/>
    </row>
    <row r="6" spans="2:14" s="25" customFormat="1" ht="15.75">
      <c r="B6" s="102" t="s">
        <v>1025</v>
      </c>
      <c r="C6" s="27"/>
      <c r="D6" s="37"/>
      <c r="E6" s="27"/>
      <c r="F6" s="37"/>
      <c r="G6" s="27"/>
      <c r="H6" s="37"/>
      <c r="I6" s="27"/>
      <c r="J6" s="37"/>
      <c r="K6" s="27"/>
      <c r="L6" s="37"/>
      <c r="M6" s="27"/>
      <c r="N6" s="37"/>
    </row>
    <row r="7" spans="2:14" s="25" customFormat="1" ht="16.5" thickBot="1">
      <c r="B7" s="101" t="s">
        <v>1166</v>
      </c>
      <c r="C7" s="28"/>
      <c r="D7" s="38"/>
      <c r="E7" s="28"/>
      <c r="F7" s="38"/>
      <c r="G7" s="28"/>
      <c r="H7" s="38"/>
      <c r="I7" s="28"/>
      <c r="J7" s="38"/>
      <c r="K7" s="28"/>
      <c r="L7" s="38"/>
      <c r="M7" s="28"/>
      <c r="N7" s="38"/>
    </row>
    <row r="8" spans="2:14" s="25" customFormat="1" ht="15">
      <c r="B8" s="29"/>
      <c r="C8" s="39"/>
      <c r="E8" s="39"/>
      <c r="G8" s="39"/>
      <c r="I8" s="39"/>
      <c r="K8" s="39"/>
      <c r="M8" s="39"/>
    </row>
    <row r="9" spans="2:14" s="25" customFormat="1" ht="15">
      <c r="B9" s="76" t="s">
        <v>27</v>
      </c>
      <c r="C9" s="81"/>
      <c r="D9" s="76" t="s">
        <v>20</v>
      </c>
      <c r="E9" s="81"/>
      <c r="F9" s="103" t="s">
        <v>1172</v>
      </c>
      <c r="G9" s="81"/>
      <c r="H9" s="77" t="s">
        <v>28</v>
      </c>
      <c r="I9" s="81"/>
      <c r="J9" s="76" t="s">
        <v>29</v>
      </c>
      <c r="K9" s="81"/>
      <c r="L9" s="76" t="s">
        <v>21</v>
      </c>
      <c r="M9" s="81"/>
      <c r="N9" s="76" t="s">
        <v>30</v>
      </c>
    </row>
    <row r="10" spans="2:14" ht="6" customHeight="1">
      <c r="D10" s="47"/>
    </row>
    <row r="11" spans="2:14">
      <c r="B11" s="55" t="s">
        <v>1016</v>
      </c>
      <c r="D11" s="106">
        <v>1</v>
      </c>
      <c r="F11" s="56">
        <v>2065385</v>
      </c>
      <c r="H11" s="56">
        <v>0</v>
      </c>
      <c r="J11" s="56">
        <v>0</v>
      </c>
      <c r="L11" s="56">
        <f t="shared" ref="L11:L27" si="0">SUM(F11:J11)</f>
        <v>2065385</v>
      </c>
      <c r="N11" s="112">
        <f t="shared" ref="N11:N51" si="1">L11/$L$53</f>
        <v>3.983787416699125E-2</v>
      </c>
    </row>
    <row r="12" spans="2:14">
      <c r="B12" s="23" t="s">
        <v>1018</v>
      </c>
      <c r="D12" s="107">
        <v>0</v>
      </c>
      <c r="F12" s="50">
        <v>0</v>
      </c>
      <c r="H12" s="50">
        <v>0</v>
      </c>
      <c r="J12" s="50">
        <v>0</v>
      </c>
      <c r="L12" s="50">
        <f t="shared" si="0"/>
        <v>0</v>
      </c>
      <c r="N12" s="113">
        <f t="shared" si="1"/>
        <v>0</v>
      </c>
    </row>
    <row r="13" spans="2:14">
      <c r="B13" s="55" t="s">
        <v>32</v>
      </c>
      <c r="D13" s="106">
        <v>1</v>
      </c>
      <c r="F13" s="56">
        <v>23000</v>
      </c>
      <c r="H13" s="56">
        <v>0</v>
      </c>
      <c r="J13" s="56">
        <v>0</v>
      </c>
      <c r="L13" s="56">
        <f t="shared" si="0"/>
        <v>23000</v>
      </c>
      <c r="N13" s="112">
        <f t="shared" si="1"/>
        <v>4.4363211015902541E-4</v>
      </c>
    </row>
    <row r="14" spans="2:14">
      <c r="B14" s="40" t="s">
        <v>33</v>
      </c>
      <c r="D14" s="107">
        <v>4</v>
      </c>
      <c r="F14" s="50">
        <v>1765000</v>
      </c>
      <c r="H14" s="50">
        <v>0</v>
      </c>
      <c r="J14" s="50">
        <v>0</v>
      </c>
      <c r="L14" s="50">
        <f t="shared" si="0"/>
        <v>1765000</v>
      </c>
      <c r="N14" s="113">
        <f t="shared" si="1"/>
        <v>3.4043942366551297E-2</v>
      </c>
    </row>
    <row r="15" spans="2:14">
      <c r="B15" s="55" t="s">
        <v>34</v>
      </c>
      <c r="D15" s="106">
        <v>5</v>
      </c>
      <c r="F15" s="56">
        <v>532000</v>
      </c>
      <c r="H15" s="56">
        <v>0</v>
      </c>
      <c r="J15" s="56">
        <v>0</v>
      </c>
      <c r="L15" s="56">
        <f t="shared" si="0"/>
        <v>532000</v>
      </c>
      <c r="N15" s="112">
        <f t="shared" si="1"/>
        <v>1.0261403591504414E-2</v>
      </c>
    </row>
    <row r="16" spans="2:14">
      <c r="B16" s="40" t="s">
        <v>35</v>
      </c>
      <c r="D16" s="107">
        <v>11</v>
      </c>
      <c r="F16" s="50">
        <v>551000</v>
      </c>
      <c r="H16" s="50">
        <v>0</v>
      </c>
      <c r="J16" s="50">
        <v>0</v>
      </c>
      <c r="L16" s="50">
        <f t="shared" si="0"/>
        <v>551000</v>
      </c>
      <c r="N16" s="113">
        <f t="shared" si="1"/>
        <v>1.0627882291200999E-2</v>
      </c>
    </row>
    <row r="17" spans="2:14">
      <c r="B17" s="55" t="s">
        <v>36</v>
      </c>
      <c r="D17" s="106">
        <v>9</v>
      </c>
      <c r="F17" s="56">
        <v>126000</v>
      </c>
      <c r="H17" s="56">
        <v>0</v>
      </c>
      <c r="J17" s="56">
        <v>0</v>
      </c>
      <c r="L17" s="56">
        <f t="shared" si="0"/>
        <v>126000</v>
      </c>
      <c r="N17" s="112">
        <f t="shared" si="1"/>
        <v>2.4303324295668347E-3</v>
      </c>
    </row>
    <row r="18" spans="2:14">
      <c r="B18" s="40" t="s">
        <v>37</v>
      </c>
      <c r="D18" s="107">
        <v>7</v>
      </c>
      <c r="F18" s="50">
        <v>142000</v>
      </c>
      <c r="H18" s="50">
        <v>1850000</v>
      </c>
      <c r="J18" s="50">
        <v>0</v>
      </c>
      <c r="L18" s="50">
        <f t="shared" si="0"/>
        <v>1992000</v>
      </c>
      <c r="N18" s="113">
        <f t="shared" si="1"/>
        <v>3.8422398410294725E-2</v>
      </c>
    </row>
    <row r="19" spans="2:14">
      <c r="B19" s="55" t="s">
        <v>38</v>
      </c>
      <c r="D19" s="106">
        <v>2</v>
      </c>
      <c r="F19" s="56">
        <v>25000</v>
      </c>
      <c r="H19" s="56">
        <v>0</v>
      </c>
      <c r="J19" s="56">
        <v>0</v>
      </c>
      <c r="L19" s="56">
        <f t="shared" si="0"/>
        <v>25000</v>
      </c>
      <c r="N19" s="112">
        <f t="shared" si="1"/>
        <v>4.8220881539024499E-4</v>
      </c>
    </row>
    <row r="20" spans="2:14">
      <c r="B20" s="40" t="s">
        <v>39</v>
      </c>
      <c r="D20" s="107">
        <v>18</v>
      </c>
      <c r="F20" s="50">
        <v>1055900</v>
      </c>
      <c r="H20" s="50">
        <v>0</v>
      </c>
      <c r="J20" s="50">
        <v>0</v>
      </c>
      <c r="L20" s="50">
        <f t="shared" si="0"/>
        <v>1055900</v>
      </c>
      <c r="N20" s="113">
        <f t="shared" si="1"/>
        <v>2.0366571526822388E-2</v>
      </c>
    </row>
    <row r="21" spans="2:14">
      <c r="B21" s="55" t="s">
        <v>40</v>
      </c>
      <c r="D21" s="106">
        <v>3</v>
      </c>
      <c r="F21" s="56">
        <v>922000</v>
      </c>
      <c r="H21" s="56">
        <v>0</v>
      </c>
      <c r="J21" s="56">
        <v>0</v>
      </c>
      <c r="L21" s="56">
        <f t="shared" si="0"/>
        <v>922000</v>
      </c>
      <c r="N21" s="112">
        <f t="shared" si="1"/>
        <v>1.7783861111592237E-2</v>
      </c>
    </row>
    <row r="22" spans="2:14">
      <c r="B22" s="40" t="s">
        <v>41</v>
      </c>
      <c r="D22" s="107">
        <v>0</v>
      </c>
      <c r="F22" s="50">
        <v>0</v>
      </c>
      <c r="H22" s="50">
        <v>0</v>
      </c>
      <c r="J22" s="50">
        <v>0</v>
      </c>
      <c r="L22" s="50">
        <f t="shared" si="0"/>
        <v>0</v>
      </c>
      <c r="N22" s="113">
        <f t="shared" si="1"/>
        <v>0</v>
      </c>
    </row>
    <row r="23" spans="2:14">
      <c r="B23" s="55" t="s">
        <v>42</v>
      </c>
      <c r="D23" s="106">
        <v>14</v>
      </c>
      <c r="F23" s="56">
        <v>5651684.3400000017</v>
      </c>
      <c r="H23" s="56">
        <v>0</v>
      </c>
      <c r="J23" s="56">
        <v>0</v>
      </c>
      <c r="L23" s="56">
        <f t="shared" si="0"/>
        <v>5651684.3400000017</v>
      </c>
      <c r="N23" s="112">
        <f t="shared" si="1"/>
        <v>0.10901168042203999</v>
      </c>
    </row>
    <row r="24" spans="2:14">
      <c r="B24" s="40" t="s">
        <v>43</v>
      </c>
      <c r="D24" s="107">
        <v>108</v>
      </c>
      <c r="F24" s="50">
        <v>109435.99000000005</v>
      </c>
      <c r="H24" s="50">
        <v>85476.3</v>
      </c>
      <c r="J24" s="50">
        <v>0</v>
      </c>
      <c r="L24" s="50">
        <f t="shared" si="0"/>
        <v>194912.29000000004</v>
      </c>
      <c r="N24" s="113">
        <f t="shared" si="1"/>
        <v>3.7595369786359964E-3</v>
      </c>
    </row>
    <row r="25" spans="2:14">
      <c r="B25" s="55" t="s">
        <v>44</v>
      </c>
      <c r="D25" s="106">
        <v>5</v>
      </c>
      <c r="F25" s="56">
        <v>1010127</v>
      </c>
      <c r="H25" s="56">
        <v>0</v>
      </c>
      <c r="J25" s="56">
        <v>0</v>
      </c>
      <c r="L25" s="56">
        <f t="shared" si="0"/>
        <v>1010127</v>
      </c>
      <c r="N25" s="112">
        <f t="shared" si="1"/>
        <v>1.9483685762548081E-2</v>
      </c>
    </row>
    <row r="26" spans="2:14">
      <c r="B26" s="40" t="s">
        <v>45</v>
      </c>
      <c r="D26" s="107">
        <v>2</v>
      </c>
      <c r="F26" s="50">
        <v>17400</v>
      </c>
      <c r="H26" s="50">
        <v>0</v>
      </c>
      <c r="J26" s="50">
        <v>0</v>
      </c>
      <c r="L26" s="50">
        <f t="shared" si="0"/>
        <v>17400</v>
      </c>
      <c r="N26" s="113">
        <f t="shared" si="1"/>
        <v>3.3561733551161054E-4</v>
      </c>
    </row>
    <row r="27" spans="2:14">
      <c r="B27" s="55" t="s">
        <v>46</v>
      </c>
      <c r="D27" s="106">
        <v>10</v>
      </c>
      <c r="F27" s="56">
        <v>643400</v>
      </c>
      <c r="H27" s="56">
        <v>0</v>
      </c>
      <c r="J27" s="56">
        <v>0</v>
      </c>
      <c r="L27" s="56">
        <f t="shared" si="0"/>
        <v>643400</v>
      </c>
      <c r="N27" s="112">
        <f t="shared" si="1"/>
        <v>1.2410126072883346E-2</v>
      </c>
    </row>
    <row r="28" spans="2:14">
      <c r="B28" s="40" t="s">
        <v>47</v>
      </c>
      <c r="D28" s="107">
        <v>17</v>
      </c>
      <c r="F28" s="50">
        <v>8300000</v>
      </c>
      <c r="H28" s="50">
        <v>6439000.0300000003</v>
      </c>
      <c r="J28" s="50">
        <v>3750000</v>
      </c>
      <c r="L28" s="50">
        <f t="shared" ref="L28:L51" si="2">SUM(F28:J28)</f>
        <v>18489000.030000001</v>
      </c>
      <c r="N28" s="113">
        <f t="shared" si="1"/>
        <v>0.35662235208866022</v>
      </c>
    </row>
    <row r="29" spans="2:14">
      <c r="B29" s="55" t="s">
        <v>48</v>
      </c>
      <c r="D29" s="106">
        <v>1</v>
      </c>
      <c r="F29" s="56">
        <v>126000</v>
      </c>
      <c r="H29" s="56">
        <v>0</v>
      </c>
      <c r="J29" s="56">
        <v>0</v>
      </c>
      <c r="L29" s="56">
        <f t="shared" si="2"/>
        <v>126000</v>
      </c>
      <c r="N29" s="112">
        <f t="shared" si="1"/>
        <v>2.4303324295668347E-3</v>
      </c>
    </row>
    <row r="30" spans="2:14">
      <c r="B30" s="40" t="s">
        <v>49</v>
      </c>
      <c r="D30" s="107">
        <v>2</v>
      </c>
      <c r="F30" s="50">
        <v>140000</v>
      </c>
      <c r="H30" s="50">
        <v>0</v>
      </c>
      <c r="J30" s="50">
        <v>0</v>
      </c>
      <c r="L30" s="50">
        <f t="shared" si="2"/>
        <v>140000</v>
      </c>
      <c r="N30" s="113">
        <f t="shared" si="1"/>
        <v>2.7003693661853722E-3</v>
      </c>
    </row>
    <row r="31" spans="2:14">
      <c r="B31" s="55" t="s">
        <v>50</v>
      </c>
      <c r="D31" s="106">
        <v>2</v>
      </c>
      <c r="F31" s="56">
        <v>90000</v>
      </c>
      <c r="H31" s="56">
        <v>0</v>
      </c>
      <c r="J31" s="56">
        <v>0</v>
      </c>
      <c r="L31" s="56">
        <f t="shared" si="2"/>
        <v>90000</v>
      </c>
      <c r="N31" s="112">
        <f t="shared" si="1"/>
        <v>1.7359517354048821E-3</v>
      </c>
    </row>
    <row r="32" spans="2:14">
      <c r="B32" s="40" t="s">
        <v>51</v>
      </c>
      <c r="D32" s="107">
        <v>113</v>
      </c>
      <c r="F32" s="50">
        <v>1967358.1099999999</v>
      </c>
      <c r="H32" s="50">
        <v>0</v>
      </c>
      <c r="J32" s="50">
        <v>0</v>
      </c>
      <c r="L32" s="50">
        <f t="shared" si="2"/>
        <v>1967358.1099999999</v>
      </c>
      <c r="N32" s="113">
        <f t="shared" si="1"/>
        <v>3.7947096946859653E-2</v>
      </c>
    </row>
    <row r="33" spans="2:14">
      <c r="B33" s="55" t="s">
        <v>52</v>
      </c>
      <c r="D33" s="106">
        <v>5</v>
      </c>
      <c r="F33" s="56">
        <v>48635</v>
      </c>
      <c r="H33" s="56">
        <v>0</v>
      </c>
      <c r="J33" s="56">
        <v>0</v>
      </c>
      <c r="L33" s="56">
        <f t="shared" si="2"/>
        <v>48635</v>
      </c>
      <c r="N33" s="112">
        <f t="shared" si="1"/>
        <v>9.3808902946018258E-4</v>
      </c>
    </row>
    <row r="34" spans="2:14">
      <c r="B34" s="40" t="s">
        <v>53</v>
      </c>
      <c r="D34" s="107">
        <v>17</v>
      </c>
      <c r="F34" s="50">
        <v>23998</v>
      </c>
      <c r="H34" s="50">
        <v>0</v>
      </c>
      <c r="J34" s="50">
        <v>0</v>
      </c>
      <c r="L34" s="50">
        <f t="shared" si="2"/>
        <v>23998</v>
      </c>
      <c r="N34" s="113">
        <f t="shared" si="1"/>
        <v>4.6288188606940399E-4</v>
      </c>
    </row>
    <row r="35" spans="2:14">
      <c r="B35" s="55" t="s">
        <v>54</v>
      </c>
      <c r="D35" s="106">
        <v>72</v>
      </c>
      <c r="F35" s="56">
        <v>85663.119999999966</v>
      </c>
      <c r="H35" s="56">
        <v>0</v>
      </c>
      <c r="J35" s="56">
        <v>0</v>
      </c>
      <c r="L35" s="56">
        <f t="shared" si="2"/>
        <v>85663.119999999966</v>
      </c>
      <c r="N35" s="112">
        <f t="shared" si="1"/>
        <v>1.6523004647132956E-3</v>
      </c>
    </row>
    <row r="36" spans="2:14">
      <c r="B36" s="40" t="s">
        <v>55</v>
      </c>
      <c r="D36" s="107">
        <v>219</v>
      </c>
      <c r="F36" s="50">
        <v>117271.49999999999</v>
      </c>
      <c r="H36" s="50">
        <v>0</v>
      </c>
      <c r="J36" s="50">
        <v>0</v>
      </c>
      <c r="L36" s="50">
        <f t="shared" si="2"/>
        <v>117271.49999999999</v>
      </c>
      <c r="N36" s="113">
        <f t="shared" si="1"/>
        <v>2.2619740437614844E-3</v>
      </c>
    </row>
    <row r="37" spans="2:14">
      <c r="B37" s="55" t="s">
        <v>56</v>
      </c>
      <c r="D37" s="106">
        <v>4</v>
      </c>
      <c r="F37" s="56">
        <v>520000</v>
      </c>
      <c r="H37" s="56">
        <v>490000</v>
      </c>
      <c r="J37" s="56">
        <v>0</v>
      </c>
      <c r="L37" s="56">
        <f t="shared" si="2"/>
        <v>1010000</v>
      </c>
      <c r="N37" s="112">
        <f t="shared" si="1"/>
        <v>1.9481236141765897E-2</v>
      </c>
    </row>
    <row r="38" spans="2:14">
      <c r="B38" s="40" t="s">
        <v>1024</v>
      </c>
      <c r="D38" s="107">
        <v>2</v>
      </c>
      <c r="F38" s="50">
        <v>1327475</v>
      </c>
      <c r="H38" s="50">
        <v>0</v>
      </c>
      <c r="J38" s="50">
        <v>0</v>
      </c>
      <c r="L38" s="50">
        <f>SUM(F38:J38)</f>
        <v>1327475</v>
      </c>
      <c r="N38" s="113">
        <f>L38/$L$53</f>
        <v>2.560480588840662E-2</v>
      </c>
    </row>
    <row r="39" spans="2:14">
      <c r="B39" s="55" t="s">
        <v>57</v>
      </c>
      <c r="D39" s="106">
        <v>1</v>
      </c>
      <c r="F39" s="56">
        <v>400000</v>
      </c>
      <c r="H39" s="56">
        <v>0</v>
      </c>
      <c r="J39" s="56">
        <v>0</v>
      </c>
      <c r="L39" s="56">
        <f t="shared" si="2"/>
        <v>400000</v>
      </c>
      <c r="N39" s="112">
        <f t="shared" si="1"/>
        <v>7.7153410462439198E-3</v>
      </c>
    </row>
    <row r="40" spans="2:14">
      <c r="B40" s="40" t="s">
        <v>58</v>
      </c>
      <c r="D40" s="107">
        <v>10</v>
      </c>
      <c r="F40" s="50">
        <v>900420.55</v>
      </c>
      <c r="H40" s="50">
        <v>0</v>
      </c>
      <c r="J40" s="50">
        <v>0</v>
      </c>
      <c r="L40" s="50">
        <f t="shared" si="2"/>
        <v>900420.55</v>
      </c>
      <c r="N40" s="113">
        <f t="shared" si="1"/>
        <v>1.7367629070741315E-2</v>
      </c>
    </row>
    <row r="41" spans="2:14">
      <c r="B41" s="55" t="s">
        <v>59</v>
      </c>
      <c r="D41" s="106">
        <v>15</v>
      </c>
      <c r="F41" s="56">
        <v>2068317.6600000001</v>
      </c>
      <c r="H41" s="56">
        <v>0</v>
      </c>
      <c r="J41" s="56">
        <v>0</v>
      </c>
      <c r="L41" s="56">
        <f t="shared" si="2"/>
        <v>2068317.6600000001</v>
      </c>
      <c r="N41" s="112">
        <f t="shared" si="1"/>
        <v>3.9894440347172946E-2</v>
      </c>
    </row>
    <row r="42" spans="2:14">
      <c r="B42" s="40" t="s">
        <v>60</v>
      </c>
      <c r="D42" s="107">
        <v>0</v>
      </c>
      <c r="F42" s="50">
        <v>0</v>
      </c>
      <c r="H42" s="50">
        <v>0</v>
      </c>
      <c r="J42" s="50">
        <v>0</v>
      </c>
      <c r="L42" s="50">
        <f t="shared" si="2"/>
        <v>0</v>
      </c>
      <c r="N42" s="113">
        <f t="shared" si="1"/>
        <v>0</v>
      </c>
    </row>
    <row r="43" spans="2:14">
      <c r="B43" s="55" t="s">
        <v>61</v>
      </c>
      <c r="D43" s="106">
        <v>0</v>
      </c>
      <c r="F43" s="56">
        <v>0</v>
      </c>
      <c r="H43" s="56">
        <v>0</v>
      </c>
      <c r="J43" s="56">
        <v>0</v>
      </c>
      <c r="L43" s="56">
        <f t="shared" si="2"/>
        <v>0</v>
      </c>
      <c r="N43" s="112">
        <f t="shared" si="1"/>
        <v>0</v>
      </c>
    </row>
    <row r="44" spans="2:14">
      <c r="B44" s="40" t="s">
        <v>62</v>
      </c>
      <c r="D44" s="107">
        <v>4</v>
      </c>
      <c r="F44" s="50">
        <v>1471347.33</v>
      </c>
      <c r="H44" s="50">
        <v>0</v>
      </c>
      <c r="J44" s="50">
        <v>0</v>
      </c>
      <c r="L44" s="50">
        <f t="shared" si="2"/>
        <v>1471347.33</v>
      </c>
      <c r="N44" s="113">
        <f t="shared" si="1"/>
        <v>2.8379866121075997E-2</v>
      </c>
    </row>
    <row r="45" spans="2:14">
      <c r="B45" s="55" t="s">
        <v>63</v>
      </c>
      <c r="D45" s="106">
        <v>3</v>
      </c>
      <c r="F45" s="56">
        <v>900000</v>
      </c>
      <c r="H45" s="56">
        <v>0</v>
      </c>
      <c r="J45" s="56">
        <v>0</v>
      </c>
      <c r="L45" s="56">
        <f t="shared" si="2"/>
        <v>900000</v>
      </c>
      <c r="N45" s="112">
        <f t="shared" si="1"/>
        <v>1.7359517354048819E-2</v>
      </c>
    </row>
    <row r="46" spans="2:14">
      <c r="B46" s="40" t="s">
        <v>64</v>
      </c>
      <c r="D46" s="107">
        <v>1</v>
      </c>
      <c r="F46" s="50">
        <v>0</v>
      </c>
      <c r="H46" s="50">
        <v>11882</v>
      </c>
      <c r="J46" s="50">
        <v>0</v>
      </c>
      <c r="L46" s="50">
        <f t="shared" si="2"/>
        <v>11882</v>
      </c>
      <c r="N46" s="113">
        <f t="shared" si="1"/>
        <v>2.2918420577867565E-4</v>
      </c>
    </row>
    <row r="47" spans="2:14">
      <c r="B47" s="55" t="s">
        <v>65</v>
      </c>
      <c r="D47" s="106">
        <v>3</v>
      </c>
      <c r="F47" s="56">
        <v>63020</v>
      </c>
      <c r="H47" s="56">
        <v>0</v>
      </c>
      <c r="J47" s="56">
        <v>0</v>
      </c>
      <c r="L47" s="56">
        <f t="shared" si="2"/>
        <v>63020</v>
      </c>
      <c r="N47" s="112">
        <f t="shared" si="1"/>
        <v>1.2155519818357295E-3</v>
      </c>
    </row>
    <row r="48" spans="2:14">
      <c r="B48" s="40" t="s">
        <v>66</v>
      </c>
      <c r="D48" s="107">
        <v>27</v>
      </c>
      <c r="F48" s="50">
        <v>4710222.1100000013</v>
      </c>
      <c r="H48" s="50">
        <v>0</v>
      </c>
      <c r="J48" s="50">
        <v>0</v>
      </c>
      <c r="L48" s="50">
        <f t="shared" si="2"/>
        <v>4710222.1100000013</v>
      </c>
      <c r="N48" s="113">
        <f t="shared" si="1"/>
        <v>9.0852424955521635E-2</v>
      </c>
    </row>
    <row r="49" spans="2:14">
      <c r="B49" s="55" t="s">
        <v>67</v>
      </c>
      <c r="D49" s="106">
        <v>0</v>
      </c>
      <c r="F49" s="56">
        <v>0</v>
      </c>
      <c r="H49" s="56">
        <v>0</v>
      </c>
      <c r="J49" s="56">
        <v>0</v>
      </c>
      <c r="L49" s="56">
        <f t="shared" si="2"/>
        <v>0</v>
      </c>
      <c r="N49" s="112">
        <f t="shared" si="1"/>
        <v>0</v>
      </c>
    </row>
    <row r="50" spans="2:14">
      <c r="B50" s="40" t="s">
        <v>68</v>
      </c>
      <c r="D50" s="107">
        <v>5</v>
      </c>
      <c r="F50" s="50">
        <v>463000</v>
      </c>
      <c r="H50" s="50">
        <v>0</v>
      </c>
      <c r="J50" s="50">
        <v>0</v>
      </c>
      <c r="L50" s="50">
        <f t="shared" si="2"/>
        <v>463000</v>
      </c>
      <c r="N50" s="113">
        <f t="shared" si="1"/>
        <v>8.9305072610273376E-3</v>
      </c>
    </row>
    <row r="51" spans="2:14">
      <c r="B51" s="55" t="s">
        <v>69</v>
      </c>
      <c r="D51" s="106">
        <v>19</v>
      </c>
      <c r="F51" s="56">
        <v>856340.32999999984</v>
      </c>
      <c r="H51" s="56">
        <v>0</v>
      </c>
      <c r="J51" s="56">
        <v>0</v>
      </c>
      <c r="L51" s="56">
        <f t="shared" si="2"/>
        <v>856340.32999999984</v>
      </c>
      <c r="N51" s="112">
        <f t="shared" si="1"/>
        <v>1.6517394244007656E-2</v>
      </c>
    </row>
    <row r="52" spans="2:14" ht="6" customHeight="1">
      <c r="D52" s="47"/>
      <c r="F52" s="50"/>
      <c r="H52" s="50"/>
      <c r="J52" s="50"/>
      <c r="L52" s="50"/>
      <c r="N52" s="50"/>
    </row>
    <row r="53" spans="2:14" s="54" customFormat="1" ht="15">
      <c r="B53" s="957" t="s">
        <v>21</v>
      </c>
      <c r="C53" s="88"/>
      <c r="D53" s="89">
        <f>SUM(D11:D51)</f>
        <v>742</v>
      </c>
      <c r="E53" s="88"/>
      <c r="F53" s="89">
        <f>SUM(F11:F51)</f>
        <v>39218401.039999999</v>
      </c>
      <c r="G53" s="88"/>
      <c r="H53" s="89">
        <f>SUM(H11:H51)</f>
        <v>8876358.3300000001</v>
      </c>
      <c r="I53" s="88"/>
      <c r="J53" s="89">
        <f>SUM(J11:J51)</f>
        <v>3750000</v>
      </c>
      <c r="K53" s="88"/>
      <c r="L53" s="89">
        <f>SUM(L11:L51)</f>
        <v>51844759.36999999</v>
      </c>
      <c r="M53" s="87"/>
      <c r="N53" s="958">
        <f>L53/L53</f>
        <v>1</v>
      </c>
    </row>
    <row r="54" spans="2:14" s="54" customFormat="1" ht="15">
      <c r="B54" s="957"/>
      <c r="C54" s="88"/>
      <c r="D54" s="90"/>
      <c r="E54" s="88"/>
      <c r="F54" s="86">
        <f>F53/L53</f>
        <v>0.75645834827991809</v>
      </c>
      <c r="G54" s="88"/>
      <c r="H54" s="86">
        <f>H53/L53</f>
        <v>0.17121032941154535</v>
      </c>
      <c r="I54" s="88"/>
      <c r="J54" s="86">
        <f>J53/L53</f>
        <v>7.2331322308536755E-2</v>
      </c>
      <c r="K54" s="88"/>
      <c r="L54" s="86">
        <f>L53/L53</f>
        <v>1</v>
      </c>
      <c r="M54" s="88"/>
      <c r="N54" s="958"/>
    </row>
    <row r="56" spans="2:14" s="25" customFormat="1" ht="15">
      <c r="B56" s="29" t="s">
        <v>70</v>
      </c>
      <c r="C56" s="39"/>
      <c r="E56" s="39"/>
      <c r="G56" s="39"/>
      <c r="I56" s="39"/>
      <c r="K56" s="39"/>
      <c r="M56" s="39"/>
    </row>
    <row r="57" spans="2:14" ht="6" customHeight="1">
      <c r="D57" s="47"/>
    </row>
    <row r="58" spans="2:14" ht="15">
      <c r="B58" s="76" t="s">
        <v>27</v>
      </c>
      <c r="C58" s="87"/>
      <c r="D58" s="76" t="s">
        <v>20</v>
      </c>
      <c r="E58" s="87"/>
      <c r="F58" s="103" t="s">
        <v>1172</v>
      </c>
      <c r="G58" s="87"/>
      <c r="H58" s="77" t="s">
        <v>28</v>
      </c>
      <c r="I58" s="87"/>
      <c r="J58" s="76" t="s">
        <v>29</v>
      </c>
      <c r="K58" s="87"/>
      <c r="L58" s="76" t="s">
        <v>21</v>
      </c>
      <c r="M58" s="87"/>
      <c r="N58" s="76" t="s">
        <v>30</v>
      </c>
    </row>
    <row r="59" spans="2:14">
      <c r="B59" s="23" t="s">
        <v>72</v>
      </c>
      <c r="D59" s="107">
        <v>405</v>
      </c>
      <c r="F59" s="50">
        <v>14225717</v>
      </c>
      <c r="H59" s="50">
        <v>339000</v>
      </c>
      <c r="J59" s="50">
        <v>3750000</v>
      </c>
      <c r="L59" s="50">
        <f t="shared" ref="L59:L67" si="3">SUM(F59:J59)</f>
        <v>18314717</v>
      </c>
      <c r="N59" s="108">
        <f t="shared" ref="N59:N67" si="4">L59/$L$53</f>
        <v>0.35326071955110327</v>
      </c>
    </row>
    <row r="60" spans="2:14">
      <c r="B60" s="55" t="s">
        <v>74</v>
      </c>
      <c r="D60" s="106">
        <v>60</v>
      </c>
      <c r="F60" s="56">
        <v>7900026</v>
      </c>
      <c r="H60" s="56">
        <v>0</v>
      </c>
      <c r="J60" s="56">
        <v>0</v>
      </c>
      <c r="L60" s="56">
        <f t="shared" si="3"/>
        <v>7900026</v>
      </c>
      <c r="N60" s="109">
        <f t="shared" si="4"/>
        <v>0.15237848716048544</v>
      </c>
    </row>
    <row r="61" spans="2:14">
      <c r="B61" s="40" t="s">
        <v>73</v>
      </c>
      <c r="D61" s="107">
        <v>157</v>
      </c>
      <c r="F61" s="50">
        <v>3951441</v>
      </c>
      <c r="H61" s="50">
        <v>0</v>
      </c>
      <c r="J61" s="50">
        <v>0</v>
      </c>
      <c r="L61" s="50">
        <f t="shared" si="3"/>
        <v>3951441</v>
      </c>
      <c r="N61" s="108">
        <f t="shared" si="4"/>
        <v>7.6216787347777801E-2</v>
      </c>
    </row>
    <row r="62" spans="2:14">
      <c r="B62" s="55" t="s">
        <v>75</v>
      </c>
      <c r="D62" s="106">
        <v>2</v>
      </c>
      <c r="F62" s="56">
        <v>43946</v>
      </c>
      <c r="H62" s="56">
        <v>0</v>
      </c>
      <c r="J62" s="56">
        <v>0</v>
      </c>
      <c r="L62" s="56">
        <f t="shared" si="3"/>
        <v>43946</v>
      </c>
      <c r="N62" s="109">
        <f t="shared" si="4"/>
        <v>8.4764594404558829E-4</v>
      </c>
    </row>
    <row r="63" spans="2:14">
      <c r="B63" s="40" t="s">
        <v>1012</v>
      </c>
      <c r="D63" s="107">
        <v>22</v>
      </c>
      <c r="F63" s="50">
        <v>1568140</v>
      </c>
      <c r="H63" s="50">
        <v>0</v>
      </c>
      <c r="J63" s="50">
        <v>0</v>
      </c>
      <c r="L63" s="50">
        <f t="shared" si="3"/>
        <v>1568140</v>
      </c>
      <c r="N63" s="108">
        <f t="shared" si="4"/>
        <v>3.0246837270642351E-2</v>
      </c>
    </row>
    <row r="64" spans="2:14">
      <c r="B64" s="55" t="s">
        <v>970</v>
      </c>
      <c r="D64" s="106">
        <v>6</v>
      </c>
      <c r="F64" s="56">
        <v>0</v>
      </c>
      <c r="H64" s="56">
        <v>5450000</v>
      </c>
      <c r="J64" s="56">
        <v>0</v>
      </c>
      <c r="L64" s="56">
        <f t="shared" si="3"/>
        <v>5450000</v>
      </c>
      <c r="N64" s="109">
        <f t="shared" si="4"/>
        <v>0.10512152175507342</v>
      </c>
    </row>
    <row r="65" spans="2:14">
      <c r="B65" s="40" t="s">
        <v>71</v>
      </c>
      <c r="D65" s="107">
        <v>12</v>
      </c>
      <c r="F65" s="50">
        <v>1100</v>
      </c>
      <c r="H65" s="50">
        <f>2438458-1100</f>
        <v>2437358</v>
      </c>
      <c r="J65" s="50">
        <v>0</v>
      </c>
      <c r="L65" s="50">
        <f t="shared" si="3"/>
        <v>2438458</v>
      </c>
      <c r="N65" s="108">
        <f t="shared" si="4"/>
        <v>4.7033837742354645E-2</v>
      </c>
    </row>
    <row r="66" spans="2:14">
      <c r="B66" s="55" t="s">
        <v>968</v>
      </c>
      <c r="D66" s="106">
        <v>6</v>
      </c>
      <c r="F66" s="56">
        <v>2312602</v>
      </c>
      <c r="H66" s="56">
        <v>0</v>
      </c>
      <c r="J66" s="56">
        <v>0</v>
      </c>
      <c r="L66" s="56">
        <f t="shared" si="3"/>
        <v>2312602</v>
      </c>
      <c r="N66" s="109">
        <f t="shared" si="4"/>
        <v>4.4606282835564455E-2</v>
      </c>
    </row>
    <row r="67" spans="2:14">
      <c r="B67" s="40" t="s">
        <v>76</v>
      </c>
      <c r="D67" s="107">
        <v>74</v>
      </c>
      <c r="F67" s="50">
        <v>9215429</v>
      </c>
      <c r="H67" s="50">
        <v>650000</v>
      </c>
      <c r="J67" s="50">
        <v>0</v>
      </c>
      <c r="L67" s="50">
        <f t="shared" si="3"/>
        <v>9865429</v>
      </c>
      <c r="N67" s="108">
        <f t="shared" si="4"/>
        <v>0.19028787325626279</v>
      </c>
    </row>
    <row r="68" spans="2:14" ht="6" customHeight="1">
      <c r="D68" s="47"/>
      <c r="F68" s="50"/>
      <c r="H68" s="50"/>
      <c r="J68" s="50"/>
      <c r="L68" s="50"/>
      <c r="N68" s="50"/>
    </row>
    <row r="69" spans="2:14" s="54" customFormat="1" ht="15">
      <c r="B69" s="80" t="s">
        <v>21</v>
      </c>
      <c r="C69" s="87"/>
      <c r="D69" s="84">
        <f>SUM(D59:D67)</f>
        <v>744</v>
      </c>
      <c r="E69" s="87"/>
      <c r="F69" s="79">
        <f>SUM(F59:F67)</f>
        <v>39218401</v>
      </c>
      <c r="G69" s="87"/>
      <c r="H69" s="79">
        <f>SUM(H59:H67)</f>
        <v>8876358</v>
      </c>
      <c r="I69" s="87"/>
      <c r="J69" s="79">
        <f>SUM(J59:J67)</f>
        <v>3750000</v>
      </c>
      <c r="K69" s="87"/>
      <c r="L69" s="79">
        <f>SUM(L59:L67)</f>
        <v>51844759</v>
      </c>
      <c r="M69" s="87"/>
      <c r="N69" s="83">
        <f>L69/L69</f>
        <v>1</v>
      </c>
    </row>
    <row r="71" spans="2:14">
      <c r="B71" s="23" t="s">
        <v>6</v>
      </c>
      <c r="D71" s="923">
        <f ca="1">TODAY()</f>
        <v>42606</v>
      </c>
      <c r="E71" s="923"/>
      <c r="F71" s="923"/>
      <c r="H71" s="36"/>
    </row>
  </sheetData>
  <sheetProtection selectLockedCells="1" selectUnlockedCells="1"/>
  <mergeCells count="4">
    <mergeCell ref="B53:B54"/>
    <mergeCell ref="N53:N54"/>
    <mergeCell ref="D71:F71"/>
    <mergeCell ref="B2:D3"/>
  </mergeCells>
  <pageMargins left="0.39370078740157483" right="0.39370078740157483" top="0.39370078740157483" bottom="0.39370078740157483" header="0.39370078740157483" footer="0.39370078740157483"/>
  <pageSetup paperSize="9" scale="69" firstPageNumber="0" orientation="portrait" horizontalDpi="300" verticalDpi="300" r:id="rId1"/>
  <headerFooter alignWithMargins="0">
    <oddFooter>&amp;R&amp;9&amp;Z&amp;F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T3503"/>
  <sheetViews>
    <sheetView showGridLines="0" zoomScale="80" zoomScaleNormal="80" workbookViewId="0">
      <selection activeCell="C3503" sqref="C1:C3503"/>
    </sheetView>
  </sheetViews>
  <sheetFormatPr defaultRowHeight="15"/>
  <cols>
    <col min="1" max="1" width="52.140625" bestFit="1" customWidth="1"/>
    <col min="2" max="2" width="25.140625" bestFit="1" customWidth="1"/>
    <col min="3" max="3" width="36" customWidth="1"/>
    <col min="4" max="4" width="81.140625" bestFit="1" customWidth="1"/>
    <col min="5" max="5" width="20.5703125" customWidth="1"/>
    <col min="6" max="6" width="25" customWidth="1"/>
    <col min="7" max="7" width="22.28515625" style="121" bestFit="1" customWidth="1"/>
    <col min="8" max="8" width="21.5703125" customWidth="1"/>
    <col min="9" max="9" width="23.85546875" customWidth="1"/>
    <col min="10" max="10" width="16.28515625" customWidth="1"/>
    <col min="12" max="12" width="26.140625" customWidth="1"/>
    <col min="13" max="13" width="34.42578125" customWidth="1"/>
    <col min="14" max="14" width="51.5703125" customWidth="1"/>
    <col min="15" max="15" width="8.5703125" customWidth="1"/>
    <col min="16" max="16" width="14.85546875" customWidth="1"/>
    <col min="17" max="17" width="15.42578125" customWidth="1"/>
    <col min="18" max="18" width="18.7109375" style="1" customWidth="1"/>
    <col min="19" max="19" width="12.5703125" bestFit="1" customWidth="1"/>
    <col min="20" max="20" width="11.140625" bestFit="1" customWidth="1"/>
  </cols>
  <sheetData>
    <row r="1" spans="1:20">
      <c r="A1" t="s">
        <v>1486</v>
      </c>
      <c r="B1" t="s">
        <v>1487</v>
      </c>
      <c r="C1" t="s">
        <v>1488</v>
      </c>
      <c r="D1" t="s">
        <v>1489</v>
      </c>
      <c r="E1" t="s">
        <v>1490</v>
      </c>
      <c r="F1" t="s">
        <v>1491</v>
      </c>
      <c r="G1" s="121" t="s">
        <v>1492</v>
      </c>
      <c r="H1" t="s">
        <v>1493</v>
      </c>
      <c r="I1" t="s">
        <v>1494</v>
      </c>
      <c r="J1" t="s">
        <v>1495</v>
      </c>
      <c r="K1" s="153"/>
      <c r="L1" s="153"/>
      <c r="M1" s="153"/>
      <c r="N1" s="153"/>
      <c r="O1" s="153"/>
      <c r="P1" s="152"/>
      <c r="Q1" s="152"/>
      <c r="R1" s="153"/>
      <c r="S1" s="154"/>
      <c r="T1" s="153"/>
    </row>
    <row r="2" spans="1:20">
      <c r="A2" t="s">
        <v>1230</v>
      </c>
      <c r="B2" t="s">
        <v>72</v>
      </c>
      <c r="C2" t="s">
        <v>41</v>
      </c>
      <c r="D2" t="s">
        <v>159</v>
      </c>
      <c r="E2" t="s">
        <v>1496</v>
      </c>
      <c r="F2" s="121">
        <v>1110178.2</v>
      </c>
      <c r="G2" s="121">
        <v>1110178.2</v>
      </c>
      <c r="H2" t="s">
        <v>1497</v>
      </c>
      <c r="I2" s="156">
        <v>41068</v>
      </c>
      <c r="K2" s="153"/>
      <c r="L2" s="153"/>
      <c r="M2" s="153"/>
      <c r="N2" s="153"/>
      <c r="O2" s="153"/>
      <c r="P2" s="152"/>
      <c r="Q2" s="152"/>
      <c r="R2" s="153"/>
      <c r="S2" s="154"/>
      <c r="T2" s="153"/>
    </row>
    <row r="3" spans="1:20">
      <c r="A3" t="s">
        <v>1230</v>
      </c>
      <c r="B3" t="s">
        <v>72</v>
      </c>
      <c r="C3" t="s">
        <v>41</v>
      </c>
      <c r="D3" t="s">
        <v>159</v>
      </c>
      <c r="E3" t="s">
        <v>1498</v>
      </c>
      <c r="F3" s="121">
        <v>1118938.8</v>
      </c>
      <c r="G3" s="121">
        <v>1118938.8</v>
      </c>
      <c r="H3" t="s">
        <v>1499</v>
      </c>
      <c r="I3" s="156">
        <v>41068</v>
      </c>
      <c r="K3" s="153"/>
      <c r="L3" s="153"/>
      <c r="M3" s="153"/>
      <c r="N3" s="153"/>
      <c r="O3" s="153"/>
      <c r="P3" s="152"/>
      <c r="Q3" s="152"/>
      <c r="R3" s="153"/>
      <c r="S3" s="154"/>
      <c r="T3" s="153"/>
    </row>
    <row r="4" spans="1:20">
      <c r="A4" t="s">
        <v>1230</v>
      </c>
      <c r="B4" t="s">
        <v>72</v>
      </c>
      <c r="C4" t="s">
        <v>41</v>
      </c>
      <c r="D4" t="s">
        <v>159</v>
      </c>
      <c r="E4" t="s">
        <v>1500</v>
      </c>
      <c r="F4" s="121">
        <v>1118938.8</v>
      </c>
      <c r="G4" s="121">
        <v>1118938.8</v>
      </c>
      <c r="H4" t="s">
        <v>1501</v>
      </c>
      <c r="I4" s="156">
        <v>41068</v>
      </c>
      <c r="K4" s="153"/>
      <c r="L4" s="153"/>
      <c r="M4" s="153"/>
      <c r="N4" s="153"/>
      <c r="O4" s="153"/>
      <c r="P4" s="152"/>
      <c r="Q4" s="152"/>
      <c r="R4" s="153"/>
      <c r="S4" s="154"/>
      <c r="T4" s="153"/>
    </row>
    <row r="5" spans="1:20">
      <c r="A5" t="s">
        <v>1230</v>
      </c>
      <c r="B5" t="s">
        <v>72</v>
      </c>
      <c r="C5" t="s">
        <v>41</v>
      </c>
      <c r="D5" t="s">
        <v>159</v>
      </c>
      <c r="E5" t="s">
        <v>1502</v>
      </c>
      <c r="F5" s="121">
        <v>1118938.8</v>
      </c>
      <c r="G5" s="121">
        <v>1118938.8</v>
      </c>
      <c r="H5" t="s">
        <v>1503</v>
      </c>
      <c r="I5" s="156">
        <v>41068</v>
      </c>
      <c r="K5" s="153"/>
      <c r="L5" s="153"/>
      <c r="M5" s="153"/>
      <c r="N5" s="153"/>
      <c r="O5" s="153"/>
      <c r="P5" s="152"/>
      <c r="Q5" s="152"/>
      <c r="R5" s="153"/>
      <c r="S5" s="154"/>
      <c r="T5" s="153"/>
    </row>
    <row r="6" spans="1:20">
      <c r="A6" t="s">
        <v>1230</v>
      </c>
      <c r="B6" t="s">
        <v>72</v>
      </c>
      <c r="C6" t="s">
        <v>41</v>
      </c>
      <c r="D6" t="s">
        <v>159</v>
      </c>
      <c r="E6" t="s">
        <v>1504</v>
      </c>
      <c r="F6" s="121">
        <v>1118938.8</v>
      </c>
      <c r="G6" s="121">
        <v>1118938.8</v>
      </c>
      <c r="H6" t="s">
        <v>1505</v>
      </c>
      <c r="I6" s="156">
        <v>41068</v>
      </c>
      <c r="K6" s="153"/>
      <c r="L6" s="153"/>
      <c r="M6" s="153"/>
      <c r="N6" s="153"/>
      <c r="O6" s="153"/>
      <c r="P6" s="152"/>
      <c r="Q6" s="152"/>
      <c r="R6" s="153"/>
      <c r="S6" s="154"/>
      <c r="T6" s="153"/>
    </row>
    <row r="7" spans="1:20">
      <c r="A7" t="s">
        <v>1230</v>
      </c>
      <c r="B7" t="s">
        <v>72</v>
      </c>
      <c r="C7" t="s">
        <v>59</v>
      </c>
      <c r="D7" t="s">
        <v>219</v>
      </c>
      <c r="E7" t="s">
        <v>1506</v>
      </c>
      <c r="F7" s="121">
        <v>61200</v>
      </c>
      <c r="G7" s="121">
        <v>40891</v>
      </c>
      <c r="H7" t="s">
        <v>1507</v>
      </c>
      <c r="I7" s="156">
        <v>38289</v>
      </c>
      <c r="K7" s="153"/>
      <c r="L7" s="153"/>
      <c r="M7" s="153"/>
      <c r="N7" s="153"/>
      <c r="O7" s="153"/>
      <c r="P7" s="152"/>
      <c r="Q7" s="152"/>
      <c r="R7" s="153"/>
      <c r="S7" s="154"/>
      <c r="T7" s="153"/>
    </row>
    <row r="8" spans="1:20">
      <c r="A8" t="s">
        <v>1230</v>
      </c>
      <c r="B8" t="s">
        <v>72</v>
      </c>
      <c r="C8" t="s">
        <v>41</v>
      </c>
      <c r="D8" t="s">
        <v>160</v>
      </c>
      <c r="E8" t="s">
        <v>1508</v>
      </c>
      <c r="F8" s="121">
        <v>265000</v>
      </c>
      <c r="G8" s="121">
        <v>231750</v>
      </c>
      <c r="H8" t="s">
        <v>1509</v>
      </c>
      <c r="I8" s="156">
        <v>38352</v>
      </c>
      <c r="K8" s="153"/>
      <c r="L8" s="153"/>
      <c r="M8" s="153"/>
      <c r="N8" s="153"/>
      <c r="O8" s="153"/>
      <c r="P8" s="152"/>
      <c r="Q8" s="152"/>
      <c r="R8" s="153"/>
      <c r="S8" s="154"/>
      <c r="T8" s="153"/>
    </row>
    <row r="9" spans="1:20">
      <c r="A9" t="s">
        <v>1230</v>
      </c>
      <c r="B9" t="s">
        <v>72</v>
      </c>
      <c r="C9" t="s">
        <v>61</v>
      </c>
      <c r="D9" t="s">
        <v>235</v>
      </c>
      <c r="E9" t="s">
        <v>1510</v>
      </c>
      <c r="F9" s="121">
        <v>63000</v>
      </c>
      <c r="G9" s="121">
        <v>55671.5</v>
      </c>
      <c r="H9" t="s">
        <v>1511</v>
      </c>
      <c r="I9" s="156">
        <v>39447</v>
      </c>
      <c r="K9" s="153"/>
      <c r="L9" s="153"/>
      <c r="M9" s="153"/>
      <c r="N9" s="153"/>
      <c r="O9" s="153"/>
      <c r="P9" s="152"/>
      <c r="Q9" s="152"/>
      <c r="R9" s="153"/>
      <c r="S9" s="154"/>
      <c r="T9" s="153"/>
    </row>
    <row r="10" spans="1:20">
      <c r="A10" t="s">
        <v>1230</v>
      </c>
      <c r="B10" t="s">
        <v>72</v>
      </c>
      <c r="C10" t="s">
        <v>61</v>
      </c>
      <c r="D10" t="s">
        <v>236</v>
      </c>
      <c r="E10" t="s">
        <v>1512</v>
      </c>
      <c r="F10" s="121">
        <v>45000</v>
      </c>
      <c r="G10" s="121">
        <v>40170</v>
      </c>
      <c r="H10" t="s">
        <v>1513</v>
      </c>
      <c r="I10" s="156">
        <v>37256</v>
      </c>
      <c r="K10" s="153"/>
      <c r="L10" s="153"/>
      <c r="M10" s="153"/>
      <c r="N10" s="153"/>
      <c r="O10" s="153"/>
      <c r="P10" s="152"/>
      <c r="Q10" s="152"/>
      <c r="R10" s="153"/>
      <c r="S10" s="154"/>
      <c r="T10" s="153"/>
    </row>
    <row r="11" spans="1:20">
      <c r="A11" t="s">
        <v>1230</v>
      </c>
      <c r="B11" t="s">
        <v>72</v>
      </c>
      <c r="C11" t="s">
        <v>41</v>
      </c>
      <c r="D11" t="s">
        <v>161</v>
      </c>
      <c r="E11" t="s">
        <v>1514</v>
      </c>
      <c r="F11" s="121">
        <v>552900</v>
      </c>
      <c r="G11" s="121">
        <v>447020</v>
      </c>
      <c r="H11" t="s">
        <v>1515</v>
      </c>
      <c r="I11" s="156">
        <v>38352</v>
      </c>
      <c r="K11" s="153"/>
      <c r="L11" s="153"/>
      <c r="M11" s="153"/>
      <c r="N11" s="153"/>
      <c r="O11" s="153"/>
      <c r="P11" s="152"/>
      <c r="Q11" s="152"/>
      <c r="R11" s="153"/>
      <c r="S11" s="154"/>
      <c r="T11" s="153"/>
    </row>
    <row r="12" spans="1:20">
      <c r="A12" t="s">
        <v>1230</v>
      </c>
      <c r="B12" t="s">
        <v>72</v>
      </c>
      <c r="C12" t="s">
        <v>41</v>
      </c>
      <c r="D12" t="s">
        <v>160</v>
      </c>
      <c r="E12" t="s">
        <v>1516</v>
      </c>
      <c r="F12" s="121">
        <v>325000</v>
      </c>
      <c r="G12" s="121">
        <v>231750</v>
      </c>
      <c r="H12" t="s">
        <v>1517</v>
      </c>
      <c r="I12" s="156">
        <v>39082</v>
      </c>
      <c r="K12" s="153"/>
      <c r="L12" s="153"/>
      <c r="M12" s="153"/>
      <c r="N12" s="153"/>
      <c r="O12" s="153"/>
      <c r="P12" s="152"/>
      <c r="Q12" s="152"/>
      <c r="R12" s="153"/>
      <c r="S12" s="154"/>
      <c r="T12" s="153"/>
    </row>
    <row r="13" spans="1:20">
      <c r="A13" t="s">
        <v>1230</v>
      </c>
      <c r="B13" t="s">
        <v>72</v>
      </c>
      <c r="C13" t="s">
        <v>59</v>
      </c>
      <c r="D13" t="s">
        <v>220</v>
      </c>
      <c r="E13" t="s">
        <v>1518</v>
      </c>
      <c r="F13" s="121">
        <v>106250</v>
      </c>
      <c r="G13" s="121">
        <v>97592.5</v>
      </c>
      <c r="H13" t="s">
        <v>1519</v>
      </c>
      <c r="I13" s="156">
        <v>40640</v>
      </c>
      <c r="K13" s="153"/>
      <c r="L13" s="153"/>
      <c r="M13" s="153"/>
      <c r="N13" s="153"/>
      <c r="O13" s="153"/>
      <c r="P13" s="152"/>
      <c r="Q13" s="152"/>
      <c r="R13" s="153"/>
      <c r="S13" s="154"/>
      <c r="T13" s="153"/>
    </row>
    <row r="14" spans="1:20">
      <c r="A14" t="s">
        <v>1230</v>
      </c>
      <c r="B14" t="s">
        <v>72</v>
      </c>
      <c r="C14" t="s">
        <v>59</v>
      </c>
      <c r="D14" t="s">
        <v>220</v>
      </c>
      <c r="E14" t="s">
        <v>1520</v>
      </c>
      <c r="F14" s="121">
        <v>76918.240000000005</v>
      </c>
      <c r="G14" s="121">
        <v>64302.9</v>
      </c>
      <c r="H14" t="s">
        <v>1521</v>
      </c>
      <c r="I14" s="156">
        <v>40829</v>
      </c>
      <c r="K14" s="153"/>
      <c r="L14" s="153"/>
      <c r="M14" s="153"/>
      <c r="N14" s="153"/>
      <c r="O14" s="153"/>
      <c r="P14" s="152"/>
      <c r="Q14" s="152"/>
      <c r="R14" s="153"/>
      <c r="S14" s="154"/>
      <c r="T14" s="115"/>
    </row>
    <row r="15" spans="1:20">
      <c r="A15" t="s">
        <v>1230</v>
      </c>
      <c r="B15" t="s">
        <v>72</v>
      </c>
      <c r="C15" t="s">
        <v>59</v>
      </c>
      <c r="D15" t="s">
        <v>220</v>
      </c>
      <c r="E15" t="s">
        <v>1522</v>
      </c>
      <c r="F15" s="121">
        <v>77050.94</v>
      </c>
      <c r="G15" s="121">
        <v>64302.9</v>
      </c>
      <c r="H15" t="s">
        <v>1523</v>
      </c>
      <c r="I15" s="156">
        <v>40747</v>
      </c>
      <c r="K15" s="153"/>
      <c r="L15" s="153"/>
      <c r="M15" s="153"/>
      <c r="N15" s="153"/>
      <c r="O15" s="153"/>
      <c r="P15" s="152"/>
      <c r="Q15" s="152"/>
      <c r="R15" s="153"/>
      <c r="S15" s="154"/>
      <c r="T15" s="115"/>
    </row>
    <row r="16" spans="1:20">
      <c r="A16" t="s">
        <v>1230</v>
      </c>
      <c r="B16" t="s">
        <v>72</v>
      </c>
      <c r="C16" t="s">
        <v>41</v>
      </c>
      <c r="D16" t="s">
        <v>162</v>
      </c>
      <c r="E16" t="s">
        <v>1524</v>
      </c>
      <c r="F16" s="121">
        <v>320000</v>
      </c>
      <c r="G16" s="121">
        <v>283250</v>
      </c>
      <c r="H16" t="s">
        <v>1525</v>
      </c>
      <c r="I16" s="156">
        <v>37042</v>
      </c>
      <c r="K16" s="153"/>
      <c r="L16" s="153"/>
      <c r="M16" s="153"/>
      <c r="N16" s="153"/>
      <c r="O16" s="153"/>
      <c r="P16" s="152"/>
      <c r="Q16" s="152"/>
      <c r="R16" s="153"/>
      <c r="S16" s="154"/>
      <c r="T16" s="115"/>
    </row>
    <row r="17" spans="1:20">
      <c r="A17" t="s">
        <v>1230</v>
      </c>
      <c r="B17" t="s">
        <v>72</v>
      </c>
      <c r="C17" t="s">
        <v>41</v>
      </c>
      <c r="D17" t="s">
        <v>162</v>
      </c>
      <c r="E17" t="s">
        <v>1526</v>
      </c>
      <c r="F17" s="121">
        <v>320000</v>
      </c>
      <c r="G17" s="121">
        <v>283250</v>
      </c>
      <c r="H17" t="s">
        <v>1527</v>
      </c>
      <c r="I17" s="156">
        <v>37042</v>
      </c>
      <c r="K17" s="153"/>
      <c r="L17" s="153"/>
      <c r="M17" s="153"/>
      <c r="N17" s="153"/>
      <c r="O17" s="153"/>
      <c r="P17" s="152"/>
      <c r="Q17" s="152"/>
      <c r="R17" s="153"/>
      <c r="S17" s="154"/>
      <c r="T17" s="115"/>
    </row>
    <row r="18" spans="1:20">
      <c r="A18" t="s">
        <v>1230</v>
      </c>
      <c r="B18" t="s">
        <v>72</v>
      </c>
      <c r="C18" t="s">
        <v>66</v>
      </c>
      <c r="D18" t="s">
        <v>259</v>
      </c>
      <c r="E18" t="s">
        <v>1528</v>
      </c>
      <c r="F18" s="121">
        <v>165000</v>
      </c>
      <c r="G18" s="121">
        <v>122302.2</v>
      </c>
      <c r="H18" t="s">
        <v>1529</v>
      </c>
      <c r="I18" s="156">
        <v>38666</v>
      </c>
      <c r="K18" s="153"/>
      <c r="L18" s="153"/>
      <c r="M18" s="153"/>
      <c r="N18" s="153"/>
      <c r="O18" s="153"/>
      <c r="P18" s="152"/>
      <c r="Q18" s="152"/>
      <c r="R18" s="153"/>
      <c r="S18" s="154"/>
      <c r="T18" s="115"/>
    </row>
    <row r="19" spans="1:20">
      <c r="A19" t="s">
        <v>1230</v>
      </c>
      <c r="B19" t="s">
        <v>72</v>
      </c>
      <c r="C19" t="s">
        <v>41</v>
      </c>
      <c r="D19" t="s">
        <v>160</v>
      </c>
      <c r="E19" t="s">
        <v>1530</v>
      </c>
      <c r="F19" s="121">
        <v>325000</v>
      </c>
      <c r="G19" s="121">
        <v>239990</v>
      </c>
      <c r="H19" t="s">
        <v>1531</v>
      </c>
      <c r="I19" s="156">
        <v>39010</v>
      </c>
      <c r="K19" s="153"/>
      <c r="L19" s="153"/>
      <c r="M19" s="153"/>
      <c r="N19" s="153"/>
      <c r="O19" s="153"/>
      <c r="P19" s="152"/>
      <c r="Q19" s="152"/>
      <c r="R19" s="153"/>
      <c r="S19" s="154"/>
      <c r="T19" s="115"/>
    </row>
    <row r="20" spans="1:20">
      <c r="A20" t="s">
        <v>1230</v>
      </c>
      <c r="B20" t="s">
        <v>72</v>
      </c>
      <c r="C20" t="s">
        <v>41</v>
      </c>
      <c r="D20" t="s">
        <v>160</v>
      </c>
      <c r="E20" t="s">
        <v>1532</v>
      </c>
      <c r="F20" s="121">
        <v>295000</v>
      </c>
      <c r="G20" s="121">
        <v>231750</v>
      </c>
      <c r="H20" t="s">
        <v>1533</v>
      </c>
      <c r="I20" s="156">
        <v>35795</v>
      </c>
      <c r="K20" s="153"/>
      <c r="L20" s="153"/>
      <c r="M20" s="153"/>
      <c r="N20" s="153"/>
      <c r="O20" s="153"/>
      <c r="P20" s="152"/>
      <c r="Q20" s="152"/>
      <c r="R20" s="153"/>
      <c r="S20" s="154"/>
      <c r="T20" s="115"/>
    </row>
    <row r="21" spans="1:20">
      <c r="A21" t="s">
        <v>1230</v>
      </c>
      <c r="B21" t="s">
        <v>72</v>
      </c>
      <c r="C21" t="s">
        <v>59</v>
      </c>
      <c r="D21" t="s">
        <v>221</v>
      </c>
      <c r="E21" t="s">
        <v>1534</v>
      </c>
      <c r="F21" s="121">
        <v>40994</v>
      </c>
      <c r="G21" s="121">
        <v>40994</v>
      </c>
      <c r="H21" t="s">
        <v>336</v>
      </c>
      <c r="I21" s="156">
        <v>41089</v>
      </c>
      <c r="K21" s="153"/>
      <c r="L21" s="153"/>
      <c r="M21" s="153"/>
      <c r="N21" s="153"/>
      <c r="O21" s="153"/>
      <c r="P21" s="152"/>
      <c r="Q21" s="152"/>
      <c r="R21" s="153"/>
      <c r="S21" s="154"/>
      <c r="T21" s="115"/>
    </row>
    <row r="22" spans="1:20">
      <c r="A22" t="s">
        <v>1230</v>
      </c>
      <c r="B22" t="s">
        <v>72</v>
      </c>
      <c r="C22" t="s">
        <v>42</v>
      </c>
      <c r="D22" t="s">
        <v>166</v>
      </c>
      <c r="E22" t="s">
        <v>1535</v>
      </c>
      <c r="F22" s="121">
        <v>551081.76</v>
      </c>
      <c r="G22" s="121">
        <v>530450</v>
      </c>
      <c r="H22" t="s">
        <v>1536</v>
      </c>
      <c r="I22" s="156">
        <v>40826</v>
      </c>
      <c r="K22" s="153"/>
      <c r="L22" s="153"/>
      <c r="M22" s="153"/>
      <c r="N22" s="153"/>
      <c r="O22" s="153"/>
      <c r="P22" s="152"/>
      <c r="Q22" s="152"/>
      <c r="R22" s="153"/>
      <c r="S22" s="154"/>
      <c r="T22" s="115"/>
    </row>
    <row r="23" spans="1:20">
      <c r="A23" t="s">
        <v>1230</v>
      </c>
      <c r="B23" t="s">
        <v>72</v>
      </c>
      <c r="C23" t="s">
        <v>42</v>
      </c>
      <c r="D23" t="s">
        <v>166</v>
      </c>
      <c r="E23" t="s">
        <v>1537</v>
      </c>
      <c r="F23" s="121">
        <v>551844.67000000004</v>
      </c>
      <c r="G23" s="121">
        <v>530450</v>
      </c>
      <c r="H23" t="s">
        <v>1538</v>
      </c>
      <c r="I23" s="156">
        <v>40751</v>
      </c>
      <c r="K23" s="153"/>
      <c r="L23" s="153"/>
      <c r="M23" s="153"/>
      <c r="N23" s="153"/>
      <c r="O23" s="153"/>
      <c r="P23" s="152"/>
      <c r="Q23" s="152"/>
      <c r="R23" s="153"/>
      <c r="S23" s="154"/>
      <c r="T23" s="115"/>
    </row>
    <row r="24" spans="1:20">
      <c r="A24" t="s">
        <v>1230</v>
      </c>
      <c r="B24" t="s">
        <v>72</v>
      </c>
      <c r="C24" t="s">
        <v>42</v>
      </c>
      <c r="D24" t="s">
        <v>166</v>
      </c>
      <c r="E24" t="s">
        <v>1539</v>
      </c>
      <c r="F24" s="121">
        <v>518750</v>
      </c>
      <c r="G24" s="121">
        <v>512940</v>
      </c>
      <c r="H24" t="s">
        <v>1540</v>
      </c>
      <c r="I24" s="156">
        <v>40640</v>
      </c>
      <c r="K24" s="153"/>
      <c r="L24" s="153"/>
      <c r="M24" s="153"/>
      <c r="N24" s="153"/>
      <c r="O24" s="153"/>
      <c r="P24" s="152"/>
      <c r="Q24" s="152"/>
      <c r="R24" s="153"/>
      <c r="S24" s="154"/>
      <c r="T24" s="115"/>
    </row>
    <row r="25" spans="1:20">
      <c r="A25" t="s">
        <v>1230</v>
      </c>
      <c r="B25" t="s">
        <v>72</v>
      </c>
      <c r="C25" t="s">
        <v>42</v>
      </c>
      <c r="D25" t="s">
        <v>166</v>
      </c>
      <c r="E25" t="s">
        <v>1541</v>
      </c>
      <c r="F25" s="121">
        <v>551830.02</v>
      </c>
      <c r="G25" s="121">
        <v>527360</v>
      </c>
      <c r="H25" t="s">
        <v>1542</v>
      </c>
      <c r="I25" s="156">
        <v>40747</v>
      </c>
      <c r="K25" s="153"/>
      <c r="L25" s="153"/>
      <c r="M25" s="153"/>
      <c r="N25" s="153"/>
      <c r="O25" s="153"/>
      <c r="P25" s="152"/>
      <c r="Q25" s="152"/>
      <c r="R25" s="153"/>
      <c r="S25" s="154"/>
      <c r="T25" s="115"/>
    </row>
    <row r="26" spans="1:20">
      <c r="A26" t="s">
        <v>1230</v>
      </c>
      <c r="B26" t="s">
        <v>72</v>
      </c>
      <c r="C26" t="s">
        <v>42</v>
      </c>
      <c r="D26" t="s">
        <v>166</v>
      </c>
      <c r="E26" t="s">
        <v>1543</v>
      </c>
      <c r="F26" s="121">
        <v>551081.76</v>
      </c>
      <c r="G26" s="121">
        <v>530450</v>
      </c>
      <c r="H26" t="s">
        <v>1544</v>
      </c>
      <c r="I26" s="156">
        <v>40826</v>
      </c>
      <c r="K26" s="153"/>
      <c r="L26" s="153"/>
      <c r="M26" s="153"/>
      <c r="N26" s="153"/>
      <c r="O26" s="153"/>
      <c r="P26" s="152"/>
      <c r="Q26" s="152"/>
      <c r="R26" s="153"/>
      <c r="S26" s="154"/>
      <c r="T26" s="115"/>
    </row>
    <row r="27" spans="1:20">
      <c r="A27" t="s">
        <v>1230</v>
      </c>
      <c r="B27" t="s">
        <v>72</v>
      </c>
      <c r="C27" t="s">
        <v>42</v>
      </c>
      <c r="D27" t="s">
        <v>166</v>
      </c>
      <c r="E27" t="s">
        <v>1545</v>
      </c>
      <c r="F27" s="121">
        <v>551081.76</v>
      </c>
      <c r="G27" s="121">
        <v>530450</v>
      </c>
      <c r="H27" t="s">
        <v>1546</v>
      </c>
      <c r="I27" s="156">
        <v>40829</v>
      </c>
      <c r="K27" s="153"/>
      <c r="L27" s="153"/>
      <c r="M27" s="153"/>
      <c r="N27" s="153"/>
      <c r="O27" s="153"/>
      <c r="P27" s="152"/>
      <c r="Q27" s="152"/>
      <c r="R27" s="153"/>
      <c r="S27" s="154"/>
      <c r="T27" s="115"/>
    </row>
    <row r="28" spans="1:20">
      <c r="A28" t="s">
        <v>1230</v>
      </c>
      <c r="B28" t="s">
        <v>72</v>
      </c>
      <c r="C28" t="s">
        <v>42</v>
      </c>
      <c r="D28" t="s">
        <v>166</v>
      </c>
      <c r="E28" t="s">
        <v>1547</v>
      </c>
      <c r="F28" s="121">
        <v>551081.76</v>
      </c>
      <c r="G28" s="121">
        <v>530450</v>
      </c>
      <c r="H28" t="s">
        <v>1548</v>
      </c>
      <c r="I28" s="156">
        <v>40826</v>
      </c>
      <c r="K28" s="153"/>
      <c r="L28" s="153"/>
      <c r="M28" s="153"/>
      <c r="N28" s="153"/>
      <c r="O28" s="153"/>
      <c r="P28" s="152"/>
      <c r="Q28" s="152"/>
      <c r="R28" s="153"/>
      <c r="S28" s="154"/>
      <c r="T28" s="115"/>
    </row>
    <row r="29" spans="1:20">
      <c r="A29" t="s">
        <v>1230</v>
      </c>
      <c r="B29" t="s">
        <v>72</v>
      </c>
      <c r="C29" t="s">
        <v>42</v>
      </c>
      <c r="D29" t="s">
        <v>166</v>
      </c>
      <c r="E29" t="s">
        <v>1549</v>
      </c>
      <c r="F29" s="121">
        <v>551081.76</v>
      </c>
      <c r="G29" s="121">
        <v>530450</v>
      </c>
      <c r="H29" t="s">
        <v>1550</v>
      </c>
      <c r="I29" s="156">
        <v>40840</v>
      </c>
      <c r="K29" s="153"/>
      <c r="L29" s="153"/>
      <c r="M29" s="153"/>
      <c r="N29" s="153"/>
      <c r="O29" s="153"/>
      <c r="P29" s="152"/>
      <c r="Q29" s="152"/>
      <c r="R29" s="153"/>
      <c r="S29" s="154"/>
      <c r="T29" s="115"/>
    </row>
    <row r="30" spans="1:20">
      <c r="A30" t="s">
        <v>1230</v>
      </c>
      <c r="B30" t="s">
        <v>72</v>
      </c>
      <c r="C30" t="s">
        <v>42</v>
      </c>
      <c r="D30" t="s">
        <v>166</v>
      </c>
      <c r="E30" t="s">
        <v>1551</v>
      </c>
      <c r="F30" s="121">
        <v>550600.79</v>
      </c>
      <c r="G30" s="121">
        <v>527360</v>
      </c>
      <c r="H30" t="s">
        <v>1552</v>
      </c>
      <c r="I30" s="156">
        <v>40753</v>
      </c>
      <c r="K30" s="153"/>
      <c r="L30" s="153"/>
      <c r="M30" s="153"/>
      <c r="N30" s="153"/>
      <c r="O30" s="153"/>
      <c r="P30" s="152"/>
      <c r="Q30" s="152"/>
      <c r="R30" s="153"/>
      <c r="S30" s="154"/>
      <c r="T30" s="115"/>
    </row>
    <row r="31" spans="1:20">
      <c r="A31" t="s">
        <v>1230</v>
      </c>
      <c r="B31" t="s">
        <v>72</v>
      </c>
      <c r="C31" t="s">
        <v>42</v>
      </c>
      <c r="D31" t="s">
        <v>166</v>
      </c>
      <c r="E31" t="s">
        <v>1553</v>
      </c>
      <c r="F31" s="121">
        <v>551830.02</v>
      </c>
      <c r="G31" s="121">
        <v>527360</v>
      </c>
      <c r="H31" t="s">
        <v>1554</v>
      </c>
      <c r="I31" s="156">
        <v>40750</v>
      </c>
      <c r="K31" s="153"/>
      <c r="L31" s="153"/>
      <c r="M31" s="153"/>
      <c r="N31" s="153"/>
      <c r="O31" s="153"/>
      <c r="P31" s="152"/>
      <c r="Q31" s="152"/>
      <c r="R31" s="153"/>
      <c r="S31" s="154"/>
      <c r="T31" s="115"/>
    </row>
    <row r="32" spans="1:20">
      <c r="A32" t="s">
        <v>1230</v>
      </c>
      <c r="B32" t="s">
        <v>72</v>
      </c>
      <c r="C32" t="s">
        <v>66</v>
      </c>
      <c r="D32" t="s">
        <v>260</v>
      </c>
      <c r="E32" t="s">
        <v>1555</v>
      </c>
      <c r="F32" s="121">
        <v>356754.45</v>
      </c>
      <c r="G32" s="121">
        <v>303850</v>
      </c>
      <c r="H32" t="s">
        <v>1556</v>
      </c>
      <c r="I32" s="156">
        <v>40906</v>
      </c>
      <c r="K32" s="153"/>
      <c r="L32" s="153"/>
      <c r="M32" s="153"/>
      <c r="N32" s="153"/>
      <c r="O32" s="153"/>
      <c r="P32" s="152"/>
      <c r="Q32" s="152"/>
      <c r="R32" s="153"/>
      <c r="S32" s="154"/>
      <c r="T32" s="115"/>
    </row>
    <row r="33" spans="1:20">
      <c r="A33" t="s">
        <v>1230</v>
      </c>
      <c r="B33" t="s">
        <v>72</v>
      </c>
      <c r="C33" t="s">
        <v>49</v>
      </c>
      <c r="D33" t="s">
        <v>337</v>
      </c>
      <c r="E33" t="s">
        <v>1557</v>
      </c>
      <c r="F33" s="121">
        <v>25600</v>
      </c>
      <c r="G33" s="121">
        <v>23020.5</v>
      </c>
      <c r="H33" t="s">
        <v>1558</v>
      </c>
      <c r="I33" s="156">
        <v>38128</v>
      </c>
      <c r="K33" s="153"/>
      <c r="L33" s="153"/>
      <c r="M33" s="153"/>
      <c r="N33" s="153"/>
      <c r="O33" s="153"/>
      <c r="P33" s="152"/>
      <c r="Q33" s="152"/>
      <c r="R33" s="153"/>
      <c r="S33" s="154"/>
      <c r="T33" s="115"/>
    </row>
    <row r="34" spans="1:20">
      <c r="A34" t="s">
        <v>1230</v>
      </c>
      <c r="B34" t="s">
        <v>72</v>
      </c>
      <c r="C34" t="s">
        <v>58</v>
      </c>
      <c r="D34" t="s">
        <v>210</v>
      </c>
      <c r="E34" t="s">
        <v>1559</v>
      </c>
      <c r="F34" s="121">
        <v>515364.53</v>
      </c>
      <c r="G34" s="121">
        <v>475860</v>
      </c>
      <c r="H34" t="s">
        <v>1560</v>
      </c>
      <c r="I34" s="156">
        <v>40416</v>
      </c>
      <c r="K34" s="153"/>
      <c r="L34" s="153"/>
      <c r="M34" s="153"/>
      <c r="N34" s="153"/>
      <c r="O34" s="153"/>
      <c r="P34" s="152"/>
      <c r="Q34" s="152"/>
      <c r="R34" s="153"/>
      <c r="S34" s="154"/>
      <c r="T34" s="115"/>
    </row>
    <row r="35" spans="1:20">
      <c r="A35" t="s">
        <v>1230</v>
      </c>
      <c r="B35" t="s">
        <v>72</v>
      </c>
      <c r="C35" t="s">
        <v>58</v>
      </c>
      <c r="D35" t="s">
        <v>210</v>
      </c>
      <c r="E35" t="s">
        <v>1561</v>
      </c>
      <c r="F35" s="121">
        <v>492592.21</v>
      </c>
      <c r="G35" s="121">
        <v>475860</v>
      </c>
      <c r="H35" t="s">
        <v>1562</v>
      </c>
      <c r="I35" s="156">
        <v>40590</v>
      </c>
      <c r="K35" s="153"/>
      <c r="L35" s="153"/>
      <c r="M35" s="153"/>
      <c r="N35" s="153"/>
      <c r="O35" s="153"/>
      <c r="P35" s="152"/>
      <c r="Q35" s="152"/>
      <c r="R35" s="153"/>
      <c r="S35" s="154"/>
      <c r="T35" s="115"/>
    </row>
    <row r="36" spans="1:20">
      <c r="A36" t="s">
        <v>1230</v>
      </c>
      <c r="B36" t="s">
        <v>72</v>
      </c>
      <c r="C36" t="s">
        <v>58</v>
      </c>
      <c r="D36" t="s">
        <v>210</v>
      </c>
      <c r="E36" t="s">
        <v>1563</v>
      </c>
      <c r="F36" s="121">
        <v>515364.53</v>
      </c>
      <c r="G36" s="121">
        <v>475860</v>
      </c>
      <c r="H36" t="s">
        <v>1564</v>
      </c>
      <c r="I36" s="156">
        <v>40417</v>
      </c>
      <c r="K36" s="153"/>
      <c r="L36" s="153"/>
      <c r="M36" s="153"/>
      <c r="N36" s="153"/>
      <c r="O36" s="153"/>
      <c r="P36" s="152"/>
      <c r="Q36" s="152"/>
      <c r="R36" s="153"/>
      <c r="S36" s="154"/>
      <c r="T36" s="115"/>
    </row>
    <row r="37" spans="1:20">
      <c r="A37" t="s">
        <v>1230</v>
      </c>
      <c r="B37" t="s">
        <v>72</v>
      </c>
      <c r="C37" t="s">
        <v>58</v>
      </c>
      <c r="D37" t="s">
        <v>210</v>
      </c>
      <c r="E37" t="s">
        <v>1565</v>
      </c>
      <c r="F37" s="121">
        <v>515364.53</v>
      </c>
      <c r="G37" s="121">
        <v>475860</v>
      </c>
      <c r="H37" t="s">
        <v>1566</v>
      </c>
      <c r="I37" s="156">
        <v>40417</v>
      </c>
      <c r="K37" s="153"/>
      <c r="L37" s="153"/>
      <c r="M37" s="153"/>
      <c r="N37" s="153"/>
      <c r="O37" s="153"/>
      <c r="P37" s="152"/>
      <c r="Q37" s="152"/>
      <c r="R37" s="153"/>
      <c r="S37" s="154"/>
      <c r="T37" s="115"/>
    </row>
    <row r="38" spans="1:20">
      <c r="A38" t="s">
        <v>1230</v>
      </c>
      <c r="B38" t="s">
        <v>72</v>
      </c>
      <c r="C38" t="s">
        <v>66</v>
      </c>
      <c r="D38" t="s">
        <v>261</v>
      </c>
      <c r="E38" t="s">
        <v>1567</v>
      </c>
      <c r="F38" s="121">
        <v>306737.75</v>
      </c>
      <c r="G38" s="121">
        <v>303850</v>
      </c>
      <c r="H38" t="s">
        <v>1568</v>
      </c>
      <c r="I38" s="156">
        <v>40439</v>
      </c>
      <c r="K38" s="153"/>
      <c r="L38" s="153"/>
      <c r="M38" s="153"/>
      <c r="N38" s="153"/>
      <c r="O38" s="153"/>
      <c r="P38" s="152"/>
      <c r="Q38" s="152"/>
      <c r="R38" s="153"/>
      <c r="S38" s="154"/>
      <c r="T38" s="115"/>
    </row>
    <row r="39" spans="1:20">
      <c r="A39" t="s">
        <v>1230</v>
      </c>
      <c r="B39" t="s">
        <v>72</v>
      </c>
      <c r="C39" t="s">
        <v>58</v>
      </c>
      <c r="D39" t="s">
        <v>211</v>
      </c>
      <c r="E39" t="s">
        <v>1569</v>
      </c>
      <c r="F39" s="121">
        <v>333000</v>
      </c>
      <c r="G39" s="121">
        <v>328312.5</v>
      </c>
      <c r="H39" t="s">
        <v>1570</v>
      </c>
      <c r="I39" s="156">
        <v>40918</v>
      </c>
      <c r="K39" s="153"/>
      <c r="L39" s="153"/>
      <c r="M39" s="153"/>
      <c r="N39" s="153"/>
      <c r="O39" s="153"/>
      <c r="P39" s="152"/>
      <c r="Q39" s="152"/>
      <c r="R39" s="153"/>
      <c r="S39" s="154"/>
      <c r="T39" s="115"/>
    </row>
    <row r="40" spans="1:20">
      <c r="A40" t="s">
        <v>1230</v>
      </c>
      <c r="B40" t="s">
        <v>72</v>
      </c>
      <c r="C40" t="s">
        <v>58</v>
      </c>
      <c r="D40" t="s">
        <v>211</v>
      </c>
      <c r="E40" t="s">
        <v>1571</v>
      </c>
      <c r="F40" s="121">
        <v>333000</v>
      </c>
      <c r="G40" s="121">
        <v>328312.5</v>
      </c>
      <c r="H40" t="s">
        <v>1572</v>
      </c>
      <c r="I40" s="156">
        <v>40918</v>
      </c>
      <c r="K40" s="153"/>
      <c r="L40" s="153"/>
      <c r="M40" s="153"/>
      <c r="N40" s="153"/>
      <c r="O40" s="153"/>
      <c r="P40" s="152"/>
      <c r="Q40" s="152"/>
      <c r="R40" s="153"/>
      <c r="S40" s="154"/>
      <c r="T40" s="115"/>
    </row>
    <row r="41" spans="1:20">
      <c r="A41" t="s">
        <v>1230</v>
      </c>
      <c r="B41" t="s">
        <v>72</v>
      </c>
      <c r="C41" t="s">
        <v>58</v>
      </c>
      <c r="D41" t="s">
        <v>211</v>
      </c>
      <c r="E41" t="s">
        <v>1573</v>
      </c>
      <c r="F41" s="121">
        <v>312000</v>
      </c>
      <c r="G41" s="121">
        <v>304607.05</v>
      </c>
      <c r="H41" t="s">
        <v>1574</v>
      </c>
      <c r="I41" s="156">
        <v>40896</v>
      </c>
      <c r="K41" s="153"/>
      <c r="L41" s="153"/>
      <c r="M41" s="153"/>
      <c r="N41" s="153"/>
      <c r="O41" s="153"/>
      <c r="P41" s="152"/>
      <c r="Q41" s="152"/>
      <c r="R41" s="153"/>
      <c r="S41" s="154"/>
      <c r="T41" s="115"/>
    </row>
    <row r="42" spans="1:20">
      <c r="A42" t="s">
        <v>1230</v>
      </c>
      <c r="B42" t="s">
        <v>72</v>
      </c>
      <c r="C42" t="s">
        <v>58</v>
      </c>
      <c r="D42" t="s">
        <v>212</v>
      </c>
      <c r="E42" t="s">
        <v>1575</v>
      </c>
      <c r="F42" s="121">
        <v>312000</v>
      </c>
      <c r="G42" s="121">
        <v>304607.05</v>
      </c>
      <c r="H42" t="s">
        <v>1576</v>
      </c>
      <c r="I42" s="156">
        <v>40822</v>
      </c>
      <c r="K42" s="153"/>
      <c r="L42" s="153"/>
      <c r="M42" s="153"/>
      <c r="N42" s="153"/>
      <c r="O42" s="153"/>
      <c r="P42" s="152"/>
      <c r="Q42" s="152"/>
      <c r="R42" s="153"/>
      <c r="S42" s="154"/>
      <c r="T42" s="115"/>
    </row>
    <row r="43" spans="1:20">
      <c r="A43" t="s">
        <v>1230</v>
      </c>
      <c r="B43" t="s">
        <v>72</v>
      </c>
      <c r="C43" t="s">
        <v>58</v>
      </c>
      <c r="D43" t="s">
        <v>210</v>
      </c>
      <c r="E43" t="s">
        <v>1577</v>
      </c>
      <c r="F43" s="121">
        <v>333000</v>
      </c>
      <c r="G43" s="121">
        <v>328312.5</v>
      </c>
      <c r="H43" t="s">
        <v>336</v>
      </c>
      <c r="I43" s="156">
        <v>40918</v>
      </c>
      <c r="K43" s="153"/>
      <c r="L43" s="153"/>
      <c r="M43" s="153"/>
      <c r="N43" s="153"/>
      <c r="O43" s="153"/>
      <c r="P43" s="152"/>
      <c r="Q43" s="152"/>
      <c r="R43" s="153"/>
      <c r="S43" s="154"/>
      <c r="T43" s="115"/>
    </row>
    <row r="44" spans="1:20">
      <c r="A44" t="s">
        <v>1230</v>
      </c>
      <c r="B44" t="s">
        <v>72</v>
      </c>
      <c r="C44" t="s">
        <v>58</v>
      </c>
      <c r="D44" t="s">
        <v>213</v>
      </c>
      <c r="E44" t="s">
        <v>1578</v>
      </c>
      <c r="F44" s="121">
        <v>515364.53</v>
      </c>
      <c r="G44" s="121">
        <v>475860</v>
      </c>
      <c r="H44" t="s">
        <v>1579</v>
      </c>
      <c r="I44" s="156">
        <v>40417</v>
      </c>
      <c r="K44" s="153"/>
      <c r="L44" s="153"/>
      <c r="M44" s="153"/>
      <c r="N44" s="153"/>
      <c r="O44" s="153"/>
      <c r="P44" s="152"/>
      <c r="Q44" s="152"/>
      <c r="R44" s="153"/>
      <c r="S44" s="154"/>
      <c r="T44" s="115"/>
    </row>
    <row r="45" spans="1:20">
      <c r="A45" t="s">
        <v>1230</v>
      </c>
      <c r="B45" t="s">
        <v>72</v>
      </c>
      <c r="C45" t="s">
        <v>58</v>
      </c>
      <c r="D45" t="s">
        <v>210</v>
      </c>
      <c r="E45" t="s">
        <v>1580</v>
      </c>
      <c r="F45" s="121">
        <v>515364.53</v>
      </c>
      <c r="G45" s="121">
        <v>475860</v>
      </c>
      <c r="H45" t="s">
        <v>1581</v>
      </c>
      <c r="I45" s="156">
        <v>40417</v>
      </c>
      <c r="K45" s="153"/>
      <c r="L45" s="153"/>
      <c r="M45" s="153"/>
      <c r="N45" s="153"/>
      <c r="O45" s="153"/>
      <c r="P45" s="152"/>
      <c r="Q45" s="152"/>
      <c r="R45" s="153"/>
      <c r="S45" s="154"/>
      <c r="T45" s="115"/>
    </row>
    <row r="46" spans="1:20">
      <c r="A46" t="s">
        <v>1230</v>
      </c>
      <c r="B46" t="s">
        <v>72</v>
      </c>
      <c r="C46" t="s">
        <v>58</v>
      </c>
      <c r="D46" t="s">
        <v>211</v>
      </c>
      <c r="E46" t="s">
        <v>1582</v>
      </c>
      <c r="F46" s="121">
        <v>515364.56</v>
      </c>
      <c r="G46" s="121">
        <v>475860</v>
      </c>
      <c r="H46" t="s">
        <v>1583</v>
      </c>
      <c r="I46" s="156">
        <v>40417</v>
      </c>
      <c r="K46" s="153"/>
      <c r="L46" s="153"/>
      <c r="M46" s="153"/>
      <c r="N46" s="153"/>
      <c r="O46" s="153"/>
      <c r="P46" s="152"/>
      <c r="Q46" s="152"/>
      <c r="R46" s="153"/>
      <c r="S46" s="154"/>
      <c r="T46" s="115"/>
    </row>
    <row r="47" spans="1:20">
      <c r="A47" t="s">
        <v>1230</v>
      </c>
      <c r="B47" t="s">
        <v>75</v>
      </c>
      <c r="C47" t="s">
        <v>66</v>
      </c>
      <c r="D47" t="s">
        <v>289</v>
      </c>
      <c r="E47" t="s">
        <v>1584</v>
      </c>
      <c r="F47" s="121">
        <v>175000</v>
      </c>
      <c r="G47" s="121">
        <v>153367</v>
      </c>
      <c r="H47" t="s">
        <v>1585</v>
      </c>
      <c r="I47" s="156">
        <v>39743</v>
      </c>
      <c r="K47" s="153"/>
      <c r="L47" s="153"/>
      <c r="M47" s="153"/>
      <c r="N47" s="153"/>
      <c r="O47" s="153"/>
      <c r="P47" s="152"/>
      <c r="Q47" s="152"/>
      <c r="R47" s="153"/>
      <c r="S47" s="154"/>
      <c r="T47" s="115"/>
    </row>
    <row r="48" spans="1:20">
      <c r="A48" t="s">
        <v>1230</v>
      </c>
      <c r="B48" t="s">
        <v>72</v>
      </c>
      <c r="C48" t="s">
        <v>42</v>
      </c>
      <c r="D48" t="s">
        <v>166</v>
      </c>
      <c r="E48" t="s">
        <v>1586</v>
      </c>
      <c r="F48" s="121">
        <v>518750</v>
      </c>
      <c r="G48" s="121">
        <v>512940</v>
      </c>
      <c r="H48" t="s">
        <v>1587</v>
      </c>
      <c r="I48" s="156">
        <v>40640</v>
      </c>
      <c r="K48" s="153"/>
      <c r="L48" s="153"/>
      <c r="M48" s="153"/>
      <c r="N48" s="153"/>
      <c r="O48" s="153"/>
      <c r="P48" s="152"/>
      <c r="Q48" s="152"/>
      <c r="R48" s="153"/>
      <c r="S48" s="154"/>
      <c r="T48" s="115"/>
    </row>
    <row r="49" spans="1:20">
      <c r="A49" t="s">
        <v>1230</v>
      </c>
      <c r="B49" t="s">
        <v>72</v>
      </c>
      <c r="C49" t="s">
        <v>62</v>
      </c>
      <c r="D49" t="s">
        <v>238</v>
      </c>
      <c r="E49" t="s">
        <v>1588</v>
      </c>
      <c r="F49" s="121">
        <v>394325</v>
      </c>
      <c r="G49" s="121">
        <v>297464</v>
      </c>
      <c r="H49" t="s">
        <v>1589</v>
      </c>
      <c r="I49" s="156">
        <v>40742</v>
      </c>
      <c r="K49" s="153"/>
      <c r="L49" s="153"/>
      <c r="M49" s="153"/>
      <c r="N49" s="153"/>
      <c r="O49" s="153"/>
      <c r="P49" s="152"/>
      <c r="Q49" s="152"/>
      <c r="R49" s="153"/>
      <c r="S49" s="154"/>
      <c r="T49" s="115"/>
    </row>
    <row r="50" spans="1:20">
      <c r="A50" t="s">
        <v>1230</v>
      </c>
      <c r="B50" t="s">
        <v>72</v>
      </c>
      <c r="C50" t="s">
        <v>62</v>
      </c>
      <c r="D50" t="s">
        <v>238</v>
      </c>
      <c r="E50" t="s">
        <v>1590</v>
      </c>
      <c r="F50" s="121">
        <v>340600.4</v>
      </c>
      <c r="G50" s="121">
        <v>300352</v>
      </c>
      <c r="H50" t="s">
        <v>1591</v>
      </c>
      <c r="I50" s="156">
        <v>40864</v>
      </c>
      <c r="K50" s="153"/>
      <c r="L50" s="153"/>
      <c r="M50" s="153"/>
      <c r="N50" s="153"/>
      <c r="O50" s="153"/>
      <c r="P50" s="152"/>
      <c r="Q50" s="152"/>
      <c r="R50" s="153"/>
      <c r="S50" s="154"/>
      <c r="T50" s="151"/>
    </row>
    <row r="51" spans="1:20">
      <c r="A51" t="s">
        <v>1230</v>
      </c>
      <c r="B51" t="s">
        <v>72</v>
      </c>
      <c r="C51" t="s">
        <v>62</v>
      </c>
      <c r="D51" t="s">
        <v>239</v>
      </c>
      <c r="E51" t="s">
        <v>1592</v>
      </c>
      <c r="F51" s="121">
        <v>12360</v>
      </c>
      <c r="G51" s="121">
        <v>12360</v>
      </c>
      <c r="H51" t="s">
        <v>1593</v>
      </c>
      <c r="I51" s="156">
        <v>41089</v>
      </c>
      <c r="K51" s="153"/>
      <c r="L51" s="153"/>
      <c r="M51" s="153"/>
      <c r="N51" s="153"/>
      <c r="O51" s="153"/>
      <c r="P51" s="152"/>
      <c r="Q51" s="152"/>
      <c r="R51" s="153"/>
      <c r="S51" s="154"/>
      <c r="T51" s="151"/>
    </row>
    <row r="52" spans="1:20">
      <c r="A52" t="s">
        <v>1230</v>
      </c>
      <c r="B52" t="s">
        <v>72</v>
      </c>
      <c r="C52" t="s">
        <v>49</v>
      </c>
      <c r="D52" t="s">
        <v>7099</v>
      </c>
      <c r="E52" t="s">
        <v>7100</v>
      </c>
      <c r="F52" s="121">
        <v>4429</v>
      </c>
      <c r="G52" s="121">
        <v>4429</v>
      </c>
      <c r="H52" t="s">
        <v>336</v>
      </c>
      <c r="I52" s="156">
        <v>41089</v>
      </c>
      <c r="K52" s="153"/>
      <c r="L52" s="153"/>
      <c r="M52" s="153"/>
      <c r="N52" s="153"/>
      <c r="O52" s="153"/>
      <c r="P52" s="152"/>
      <c r="Q52" s="152"/>
      <c r="R52" s="153"/>
      <c r="S52" s="154"/>
      <c r="T52" s="151"/>
    </row>
    <row r="53" spans="1:20">
      <c r="A53" t="s">
        <v>1230</v>
      </c>
      <c r="B53" t="s">
        <v>72</v>
      </c>
      <c r="C53" t="s">
        <v>62</v>
      </c>
      <c r="D53" t="s">
        <v>238</v>
      </c>
      <c r="E53" t="s">
        <v>1594</v>
      </c>
      <c r="F53" s="121">
        <v>440100</v>
      </c>
      <c r="G53" s="121">
        <v>422300</v>
      </c>
      <c r="H53" t="s">
        <v>1595</v>
      </c>
      <c r="I53" s="156">
        <v>40847</v>
      </c>
      <c r="K53" s="153"/>
      <c r="L53" s="153"/>
      <c r="M53" s="153"/>
      <c r="N53" s="153"/>
      <c r="O53" s="153"/>
      <c r="P53" s="152"/>
      <c r="Q53" s="152"/>
      <c r="R53" s="153"/>
      <c r="S53" s="154"/>
      <c r="T53" s="151"/>
    </row>
    <row r="54" spans="1:20">
      <c r="A54" t="s">
        <v>1230</v>
      </c>
      <c r="B54" t="s">
        <v>72</v>
      </c>
      <c r="C54" t="s">
        <v>62</v>
      </c>
      <c r="D54" t="s">
        <v>238</v>
      </c>
      <c r="E54" t="s">
        <v>1596</v>
      </c>
      <c r="F54" s="121">
        <v>345600</v>
      </c>
      <c r="G54" s="121">
        <v>190550</v>
      </c>
      <c r="H54" t="s">
        <v>1597</v>
      </c>
      <c r="I54" s="156">
        <v>38321</v>
      </c>
      <c r="K54" s="153"/>
      <c r="L54" s="153"/>
      <c r="M54" s="153"/>
      <c r="N54" s="153"/>
      <c r="O54" s="153"/>
      <c r="P54" s="152"/>
      <c r="Q54" s="152"/>
      <c r="R54" s="153"/>
      <c r="S54" s="154"/>
      <c r="T54" s="151"/>
    </row>
    <row r="55" spans="1:20">
      <c r="A55" t="s">
        <v>1230</v>
      </c>
      <c r="B55" t="s">
        <v>72</v>
      </c>
      <c r="C55" t="s">
        <v>49</v>
      </c>
      <c r="D55" t="s">
        <v>338</v>
      </c>
      <c r="E55" t="s">
        <v>1598</v>
      </c>
      <c r="F55" s="121">
        <v>54000</v>
      </c>
      <c r="G55" s="121">
        <v>18334</v>
      </c>
      <c r="H55" t="s">
        <v>336</v>
      </c>
      <c r="I55" s="156">
        <v>40178</v>
      </c>
      <c r="K55" s="153"/>
      <c r="L55" s="153"/>
      <c r="M55" s="153"/>
      <c r="N55" s="153"/>
      <c r="O55" s="153"/>
      <c r="P55" s="152"/>
      <c r="Q55" s="152"/>
      <c r="R55" s="153"/>
      <c r="S55" s="154"/>
      <c r="T55" s="115"/>
    </row>
    <row r="56" spans="1:20">
      <c r="A56" t="s">
        <v>1230</v>
      </c>
      <c r="B56" t="s">
        <v>72</v>
      </c>
      <c r="C56" t="s">
        <v>63</v>
      </c>
      <c r="D56" t="s">
        <v>247</v>
      </c>
      <c r="E56" t="s">
        <v>1599</v>
      </c>
      <c r="F56" s="121">
        <v>46800</v>
      </c>
      <c r="G56" s="121">
        <v>22660</v>
      </c>
      <c r="H56" t="s">
        <v>1600</v>
      </c>
      <c r="I56" s="156">
        <v>38946</v>
      </c>
      <c r="K56" s="153"/>
      <c r="L56" s="153"/>
      <c r="M56" s="153"/>
      <c r="N56" s="153"/>
      <c r="O56" s="153"/>
      <c r="P56" s="152"/>
      <c r="Q56" s="152"/>
      <c r="R56" s="153"/>
      <c r="S56" s="154"/>
      <c r="T56" s="115"/>
    </row>
    <row r="57" spans="1:20">
      <c r="A57" t="s">
        <v>1230</v>
      </c>
      <c r="B57" t="s">
        <v>72</v>
      </c>
      <c r="C57" t="s">
        <v>42</v>
      </c>
      <c r="D57" t="s">
        <v>166</v>
      </c>
      <c r="E57" t="s">
        <v>1601</v>
      </c>
      <c r="F57" s="121">
        <v>275000</v>
      </c>
      <c r="G57" s="121">
        <v>190035</v>
      </c>
      <c r="H57" t="s">
        <v>1602</v>
      </c>
      <c r="I57" s="156">
        <v>37737</v>
      </c>
      <c r="K57" s="153"/>
      <c r="L57" s="153"/>
      <c r="M57" s="153"/>
      <c r="N57" s="153"/>
      <c r="O57" s="153"/>
      <c r="P57" s="152"/>
      <c r="Q57" s="152"/>
      <c r="R57" s="153"/>
      <c r="S57" s="154"/>
      <c r="T57" s="115"/>
    </row>
    <row r="58" spans="1:20">
      <c r="A58" t="s">
        <v>1230</v>
      </c>
      <c r="B58" t="s">
        <v>72</v>
      </c>
      <c r="C58" t="s">
        <v>49</v>
      </c>
      <c r="D58" t="s">
        <v>338</v>
      </c>
      <c r="E58" t="s">
        <v>1603</v>
      </c>
      <c r="F58" s="121">
        <v>72500</v>
      </c>
      <c r="G58" s="121">
        <v>12875</v>
      </c>
      <c r="H58" t="s">
        <v>336</v>
      </c>
      <c r="I58" s="156">
        <v>40178</v>
      </c>
      <c r="K58" s="153"/>
      <c r="L58" s="153"/>
      <c r="M58" s="153"/>
      <c r="N58" s="153"/>
      <c r="O58" s="153"/>
      <c r="P58" s="152"/>
      <c r="Q58" s="152"/>
      <c r="R58" s="153"/>
      <c r="S58" s="154"/>
      <c r="T58" s="115"/>
    </row>
    <row r="59" spans="1:20">
      <c r="A59" t="s">
        <v>1230</v>
      </c>
      <c r="B59" t="s">
        <v>72</v>
      </c>
      <c r="C59" t="s">
        <v>62</v>
      </c>
      <c r="D59" t="s">
        <v>240</v>
      </c>
      <c r="E59" t="s">
        <v>1604</v>
      </c>
      <c r="F59" s="121">
        <v>340600</v>
      </c>
      <c r="G59" s="121">
        <v>300352</v>
      </c>
      <c r="H59" t="s">
        <v>1605</v>
      </c>
      <c r="I59" s="156">
        <v>40864</v>
      </c>
      <c r="K59" s="153"/>
      <c r="L59" s="153"/>
      <c r="M59" s="153"/>
      <c r="N59" s="153"/>
      <c r="O59" s="153"/>
      <c r="P59" s="152"/>
      <c r="Q59" s="152"/>
      <c r="R59" s="153"/>
      <c r="S59" s="154"/>
      <c r="T59" s="115"/>
    </row>
    <row r="60" spans="1:20">
      <c r="A60" t="s">
        <v>1230</v>
      </c>
      <c r="B60" t="s">
        <v>72</v>
      </c>
      <c r="C60" t="s">
        <v>59</v>
      </c>
      <c r="D60" t="s">
        <v>220</v>
      </c>
      <c r="E60" t="s">
        <v>1606</v>
      </c>
      <c r="F60" s="121">
        <v>77050.94</v>
      </c>
      <c r="G60" s="121">
        <v>64302.9</v>
      </c>
      <c r="H60" t="s">
        <v>1607</v>
      </c>
      <c r="I60" s="156">
        <v>40750</v>
      </c>
      <c r="K60" s="153"/>
      <c r="L60" s="153"/>
      <c r="M60" s="153"/>
      <c r="N60" s="153"/>
      <c r="O60" s="153"/>
      <c r="P60" s="152"/>
      <c r="Q60" s="152"/>
      <c r="R60" s="153"/>
      <c r="S60" s="154"/>
      <c r="T60" s="115"/>
    </row>
    <row r="61" spans="1:20">
      <c r="A61" t="s">
        <v>1230</v>
      </c>
      <c r="B61" t="s">
        <v>72</v>
      </c>
      <c r="C61" t="s">
        <v>59</v>
      </c>
      <c r="D61" t="s">
        <v>220</v>
      </c>
      <c r="E61" t="s">
        <v>1608</v>
      </c>
      <c r="F61" s="121">
        <v>76918.240000000005</v>
      </c>
      <c r="G61" s="121">
        <v>64302.9</v>
      </c>
      <c r="H61" t="s">
        <v>1609</v>
      </c>
      <c r="I61" s="156">
        <v>40826</v>
      </c>
      <c r="K61" s="153"/>
      <c r="L61" s="153"/>
      <c r="M61" s="153"/>
      <c r="N61" s="153"/>
      <c r="O61" s="153"/>
      <c r="P61" s="152"/>
      <c r="Q61" s="152"/>
      <c r="R61" s="153"/>
      <c r="S61" s="154"/>
      <c r="T61" s="115"/>
    </row>
    <row r="62" spans="1:20">
      <c r="A62" t="s">
        <v>1230</v>
      </c>
      <c r="B62" t="s">
        <v>72</v>
      </c>
      <c r="C62" t="s">
        <v>59</v>
      </c>
      <c r="D62" t="s">
        <v>222</v>
      </c>
      <c r="E62" t="s">
        <v>1610</v>
      </c>
      <c r="F62" s="121">
        <v>106250</v>
      </c>
      <c r="G62" s="121">
        <v>97592.5</v>
      </c>
      <c r="H62" t="s">
        <v>1611</v>
      </c>
      <c r="I62" s="156">
        <v>40640</v>
      </c>
      <c r="K62" s="153"/>
      <c r="L62" s="153"/>
      <c r="M62" s="153"/>
      <c r="N62" s="153"/>
      <c r="O62" s="153"/>
      <c r="P62" s="152"/>
      <c r="Q62" s="152"/>
      <c r="R62" s="153"/>
      <c r="S62" s="154"/>
      <c r="T62" s="115"/>
    </row>
    <row r="63" spans="1:20">
      <c r="A63" t="s">
        <v>1230</v>
      </c>
      <c r="B63" t="s">
        <v>72</v>
      </c>
      <c r="C63" t="s">
        <v>59</v>
      </c>
      <c r="D63" t="s">
        <v>220</v>
      </c>
      <c r="E63" t="s">
        <v>1612</v>
      </c>
      <c r="F63" s="121">
        <v>106250</v>
      </c>
      <c r="G63" s="121">
        <v>97592.5</v>
      </c>
      <c r="H63" t="s">
        <v>1613</v>
      </c>
      <c r="I63" s="156">
        <v>40640</v>
      </c>
      <c r="K63" s="153"/>
      <c r="L63" s="153"/>
      <c r="M63" s="153"/>
      <c r="N63" s="153"/>
      <c r="O63" s="153"/>
      <c r="P63" s="152"/>
      <c r="Q63" s="152"/>
      <c r="R63" s="153"/>
      <c r="S63" s="154"/>
      <c r="T63" s="115"/>
    </row>
    <row r="64" spans="1:20">
      <c r="A64" t="s">
        <v>1230</v>
      </c>
      <c r="B64" t="s">
        <v>72</v>
      </c>
      <c r="C64" t="s">
        <v>59</v>
      </c>
      <c r="D64" t="s">
        <v>223</v>
      </c>
      <c r="E64" t="s">
        <v>1614</v>
      </c>
      <c r="F64" s="121">
        <v>77399.210000000006</v>
      </c>
      <c r="G64" s="121">
        <v>64302.9</v>
      </c>
      <c r="H64" t="s">
        <v>1615</v>
      </c>
      <c r="I64" s="156">
        <v>40753</v>
      </c>
      <c r="K64" s="153"/>
      <c r="L64" s="153"/>
      <c r="M64" s="153"/>
      <c r="N64" s="153"/>
      <c r="O64" s="153"/>
      <c r="P64" s="152"/>
      <c r="Q64" s="152"/>
      <c r="R64" s="153"/>
      <c r="S64" s="154"/>
      <c r="T64" s="115"/>
    </row>
    <row r="65" spans="1:20">
      <c r="A65" t="s">
        <v>1230</v>
      </c>
      <c r="B65" t="s">
        <v>72</v>
      </c>
      <c r="C65" t="s">
        <v>59</v>
      </c>
      <c r="D65" t="s">
        <v>224</v>
      </c>
      <c r="E65" t="s">
        <v>1616</v>
      </c>
      <c r="F65" s="121">
        <v>61200</v>
      </c>
      <c r="G65" s="121">
        <v>40891</v>
      </c>
      <c r="H65" t="s">
        <v>1617</v>
      </c>
      <c r="I65" s="156">
        <v>38289</v>
      </c>
      <c r="K65" s="153"/>
      <c r="L65" s="153"/>
      <c r="M65" s="153"/>
      <c r="N65" s="153"/>
      <c r="O65" s="153"/>
      <c r="P65" s="152"/>
      <c r="Q65" s="152"/>
      <c r="R65" s="153"/>
      <c r="S65" s="154"/>
      <c r="T65" s="115"/>
    </row>
    <row r="66" spans="1:20">
      <c r="A66" t="s">
        <v>1230</v>
      </c>
      <c r="B66" t="s">
        <v>72</v>
      </c>
      <c r="C66" t="s">
        <v>49</v>
      </c>
      <c r="D66" t="s">
        <v>339</v>
      </c>
      <c r="E66" t="s">
        <v>1618</v>
      </c>
      <c r="F66" s="121">
        <v>26800</v>
      </c>
      <c r="G66" s="121">
        <v>14131.6</v>
      </c>
      <c r="H66" t="s">
        <v>1619</v>
      </c>
      <c r="I66" s="156">
        <v>37782</v>
      </c>
      <c r="K66" s="153"/>
      <c r="L66" s="153"/>
      <c r="M66" s="153"/>
      <c r="N66" s="153"/>
      <c r="O66" s="153"/>
      <c r="P66" s="152"/>
      <c r="Q66" s="152"/>
      <c r="R66" s="153"/>
      <c r="S66" s="154"/>
      <c r="T66" s="115"/>
    </row>
    <row r="67" spans="1:20">
      <c r="A67" t="s">
        <v>1230</v>
      </c>
      <c r="B67" t="s">
        <v>73</v>
      </c>
      <c r="C67" t="s">
        <v>49</v>
      </c>
      <c r="D67" t="s">
        <v>340</v>
      </c>
      <c r="E67" t="s">
        <v>1620</v>
      </c>
      <c r="F67" s="121">
        <v>25600</v>
      </c>
      <c r="G67" s="121">
        <v>23020.5</v>
      </c>
      <c r="H67" t="s">
        <v>1621</v>
      </c>
      <c r="I67" s="156">
        <v>38128</v>
      </c>
      <c r="K67" s="153"/>
      <c r="L67" s="153"/>
      <c r="M67" s="153"/>
      <c r="N67" s="153"/>
      <c r="O67" s="153"/>
      <c r="P67" s="152"/>
      <c r="Q67" s="152"/>
      <c r="R67" s="153"/>
      <c r="S67" s="154"/>
      <c r="T67" s="115"/>
    </row>
    <row r="68" spans="1:20">
      <c r="A68" t="s">
        <v>1230</v>
      </c>
      <c r="B68" t="s">
        <v>72</v>
      </c>
      <c r="C68" t="s">
        <v>59</v>
      </c>
      <c r="D68" t="s">
        <v>219</v>
      </c>
      <c r="E68" t="s">
        <v>1622</v>
      </c>
      <c r="F68" s="121">
        <v>61200</v>
      </c>
      <c r="G68" s="121">
        <v>40891</v>
      </c>
      <c r="H68" t="s">
        <v>1623</v>
      </c>
      <c r="I68" s="156">
        <v>38289</v>
      </c>
      <c r="K68" s="153"/>
      <c r="L68" s="153"/>
      <c r="M68" s="153"/>
      <c r="N68" s="153"/>
      <c r="O68" s="153"/>
      <c r="P68" s="152"/>
      <c r="Q68" s="152"/>
      <c r="R68" s="153"/>
      <c r="S68" s="154"/>
      <c r="T68" s="115"/>
    </row>
    <row r="69" spans="1:20">
      <c r="A69" t="s">
        <v>1230</v>
      </c>
      <c r="B69" t="s">
        <v>72</v>
      </c>
      <c r="C69" t="s">
        <v>59</v>
      </c>
      <c r="D69" t="s">
        <v>219</v>
      </c>
      <c r="E69" t="s">
        <v>1624</v>
      </c>
      <c r="F69" s="121">
        <v>61200</v>
      </c>
      <c r="G69" s="121">
        <v>40891</v>
      </c>
      <c r="H69" t="s">
        <v>1625</v>
      </c>
      <c r="I69" s="156">
        <v>38289</v>
      </c>
      <c r="K69" s="153"/>
      <c r="L69" s="153"/>
      <c r="M69" s="153"/>
      <c r="N69" s="153"/>
      <c r="O69" s="153"/>
      <c r="P69" s="152"/>
      <c r="Q69" s="152"/>
      <c r="R69" s="153"/>
      <c r="S69" s="154"/>
      <c r="T69" s="115"/>
    </row>
    <row r="70" spans="1:20">
      <c r="A70" t="s">
        <v>1230</v>
      </c>
      <c r="B70" t="s">
        <v>72</v>
      </c>
      <c r="C70" t="s">
        <v>59</v>
      </c>
      <c r="D70" t="s">
        <v>221</v>
      </c>
      <c r="E70" t="s">
        <v>1626</v>
      </c>
      <c r="F70" s="121">
        <v>40994</v>
      </c>
      <c r="G70" s="121">
        <v>40994</v>
      </c>
      <c r="H70" t="s">
        <v>336</v>
      </c>
      <c r="I70" s="156">
        <v>41089</v>
      </c>
      <c r="K70" s="153"/>
      <c r="L70" s="153"/>
      <c r="M70" s="153"/>
      <c r="N70" s="153"/>
      <c r="O70" s="153"/>
      <c r="P70" s="152"/>
      <c r="Q70" s="152"/>
      <c r="R70" s="153"/>
      <c r="S70" s="154"/>
      <c r="T70" s="115"/>
    </row>
    <row r="71" spans="1:20">
      <c r="A71" t="s">
        <v>1230</v>
      </c>
      <c r="B71" t="s">
        <v>72</v>
      </c>
      <c r="C71" t="s">
        <v>59</v>
      </c>
      <c r="D71" t="s">
        <v>225</v>
      </c>
      <c r="E71" t="s">
        <v>1627</v>
      </c>
      <c r="F71" s="121">
        <v>68250</v>
      </c>
      <c r="G71" s="121">
        <v>50212.5</v>
      </c>
      <c r="H71" t="s">
        <v>1628</v>
      </c>
      <c r="I71" s="156">
        <v>38352</v>
      </c>
      <c r="K71" s="153"/>
      <c r="L71" s="153"/>
      <c r="M71" s="153"/>
      <c r="N71" s="153"/>
      <c r="O71" s="153"/>
      <c r="P71" s="152"/>
      <c r="Q71" s="152"/>
      <c r="R71" s="153"/>
      <c r="S71" s="154"/>
      <c r="T71" s="115"/>
    </row>
    <row r="72" spans="1:20">
      <c r="A72" t="s">
        <v>1230</v>
      </c>
      <c r="B72" t="s">
        <v>72</v>
      </c>
      <c r="C72" t="s">
        <v>59</v>
      </c>
      <c r="D72" t="s">
        <v>220</v>
      </c>
      <c r="E72" t="s">
        <v>1629</v>
      </c>
      <c r="F72" s="121">
        <v>76918.240000000005</v>
      </c>
      <c r="G72" s="121">
        <v>64302.9</v>
      </c>
      <c r="H72" t="s">
        <v>1630</v>
      </c>
      <c r="I72" s="156">
        <v>40826</v>
      </c>
      <c r="K72" s="153"/>
      <c r="L72" s="153"/>
      <c r="M72" s="153"/>
      <c r="N72" s="153"/>
      <c r="O72" s="153"/>
      <c r="P72" s="152"/>
      <c r="Q72" s="152"/>
      <c r="R72" s="153"/>
      <c r="S72" s="154"/>
      <c r="T72" s="115"/>
    </row>
    <row r="73" spans="1:20">
      <c r="A73" t="s">
        <v>1230</v>
      </c>
      <c r="B73" t="s">
        <v>72</v>
      </c>
      <c r="C73" t="s">
        <v>59</v>
      </c>
      <c r="D73" t="s">
        <v>220</v>
      </c>
      <c r="E73" t="s">
        <v>1631</v>
      </c>
      <c r="F73" s="121">
        <v>76918.240000000005</v>
      </c>
      <c r="G73" s="121">
        <v>64302.9</v>
      </c>
      <c r="H73" t="s">
        <v>1632</v>
      </c>
      <c r="I73" s="156">
        <v>40826</v>
      </c>
      <c r="K73" s="153"/>
      <c r="L73" s="153"/>
      <c r="M73" s="153"/>
      <c r="N73" s="153"/>
      <c r="O73" s="153"/>
      <c r="P73" s="152"/>
      <c r="Q73" s="152"/>
      <c r="R73" s="153"/>
      <c r="S73" s="154"/>
      <c r="T73" s="115"/>
    </row>
    <row r="74" spans="1:20">
      <c r="A74" t="s">
        <v>1230</v>
      </c>
      <c r="B74" t="s">
        <v>72</v>
      </c>
      <c r="C74" t="s">
        <v>59</v>
      </c>
      <c r="D74" t="s">
        <v>220</v>
      </c>
      <c r="E74" t="s">
        <v>1633</v>
      </c>
      <c r="F74" s="121">
        <v>77050.94</v>
      </c>
      <c r="G74" s="121">
        <v>64302.9</v>
      </c>
      <c r="H74" t="s">
        <v>1634</v>
      </c>
      <c r="I74" s="156">
        <v>40751</v>
      </c>
      <c r="K74" s="153"/>
      <c r="L74" s="153"/>
      <c r="M74" s="153"/>
      <c r="N74" s="153"/>
      <c r="O74" s="153"/>
      <c r="P74" s="152"/>
      <c r="Q74" s="152"/>
      <c r="R74" s="153"/>
      <c r="S74" s="154"/>
      <c r="T74" s="115"/>
    </row>
    <row r="75" spans="1:20">
      <c r="A75" t="s">
        <v>1230</v>
      </c>
      <c r="B75" t="s">
        <v>72</v>
      </c>
      <c r="C75" t="s">
        <v>59</v>
      </c>
      <c r="D75" t="s">
        <v>219</v>
      </c>
      <c r="E75" t="s">
        <v>1635</v>
      </c>
      <c r="F75" s="121">
        <v>61200</v>
      </c>
      <c r="G75" s="121">
        <v>40891</v>
      </c>
      <c r="H75" t="s">
        <v>1636</v>
      </c>
      <c r="I75" s="156">
        <v>38289</v>
      </c>
      <c r="K75" s="153"/>
      <c r="L75" s="153"/>
      <c r="M75" s="153"/>
      <c r="N75" s="153"/>
      <c r="O75" s="153"/>
      <c r="P75" s="152"/>
      <c r="Q75" s="152"/>
      <c r="R75" s="153"/>
      <c r="S75" s="154"/>
      <c r="T75" s="115"/>
    </row>
    <row r="76" spans="1:20">
      <c r="A76" t="s">
        <v>1230</v>
      </c>
      <c r="B76" t="s">
        <v>72</v>
      </c>
      <c r="C76" t="s">
        <v>41</v>
      </c>
      <c r="D76" t="s">
        <v>163</v>
      </c>
      <c r="E76" t="s">
        <v>1637</v>
      </c>
      <c r="F76" s="121">
        <v>325000</v>
      </c>
      <c r="G76" s="121">
        <v>231750</v>
      </c>
      <c r="H76" t="s">
        <v>1638</v>
      </c>
      <c r="I76" s="156">
        <v>38352</v>
      </c>
      <c r="K76" s="153"/>
      <c r="L76" s="153"/>
      <c r="M76" s="153"/>
      <c r="N76" s="153"/>
      <c r="O76" s="153"/>
      <c r="P76" s="152"/>
      <c r="Q76" s="152"/>
      <c r="R76" s="153"/>
      <c r="S76" s="154"/>
      <c r="T76" s="115"/>
    </row>
    <row r="77" spans="1:20">
      <c r="A77" t="s">
        <v>1230</v>
      </c>
      <c r="B77" t="s">
        <v>72</v>
      </c>
      <c r="C77" t="s">
        <v>41</v>
      </c>
      <c r="D77" t="s">
        <v>163</v>
      </c>
      <c r="E77" t="s">
        <v>1639</v>
      </c>
      <c r="F77" s="121">
        <v>231750</v>
      </c>
      <c r="G77" s="121">
        <v>231750</v>
      </c>
      <c r="H77" t="s">
        <v>1640</v>
      </c>
      <c r="I77" s="156">
        <v>41089</v>
      </c>
      <c r="K77" s="153"/>
      <c r="L77" s="153"/>
      <c r="M77" s="153"/>
      <c r="N77" s="153"/>
      <c r="O77" s="153"/>
      <c r="P77" s="152"/>
      <c r="Q77" s="152"/>
      <c r="R77" s="153"/>
      <c r="S77" s="154"/>
      <c r="T77" s="115"/>
    </row>
    <row r="78" spans="1:20">
      <c r="A78" t="s">
        <v>1230</v>
      </c>
      <c r="B78" t="s">
        <v>72</v>
      </c>
      <c r="C78" t="s">
        <v>41</v>
      </c>
      <c r="D78" t="s">
        <v>164</v>
      </c>
      <c r="E78" t="s">
        <v>1641</v>
      </c>
      <c r="F78" s="121">
        <v>305000</v>
      </c>
      <c r="G78" s="121">
        <v>251320</v>
      </c>
      <c r="H78" t="s">
        <v>1642</v>
      </c>
      <c r="I78" s="156">
        <v>38717</v>
      </c>
      <c r="K78" s="153"/>
      <c r="L78" s="153"/>
      <c r="M78" s="153"/>
      <c r="N78" s="153"/>
      <c r="O78" s="153"/>
      <c r="P78" s="152"/>
      <c r="Q78" s="152"/>
      <c r="R78" s="153"/>
      <c r="S78" s="154"/>
      <c r="T78" s="151"/>
    </row>
    <row r="79" spans="1:20">
      <c r="A79" t="s">
        <v>1230</v>
      </c>
      <c r="B79" t="s">
        <v>72</v>
      </c>
      <c r="C79" t="s">
        <v>41</v>
      </c>
      <c r="D79" t="s">
        <v>161</v>
      </c>
      <c r="E79" t="s">
        <v>1643</v>
      </c>
      <c r="F79" s="121">
        <v>325000</v>
      </c>
      <c r="G79" s="121">
        <v>239990</v>
      </c>
      <c r="H79" t="s">
        <v>1644</v>
      </c>
      <c r="I79" s="156">
        <v>38352</v>
      </c>
      <c r="K79" s="153"/>
      <c r="L79" s="153"/>
      <c r="M79" s="153"/>
      <c r="N79" s="153"/>
      <c r="O79" s="153"/>
      <c r="P79" s="152"/>
      <c r="Q79" s="152"/>
      <c r="R79" s="153"/>
      <c r="S79" s="154"/>
      <c r="T79" s="151"/>
    </row>
    <row r="80" spans="1:20">
      <c r="A80" t="s">
        <v>1230</v>
      </c>
      <c r="B80" t="s">
        <v>72</v>
      </c>
      <c r="C80" t="s">
        <v>41</v>
      </c>
      <c r="D80" t="s">
        <v>161</v>
      </c>
      <c r="E80" t="s">
        <v>1645</v>
      </c>
      <c r="F80" s="121">
        <v>325000</v>
      </c>
      <c r="G80" s="121">
        <v>239990</v>
      </c>
      <c r="H80" t="s">
        <v>1646</v>
      </c>
      <c r="I80" s="156">
        <v>38352</v>
      </c>
      <c r="K80" s="153"/>
      <c r="L80" s="153"/>
      <c r="M80" s="153"/>
      <c r="N80" s="153"/>
      <c r="O80" s="153"/>
      <c r="P80" s="152"/>
      <c r="Q80" s="152"/>
      <c r="R80" s="153"/>
      <c r="S80" s="154"/>
      <c r="T80" s="151"/>
    </row>
    <row r="81" spans="1:20">
      <c r="A81" t="s">
        <v>1230</v>
      </c>
      <c r="B81" t="s">
        <v>72</v>
      </c>
      <c r="C81" t="s">
        <v>39</v>
      </c>
      <c r="D81" t="s">
        <v>132</v>
      </c>
      <c r="E81" t="s">
        <v>1647</v>
      </c>
      <c r="F81" s="121">
        <v>42000</v>
      </c>
      <c r="G81" s="121">
        <v>25832.400000000001</v>
      </c>
      <c r="H81" t="s">
        <v>1648</v>
      </c>
      <c r="I81" s="156">
        <v>37256</v>
      </c>
      <c r="K81" s="153"/>
      <c r="L81" s="153"/>
      <c r="M81" s="153"/>
      <c r="N81" s="153"/>
      <c r="O81" s="153"/>
      <c r="P81" s="152"/>
      <c r="Q81" s="152"/>
      <c r="R81" s="153"/>
      <c r="S81" s="154"/>
      <c r="T81" s="151"/>
    </row>
    <row r="82" spans="1:20">
      <c r="A82" t="s">
        <v>1230</v>
      </c>
      <c r="B82" t="s">
        <v>72</v>
      </c>
      <c r="C82" t="s">
        <v>39</v>
      </c>
      <c r="D82" t="s">
        <v>133</v>
      </c>
      <c r="E82" t="s">
        <v>1649</v>
      </c>
      <c r="F82" s="121">
        <v>49300</v>
      </c>
      <c r="G82" s="121">
        <v>43981</v>
      </c>
      <c r="H82" t="s">
        <v>1650</v>
      </c>
      <c r="I82" s="156">
        <v>39082</v>
      </c>
      <c r="K82" s="153"/>
      <c r="L82" s="153"/>
      <c r="M82" s="153"/>
      <c r="N82" s="153"/>
      <c r="O82" s="153"/>
      <c r="P82" s="152"/>
      <c r="Q82" s="152"/>
      <c r="R82" s="153"/>
      <c r="S82" s="154"/>
      <c r="T82" s="151"/>
    </row>
    <row r="83" spans="1:20">
      <c r="A83" t="s">
        <v>1230</v>
      </c>
      <c r="B83" t="s">
        <v>72</v>
      </c>
      <c r="C83" t="s">
        <v>66</v>
      </c>
      <c r="D83" t="s">
        <v>262</v>
      </c>
      <c r="E83" t="s">
        <v>7101</v>
      </c>
      <c r="F83" s="121">
        <v>35000</v>
      </c>
      <c r="G83" s="121">
        <v>25750</v>
      </c>
      <c r="H83" t="s">
        <v>7102</v>
      </c>
      <c r="I83" s="156">
        <v>39447</v>
      </c>
      <c r="K83" s="153"/>
      <c r="L83" s="153"/>
      <c r="M83" s="153"/>
      <c r="N83" s="153"/>
      <c r="O83" s="153"/>
      <c r="P83" s="152"/>
      <c r="Q83" s="152"/>
      <c r="R83" s="153"/>
      <c r="S83" s="154"/>
      <c r="T83" s="115"/>
    </row>
    <row r="84" spans="1:20">
      <c r="A84" t="s">
        <v>1230</v>
      </c>
      <c r="B84" t="s">
        <v>72</v>
      </c>
      <c r="C84" t="s">
        <v>39</v>
      </c>
      <c r="D84" t="s">
        <v>134</v>
      </c>
      <c r="E84" t="s">
        <v>1651</v>
      </c>
      <c r="F84" s="121">
        <v>49300</v>
      </c>
      <c r="G84" s="121">
        <v>43981</v>
      </c>
      <c r="H84" t="s">
        <v>1652</v>
      </c>
      <c r="I84" s="156">
        <v>39082</v>
      </c>
      <c r="K84" s="153"/>
      <c r="L84" s="153"/>
      <c r="M84" s="153"/>
      <c r="N84" s="153"/>
      <c r="O84" s="153"/>
      <c r="P84" s="152"/>
      <c r="Q84" s="152"/>
      <c r="R84" s="153"/>
      <c r="S84" s="154"/>
      <c r="T84" s="115"/>
    </row>
    <row r="85" spans="1:20">
      <c r="A85" t="s">
        <v>1230</v>
      </c>
      <c r="B85" t="s">
        <v>72</v>
      </c>
      <c r="C85" t="s">
        <v>39</v>
      </c>
      <c r="D85" t="s">
        <v>133</v>
      </c>
      <c r="E85" t="s">
        <v>1653</v>
      </c>
      <c r="F85" s="121">
        <v>49300</v>
      </c>
      <c r="G85" s="121">
        <v>43981</v>
      </c>
      <c r="H85" t="s">
        <v>1654</v>
      </c>
      <c r="I85" s="156">
        <v>39082</v>
      </c>
      <c r="K85" s="153"/>
      <c r="L85" s="153"/>
      <c r="M85" s="153"/>
      <c r="N85" s="153"/>
      <c r="O85" s="153"/>
      <c r="P85" s="152"/>
      <c r="Q85" s="152"/>
      <c r="R85" s="153"/>
      <c r="S85" s="154"/>
      <c r="T85" s="115"/>
    </row>
    <row r="86" spans="1:20">
      <c r="A86" t="s">
        <v>1230</v>
      </c>
      <c r="B86" t="s">
        <v>72</v>
      </c>
      <c r="C86" t="s">
        <v>39</v>
      </c>
      <c r="D86" t="s">
        <v>133</v>
      </c>
      <c r="E86" t="s">
        <v>1655</v>
      </c>
      <c r="F86" s="121">
        <v>44500</v>
      </c>
      <c r="G86" s="121">
        <v>43981</v>
      </c>
      <c r="H86" t="s">
        <v>1656</v>
      </c>
      <c r="I86" s="156">
        <v>38717</v>
      </c>
      <c r="K86" s="153"/>
      <c r="L86" s="153"/>
      <c r="M86" s="153"/>
      <c r="N86" s="153"/>
      <c r="O86" s="153"/>
      <c r="P86" s="152"/>
      <c r="Q86" s="152"/>
      <c r="R86" s="153"/>
      <c r="S86" s="154"/>
      <c r="T86" s="115"/>
    </row>
    <row r="87" spans="1:20">
      <c r="A87" t="s">
        <v>1230</v>
      </c>
      <c r="B87" t="s">
        <v>72</v>
      </c>
      <c r="C87" t="s">
        <v>39</v>
      </c>
      <c r="D87" t="s">
        <v>133</v>
      </c>
      <c r="E87" t="s">
        <v>1657</v>
      </c>
      <c r="F87" s="121">
        <v>49300</v>
      </c>
      <c r="G87" s="121">
        <v>32960</v>
      </c>
      <c r="H87" t="s">
        <v>1658</v>
      </c>
      <c r="I87" s="156">
        <v>39082</v>
      </c>
      <c r="K87" s="153"/>
      <c r="L87" s="153"/>
      <c r="M87" s="153"/>
      <c r="N87" s="153"/>
      <c r="O87" s="153"/>
      <c r="P87" s="152"/>
      <c r="Q87" s="152"/>
      <c r="R87" s="153"/>
      <c r="S87" s="154"/>
      <c r="T87" s="115"/>
    </row>
    <row r="88" spans="1:20">
      <c r="A88" t="s">
        <v>1230</v>
      </c>
      <c r="B88" t="s">
        <v>72</v>
      </c>
      <c r="C88" t="s">
        <v>39</v>
      </c>
      <c r="D88" t="s">
        <v>135</v>
      </c>
      <c r="E88" t="s">
        <v>1659</v>
      </c>
      <c r="F88" s="121">
        <v>49300</v>
      </c>
      <c r="G88" s="121">
        <v>43981</v>
      </c>
      <c r="H88" t="s">
        <v>1660</v>
      </c>
      <c r="I88" s="156">
        <v>39082</v>
      </c>
      <c r="K88" s="153"/>
      <c r="L88" s="153"/>
      <c r="M88" s="153"/>
      <c r="N88" s="153"/>
      <c r="O88" s="153"/>
      <c r="P88" s="152"/>
      <c r="Q88" s="152"/>
      <c r="R88" s="153"/>
      <c r="S88" s="154"/>
      <c r="T88" s="115"/>
    </row>
    <row r="89" spans="1:20">
      <c r="A89" t="s">
        <v>1230</v>
      </c>
      <c r="B89" t="s">
        <v>72</v>
      </c>
      <c r="C89" t="s">
        <v>39</v>
      </c>
      <c r="D89" t="s">
        <v>133</v>
      </c>
      <c r="E89" t="s">
        <v>1661</v>
      </c>
      <c r="F89" s="121">
        <v>49300</v>
      </c>
      <c r="G89" s="121">
        <v>43981</v>
      </c>
      <c r="H89" t="s">
        <v>1662</v>
      </c>
      <c r="I89" s="156">
        <v>39082</v>
      </c>
      <c r="K89" s="153"/>
      <c r="L89" s="153"/>
      <c r="M89" s="153"/>
      <c r="N89" s="153"/>
      <c r="O89" s="153"/>
      <c r="P89" s="152"/>
      <c r="Q89" s="152"/>
      <c r="R89" s="153"/>
      <c r="S89" s="154"/>
      <c r="T89" s="115"/>
    </row>
    <row r="90" spans="1:20">
      <c r="A90" t="s">
        <v>1230</v>
      </c>
      <c r="B90" t="s">
        <v>72</v>
      </c>
      <c r="C90" t="s">
        <v>59</v>
      </c>
      <c r="D90" t="s">
        <v>221</v>
      </c>
      <c r="E90" t="s">
        <v>1663</v>
      </c>
      <c r="F90" s="121">
        <v>130000</v>
      </c>
      <c r="G90" s="121">
        <v>56650</v>
      </c>
      <c r="H90" t="s">
        <v>1664</v>
      </c>
      <c r="I90" s="156">
        <v>40722</v>
      </c>
      <c r="K90" s="153"/>
      <c r="L90" s="153"/>
      <c r="M90" s="153"/>
      <c r="N90" s="153"/>
      <c r="O90" s="153"/>
      <c r="P90" s="152"/>
      <c r="Q90" s="152"/>
      <c r="R90" s="153"/>
      <c r="S90" s="154"/>
      <c r="T90" s="115"/>
    </row>
    <row r="91" spans="1:20">
      <c r="A91" t="s">
        <v>1230</v>
      </c>
      <c r="B91" t="s">
        <v>72</v>
      </c>
      <c r="C91" t="s">
        <v>66</v>
      </c>
      <c r="D91" t="s">
        <v>263</v>
      </c>
      <c r="E91" t="s">
        <v>1665</v>
      </c>
      <c r="F91" s="121">
        <v>175000</v>
      </c>
      <c r="G91" s="121">
        <v>153367</v>
      </c>
      <c r="H91" t="s">
        <v>1666</v>
      </c>
      <c r="I91" s="156">
        <v>39727</v>
      </c>
      <c r="K91" s="153"/>
      <c r="L91" s="153"/>
      <c r="M91" s="153"/>
      <c r="N91" s="153"/>
      <c r="O91" s="153"/>
      <c r="P91" s="152"/>
      <c r="Q91" s="152"/>
      <c r="R91" s="153"/>
      <c r="S91" s="154"/>
      <c r="T91" s="115"/>
    </row>
    <row r="92" spans="1:20">
      <c r="A92" t="s">
        <v>1230</v>
      </c>
      <c r="B92" t="s">
        <v>72</v>
      </c>
      <c r="C92" t="s">
        <v>41</v>
      </c>
      <c r="D92" t="s">
        <v>163</v>
      </c>
      <c r="E92" t="s">
        <v>1667</v>
      </c>
      <c r="F92" s="121">
        <v>325000</v>
      </c>
      <c r="G92" s="121">
        <v>231750</v>
      </c>
      <c r="H92" t="s">
        <v>1668</v>
      </c>
      <c r="I92" s="156">
        <v>38352</v>
      </c>
      <c r="K92" s="153"/>
      <c r="L92" s="153"/>
      <c r="M92" s="153"/>
      <c r="N92" s="153"/>
      <c r="O92" s="153"/>
      <c r="P92" s="152"/>
      <c r="Q92" s="152"/>
      <c r="R92" s="153"/>
      <c r="S92" s="154"/>
      <c r="T92" s="115"/>
    </row>
    <row r="93" spans="1:20">
      <c r="A93" t="s">
        <v>1230</v>
      </c>
      <c r="B93" t="s">
        <v>72</v>
      </c>
      <c r="C93" t="s">
        <v>66</v>
      </c>
      <c r="D93" t="s">
        <v>264</v>
      </c>
      <c r="E93" t="s">
        <v>1669</v>
      </c>
      <c r="F93" s="121">
        <v>100000</v>
      </c>
      <c r="G93" s="121">
        <v>103000</v>
      </c>
      <c r="H93" t="s">
        <v>1670</v>
      </c>
      <c r="I93" s="156">
        <v>38717</v>
      </c>
      <c r="K93" s="153"/>
      <c r="L93" s="153"/>
      <c r="M93" s="153"/>
      <c r="N93" s="153"/>
      <c r="O93" s="153"/>
      <c r="P93" s="152"/>
      <c r="Q93" s="152"/>
      <c r="R93" s="153"/>
      <c r="S93" s="154"/>
      <c r="T93" s="115"/>
    </row>
    <row r="94" spans="1:20">
      <c r="A94" t="s">
        <v>1230</v>
      </c>
      <c r="B94" t="s">
        <v>72</v>
      </c>
      <c r="C94" t="s">
        <v>39</v>
      </c>
      <c r="D94" t="s">
        <v>136</v>
      </c>
      <c r="E94" t="s">
        <v>1671</v>
      </c>
      <c r="F94" s="121">
        <v>6150</v>
      </c>
      <c r="G94" s="121">
        <v>3193</v>
      </c>
      <c r="H94" t="s">
        <v>1672</v>
      </c>
      <c r="I94" s="156">
        <v>39813</v>
      </c>
      <c r="K94" s="153"/>
      <c r="L94" s="153"/>
      <c r="M94" s="153"/>
      <c r="N94" s="153"/>
      <c r="O94" s="153"/>
      <c r="P94" s="152"/>
      <c r="Q94" s="152"/>
      <c r="R94" s="153"/>
      <c r="S94" s="154"/>
      <c r="T94" s="115"/>
    </row>
    <row r="95" spans="1:20">
      <c r="A95" t="s">
        <v>1230</v>
      </c>
      <c r="B95" t="s">
        <v>72</v>
      </c>
      <c r="C95" t="s">
        <v>66</v>
      </c>
      <c r="D95" t="s">
        <v>265</v>
      </c>
      <c r="E95" t="s">
        <v>1673</v>
      </c>
      <c r="F95" s="121">
        <v>56856</v>
      </c>
      <c r="G95" s="121">
        <v>56856</v>
      </c>
      <c r="H95" t="s">
        <v>1674</v>
      </c>
      <c r="I95" s="156">
        <v>41089</v>
      </c>
      <c r="K95" s="153"/>
      <c r="L95" s="153"/>
      <c r="M95" s="153"/>
      <c r="N95" s="153"/>
      <c r="O95" s="153"/>
      <c r="P95" s="152"/>
      <c r="Q95" s="152"/>
      <c r="R95" s="153"/>
      <c r="S95" s="154"/>
      <c r="T95" s="115"/>
    </row>
    <row r="96" spans="1:20">
      <c r="A96" t="s">
        <v>1230</v>
      </c>
      <c r="B96" t="s">
        <v>72</v>
      </c>
      <c r="C96" t="s">
        <v>51</v>
      </c>
      <c r="D96" t="s">
        <v>7031</v>
      </c>
      <c r="E96" t="s">
        <v>7032</v>
      </c>
      <c r="F96" s="121">
        <v>59300</v>
      </c>
      <c r="G96" s="121">
        <v>59300</v>
      </c>
      <c r="H96" t="s">
        <v>517</v>
      </c>
      <c r="I96" s="156">
        <v>42550.421446759261</v>
      </c>
      <c r="K96" s="153"/>
      <c r="L96" s="153"/>
      <c r="M96" s="153"/>
      <c r="N96" s="153"/>
      <c r="O96" s="153"/>
      <c r="P96" s="152"/>
      <c r="Q96" s="152"/>
      <c r="R96" s="153"/>
      <c r="S96" s="154"/>
      <c r="T96" s="115"/>
    </row>
    <row r="97" spans="1:20">
      <c r="A97" t="s">
        <v>1230</v>
      </c>
      <c r="B97" t="s">
        <v>72</v>
      </c>
      <c r="C97" t="s">
        <v>51</v>
      </c>
      <c r="D97" t="s">
        <v>7031</v>
      </c>
      <c r="E97" t="s">
        <v>7033</v>
      </c>
      <c r="F97" s="121">
        <v>59300</v>
      </c>
      <c r="G97" s="121">
        <v>59300</v>
      </c>
      <c r="H97" t="s">
        <v>517</v>
      </c>
      <c r="I97" s="156">
        <v>42550.421446759261</v>
      </c>
      <c r="K97" s="153"/>
      <c r="L97" s="153"/>
      <c r="M97" s="153"/>
      <c r="N97" s="153"/>
      <c r="O97" s="153"/>
      <c r="P97" s="152"/>
      <c r="Q97" s="152"/>
      <c r="R97" s="153"/>
      <c r="S97" s="154"/>
      <c r="T97" s="115"/>
    </row>
    <row r="98" spans="1:20">
      <c r="A98" t="s">
        <v>1230</v>
      </c>
      <c r="B98" t="s">
        <v>72</v>
      </c>
      <c r="C98" t="s">
        <v>39</v>
      </c>
      <c r="D98" t="s">
        <v>136</v>
      </c>
      <c r="E98" t="s">
        <v>7103</v>
      </c>
      <c r="F98" s="121">
        <v>1854</v>
      </c>
      <c r="G98" s="121">
        <v>1854</v>
      </c>
      <c r="H98" t="s">
        <v>7104</v>
      </c>
      <c r="I98" s="156">
        <v>41089</v>
      </c>
      <c r="K98" s="153"/>
      <c r="L98" s="153"/>
      <c r="M98" s="153"/>
      <c r="N98" s="153"/>
      <c r="O98" s="153"/>
      <c r="P98" s="152"/>
      <c r="Q98" s="152"/>
      <c r="R98" s="153"/>
      <c r="S98" s="154"/>
      <c r="T98" s="115"/>
    </row>
    <row r="99" spans="1:20">
      <c r="A99" t="s">
        <v>1230</v>
      </c>
      <c r="B99" t="s">
        <v>72</v>
      </c>
      <c r="C99" t="s">
        <v>51</v>
      </c>
      <c r="D99" t="s">
        <v>7031</v>
      </c>
      <c r="E99" t="s">
        <v>7034</v>
      </c>
      <c r="F99" s="121">
        <v>59300</v>
      </c>
      <c r="G99" s="121">
        <v>59300</v>
      </c>
      <c r="H99" t="s">
        <v>517</v>
      </c>
      <c r="I99" s="156">
        <v>42550.421446759261</v>
      </c>
      <c r="K99" s="153"/>
      <c r="L99" s="153"/>
      <c r="M99" s="153"/>
      <c r="N99" s="153"/>
      <c r="O99" s="153"/>
      <c r="P99" s="152"/>
      <c r="Q99" s="152"/>
      <c r="R99" s="153"/>
      <c r="S99" s="154"/>
      <c r="T99" s="115"/>
    </row>
    <row r="100" spans="1:20">
      <c r="A100" t="s">
        <v>1230</v>
      </c>
      <c r="B100" t="s">
        <v>76</v>
      </c>
      <c r="C100" t="s">
        <v>51</v>
      </c>
      <c r="D100" t="s">
        <v>463</v>
      </c>
      <c r="E100" t="s">
        <v>7035</v>
      </c>
      <c r="F100" s="121">
        <v>1399</v>
      </c>
      <c r="G100" s="121">
        <v>1399</v>
      </c>
      <c r="H100" t="s">
        <v>7036</v>
      </c>
      <c r="I100" s="156">
        <v>42583.56449074074</v>
      </c>
      <c r="K100" s="153"/>
      <c r="L100" s="153"/>
      <c r="M100" s="153"/>
      <c r="N100" s="153"/>
      <c r="O100" s="153"/>
      <c r="P100" s="152"/>
      <c r="Q100" s="152"/>
      <c r="R100" s="153"/>
      <c r="S100" s="154"/>
      <c r="T100" s="115"/>
    </row>
    <row r="101" spans="1:20">
      <c r="A101" t="s">
        <v>1230</v>
      </c>
      <c r="B101" t="s">
        <v>72</v>
      </c>
      <c r="C101" t="s">
        <v>37</v>
      </c>
      <c r="D101" t="s">
        <v>110</v>
      </c>
      <c r="E101" t="s">
        <v>1675</v>
      </c>
      <c r="F101" s="121">
        <v>182500</v>
      </c>
      <c r="G101" s="121">
        <v>118435.58</v>
      </c>
      <c r="H101" t="s">
        <v>1676</v>
      </c>
      <c r="I101" s="156">
        <v>36525</v>
      </c>
      <c r="K101" s="153"/>
      <c r="L101" s="153"/>
      <c r="M101" s="153"/>
      <c r="N101" s="153"/>
      <c r="O101" s="153"/>
      <c r="P101" s="152"/>
      <c r="Q101" s="152"/>
      <c r="R101" s="153"/>
      <c r="S101" s="154"/>
      <c r="T101" s="115"/>
    </row>
    <row r="102" spans="1:20">
      <c r="A102" t="s">
        <v>1230</v>
      </c>
      <c r="B102" t="s">
        <v>72</v>
      </c>
      <c r="C102" t="s">
        <v>49</v>
      </c>
      <c r="D102" t="s">
        <v>342</v>
      </c>
      <c r="E102" t="s">
        <v>1677</v>
      </c>
      <c r="F102" s="121">
        <v>42000</v>
      </c>
      <c r="G102" s="121">
        <v>47380</v>
      </c>
      <c r="H102" t="s">
        <v>1678</v>
      </c>
      <c r="I102" s="156">
        <v>37034</v>
      </c>
      <c r="K102" s="153"/>
      <c r="L102" s="153"/>
      <c r="M102" s="153"/>
      <c r="N102" s="153"/>
      <c r="O102" s="153"/>
      <c r="P102" s="152"/>
      <c r="Q102" s="152"/>
      <c r="R102" s="153"/>
      <c r="S102" s="154"/>
      <c r="T102" s="115"/>
    </row>
    <row r="103" spans="1:20">
      <c r="A103" t="s">
        <v>1230</v>
      </c>
      <c r="B103" t="s">
        <v>72</v>
      </c>
      <c r="C103" t="s">
        <v>39</v>
      </c>
      <c r="D103" t="s">
        <v>136</v>
      </c>
      <c r="E103" t="s">
        <v>1679</v>
      </c>
      <c r="F103" s="121">
        <v>1854</v>
      </c>
      <c r="G103" s="121">
        <v>1854</v>
      </c>
      <c r="H103" t="s">
        <v>1680</v>
      </c>
      <c r="I103" s="156">
        <v>41089</v>
      </c>
      <c r="K103" s="153"/>
      <c r="L103" s="153"/>
      <c r="M103" s="153"/>
      <c r="N103" s="153"/>
      <c r="O103" s="153"/>
      <c r="P103" s="152"/>
      <c r="Q103" s="152"/>
      <c r="R103" s="153"/>
      <c r="S103" s="154"/>
      <c r="T103" s="115"/>
    </row>
    <row r="104" spans="1:20">
      <c r="A104" t="s">
        <v>1230</v>
      </c>
      <c r="B104" t="s">
        <v>72</v>
      </c>
      <c r="C104" t="s">
        <v>41</v>
      </c>
      <c r="D104" t="s">
        <v>163</v>
      </c>
      <c r="E104" t="s">
        <v>1681</v>
      </c>
      <c r="F104" s="121">
        <v>295000</v>
      </c>
      <c r="G104" s="121">
        <v>231750</v>
      </c>
      <c r="H104" t="s">
        <v>1682</v>
      </c>
      <c r="I104" s="156">
        <v>38352</v>
      </c>
      <c r="K104" s="153"/>
      <c r="L104" s="153"/>
      <c r="M104" s="153"/>
      <c r="N104" s="153"/>
      <c r="O104" s="153"/>
      <c r="P104" s="152"/>
      <c r="Q104" s="152"/>
      <c r="R104" s="153"/>
      <c r="S104" s="154"/>
      <c r="T104" s="115"/>
    </row>
    <row r="105" spans="1:20">
      <c r="A105" t="s">
        <v>1230</v>
      </c>
      <c r="B105" t="s">
        <v>72</v>
      </c>
      <c r="C105" t="s">
        <v>37</v>
      </c>
      <c r="D105" t="s">
        <v>111</v>
      </c>
      <c r="E105" t="s">
        <v>1683</v>
      </c>
      <c r="F105" s="121">
        <v>200000</v>
      </c>
      <c r="G105" s="121">
        <v>158259.5</v>
      </c>
      <c r="H105" t="s">
        <v>1684</v>
      </c>
      <c r="I105" s="156">
        <v>40359</v>
      </c>
      <c r="K105" s="153"/>
      <c r="L105" s="153"/>
      <c r="M105" s="153"/>
      <c r="N105" s="153"/>
      <c r="O105" s="153"/>
      <c r="P105" s="152"/>
      <c r="Q105" s="152"/>
      <c r="R105" s="153"/>
      <c r="S105" s="154"/>
      <c r="T105" s="115"/>
    </row>
    <row r="106" spans="1:20">
      <c r="A106" t="s">
        <v>1230</v>
      </c>
      <c r="B106" t="s">
        <v>72</v>
      </c>
      <c r="C106" t="s">
        <v>42</v>
      </c>
      <c r="D106" t="s">
        <v>166</v>
      </c>
      <c r="E106" t="s">
        <v>1685</v>
      </c>
      <c r="F106" s="121">
        <v>518750</v>
      </c>
      <c r="G106" s="121">
        <v>512940</v>
      </c>
      <c r="H106" t="s">
        <v>1686</v>
      </c>
      <c r="I106" s="156">
        <v>40640</v>
      </c>
      <c r="K106" s="153"/>
      <c r="L106" s="153"/>
      <c r="M106" s="153"/>
      <c r="N106" s="153"/>
      <c r="O106" s="153"/>
      <c r="P106" s="152"/>
      <c r="Q106" s="152"/>
      <c r="R106" s="153"/>
      <c r="S106" s="154"/>
      <c r="T106" s="115"/>
    </row>
    <row r="107" spans="1:20">
      <c r="A107" t="s">
        <v>1230</v>
      </c>
      <c r="B107" t="s">
        <v>72</v>
      </c>
      <c r="C107" t="s">
        <v>41</v>
      </c>
      <c r="D107" t="s">
        <v>163</v>
      </c>
      <c r="E107" t="s">
        <v>1687</v>
      </c>
      <c r="F107" s="121">
        <v>265000</v>
      </c>
      <c r="G107" s="121">
        <v>231750</v>
      </c>
      <c r="H107" t="s">
        <v>1688</v>
      </c>
      <c r="I107" s="156">
        <v>35430</v>
      </c>
      <c r="K107" s="153"/>
      <c r="L107" s="153"/>
      <c r="M107" s="153"/>
      <c r="N107" s="153"/>
      <c r="O107" s="153"/>
      <c r="P107" s="152"/>
      <c r="Q107" s="152"/>
      <c r="R107" s="153"/>
      <c r="S107" s="154"/>
      <c r="T107" s="115"/>
    </row>
    <row r="108" spans="1:20">
      <c r="A108" t="s">
        <v>1230</v>
      </c>
      <c r="B108" t="s">
        <v>72</v>
      </c>
      <c r="C108" t="s">
        <v>66</v>
      </c>
      <c r="D108" t="s">
        <v>259</v>
      </c>
      <c r="E108" t="s">
        <v>1689</v>
      </c>
      <c r="F108" s="121">
        <v>165000</v>
      </c>
      <c r="G108" s="121">
        <v>122302.2</v>
      </c>
      <c r="H108" t="s">
        <v>1690</v>
      </c>
      <c r="I108" s="156">
        <v>38717</v>
      </c>
      <c r="K108" s="153"/>
      <c r="L108" s="153"/>
      <c r="M108" s="153"/>
      <c r="N108" s="153"/>
      <c r="O108" s="153"/>
      <c r="P108" s="152"/>
      <c r="Q108" s="152"/>
      <c r="R108" s="153"/>
      <c r="S108" s="154"/>
      <c r="T108" s="115"/>
    </row>
    <row r="109" spans="1:20">
      <c r="A109" t="s">
        <v>1230</v>
      </c>
      <c r="B109" t="s">
        <v>72</v>
      </c>
      <c r="C109" t="s">
        <v>66</v>
      </c>
      <c r="D109" t="s">
        <v>266</v>
      </c>
      <c r="E109" t="s">
        <v>1691</v>
      </c>
      <c r="F109" s="121">
        <v>127280</v>
      </c>
      <c r="G109" s="121">
        <v>85181</v>
      </c>
      <c r="H109" t="s">
        <v>1692</v>
      </c>
      <c r="I109" s="156">
        <v>38352</v>
      </c>
      <c r="K109" s="153"/>
      <c r="L109" s="153"/>
      <c r="M109" s="153"/>
      <c r="N109" s="153"/>
      <c r="O109" s="153"/>
      <c r="P109" s="152"/>
      <c r="Q109" s="152"/>
      <c r="R109" s="153"/>
      <c r="S109" s="154"/>
      <c r="T109" s="115"/>
    </row>
    <row r="110" spans="1:20">
      <c r="A110" t="s">
        <v>1230</v>
      </c>
      <c r="B110" t="s">
        <v>72</v>
      </c>
      <c r="C110" t="s">
        <v>37</v>
      </c>
      <c r="D110" t="s">
        <v>112</v>
      </c>
      <c r="E110" t="s">
        <v>1693</v>
      </c>
      <c r="F110" s="121">
        <v>111080.35</v>
      </c>
      <c r="G110" s="121">
        <v>111080.35</v>
      </c>
      <c r="H110" t="s">
        <v>1694</v>
      </c>
      <c r="I110" s="156">
        <v>41089</v>
      </c>
      <c r="K110" s="153"/>
      <c r="L110" s="153"/>
      <c r="M110" s="153"/>
      <c r="N110" s="153"/>
      <c r="O110" s="153"/>
      <c r="P110" s="152"/>
      <c r="Q110" s="152"/>
      <c r="R110" s="153"/>
      <c r="S110" s="154"/>
      <c r="T110" s="115"/>
    </row>
    <row r="111" spans="1:20">
      <c r="A111" t="s">
        <v>1230</v>
      </c>
      <c r="B111" t="s">
        <v>72</v>
      </c>
      <c r="C111" t="s">
        <v>50</v>
      </c>
      <c r="D111" t="s">
        <v>343</v>
      </c>
      <c r="E111" t="s">
        <v>1695</v>
      </c>
      <c r="F111" s="121">
        <v>97850</v>
      </c>
      <c r="G111" s="121">
        <v>97850</v>
      </c>
      <c r="H111" t="s">
        <v>336</v>
      </c>
      <c r="I111" s="156">
        <v>41089</v>
      </c>
      <c r="K111" s="153"/>
      <c r="L111" s="153"/>
      <c r="M111" s="153"/>
      <c r="N111" s="153"/>
      <c r="O111" s="153"/>
      <c r="P111" s="152"/>
      <c r="Q111" s="152"/>
      <c r="R111" s="153"/>
      <c r="S111" s="154"/>
      <c r="T111" s="115"/>
    </row>
    <row r="112" spans="1:20">
      <c r="A112" t="s">
        <v>1230</v>
      </c>
      <c r="B112" t="s">
        <v>72</v>
      </c>
      <c r="C112" t="s">
        <v>66</v>
      </c>
      <c r="D112" t="s">
        <v>262</v>
      </c>
      <c r="E112" t="s">
        <v>1696</v>
      </c>
      <c r="F112" s="121">
        <v>35000</v>
      </c>
      <c r="G112" s="121">
        <v>19055</v>
      </c>
      <c r="H112" t="s">
        <v>1697</v>
      </c>
      <c r="I112" s="156">
        <v>39447</v>
      </c>
      <c r="K112" s="153"/>
      <c r="L112" s="153"/>
      <c r="M112" s="153"/>
      <c r="N112" s="153"/>
      <c r="O112" s="153"/>
      <c r="P112" s="152"/>
      <c r="Q112" s="152"/>
      <c r="R112" s="153"/>
      <c r="S112" s="154"/>
      <c r="T112" s="115"/>
    </row>
    <row r="113" spans="1:20">
      <c r="A113" t="s">
        <v>1230</v>
      </c>
      <c r="B113" t="s">
        <v>72</v>
      </c>
      <c r="C113" t="s">
        <v>69</v>
      </c>
      <c r="D113" t="s">
        <v>306</v>
      </c>
      <c r="E113" t="s">
        <v>1698</v>
      </c>
      <c r="F113" s="121">
        <v>96000</v>
      </c>
      <c r="G113" s="121">
        <v>77260.3</v>
      </c>
      <c r="H113" t="s">
        <v>1699</v>
      </c>
      <c r="I113" s="156">
        <v>40575</v>
      </c>
      <c r="K113" s="153"/>
      <c r="L113" s="153"/>
      <c r="M113" s="153"/>
      <c r="N113" s="153"/>
      <c r="O113" s="153"/>
      <c r="P113" s="152"/>
      <c r="Q113" s="152"/>
      <c r="R113" s="153"/>
      <c r="S113" s="154"/>
      <c r="T113" s="115"/>
    </row>
    <row r="114" spans="1:20">
      <c r="A114" t="s">
        <v>1230</v>
      </c>
      <c r="B114" t="s">
        <v>72</v>
      </c>
      <c r="C114" t="s">
        <v>69</v>
      </c>
      <c r="D114" t="s">
        <v>307</v>
      </c>
      <c r="E114" t="s">
        <v>1698</v>
      </c>
      <c r="F114" s="121">
        <v>8000</v>
      </c>
      <c r="G114" s="121">
        <v>8000</v>
      </c>
      <c r="H114" t="s">
        <v>1699</v>
      </c>
      <c r="I114" s="156">
        <v>41337</v>
      </c>
      <c r="K114" s="153"/>
      <c r="L114" s="153"/>
      <c r="M114" s="153"/>
      <c r="N114" s="153"/>
      <c r="O114" s="153"/>
      <c r="P114" s="152"/>
      <c r="Q114" s="152"/>
      <c r="R114" s="153"/>
      <c r="S114" s="154"/>
      <c r="T114" s="115"/>
    </row>
    <row r="115" spans="1:20">
      <c r="A115" t="s">
        <v>1230</v>
      </c>
      <c r="B115" t="s">
        <v>72</v>
      </c>
      <c r="C115" t="s">
        <v>68</v>
      </c>
      <c r="D115" t="s">
        <v>296</v>
      </c>
      <c r="E115" t="s">
        <v>1700</v>
      </c>
      <c r="F115" s="121">
        <v>46000</v>
      </c>
      <c r="G115" s="121">
        <v>36146.82</v>
      </c>
      <c r="H115" t="s">
        <v>1701</v>
      </c>
      <c r="I115" s="156">
        <v>40487</v>
      </c>
      <c r="K115" s="153"/>
      <c r="L115" s="153"/>
      <c r="M115" s="153"/>
      <c r="N115" s="153"/>
      <c r="O115" s="153"/>
      <c r="P115" s="152"/>
      <c r="Q115" s="152"/>
      <c r="R115" s="153"/>
      <c r="S115" s="154"/>
      <c r="T115" s="115"/>
    </row>
    <row r="116" spans="1:20">
      <c r="A116" t="s">
        <v>1230</v>
      </c>
      <c r="B116" t="s">
        <v>72</v>
      </c>
      <c r="C116" t="s">
        <v>51</v>
      </c>
      <c r="D116" t="s">
        <v>344</v>
      </c>
      <c r="E116" t="s">
        <v>1702</v>
      </c>
      <c r="F116" s="121">
        <v>45000</v>
      </c>
      <c r="G116" s="121">
        <v>39140</v>
      </c>
      <c r="H116" t="s">
        <v>1703</v>
      </c>
      <c r="I116" s="156">
        <v>39813</v>
      </c>
      <c r="K116" s="153"/>
      <c r="L116" s="153"/>
      <c r="M116" s="153"/>
      <c r="N116" s="153"/>
      <c r="O116" s="153"/>
      <c r="P116" s="152"/>
      <c r="Q116" s="152"/>
      <c r="R116" s="153"/>
      <c r="S116" s="154"/>
      <c r="T116" s="115"/>
    </row>
    <row r="117" spans="1:20">
      <c r="A117" t="s">
        <v>1230</v>
      </c>
      <c r="B117" t="s">
        <v>72</v>
      </c>
      <c r="C117" t="s">
        <v>37</v>
      </c>
      <c r="D117" t="s">
        <v>113</v>
      </c>
      <c r="E117" t="s">
        <v>1704</v>
      </c>
      <c r="F117" s="121">
        <v>45000</v>
      </c>
      <c r="G117" s="121">
        <v>51072.55</v>
      </c>
      <c r="H117" t="s">
        <v>1705</v>
      </c>
      <c r="I117" s="156">
        <v>29951</v>
      </c>
      <c r="K117" s="153"/>
      <c r="L117" s="153"/>
      <c r="M117" s="153"/>
      <c r="N117" s="153"/>
      <c r="O117" s="153"/>
      <c r="P117" s="152"/>
      <c r="Q117" s="152"/>
      <c r="R117" s="153"/>
      <c r="S117" s="154"/>
      <c r="T117" s="115"/>
    </row>
    <row r="118" spans="1:20">
      <c r="A118" t="s">
        <v>1230</v>
      </c>
      <c r="B118" t="s">
        <v>72</v>
      </c>
      <c r="C118" t="s">
        <v>37</v>
      </c>
      <c r="D118" t="s">
        <v>7105</v>
      </c>
      <c r="E118" t="s">
        <v>7106</v>
      </c>
      <c r="F118" s="121">
        <v>14000</v>
      </c>
      <c r="G118" s="121">
        <v>11845</v>
      </c>
      <c r="H118" t="s">
        <v>1705</v>
      </c>
      <c r="I118" s="156">
        <v>39082</v>
      </c>
      <c r="K118" s="153"/>
      <c r="L118" s="153"/>
      <c r="M118" s="153"/>
      <c r="N118" s="153"/>
      <c r="O118" s="153"/>
      <c r="P118" s="152"/>
      <c r="Q118" s="152"/>
      <c r="R118" s="153"/>
      <c r="S118" s="154"/>
      <c r="T118" s="115"/>
    </row>
    <row r="119" spans="1:20">
      <c r="A119" t="s">
        <v>1230</v>
      </c>
      <c r="B119" t="s">
        <v>72</v>
      </c>
      <c r="C119" t="s">
        <v>37</v>
      </c>
      <c r="D119" t="s">
        <v>114</v>
      </c>
      <c r="E119" t="s">
        <v>1706</v>
      </c>
      <c r="F119" s="121">
        <v>247500</v>
      </c>
      <c r="G119" s="121">
        <v>95486.15</v>
      </c>
      <c r="H119" t="s">
        <v>1707</v>
      </c>
      <c r="I119" s="156">
        <v>40868</v>
      </c>
      <c r="K119" s="153"/>
      <c r="L119" s="153"/>
      <c r="M119" s="153"/>
      <c r="N119" s="153"/>
      <c r="O119" s="153"/>
      <c r="P119" s="152"/>
      <c r="Q119" s="152"/>
      <c r="R119" s="153"/>
      <c r="S119" s="154"/>
      <c r="T119" s="115"/>
    </row>
    <row r="120" spans="1:20">
      <c r="A120" t="s">
        <v>1230</v>
      </c>
      <c r="B120" t="s">
        <v>72</v>
      </c>
      <c r="C120" t="s">
        <v>50</v>
      </c>
      <c r="D120" t="s">
        <v>343</v>
      </c>
      <c r="E120" t="s">
        <v>1708</v>
      </c>
      <c r="F120" s="121">
        <v>97850</v>
      </c>
      <c r="G120" s="121">
        <v>97850</v>
      </c>
      <c r="H120" t="s">
        <v>336</v>
      </c>
      <c r="I120" s="156">
        <v>41089</v>
      </c>
      <c r="K120" s="153"/>
      <c r="L120" s="153"/>
      <c r="M120" s="153"/>
      <c r="N120" s="153"/>
      <c r="O120" s="153"/>
      <c r="P120" s="152"/>
      <c r="Q120" s="152"/>
      <c r="R120" s="153"/>
      <c r="S120" s="154"/>
      <c r="T120" s="115"/>
    </row>
    <row r="121" spans="1:20">
      <c r="A121" t="s">
        <v>1231</v>
      </c>
      <c r="B121" t="s">
        <v>71</v>
      </c>
      <c r="C121" t="s">
        <v>56</v>
      </c>
      <c r="D121" t="s">
        <v>201</v>
      </c>
      <c r="E121" t="s">
        <v>1709</v>
      </c>
      <c r="F121" s="121">
        <v>344000</v>
      </c>
      <c r="G121" s="121">
        <v>344000</v>
      </c>
      <c r="H121" t="s">
        <v>1710</v>
      </c>
      <c r="I121" s="156">
        <v>40693</v>
      </c>
      <c r="K121" s="153"/>
      <c r="L121" s="153"/>
      <c r="M121" s="153"/>
      <c r="N121" s="153"/>
      <c r="O121" s="153"/>
      <c r="P121" s="152"/>
      <c r="Q121" s="152"/>
      <c r="R121" s="153"/>
      <c r="S121" s="154"/>
      <c r="T121" s="115"/>
    </row>
    <row r="122" spans="1:20">
      <c r="A122" t="s">
        <v>1230</v>
      </c>
      <c r="B122" t="s">
        <v>72</v>
      </c>
      <c r="C122" t="s">
        <v>37</v>
      </c>
      <c r="D122" t="s">
        <v>115</v>
      </c>
      <c r="E122" t="s">
        <v>1711</v>
      </c>
      <c r="F122" s="121">
        <v>115000</v>
      </c>
      <c r="G122" s="121">
        <v>109329.35</v>
      </c>
      <c r="H122" t="s">
        <v>1712</v>
      </c>
      <c r="I122" s="156">
        <v>35430</v>
      </c>
      <c r="K122" s="153"/>
      <c r="L122" s="153"/>
      <c r="M122" s="153"/>
      <c r="N122" s="153"/>
      <c r="O122" s="153"/>
      <c r="P122" s="152"/>
      <c r="Q122" s="152"/>
      <c r="R122" s="153"/>
      <c r="S122" s="154"/>
      <c r="T122" s="115"/>
    </row>
    <row r="123" spans="1:20">
      <c r="A123" t="s">
        <v>1230</v>
      </c>
      <c r="B123" t="s">
        <v>72</v>
      </c>
      <c r="C123" t="s">
        <v>59</v>
      </c>
      <c r="D123" t="s">
        <v>219</v>
      </c>
      <c r="E123" t="s">
        <v>1713</v>
      </c>
      <c r="F123" s="121">
        <v>61200</v>
      </c>
      <c r="G123" s="121">
        <v>40891</v>
      </c>
      <c r="H123" t="s">
        <v>1714</v>
      </c>
      <c r="I123" s="156">
        <v>38289</v>
      </c>
      <c r="K123" s="153"/>
      <c r="L123" s="153"/>
      <c r="M123" s="153"/>
      <c r="N123" s="153"/>
      <c r="O123" s="153"/>
      <c r="P123" s="152"/>
      <c r="Q123" s="152"/>
      <c r="R123" s="153"/>
      <c r="S123" s="154"/>
      <c r="T123" s="115"/>
    </row>
    <row r="124" spans="1:20">
      <c r="A124" t="s">
        <v>1230</v>
      </c>
      <c r="B124" t="s">
        <v>72</v>
      </c>
      <c r="C124" t="s">
        <v>49</v>
      </c>
      <c r="D124" t="s">
        <v>341</v>
      </c>
      <c r="E124" t="s">
        <v>1715</v>
      </c>
      <c r="F124" s="121">
        <v>10250</v>
      </c>
      <c r="G124" s="121">
        <v>9527.5</v>
      </c>
      <c r="H124" t="s">
        <v>336</v>
      </c>
      <c r="I124" s="156">
        <v>38717</v>
      </c>
      <c r="K124" s="153"/>
      <c r="L124" s="153"/>
      <c r="M124" s="153"/>
      <c r="N124" s="153"/>
      <c r="O124" s="153"/>
      <c r="P124" s="152"/>
      <c r="Q124" s="152"/>
      <c r="R124" s="153"/>
      <c r="S124" s="154"/>
      <c r="T124" s="115"/>
    </row>
    <row r="125" spans="1:20">
      <c r="A125" t="s">
        <v>1230</v>
      </c>
      <c r="B125" t="s">
        <v>72</v>
      </c>
      <c r="C125" t="s">
        <v>49</v>
      </c>
      <c r="D125" t="s">
        <v>345</v>
      </c>
      <c r="E125" t="s">
        <v>1716</v>
      </c>
      <c r="F125" s="121">
        <v>26190</v>
      </c>
      <c r="G125" s="121">
        <v>23175</v>
      </c>
      <c r="H125" t="s">
        <v>336</v>
      </c>
      <c r="I125" s="156">
        <v>39813</v>
      </c>
      <c r="K125" s="153"/>
      <c r="L125" s="153"/>
      <c r="M125" s="153"/>
      <c r="N125" s="153"/>
      <c r="O125" s="153"/>
      <c r="P125" s="152"/>
      <c r="Q125" s="152"/>
      <c r="R125" s="153"/>
      <c r="S125" s="154"/>
      <c r="T125" s="115"/>
    </row>
    <row r="126" spans="1:20">
      <c r="A126" t="s">
        <v>1230</v>
      </c>
      <c r="B126" t="s">
        <v>72</v>
      </c>
      <c r="C126" t="s">
        <v>49</v>
      </c>
      <c r="D126" t="s">
        <v>346</v>
      </c>
      <c r="E126" t="s">
        <v>1717</v>
      </c>
      <c r="F126" s="121">
        <v>17000</v>
      </c>
      <c r="G126" s="121">
        <v>16068</v>
      </c>
      <c r="H126" t="s">
        <v>1718</v>
      </c>
      <c r="I126" s="156">
        <v>39813</v>
      </c>
      <c r="K126" s="153"/>
      <c r="L126" s="153"/>
      <c r="M126" s="153"/>
      <c r="N126" s="153"/>
      <c r="O126" s="153"/>
      <c r="P126" s="152"/>
      <c r="Q126" s="152"/>
      <c r="R126" s="153"/>
      <c r="S126" s="154"/>
      <c r="T126" s="115"/>
    </row>
    <row r="127" spans="1:20">
      <c r="A127" t="s">
        <v>1230</v>
      </c>
      <c r="B127" t="s">
        <v>72</v>
      </c>
      <c r="C127" t="s">
        <v>39</v>
      </c>
      <c r="D127" t="s">
        <v>137</v>
      </c>
      <c r="E127" t="s">
        <v>1719</v>
      </c>
      <c r="F127" s="121">
        <v>60255</v>
      </c>
      <c r="G127" s="121">
        <v>60255</v>
      </c>
      <c r="H127" t="s">
        <v>1720</v>
      </c>
      <c r="I127" s="156">
        <v>41089</v>
      </c>
      <c r="K127" s="153"/>
      <c r="L127" s="153"/>
      <c r="M127" s="153"/>
      <c r="N127" s="153"/>
      <c r="O127" s="153"/>
      <c r="P127" s="152"/>
      <c r="Q127" s="152"/>
      <c r="R127" s="153"/>
      <c r="S127" s="154"/>
      <c r="T127" s="115"/>
    </row>
    <row r="128" spans="1:20">
      <c r="A128" t="s">
        <v>1230</v>
      </c>
      <c r="B128" t="s">
        <v>72</v>
      </c>
      <c r="C128" t="s">
        <v>39</v>
      </c>
      <c r="D128" t="s">
        <v>138</v>
      </c>
      <c r="E128" t="s">
        <v>1721</v>
      </c>
      <c r="F128" s="121">
        <v>48750</v>
      </c>
      <c r="G128" s="121">
        <v>60255</v>
      </c>
      <c r="H128" t="s">
        <v>1722</v>
      </c>
      <c r="I128" s="156">
        <v>40186</v>
      </c>
      <c r="K128" s="153"/>
      <c r="L128" s="153"/>
      <c r="M128" s="153"/>
      <c r="N128" s="153"/>
      <c r="O128" s="153"/>
      <c r="P128" s="152"/>
      <c r="Q128" s="152"/>
      <c r="R128" s="153"/>
      <c r="S128" s="154"/>
      <c r="T128" s="115"/>
    </row>
    <row r="129" spans="1:20">
      <c r="A129" t="s">
        <v>1230</v>
      </c>
      <c r="B129" t="s">
        <v>72</v>
      </c>
      <c r="C129" t="s">
        <v>62</v>
      </c>
      <c r="D129" t="s">
        <v>238</v>
      </c>
      <c r="E129" t="s">
        <v>1723</v>
      </c>
      <c r="F129" s="121">
        <v>440100</v>
      </c>
      <c r="G129" s="121">
        <v>422300</v>
      </c>
      <c r="H129" t="s">
        <v>1724</v>
      </c>
      <c r="I129" s="156">
        <v>40847</v>
      </c>
      <c r="K129" s="153"/>
      <c r="L129" s="153"/>
      <c r="M129" s="153"/>
      <c r="N129" s="153"/>
      <c r="O129" s="153"/>
      <c r="P129" s="152"/>
      <c r="Q129" s="152"/>
      <c r="R129" s="153"/>
      <c r="S129" s="154"/>
      <c r="T129" s="115"/>
    </row>
    <row r="130" spans="1:20">
      <c r="A130" t="s">
        <v>1230</v>
      </c>
      <c r="B130" t="s">
        <v>72</v>
      </c>
      <c r="C130" t="s">
        <v>62</v>
      </c>
      <c r="D130" t="s">
        <v>238</v>
      </c>
      <c r="E130" t="s">
        <v>1725</v>
      </c>
      <c r="F130" s="121">
        <v>440100</v>
      </c>
      <c r="G130" s="121">
        <v>422300</v>
      </c>
      <c r="H130" t="s">
        <v>1726</v>
      </c>
      <c r="I130" s="156">
        <v>40847</v>
      </c>
      <c r="K130" s="153"/>
      <c r="L130" s="153"/>
      <c r="M130" s="153"/>
      <c r="N130" s="153"/>
      <c r="O130" s="153"/>
      <c r="P130" s="152"/>
      <c r="Q130" s="152"/>
      <c r="R130" s="153"/>
      <c r="S130" s="154"/>
      <c r="T130" s="151"/>
    </row>
    <row r="131" spans="1:20">
      <c r="A131" t="s">
        <v>1230</v>
      </c>
      <c r="B131" t="s">
        <v>1012</v>
      </c>
      <c r="C131" t="s">
        <v>33</v>
      </c>
      <c r="D131" t="s">
        <v>7107</v>
      </c>
      <c r="E131" t="s">
        <v>7108</v>
      </c>
      <c r="F131" s="121">
        <v>488788</v>
      </c>
      <c r="G131" s="121">
        <v>488788</v>
      </c>
      <c r="H131" t="s">
        <v>7109</v>
      </c>
      <c r="I131" s="156">
        <v>42369</v>
      </c>
      <c r="K131" s="153"/>
      <c r="L131" s="153"/>
      <c r="M131" s="153"/>
      <c r="N131" s="153"/>
      <c r="O131" s="153"/>
      <c r="P131" s="152"/>
      <c r="Q131" s="152"/>
      <c r="R131" s="153"/>
      <c r="S131" s="154"/>
      <c r="T131" s="115"/>
    </row>
    <row r="132" spans="1:20">
      <c r="A132" t="s">
        <v>1230</v>
      </c>
      <c r="B132" t="s">
        <v>72</v>
      </c>
      <c r="C132" t="s">
        <v>46</v>
      </c>
      <c r="D132" t="s">
        <v>174</v>
      </c>
      <c r="E132" t="s">
        <v>1727</v>
      </c>
      <c r="F132" s="121">
        <v>13900</v>
      </c>
      <c r="G132" s="121">
        <v>12720.5</v>
      </c>
      <c r="H132" t="s">
        <v>1728</v>
      </c>
      <c r="I132" s="156">
        <v>38352</v>
      </c>
      <c r="K132" s="153"/>
      <c r="L132" s="153"/>
      <c r="M132" s="153"/>
      <c r="N132" s="153"/>
      <c r="O132" s="153"/>
      <c r="P132" s="152"/>
      <c r="Q132" s="152"/>
      <c r="R132" s="153"/>
      <c r="S132" s="154"/>
      <c r="T132" s="115"/>
    </row>
    <row r="133" spans="1:20">
      <c r="A133" t="s">
        <v>1230</v>
      </c>
      <c r="B133" t="s">
        <v>72</v>
      </c>
      <c r="C133" t="s">
        <v>46</v>
      </c>
      <c r="D133" t="s">
        <v>175</v>
      </c>
      <c r="E133" t="s">
        <v>1729</v>
      </c>
      <c r="F133" s="121">
        <v>24200</v>
      </c>
      <c r="G133" s="121">
        <v>25492.5</v>
      </c>
      <c r="H133" t="s">
        <v>1730</v>
      </c>
      <c r="I133" s="156">
        <v>37816</v>
      </c>
      <c r="K133" s="153"/>
      <c r="L133" s="153"/>
      <c r="M133" s="153"/>
      <c r="N133" s="153"/>
      <c r="O133" s="153"/>
      <c r="P133" s="152"/>
      <c r="Q133" s="152"/>
      <c r="R133" s="153"/>
      <c r="S133" s="154"/>
      <c r="T133" s="115"/>
    </row>
    <row r="134" spans="1:20">
      <c r="A134" t="s">
        <v>1230</v>
      </c>
      <c r="B134" t="s">
        <v>72</v>
      </c>
      <c r="C134" t="s">
        <v>66</v>
      </c>
      <c r="D134" t="s">
        <v>267</v>
      </c>
      <c r="E134" t="s">
        <v>1731</v>
      </c>
      <c r="F134" s="121">
        <v>66800</v>
      </c>
      <c r="G134" s="121">
        <v>19055</v>
      </c>
      <c r="H134" t="s">
        <v>1732</v>
      </c>
      <c r="I134" s="156">
        <v>36891</v>
      </c>
      <c r="K134" s="153"/>
      <c r="L134" s="153"/>
      <c r="M134" s="153"/>
      <c r="N134" s="153"/>
      <c r="O134" s="153"/>
      <c r="P134" s="152"/>
      <c r="Q134" s="152"/>
      <c r="R134" s="153"/>
      <c r="S134" s="154"/>
      <c r="T134" s="115"/>
    </row>
    <row r="135" spans="1:20">
      <c r="A135" t="s">
        <v>1230</v>
      </c>
      <c r="B135" t="s">
        <v>72</v>
      </c>
      <c r="C135" t="s">
        <v>62</v>
      </c>
      <c r="D135" t="s">
        <v>241</v>
      </c>
      <c r="E135" t="s">
        <v>1733</v>
      </c>
      <c r="F135" s="121">
        <v>2266</v>
      </c>
      <c r="G135" s="121">
        <v>2266</v>
      </c>
      <c r="H135" t="s">
        <v>336</v>
      </c>
      <c r="I135" s="156">
        <v>41089</v>
      </c>
      <c r="K135" s="153"/>
      <c r="L135" s="153"/>
      <c r="M135" s="153"/>
      <c r="N135" s="153"/>
      <c r="O135" s="153"/>
      <c r="P135" s="152"/>
      <c r="Q135" s="152"/>
      <c r="R135" s="153"/>
      <c r="S135" s="154"/>
      <c r="T135" s="115"/>
    </row>
    <row r="136" spans="1:20">
      <c r="A136" t="s">
        <v>1230</v>
      </c>
      <c r="B136" t="s">
        <v>72</v>
      </c>
      <c r="C136" t="s">
        <v>39</v>
      </c>
      <c r="D136" t="s">
        <v>139</v>
      </c>
      <c r="E136" t="s">
        <v>1734</v>
      </c>
      <c r="F136" s="121">
        <v>15000</v>
      </c>
      <c r="G136" s="121">
        <v>19055</v>
      </c>
      <c r="H136" t="s">
        <v>1735</v>
      </c>
      <c r="I136" s="156">
        <v>38717</v>
      </c>
      <c r="K136" s="153"/>
      <c r="L136" s="153"/>
      <c r="M136" s="153"/>
      <c r="N136" s="153"/>
      <c r="O136" s="153"/>
      <c r="P136" s="152"/>
      <c r="Q136" s="152"/>
      <c r="R136" s="153"/>
      <c r="S136" s="154"/>
      <c r="T136" s="115"/>
    </row>
    <row r="137" spans="1:20">
      <c r="A137" t="s">
        <v>1230</v>
      </c>
      <c r="B137" t="s">
        <v>72</v>
      </c>
      <c r="C137" t="s">
        <v>49</v>
      </c>
      <c r="D137" t="s">
        <v>7099</v>
      </c>
      <c r="E137" t="s">
        <v>7110</v>
      </c>
      <c r="F137" s="121">
        <v>2575</v>
      </c>
      <c r="G137" s="121">
        <v>2575</v>
      </c>
      <c r="H137" t="s">
        <v>336</v>
      </c>
      <c r="I137" s="156">
        <v>41089</v>
      </c>
      <c r="K137" s="153"/>
      <c r="L137" s="153"/>
      <c r="M137" s="153"/>
      <c r="N137" s="153"/>
      <c r="O137" s="153"/>
      <c r="P137" s="152"/>
      <c r="Q137" s="152"/>
      <c r="R137" s="153"/>
      <c r="S137" s="154"/>
      <c r="T137" s="115"/>
    </row>
    <row r="138" spans="1:20">
      <c r="A138" t="s">
        <v>1230</v>
      </c>
      <c r="B138" t="s">
        <v>72</v>
      </c>
      <c r="C138" t="s">
        <v>62</v>
      </c>
      <c r="D138" t="s">
        <v>238</v>
      </c>
      <c r="E138" t="s">
        <v>1736</v>
      </c>
      <c r="F138" s="121">
        <v>340600.4</v>
      </c>
      <c r="G138" s="121">
        <v>300352</v>
      </c>
      <c r="H138" t="s">
        <v>1737</v>
      </c>
      <c r="I138" s="156">
        <v>40854</v>
      </c>
      <c r="K138" s="153"/>
      <c r="L138" s="153"/>
      <c r="M138" s="153"/>
      <c r="N138" s="153"/>
      <c r="O138" s="153"/>
      <c r="P138" s="152"/>
      <c r="Q138" s="152"/>
      <c r="R138" s="153"/>
      <c r="S138" s="154"/>
      <c r="T138" s="115"/>
    </row>
    <row r="139" spans="1:20">
      <c r="A139" t="s">
        <v>1230</v>
      </c>
      <c r="B139" t="s">
        <v>72</v>
      </c>
      <c r="C139" t="s">
        <v>49</v>
      </c>
      <c r="D139" t="s">
        <v>7111</v>
      </c>
      <c r="E139" t="s">
        <v>7112</v>
      </c>
      <c r="F139" s="121">
        <v>824</v>
      </c>
      <c r="G139" s="121">
        <v>824</v>
      </c>
      <c r="H139" t="s">
        <v>7113</v>
      </c>
      <c r="I139" s="156">
        <v>41089</v>
      </c>
      <c r="K139" s="153"/>
      <c r="L139" s="153"/>
      <c r="M139" s="153"/>
      <c r="N139" s="153"/>
      <c r="O139" s="153"/>
      <c r="P139" s="152"/>
      <c r="Q139" s="152"/>
      <c r="R139" s="153"/>
      <c r="S139" s="154"/>
      <c r="T139" s="115"/>
    </row>
    <row r="140" spans="1:20">
      <c r="A140" t="s">
        <v>1230</v>
      </c>
      <c r="B140" t="s">
        <v>72</v>
      </c>
      <c r="C140" t="s">
        <v>49</v>
      </c>
      <c r="D140" t="s">
        <v>347</v>
      </c>
      <c r="E140" t="s">
        <v>1738</v>
      </c>
      <c r="F140" s="121">
        <v>11330</v>
      </c>
      <c r="G140" s="121">
        <v>11330</v>
      </c>
      <c r="H140" t="s">
        <v>336</v>
      </c>
      <c r="I140" s="156">
        <v>41089</v>
      </c>
      <c r="K140" s="153"/>
      <c r="L140" s="153"/>
      <c r="M140" s="153"/>
      <c r="N140" s="153"/>
      <c r="O140" s="153"/>
      <c r="P140" s="152"/>
      <c r="Q140" s="152"/>
      <c r="R140" s="153"/>
      <c r="S140" s="154"/>
      <c r="T140" s="115"/>
    </row>
    <row r="141" spans="1:20">
      <c r="A141" t="s">
        <v>1230</v>
      </c>
      <c r="B141" t="s">
        <v>72</v>
      </c>
      <c r="C141" t="s">
        <v>46</v>
      </c>
      <c r="D141" t="s">
        <v>175</v>
      </c>
      <c r="E141" t="s">
        <v>1739</v>
      </c>
      <c r="F141" s="121">
        <v>27228.05</v>
      </c>
      <c r="G141" s="121">
        <v>27228.05</v>
      </c>
      <c r="H141" t="s">
        <v>1740</v>
      </c>
      <c r="I141" s="156">
        <v>41089</v>
      </c>
      <c r="K141" s="153"/>
      <c r="L141" s="153"/>
      <c r="M141" s="153"/>
      <c r="N141" s="153"/>
      <c r="O141" s="153"/>
      <c r="P141" s="150"/>
      <c r="Q141" s="150"/>
      <c r="R141" s="153"/>
      <c r="S141" s="154"/>
      <c r="T141" s="115"/>
    </row>
    <row r="142" spans="1:20">
      <c r="A142" t="s">
        <v>1230</v>
      </c>
      <c r="B142" t="s">
        <v>72</v>
      </c>
      <c r="C142" t="s">
        <v>61</v>
      </c>
      <c r="D142" t="s">
        <v>237</v>
      </c>
      <c r="E142" t="s">
        <v>1741</v>
      </c>
      <c r="F142" s="121">
        <v>65000</v>
      </c>
      <c r="G142" s="121">
        <v>56959</v>
      </c>
      <c r="H142" t="s">
        <v>1742</v>
      </c>
      <c r="I142" s="156">
        <v>39082</v>
      </c>
      <c r="K142" s="153"/>
      <c r="L142" s="153"/>
      <c r="M142" s="153"/>
      <c r="N142" s="153"/>
      <c r="O142" s="153"/>
      <c r="P142" s="152"/>
      <c r="Q142" s="152"/>
      <c r="R142" s="153"/>
      <c r="S142" s="154"/>
      <c r="T142" s="115"/>
    </row>
    <row r="143" spans="1:20">
      <c r="A143" t="s">
        <v>1230</v>
      </c>
      <c r="B143" t="s">
        <v>72</v>
      </c>
      <c r="C143" t="s">
        <v>61</v>
      </c>
      <c r="D143" t="s">
        <v>237</v>
      </c>
      <c r="E143" t="s">
        <v>1743</v>
      </c>
      <c r="F143" s="121">
        <v>65000</v>
      </c>
      <c r="G143" s="121">
        <v>56959</v>
      </c>
      <c r="H143" t="s">
        <v>1744</v>
      </c>
      <c r="I143" s="156">
        <v>39082</v>
      </c>
      <c r="K143" s="153"/>
      <c r="L143" s="153"/>
      <c r="M143" s="153"/>
      <c r="N143" s="153"/>
      <c r="O143" s="153"/>
      <c r="P143" s="152"/>
      <c r="Q143" s="152"/>
      <c r="R143" s="153"/>
      <c r="S143" s="154"/>
      <c r="T143" s="115"/>
    </row>
    <row r="144" spans="1:20">
      <c r="A144" t="s">
        <v>1230</v>
      </c>
      <c r="B144" t="s">
        <v>72</v>
      </c>
      <c r="C144" t="s">
        <v>61</v>
      </c>
      <c r="D144" t="s">
        <v>237</v>
      </c>
      <c r="E144" t="s">
        <v>1745</v>
      </c>
      <c r="F144" s="121">
        <v>60000</v>
      </c>
      <c r="G144" s="121">
        <v>42848</v>
      </c>
      <c r="H144" t="s">
        <v>1746</v>
      </c>
      <c r="I144" s="156">
        <v>39082</v>
      </c>
      <c r="K144" s="153"/>
      <c r="L144" s="153"/>
      <c r="M144" s="153"/>
      <c r="N144" s="153"/>
      <c r="O144" s="153"/>
      <c r="P144" s="152"/>
      <c r="Q144" s="152"/>
      <c r="R144" s="153"/>
      <c r="S144" s="154"/>
      <c r="T144" s="115"/>
    </row>
    <row r="145" spans="1:20">
      <c r="A145" t="s">
        <v>1230</v>
      </c>
      <c r="B145" t="s">
        <v>72</v>
      </c>
      <c r="C145" t="s">
        <v>61</v>
      </c>
      <c r="D145" t="s">
        <v>237</v>
      </c>
      <c r="E145" t="s">
        <v>1747</v>
      </c>
      <c r="F145" s="121">
        <v>45000</v>
      </c>
      <c r="G145" s="121">
        <v>46350</v>
      </c>
      <c r="H145" t="s">
        <v>1748</v>
      </c>
      <c r="I145" s="156">
        <v>37565</v>
      </c>
      <c r="K145" s="153"/>
      <c r="L145" s="153"/>
      <c r="M145" s="153"/>
      <c r="N145" s="153"/>
      <c r="O145" s="153"/>
      <c r="P145" s="152"/>
      <c r="Q145" s="152"/>
      <c r="R145" s="153"/>
      <c r="S145" s="154"/>
      <c r="T145" s="115"/>
    </row>
    <row r="146" spans="1:20">
      <c r="A146" t="s">
        <v>1230</v>
      </c>
      <c r="B146" t="s">
        <v>72</v>
      </c>
      <c r="C146" t="s">
        <v>61</v>
      </c>
      <c r="D146" t="s">
        <v>237</v>
      </c>
      <c r="E146" t="s">
        <v>1749</v>
      </c>
      <c r="F146" s="121">
        <v>65000</v>
      </c>
      <c r="G146" s="121">
        <v>56959</v>
      </c>
      <c r="H146" t="s">
        <v>1750</v>
      </c>
      <c r="I146" s="156">
        <v>39082</v>
      </c>
      <c r="K146" s="153"/>
      <c r="L146" s="153"/>
      <c r="M146" s="153"/>
      <c r="N146" s="153"/>
      <c r="O146" s="153"/>
      <c r="P146" s="152"/>
      <c r="Q146" s="152"/>
      <c r="R146" s="153"/>
      <c r="S146" s="154"/>
      <c r="T146" s="115"/>
    </row>
    <row r="147" spans="1:20">
      <c r="A147" t="s">
        <v>1230</v>
      </c>
      <c r="B147" t="s">
        <v>72</v>
      </c>
      <c r="C147" t="s">
        <v>39</v>
      </c>
      <c r="D147" t="s">
        <v>140</v>
      </c>
      <c r="E147" t="s">
        <v>1751</v>
      </c>
      <c r="F147" s="121">
        <v>42000</v>
      </c>
      <c r="G147" s="121">
        <v>25832.400000000001</v>
      </c>
      <c r="H147" t="s">
        <v>1752</v>
      </c>
      <c r="I147" s="156">
        <v>37256</v>
      </c>
      <c r="K147" s="153"/>
      <c r="L147" s="153"/>
      <c r="M147" s="153"/>
      <c r="N147" s="153"/>
      <c r="O147" s="153"/>
      <c r="P147" s="152"/>
      <c r="Q147" s="152"/>
      <c r="R147" s="153"/>
      <c r="S147" s="154"/>
      <c r="T147" s="115"/>
    </row>
    <row r="148" spans="1:20">
      <c r="A148" t="s">
        <v>1230</v>
      </c>
      <c r="B148" t="s">
        <v>72</v>
      </c>
      <c r="C148" t="s">
        <v>61</v>
      </c>
      <c r="D148" t="s">
        <v>236</v>
      </c>
      <c r="E148" t="s">
        <v>1753</v>
      </c>
      <c r="F148" s="121">
        <v>65000</v>
      </c>
      <c r="G148" s="121">
        <v>42848</v>
      </c>
      <c r="H148" t="s">
        <v>1754</v>
      </c>
      <c r="I148" s="156">
        <v>39082</v>
      </c>
      <c r="K148" s="153"/>
      <c r="L148" s="153"/>
      <c r="M148" s="153"/>
      <c r="N148" s="153"/>
      <c r="O148" s="153"/>
      <c r="P148" s="152"/>
      <c r="Q148" s="152"/>
      <c r="R148" s="153"/>
      <c r="S148" s="154"/>
      <c r="T148" s="115"/>
    </row>
    <row r="149" spans="1:20">
      <c r="A149" t="s">
        <v>1230</v>
      </c>
      <c r="B149" t="s">
        <v>72</v>
      </c>
      <c r="C149" t="s">
        <v>61</v>
      </c>
      <c r="D149" t="s">
        <v>237</v>
      </c>
      <c r="E149" t="s">
        <v>1755</v>
      </c>
      <c r="F149" s="121">
        <v>56000</v>
      </c>
      <c r="G149" s="121">
        <v>47380</v>
      </c>
      <c r="H149" t="s">
        <v>1756</v>
      </c>
      <c r="I149" s="156">
        <v>38717</v>
      </c>
      <c r="K149" s="153"/>
      <c r="L149" s="153"/>
      <c r="M149" s="153"/>
      <c r="N149" s="153"/>
      <c r="O149" s="153"/>
      <c r="P149" s="152"/>
      <c r="Q149" s="152"/>
      <c r="R149" s="153"/>
      <c r="S149" s="154"/>
      <c r="T149" s="115"/>
    </row>
    <row r="150" spans="1:20">
      <c r="A150" t="s">
        <v>1230</v>
      </c>
      <c r="B150" t="s">
        <v>72</v>
      </c>
      <c r="C150" t="s">
        <v>61</v>
      </c>
      <c r="D150" t="s">
        <v>237</v>
      </c>
      <c r="E150" t="s">
        <v>1757</v>
      </c>
      <c r="F150" s="121">
        <v>47380</v>
      </c>
      <c r="G150" s="121">
        <v>47380</v>
      </c>
      <c r="H150" t="s">
        <v>1758</v>
      </c>
      <c r="I150" s="156">
        <v>41089</v>
      </c>
      <c r="K150" s="153"/>
      <c r="L150" s="153"/>
      <c r="M150" s="153"/>
      <c r="N150" s="153"/>
      <c r="O150" s="153"/>
      <c r="P150" s="152"/>
      <c r="Q150" s="152"/>
      <c r="R150" s="153"/>
      <c r="S150" s="154"/>
      <c r="T150" s="115"/>
    </row>
    <row r="151" spans="1:20">
      <c r="A151" t="s">
        <v>1230</v>
      </c>
      <c r="B151" t="s">
        <v>72</v>
      </c>
      <c r="C151" t="s">
        <v>51</v>
      </c>
      <c r="D151" t="s">
        <v>348</v>
      </c>
      <c r="E151" t="s">
        <v>1759</v>
      </c>
      <c r="F151" s="121">
        <v>4326</v>
      </c>
      <c r="G151" s="121">
        <v>4326</v>
      </c>
      <c r="H151" t="s">
        <v>336</v>
      </c>
      <c r="I151" s="156">
        <v>41089</v>
      </c>
      <c r="K151" s="153"/>
      <c r="L151" s="153"/>
      <c r="M151" s="153"/>
      <c r="N151" s="153"/>
      <c r="O151" s="153"/>
      <c r="P151" s="152"/>
      <c r="Q151" s="152"/>
      <c r="R151" s="153"/>
      <c r="S151" s="154"/>
      <c r="T151" s="115"/>
    </row>
    <row r="152" spans="1:20">
      <c r="A152" t="s">
        <v>1230</v>
      </c>
      <c r="B152" t="s">
        <v>72</v>
      </c>
      <c r="C152" t="s">
        <v>61</v>
      </c>
      <c r="D152" t="s">
        <v>237</v>
      </c>
      <c r="E152" t="s">
        <v>1760</v>
      </c>
      <c r="F152" s="121">
        <v>55671.5</v>
      </c>
      <c r="G152" s="121">
        <v>55671.5</v>
      </c>
      <c r="H152" t="s">
        <v>1761</v>
      </c>
      <c r="I152" s="156">
        <v>41089</v>
      </c>
      <c r="K152" s="153"/>
      <c r="L152" s="153"/>
      <c r="M152" s="153"/>
      <c r="N152" s="153"/>
      <c r="O152" s="153"/>
      <c r="P152" s="152"/>
      <c r="Q152" s="152"/>
      <c r="R152" s="153"/>
      <c r="S152" s="154"/>
      <c r="T152" s="115"/>
    </row>
    <row r="153" spans="1:20">
      <c r="A153" t="s">
        <v>1230</v>
      </c>
      <c r="B153" t="s">
        <v>72</v>
      </c>
      <c r="C153" t="s">
        <v>61</v>
      </c>
      <c r="D153" t="s">
        <v>237</v>
      </c>
      <c r="E153" t="s">
        <v>1762</v>
      </c>
      <c r="F153" s="121">
        <v>63000</v>
      </c>
      <c r="G153" s="121">
        <v>60255</v>
      </c>
      <c r="H153" t="s">
        <v>1763</v>
      </c>
      <c r="I153" s="156">
        <v>39813</v>
      </c>
      <c r="K153" s="153"/>
      <c r="L153" s="153"/>
      <c r="M153" s="153"/>
      <c r="N153" s="153"/>
      <c r="O153" s="153"/>
      <c r="P153" s="152"/>
      <c r="Q153" s="152"/>
      <c r="R153" s="153"/>
      <c r="S153" s="154"/>
      <c r="T153" s="115"/>
    </row>
    <row r="154" spans="1:20">
      <c r="A154" t="s">
        <v>1230</v>
      </c>
      <c r="B154" t="s">
        <v>72</v>
      </c>
      <c r="C154" t="s">
        <v>61</v>
      </c>
      <c r="D154" t="s">
        <v>237</v>
      </c>
      <c r="E154" t="s">
        <v>1764</v>
      </c>
      <c r="F154" s="121">
        <v>63000</v>
      </c>
      <c r="G154" s="121">
        <v>60255</v>
      </c>
      <c r="H154" t="s">
        <v>1765</v>
      </c>
      <c r="I154" s="156">
        <v>39082</v>
      </c>
      <c r="K154" s="153"/>
      <c r="L154" s="153"/>
      <c r="M154" s="153"/>
      <c r="N154" s="153"/>
      <c r="O154" s="153"/>
      <c r="P154" s="152"/>
      <c r="Q154" s="152"/>
      <c r="R154" s="153"/>
      <c r="S154" s="154"/>
      <c r="T154" s="115"/>
    </row>
    <row r="155" spans="1:20">
      <c r="A155" t="s">
        <v>1230</v>
      </c>
      <c r="B155" t="s">
        <v>72</v>
      </c>
      <c r="C155" t="s">
        <v>62</v>
      </c>
      <c r="D155" t="s">
        <v>238</v>
      </c>
      <c r="E155" t="s">
        <v>1766</v>
      </c>
      <c r="F155" s="121">
        <v>440100</v>
      </c>
      <c r="G155" s="121">
        <v>422300</v>
      </c>
      <c r="H155" t="s">
        <v>1767</v>
      </c>
      <c r="I155" s="156">
        <v>40847</v>
      </c>
      <c r="K155" s="153"/>
      <c r="L155" s="153"/>
      <c r="M155" s="153"/>
      <c r="N155" s="153"/>
      <c r="O155" s="153"/>
      <c r="P155" s="152"/>
      <c r="Q155" s="152"/>
      <c r="R155" s="153"/>
      <c r="S155" s="154"/>
      <c r="T155" s="115"/>
    </row>
    <row r="156" spans="1:20">
      <c r="A156" t="s">
        <v>1230</v>
      </c>
      <c r="B156" t="s">
        <v>72</v>
      </c>
      <c r="C156" t="s">
        <v>49</v>
      </c>
      <c r="D156" t="s">
        <v>349</v>
      </c>
      <c r="E156" t="s">
        <v>1768</v>
      </c>
      <c r="F156" s="121">
        <v>500</v>
      </c>
      <c r="G156" s="121">
        <v>1236</v>
      </c>
      <c r="H156" t="s">
        <v>1769</v>
      </c>
      <c r="I156" s="156">
        <v>39082</v>
      </c>
      <c r="K156" s="153"/>
      <c r="L156" s="153"/>
      <c r="M156" s="153"/>
      <c r="N156" s="153"/>
      <c r="O156" s="153"/>
      <c r="P156" s="152"/>
      <c r="Q156" s="152"/>
      <c r="R156" s="153"/>
      <c r="S156" s="154"/>
      <c r="T156" s="115"/>
    </row>
    <row r="157" spans="1:20">
      <c r="A157" t="s">
        <v>1230</v>
      </c>
      <c r="B157" t="s">
        <v>72</v>
      </c>
      <c r="C157" t="s">
        <v>49</v>
      </c>
      <c r="D157" t="s">
        <v>349</v>
      </c>
      <c r="E157" t="s">
        <v>1770</v>
      </c>
      <c r="F157" s="121">
        <v>18000</v>
      </c>
      <c r="G157" s="121">
        <v>1133</v>
      </c>
      <c r="H157" t="s">
        <v>336</v>
      </c>
      <c r="I157" s="156">
        <v>36891</v>
      </c>
      <c r="K157" s="153"/>
      <c r="L157" s="153"/>
      <c r="M157" s="153"/>
      <c r="N157" s="153"/>
      <c r="O157" s="153"/>
      <c r="P157" s="152"/>
      <c r="Q157" s="152"/>
      <c r="R157" s="153"/>
      <c r="S157" s="154"/>
      <c r="T157" s="115"/>
    </row>
    <row r="158" spans="1:20">
      <c r="A158" t="s">
        <v>1230</v>
      </c>
      <c r="B158" t="s">
        <v>72</v>
      </c>
      <c r="C158" t="s">
        <v>39</v>
      </c>
      <c r="D158" t="s">
        <v>141</v>
      </c>
      <c r="E158" t="s">
        <v>1771</v>
      </c>
      <c r="F158" s="121">
        <v>33475</v>
      </c>
      <c r="G158" s="121">
        <v>33475</v>
      </c>
      <c r="H158" t="s">
        <v>336</v>
      </c>
      <c r="I158" s="156">
        <v>41089</v>
      </c>
      <c r="K158" s="153"/>
      <c r="L158" s="153"/>
      <c r="M158" s="153"/>
      <c r="N158" s="153"/>
      <c r="O158" s="153"/>
      <c r="P158" s="150"/>
      <c r="Q158" s="152"/>
      <c r="R158" s="153"/>
      <c r="S158" s="154"/>
      <c r="T158" s="115"/>
    </row>
    <row r="159" spans="1:20">
      <c r="A159" t="s">
        <v>1230</v>
      </c>
      <c r="B159" t="s">
        <v>72</v>
      </c>
      <c r="C159" t="s">
        <v>39</v>
      </c>
      <c r="D159" t="s">
        <v>141</v>
      </c>
      <c r="E159" t="s">
        <v>1772</v>
      </c>
      <c r="F159" s="121">
        <v>25750</v>
      </c>
      <c r="G159" s="121">
        <v>25750</v>
      </c>
      <c r="H159" t="s">
        <v>336</v>
      </c>
      <c r="I159" s="156">
        <v>41089</v>
      </c>
      <c r="K159" s="153"/>
      <c r="L159" s="153"/>
      <c r="M159" s="153"/>
      <c r="N159" s="153"/>
      <c r="O159" s="153"/>
      <c r="P159" s="152"/>
      <c r="Q159" s="152"/>
      <c r="R159" s="153"/>
      <c r="S159" s="154"/>
      <c r="T159" s="115"/>
    </row>
    <row r="160" spans="1:20">
      <c r="A160" t="s">
        <v>1230</v>
      </c>
      <c r="B160" t="s">
        <v>72</v>
      </c>
      <c r="C160" t="s">
        <v>39</v>
      </c>
      <c r="D160" t="s">
        <v>141</v>
      </c>
      <c r="E160" t="s">
        <v>1773</v>
      </c>
      <c r="F160" s="121">
        <v>25750</v>
      </c>
      <c r="G160" s="121">
        <v>25750</v>
      </c>
      <c r="H160" t="s">
        <v>336</v>
      </c>
      <c r="I160" s="156">
        <v>41089</v>
      </c>
      <c r="K160" s="153"/>
      <c r="L160" s="153"/>
      <c r="M160" s="153"/>
      <c r="N160" s="153"/>
      <c r="O160" s="153"/>
      <c r="P160" s="152"/>
      <c r="Q160" s="152"/>
      <c r="R160" s="153"/>
      <c r="S160" s="154"/>
      <c r="T160" s="115"/>
    </row>
    <row r="161" spans="1:20">
      <c r="A161" t="s">
        <v>1230</v>
      </c>
      <c r="B161" t="s">
        <v>72</v>
      </c>
      <c r="C161" t="s">
        <v>39</v>
      </c>
      <c r="D161" t="s">
        <v>139</v>
      </c>
      <c r="E161" t="s">
        <v>1774</v>
      </c>
      <c r="F161" s="121">
        <v>20000</v>
      </c>
      <c r="G161" s="121">
        <v>17922</v>
      </c>
      <c r="H161" t="s">
        <v>1775</v>
      </c>
      <c r="I161" s="156">
        <v>39082</v>
      </c>
      <c r="K161" s="153"/>
      <c r="L161" s="153"/>
      <c r="M161" s="153"/>
      <c r="N161" s="153"/>
      <c r="O161" s="153"/>
      <c r="P161" s="152"/>
      <c r="Q161" s="152"/>
      <c r="R161" s="153"/>
      <c r="S161" s="154"/>
      <c r="T161" s="115"/>
    </row>
    <row r="162" spans="1:20">
      <c r="A162" t="s">
        <v>1230</v>
      </c>
      <c r="B162" t="s">
        <v>72</v>
      </c>
      <c r="C162" t="s">
        <v>39</v>
      </c>
      <c r="D162" t="s">
        <v>139</v>
      </c>
      <c r="E162" t="s">
        <v>1776</v>
      </c>
      <c r="F162" s="121">
        <v>20000</v>
      </c>
      <c r="G162" s="121">
        <v>21630</v>
      </c>
      <c r="H162" t="s">
        <v>1777</v>
      </c>
      <c r="I162" s="156">
        <v>39082</v>
      </c>
      <c r="K162" s="153"/>
      <c r="L162" s="153"/>
      <c r="M162" s="153"/>
      <c r="N162" s="153"/>
      <c r="O162" s="153"/>
      <c r="P162" s="152"/>
      <c r="Q162" s="152"/>
      <c r="R162" s="153"/>
      <c r="S162" s="154"/>
      <c r="T162" s="115"/>
    </row>
    <row r="163" spans="1:20">
      <c r="A163" t="s">
        <v>1230</v>
      </c>
      <c r="B163" t="s">
        <v>72</v>
      </c>
      <c r="C163" t="s">
        <v>39</v>
      </c>
      <c r="D163" t="s">
        <v>142</v>
      </c>
      <c r="E163" t="s">
        <v>1778</v>
      </c>
      <c r="F163" s="121">
        <v>15000</v>
      </c>
      <c r="G163" s="121">
        <v>16480</v>
      </c>
      <c r="H163" t="s">
        <v>1779</v>
      </c>
      <c r="I163" s="156">
        <v>41086</v>
      </c>
      <c r="K163" s="153"/>
      <c r="L163" s="153"/>
      <c r="M163" s="153"/>
      <c r="N163" s="153"/>
      <c r="O163" s="153"/>
      <c r="P163" s="152"/>
      <c r="Q163" s="152"/>
      <c r="R163" s="153"/>
      <c r="S163" s="154"/>
      <c r="T163" s="115"/>
    </row>
    <row r="164" spans="1:20">
      <c r="A164" t="s">
        <v>1230</v>
      </c>
      <c r="B164" t="s">
        <v>72</v>
      </c>
      <c r="C164" t="s">
        <v>49</v>
      </c>
      <c r="D164" t="s">
        <v>350</v>
      </c>
      <c r="E164" t="s">
        <v>1780</v>
      </c>
      <c r="F164" s="121">
        <v>12875</v>
      </c>
      <c r="G164" s="121">
        <v>12875</v>
      </c>
      <c r="H164" t="s">
        <v>351</v>
      </c>
      <c r="I164" s="156">
        <v>41089</v>
      </c>
      <c r="K164" s="153"/>
      <c r="L164" s="153"/>
      <c r="M164" s="153"/>
      <c r="N164" s="153"/>
      <c r="O164" s="153"/>
      <c r="P164" s="152"/>
      <c r="Q164" s="152"/>
      <c r="R164" s="153"/>
      <c r="S164" s="154"/>
      <c r="T164" s="115"/>
    </row>
    <row r="165" spans="1:20">
      <c r="A165" t="s">
        <v>1230</v>
      </c>
      <c r="B165" t="s">
        <v>72</v>
      </c>
      <c r="C165" t="s">
        <v>61</v>
      </c>
      <c r="D165" t="s">
        <v>237</v>
      </c>
      <c r="E165" t="s">
        <v>1781</v>
      </c>
      <c r="F165" s="121">
        <v>56000</v>
      </c>
      <c r="G165" s="121">
        <v>54281</v>
      </c>
      <c r="H165" t="s">
        <v>1782</v>
      </c>
      <c r="I165" s="156">
        <v>38717</v>
      </c>
      <c r="K165" s="153"/>
      <c r="L165" s="153"/>
      <c r="M165" s="153"/>
      <c r="N165" s="153"/>
      <c r="O165" s="153"/>
      <c r="P165" s="152"/>
      <c r="Q165" s="152"/>
      <c r="R165" s="153"/>
      <c r="S165" s="154"/>
      <c r="T165" s="115"/>
    </row>
    <row r="166" spans="1:20">
      <c r="A166" t="s">
        <v>1230</v>
      </c>
      <c r="B166" t="s">
        <v>72</v>
      </c>
      <c r="C166" t="s">
        <v>39</v>
      </c>
      <c r="D166" t="s">
        <v>143</v>
      </c>
      <c r="E166" t="s">
        <v>1783</v>
      </c>
      <c r="F166" s="121">
        <v>10815</v>
      </c>
      <c r="G166" s="121">
        <v>10815</v>
      </c>
      <c r="H166" t="s">
        <v>336</v>
      </c>
      <c r="I166" s="156">
        <v>41089</v>
      </c>
      <c r="K166" s="153"/>
      <c r="L166" s="153"/>
      <c r="M166" s="153"/>
      <c r="N166" s="153"/>
      <c r="O166" s="153"/>
      <c r="P166" s="152"/>
      <c r="Q166" s="152"/>
      <c r="R166" s="153"/>
      <c r="S166" s="154"/>
      <c r="T166" s="115"/>
    </row>
    <row r="167" spans="1:20">
      <c r="A167" t="s">
        <v>1230</v>
      </c>
      <c r="B167" t="s">
        <v>72</v>
      </c>
      <c r="C167" t="s">
        <v>49</v>
      </c>
      <c r="D167" t="s">
        <v>352</v>
      </c>
      <c r="E167" t="s">
        <v>7114</v>
      </c>
      <c r="F167" s="121">
        <v>78000</v>
      </c>
      <c r="G167" s="121">
        <v>7725</v>
      </c>
      <c r="H167" t="s">
        <v>7115</v>
      </c>
      <c r="I167" s="156">
        <v>37509</v>
      </c>
      <c r="K167" s="153"/>
      <c r="L167" s="153"/>
      <c r="M167" s="153"/>
      <c r="N167" s="153"/>
      <c r="O167" s="153"/>
      <c r="P167" s="152"/>
      <c r="Q167" s="152"/>
      <c r="R167" s="153"/>
      <c r="S167" s="154"/>
      <c r="T167" s="115"/>
    </row>
    <row r="168" spans="1:20">
      <c r="A168" t="s">
        <v>1230</v>
      </c>
      <c r="B168" t="s">
        <v>72</v>
      </c>
      <c r="C168" t="s">
        <v>49</v>
      </c>
      <c r="D168" t="s">
        <v>352</v>
      </c>
      <c r="E168" t="s">
        <v>7116</v>
      </c>
      <c r="F168" s="121">
        <v>90450</v>
      </c>
      <c r="G168" s="121">
        <v>7725</v>
      </c>
      <c r="H168" t="s">
        <v>7117</v>
      </c>
      <c r="I168" s="156">
        <v>37156</v>
      </c>
      <c r="K168" s="153"/>
      <c r="L168" s="153"/>
      <c r="M168" s="153"/>
      <c r="N168" s="153"/>
      <c r="O168" s="153"/>
      <c r="P168" s="152"/>
      <c r="Q168" s="152"/>
      <c r="R168" s="153"/>
      <c r="S168" s="154"/>
      <c r="T168" s="115"/>
    </row>
    <row r="169" spans="1:20">
      <c r="A169" t="s">
        <v>1230</v>
      </c>
      <c r="B169" t="s">
        <v>72</v>
      </c>
      <c r="C169" t="s">
        <v>49</v>
      </c>
      <c r="D169" t="s">
        <v>352</v>
      </c>
      <c r="E169" t="s">
        <v>7118</v>
      </c>
      <c r="F169" s="121">
        <v>7725</v>
      </c>
      <c r="G169" s="121">
        <v>7725</v>
      </c>
      <c r="H169" t="s">
        <v>336</v>
      </c>
      <c r="I169" s="156">
        <v>41089</v>
      </c>
      <c r="K169" s="153"/>
      <c r="L169" s="153"/>
      <c r="M169" s="153"/>
      <c r="N169" s="153"/>
      <c r="O169" s="153"/>
      <c r="P169" s="152"/>
      <c r="Q169" s="152"/>
      <c r="R169" s="153"/>
      <c r="S169" s="154"/>
      <c r="T169" s="115"/>
    </row>
    <row r="170" spans="1:20">
      <c r="A170" t="s">
        <v>1230</v>
      </c>
      <c r="B170" t="s">
        <v>72</v>
      </c>
      <c r="C170" t="s">
        <v>49</v>
      </c>
      <c r="D170" t="s">
        <v>352</v>
      </c>
      <c r="E170" t="s">
        <v>1784</v>
      </c>
      <c r="F170" s="121">
        <v>90450</v>
      </c>
      <c r="G170" s="121">
        <v>7725</v>
      </c>
      <c r="H170" t="s">
        <v>1785</v>
      </c>
      <c r="I170" s="156">
        <v>37156</v>
      </c>
      <c r="K170" s="153"/>
      <c r="L170" s="153"/>
      <c r="M170" s="153"/>
      <c r="N170" s="153"/>
      <c r="O170" s="153"/>
      <c r="P170" s="152"/>
      <c r="Q170" s="152"/>
      <c r="R170" s="153"/>
      <c r="S170" s="154"/>
      <c r="T170" s="115"/>
    </row>
    <row r="171" spans="1:20">
      <c r="A171" t="s">
        <v>1230</v>
      </c>
      <c r="B171" t="s">
        <v>72</v>
      </c>
      <c r="C171" t="s">
        <v>46</v>
      </c>
      <c r="D171" t="s">
        <v>175</v>
      </c>
      <c r="E171" t="s">
        <v>1786</v>
      </c>
      <c r="F171" s="121">
        <v>28500</v>
      </c>
      <c r="G171" s="121">
        <v>27228.05</v>
      </c>
      <c r="H171" t="s">
        <v>1787</v>
      </c>
      <c r="I171" s="156">
        <v>38352</v>
      </c>
      <c r="K171" s="153"/>
      <c r="L171" s="153"/>
      <c r="M171" s="153"/>
      <c r="N171" s="153"/>
      <c r="O171" s="153"/>
      <c r="P171" s="152"/>
      <c r="Q171" s="152"/>
      <c r="R171" s="153"/>
      <c r="S171" s="154"/>
      <c r="T171" s="115"/>
    </row>
    <row r="172" spans="1:20">
      <c r="A172" t="s">
        <v>1230</v>
      </c>
      <c r="B172" t="s">
        <v>72</v>
      </c>
      <c r="C172" t="s">
        <v>46</v>
      </c>
      <c r="D172" t="s">
        <v>176</v>
      </c>
      <c r="E172" t="s">
        <v>1788</v>
      </c>
      <c r="F172" s="121">
        <v>13900</v>
      </c>
      <c r="G172" s="121">
        <v>12339.4</v>
      </c>
      <c r="H172" t="s">
        <v>1789</v>
      </c>
      <c r="I172" s="156">
        <v>38352</v>
      </c>
      <c r="K172" s="153"/>
      <c r="L172" s="153"/>
      <c r="M172" s="153"/>
      <c r="N172" s="153"/>
      <c r="O172" s="153"/>
      <c r="P172" s="152"/>
      <c r="Q172" s="152"/>
      <c r="R172" s="153"/>
      <c r="S172" s="154"/>
      <c r="T172" s="115"/>
    </row>
    <row r="173" spans="1:20">
      <c r="A173" t="s">
        <v>1230</v>
      </c>
      <c r="B173" t="s">
        <v>72</v>
      </c>
      <c r="C173" t="s">
        <v>46</v>
      </c>
      <c r="D173" t="s">
        <v>175</v>
      </c>
      <c r="E173" t="s">
        <v>1790</v>
      </c>
      <c r="F173" s="121">
        <v>28500</v>
      </c>
      <c r="G173" s="121">
        <v>27228.05</v>
      </c>
      <c r="H173" t="s">
        <v>1791</v>
      </c>
      <c r="I173" s="156">
        <v>38352</v>
      </c>
      <c r="K173" s="153"/>
      <c r="L173" s="153"/>
      <c r="M173" s="153"/>
      <c r="N173" s="153"/>
      <c r="O173" s="153"/>
      <c r="P173" s="152"/>
      <c r="Q173" s="152"/>
      <c r="R173" s="153"/>
      <c r="S173" s="154"/>
      <c r="T173" s="115"/>
    </row>
    <row r="174" spans="1:20">
      <c r="A174" t="s">
        <v>1230</v>
      </c>
      <c r="B174" t="s">
        <v>72</v>
      </c>
      <c r="C174" t="s">
        <v>46</v>
      </c>
      <c r="D174" t="s">
        <v>176</v>
      </c>
      <c r="E174" t="s">
        <v>1792</v>
      </c>
      <c r="F174" s="121">
        <v>13900</v>
      </c>
      <c r="G174" s="121">
        <v>12339.4</v>
      </c>
      <c r="H174" t="s">
        <v>1793</v>
      </c>
      <c r="I174" s="156">
        <v>38352</v>
      </c>
      <c r="K174" s="153"/>
      <c r="L174" s="153"/>
      <c r="M174" s="153"/>
      <c r="N174" s="153"/>
      <c r="O174" s="153"/>
      <c r="P174" s="152"/>
      <c r="Q174" s="152"/>
      <c r="R174" s="153"/>
      <c r="S174" s="154"/>
      <c r="T174" s="115"/>
    </row>
    <row r="175" spans="1:20">
      <c r="A175" t="s">
        <v>1230</v>
      </c>
      <c r="B175" t="s">
        <v>72</v>
      </c>
      <c r="C175" t="s">
        <v>46</v>
      </c>
      <c r="D175" t="s">
        <v>177</v>
      </c>
      <c r="E175" t="s">
        <v>1794</v>
      </c>
      <c r="F175" s="121">
        <v>12339.4</v>
      </c>
      <c r="G175" s="121">
        <v>12339.4</v>
      </c>
      <c r="H175" t="s">
        <v>1795</v>
      </c>
      <c r="I175" s="156">
        <v>41089</v>
      </c>
      <c r="K175" s="153"/>
      <c r="L175" s="153"/>
      <c r="M175" s="153"/>
      <c r="N175" s="153"/>
      <c r="O175" s="153"/>
      <c r="P175" s="152"/>
      <c r="Q175" s="152"/>
      <c r="R175" s="153"/>
      <c r="S175" s="154"/>
      <c r="T175" s="115"/>
    </row>
    <row r="176" spans="1:20">
      <c r="A176" t="s">
        <v>1230</v>
      </c>
      <c r="B176" t="s">
        <v>72</v>
      </c>
      <c r="C176" t="s">
        <v>49</v>
      </c>
      <c r="D176" t="s">
        <v>353</v>
      </c>
      <c r="E176" t="s">
        <v>1796</v>
      </c>
      <c r="F176" s="121">
        <v>35000</v>
      </c>
      <c r="G176" s="121">
        <v>5665</v>
      </c>
      <c r="H176" t="s">
        <v>1797</v>
      </c>
      <c r="I176" s="156">
        <v>39082</v>
      </c>
      <c r="K176" s="153"/>
      <c r="L176" s="153"/>
      <c r="M176" s="153"/>
      <c r="N176" s="153"/>
      <c r="O176" s="153"/>
      <c r="P176" s="152"/>
      <c r="Q176" s="152"/>
      <c r="R176" s="153"/>
      <c r="S176" s="154"/>
      <c r="T176" s="115"/>
    </row>
    <row r="177" spans="1:20">
      <c r="A177" t="s">
        <v>1230</v>
      </c>
      <c r="B177" t="s">
        <v>72</v>
      </c>
      <c r="C177" t="s">
        <v>49</v>
      </c>
      <c r="D177" t="s">
        <v>353</v>
      </c>
      <c r="E177" t="s">
        <v>1798</v>
      </c>
      <c r="F177" s="121">
        <v>35000</v>
      </c>
      <c r="G177" s="121">
        <v>5768</v>
      </c>
      <c r="H177" t="s">
        <v>1799</v>
      </c>
      <c r="I177" s="156">
        <v>38352</v>
      </c>
      <c r="K177" s="153"/>
      <c r="L177" s="153"/>
      <c r="M177" s="153"/>
      <c r="N177" s="153"/>
      <c r="O177" s="153"/>
      <c r="P177" s="152"/>
      <c r="Q177" s="152"/>
      <c r="R177" s="153"/>
      <c r="S177" s="154"/>
      <c r="T177" s="115"/>
    </row>
    <row r="178" spans="1:20">
      <c r="A178" t="s">
        <v>1230</v>
      </c>
      <c r="B178" t="s">
        <v>72</v>
      </c>
      <c r="C178" t="s">
        <v>49</v>
      </c>
      <c r="D178" t="s">
        <v>354</v>
      </c>
      <c r="E178" t="s">
        <v>1800</v>
      </c>
      <c r="F178" s="121">
        <v>34586</v>
      </c>
      <c r="G178" s="121">
        <v>32342</v>
      </c>
      <c r="H178" t="s">
        <v>1801</v>
      </c>
      <c r="I178" s="156">
        <v>40680</v>
      </c>
      <c r="K178" s="153"/>
      <c r="L178" s="153"/>
      <c r="M178" s="153"/>
      <c r="N178" s="153"/>
      <c r="O178" s="153"/>
      <c r="P178" s="152"/>
      <c r="Q178" s="152"/>
      <c r="R178" s="153"/>
      <c r="S178" s="154"/>
      <c r="T178" s="115"/>
    </row>
    <row r="179" spans="1:20">
      <c r="A179" t="s">
        <v>1230</v>
      </c>
      <c r="B179" t="s">
        <v>72</v>
      </c>
      <c r="C179" t="s">
        <v>49</v>
      </c>
      <c r="D179" t="s">
        <v>354</v>
      </c>
      <c r="E179" t="s">
        <v>1802</v>
      </c>
      <c r="F179" s="121">
        <v>34586</v>
      </c>
      <c r="G179" s="121">
        <v>32342</v>
      </c>
      <c r="H179" t="s">
        <v>1803</v>
      </c>
      <c r="I179" s="156">
        <v>40662</v>
      </c>
      <c r="K179" s="153"/>
      <c r="L179" s="153"/>
      <c r="M179" s="153"/>
      <c r="N179" s="153"/>
      <c r="O179" s="153"/>
      <c r="P179" s="152"/>
      <c r="Q179" s="152"/>
      <c r="R179" s="153"/>
      <c r="S179" s="154"/>
      <c r="T179" s="115"/>
    </row>
    <row r="180" spans="1:20">
      <c r="A180" t="s">
        <v>1230</v>
      </c>
      <c r="B180" t="s">
        <v>72</v>
      </c>
      <c r="C180" t="s">
        <v>49</v>
      </c>
      <c r="D180" t="s">
        <v>354</v>
      </c>
      <c r="E180" t="s">
        <v>1804</v>
      </c>
      <c r="F180" s="121">
        <v>34586</v>
      </c>
      <c r="G180" s="121">
        <v>32342</v>
      </c>
      <c r="H180" t="s">
        <v>1805</v>
      </c>
      <c r="I180" s="156">
        <v>40662</v>
      </c>
      <c r="K180" s="153"/>
      <c r="L180" s="153"/>
      <c r="M180" s="153"/>
      <c r="N180" s="153"/>
      <c r="O180" s="153"/>
      <c r="P180" s="152"/>
      <c r="Q180" s="152"/>
      <c r="R180" s="153"/>
      <c r="S180" s="154"/>
      <c r="T180" s="115"/>
    </row>
    <row r="181" spans="1:20">
      <c r="A181" t="s">
        <v>1230</v>
      </c>
      <c r="B181" t="s">
        <v>72</v>
      </c>
      <c r="C181" t="s">
        <v>49</v>
      </c>
      <c r="D181" t="s">
        <v>352</v>
      </c>
      <c r="E181" t="s">
        <v>7119</v>
      </c>
      <c r="F181" s="121">
        <v>7725</v>
      </c>
      <c r="G181" s="121">
        <v>7725</v>
      </c>
      <c r="H181" t="s">
        <v>336</v>
      </c>
      <c r="I181" s="156">
        <v>41089</v>
      </c>
      <c r="K181" s="153"/>
      <c r="L181" s="153"/>
      <c r="M181" s="153"/>
      <c r="N181" s="153"/>
      <c r="O181" s="153"/>
      <c r="P181" s="152"/>
      <c r="Q181" s="152"/>
      <c r="R181" s="153"/>
      <c r="S181" s="154"/>
      <c r="T181" s="115"/>
    </row>
    <row r="182" spans="1:20">
      <c r="A182" t="s">
        <v>1230</v>
      </c>
      <c r="B182" t="s">
        <v>72</v>
      </c>
      <c r="C182" t="s">
        <v>49</v>
      </c>
      <c r="D182" t="s">
        <v>355</v>
      </c>
      <c r="E182" t="s">
        <v>7120</v>
      </c>
      <c r="F182" s="121">
        <v>1500</v>
      </c>
      <c r="G182" s="121">
        <v>2369</v>
      </c>
      <c r="H182" t="s">
        <v>7121</v>
      </c>
      <c r="I182" s="156">
        <v>39813</v>
      </c>
      <c r="K182" s="153"/>
      <c r="L182" s="153"/>
      <c r="M182" s="153"/>
      <c r="N182" s="153"/>
      <c r="O182" s="153"/>
      <c r="P182" s="152"/>
      <c r="Q182" s="152"/>
      <c r="R182" s="153"/>
      <c r="S182" s="154"/>
      <c r="T182" s="115"/>
    </row>
    <row r="183" spans="1:20">
      <c r="A183" t="s">
        <v>1230</v>
      </c>
      <c r="B183" t="s">
        <v>72</v>
      </c>
      <c r="C183" t="s">
        <v>66</v>
      </c>
      <c r="D183" t="s">
        <v>269</v>
      </c>
      <c r="E183" t="s">
        <v>1806</v>
      </c>
      <c r="F183" s="121">
        <v>175000</v>
      </c>
      <c r="G183" s="121">
        <v>153367</v>
      </c>
      <c r="H183" t="s">
        <v>1678</v>
      </c>
      <c r="I183" s="156">
        <v>39743</v>
      </c>
      <c r="K183" s="153"/>
      <c r="L183" s="153"/>
      <c r="M183" s="153"/>
      <c r="N183" s="153"/>
      <c r="O183" s="153"/>
      <c r="P183" s="152"/>
      <c r="Q183" s="152"/>
      <c r="R183" s="153"/>
      <c r="S183" s="154"/>
      <c r="T183" s="115"/>
    </row>
    <row r="184" spans="1:20">
      <c r="A184" t="s">
        <v>1230</v>
      </c>
      <c r="B184" t="s">
        <v>72</v>
      </c>
      <c r="C184" t="s">
        <v>49</v>
      </c>
      <c r="D184" t="s">
        <v>350</v>
      </c>
      <c r="E184" t="s">
        <v>1807</v>
      </c>
      <c r="F184" s="121">
        <v>40000</v>
      </c>
      <c r="G184" s="121">
        <v>19055</v>
      </c>
      <c r="H184" t="s">
        <v>1808</v>
      </c>
      <c r="I184" s="156">
        <v>39082</v>
      </c>
      <c r="K184" s="153"/>
      <c r="L184" s="153"/>
      <c r="M184" s="153"/>
      <c r="N184" s="153"/>
      <c r="O184" s="153"/>
      <c r="P184" s="152"/>
      <c r="Q184" s="152"/>
      <c r="R184" s="153"/>
      <c r="S184" s="154"/>
      <c r="T184" s="115"/>
    </row>
    <row r="185" spans="1:20">
      <c r="A185" t="s">
        <v>1230</v>
      </c>
      <c r="B185" t="s">
        <v>72</v>
      </c>
      <c r="C185" t="s">
        <v>49</v>
      </c>
      <c r="D185" t="s">
        <v>356</v>
      </c>
      <c r="E185" t="s">
        <v>1809</v>
      </c>
      <c r="F185" s="121">
        <v>23432.5</v>
      </c>
      <c r="G185" s="121">
        <v>23432.5</v>
      </c>
      <c r="H185" t="s">
        <v>1810</v>
      </c>
      <c r="I185" s="156">
        <v>41089</v>
      </c>
      <c r="K185" s="153"/>
      <c r="L185" s="153"/>
      <c r="M185" s="153"/>
      <c r="N185" s="153"/>
      <c r="O185" s="153"/>
      <c r="P185" s="152"/>
      <c r="Q185" s="152"/>
      <c r="R185" s="153"/>
      <c r="S185" s="154"/>
      <c r="T185" s="115"/>
    </row>
    <row r="186" spans="1:20">
      <c r="A186" t="s">
        <v>1230</v>
      </c>
      <c r="B186" t="s">
        <v>72</v>
      </c>
      <c r="C186" t="s">
        <v>49</v>
      </c>
      <c r="D186" t="s">
        <v>357</v>
      </c>
      <c r="E186" t="s">
        <v>1811</v>
      </c>
      <c r="F186" s="121">
        <v>27000</v>
      </c>
      <c r="G186" s="121">
        <v>27089</v>
      </c>
      <c r="H186" t="s">
        <v>1812</v>
      </c>
      <c r="I186" s="156">
        <v>40966</v>
      </c>
      <c r="K186" s="153"/>
      <c r="L186" s="153"/>
      <c r="M186" s="153"/>
      <c r="N186" s="153"/>
      <c r="O186" s="153"/>
      <c r="P186" s="152"/>
      <c r="Q186" s="152"/>
      <c r="R186" s="153"/>
      <c r="S186" s="154"/>
      <c r="T186" s="115"/>
    </row>
    <row r="187" spans="1:20">
      <c r="A187" t="s">
        <v>1230</v>
      </c>
      <c r="B187" t="s">
        <v>72</v>
      </c>
      <c r="C187" t="s">
        <v>63</v>
      </c>
      <c r="D187" t="s">
        <v>248</v>
      </c>
      <c r="E187" t="s">
        <v>1813</v>
      </c>
      <c r="F187" s="121">
        <v>360000</v>
      </c>
      <c r="G187" s="121">
        <v>348140</v>
      </c>
      <c r="H187" t="s">
        <v>1814</v>
      </c>
      <c r="I187" s="156">
        <v>40627</v>
      </c>
      <c r="K187" s="153"/>
      <c r="L187" s="153"/>
      <c r="M187" s="153"/>
      <c r="N187" s="153"/>
      <c r="O187" s="153"/>
      <c r="P187" s="152"/>
      <c r="Q187" s="152"/>
      <c r="R187" s="153"/>
      <c r="S187" s="154"/>
      <c r="T187" s="115"/>
    </row>
    <row r="188" spans="1:20">
      <c r="A188" t="s">
        <v>1230</v>
      </c>
      <c r="B188" t="s">
        <v>72</v>
      </c>
      <c r="C188" t="s">
        <v>63</v>
      </c>
      <c r="D188" t="s">
        <v>249</v>
      </c>
      <c r="E188" t="s">
        <v>1815</v>
      </c>
      <c r="F188" s="121">
        <v>360000</v>
      </c>
      <c r="G188" s="121">
        <v>348140</v>
      </c>
      <c r="H188" t="s">
        <v>1816</v>
      </c>
      <c r="I188" s="156">
        <v>40640</v>
      </c>
      <c r="K188" s="153"/>
      <c r="L188" s="153"/>
      <c r="M188" s="153"/>
      <c r="N188" s="153"/>
      <c r="O188" s="153"/>
      <c r="P188" s="152"/>
      <c r="Q188" s="152"/>
      <c r="R188" s="153"/>
      <c r="S188" s="154"/>
      <c r="T188" s="115"/>
    </row>
    <row r="189" spans="1:20">
      <c r="A189" t="s">
        <v>1230</v>
      </c>
      <c r="B189" t="s">
        <v>72</v>
      </c>
      <c r="C189" t="s">
        <v>63</v>
      </c>
      <c r="D189" t="s">
        <v>249</v>
      </c>
      <c r="E189" t="s">
        <v>1817</v>
      </c>
      <c r="F189" s="121">
        <v>360000</v>
      </c>
      <c r="G189" s="121">
        <v>348140</v>
      </c>
      <c r="H189" t="s">
        <v>1818</v>
      </c>
      <c r="I189" s="156">
        <v>40640</v>
      </c>
      <c r="K189" s="153"/>
      <c r="L189" s="153"/>
      <c r="M189" s="153"/>
      <c r="N189" s="153"/>
      <c r="O189" s="153"/>
      <c r="P189" s="152"/>
      <c r="Q189" s="152"/>
      <c r="R189" s="153"/>
      <c r="S189" s="154"/>
      <c r="T189" s="115"/>
    </row>
    <row r="190" spans="1:20">
      <c r="A190" t="s">
        <v>1230</v>
      </c>
      <c r="B190" t="s">
        <v>72</v>
      </c>
      <c r="C190" t="s">
        <v>49</v>
      </c>
      <c r="D190" t="s">
        <v>354</v>
      </c>
      <c r="E190" t="s">
        <v>1819</v>
      </c>
      <c r="F190" s="121">
        <v>40000</v>
      </c>
      <c r="G190" s="121">
        <v>29561</v>
      </c>
      <c r="H190" t="s">
        <v>1820</v>
      </c>
      <c r="I190" s="156">
        <v>39082</v>
      </c>
      <c r="K190" s="153"/>
      <c r="L190" s="153"/>
      <c r="M190" s="153"/>
      <c r="N190" s="153"/>
      <c r="O190" s="153"/>
      <c r="P190" s="152"/>
      <c r="Q190" s="152"/>
      <c r="R190" s="153"/>
      <c r="S190" s="154"/>
      <c r="T190" s="115"/>
    </row>
    <row r="191" spans="1:20">
      <c r="A191" t="s">
        <v>1230</v>
      </c>
      <c r="B191" t="s">
        <v>72</v>
      </c>
      <c r="C191" t="s">
        <v>49</v>
      </c>
      <c r="D191" t="s">
        <v>350</v>
      </c>
      <c r="E191" t="s">
        <v>1821</v>
      </c>
      <c r="F191" s="121">
        <v>40000</v>
      </c>
      <c r="G191" s="121">
        <v>18025</v>
      </c>
      <c r="H191" t="s">
        <v>1822</v>
      </c>
      <c r="I191" s="156">
        <v>39082</v>
      </c>
      <c r="K191" s="153"/>
      <c r="L191" s="153"/>
      <c r="M191" s="153"/>
      <c r="N191" s="153"/>
      <c r="O191" s="153"/>
      <c r="P191" s="152"/>
      <c r="Q191" s="152"/>
      <c r="R191" s="153"/>
      <c r="S191" s="154"/>
      <c r="T191" s="115"/>
    </row>
    <row r="192" spans="1:20">
      <c r="A192" t="s">
        <v>1230</v>
      </c>
      <c r="B192" t="s">
        <v>72</v>
      </c>
      <c r="C192" t="s">
        <v>49</v>
      </c>
      <c r="D192" t="s">
        <v>354</v>
      </c>
      <c r="E192" t="s">
        <v>1823</v>
      </c>
      <c r="F192" s="121">
        <v>40000</v>
      </c>
      <c r="G192" s="121">
        <v>26780</v>
      </c>
      <c r="H192" t="s">
        <v>1824</v>
      </c>
      <c r="I192" s="156">
        <v>39082</v>
      </c>
      <c r="K192" s="153"/>
      <c r="L192" s="153"/>
      <c r="M192" s="153"/>
      <c r="N192" s="153"/>
      <c r="O192" s="153"/>
      <c r="P192" s="152"/>
      <c r="Q192" s="152"/>
      <c r="R192" s="153"/>
      <c r="S192" s="154"/>
      <c r="T192" s="115"/>
    </row>
    <row r="193" spans="1:20">
      <c r="A193" t="s">
        <v>1230</v>
      </c>
      <c r="B193" t="s">
        <v>72</v>
      </c>
      <c r="C193" t="s">
        <v>62</v>
      </c>
      <c r="D193" t="s">
        <v>238</v>
      </c>
      <c r="E193" t="s">
        <v>1825</v>
      </c>
      <c r="F193" s="121">
        <v>440100</v>
      </c>
      <c r="G193" s="121">
        <v>422300</v>
      </c>
      <c r="H193" t="s">
        <v>1826</v>
      </c>
      <c r="I193" s="156">
        <v>40847</v>
      </c>
      <c r="K193" s="153"/>
      <c r="L193" s="153"/>
      <c r="M193" s="153"/>
      <c r="N193" s="153"/>
      <c r="O193" s="153"/>
      <c r="P193" s="152"/>
      <c r="Q193" s="152"/>
      <c r="R193" s="153"/>
      <c r="S193" s="154"/>
      <c r="T193" s="115"/>
    </row>
    <row r="194" spans="1:20">
      <c r="A194" t="s">
        <v>1230</v>
      </c>
      <c r="B194" t="s">
        <v>72</v>
      </c>
      <c r="C194" t="s">
        <v>66</v>
      </c>
      <c r="D194" t="s">
        <v>270</v>
      </c>
      <c r="E194" t="s">
        <v>1827</v>
      </c>
      <c r="F194" s="121">
        <v>306737.75</v>
      </c>
      <c r="G194" s="121">
        <v>303850</v>
      </c>
      <c r="H194" t="s">
        <v>1828</v>
      </c>
      <c r="I194" s="156">
        <v>40448</v>
      </c>
      <c r="K194" s="153"/>
      <c r="L194" s="153"/>
      <c r="M194" s="153"/>
      <c r="N194" s="153"/>
      <c r="O194" s="153"/>
      <c r="P194" s="152"/>
      <c r="Q194" s="152"/>
      <c r="R194" s="153"/>
      <c r="S194" s="154"/>
      <c r="T194" s="115"/>
    </row>
    <row r="195" spans="1:20">
      <c r="A195" t="s">
        <v>1230</v>
      </c>
      <c r="B195" t="s">
        <v>72</v>
      </c>
      <c r="C195" t="s">
        <v>39</v>
      </c>
      <c r="D195" t="s">
        <v>144</v>
      </c>
      <c r="E195" t="s">
        <v>1829</v>
      </c>
      <c r="F195" s="121">
        <v>65000</v>
      </c>
      <c r="G195" s="121">
        <v>56650</v>
      </c>
      <c r="H195" t="s">
        <v>1830</v>
      </c>
      <c r="I195" s="156">
        <v>37711</v>
      </c>
      <c r="K195" s="153"/>
      <c r="L195" s="153"/>
      <c r="M195" s="153"/>
      <c r="N195" s="153"/>
      <c r="O195" s="153"/>
      <c r="P195" s="152"/>
      <c r="Q195" s="152"/>
      <c r="R195" s="153"/>
      <c r="S195" s="154"/>
      <c r="T195" s="115"/>
    </row>
    <row r="196" spans="1:20">
      <c r="A196" t="s">
        <v>1230</v>
      </c>
      <c r="B196" t="s">
        <v>72</v>
      </c>
      <c r="C196" t="s">
        <v>49</v>
      </c>
      <c r="D196" t="s">
        <v>355</v>
      </c>
      <c r="E196" t="s">
        <v>7122</v>
      </c>
      <c r="F196" s="121">
        <v>2163</v>
      </c>
      <c r="G196" s="121">
        <v>2163</v>
      </c>
      <c r="H196" t="s">
        <v>336</v>
      </c>
      <c r="I196" s="156">
        <v>41089</v>
      </c>
      <c r="K196" s="153"/>
      <c r="L196" s="153"/>
      <c r="M196" s="153"/>
      <c r="N196" s="153"/>
      <c r="O196" s="153"/>
      <c r="P196" s="152"/>
      <c r="Q196" s="152"/>
      <c r="R196" s="153"/>
      <c r="S196" s="154"/>
      <c r="T196" s="115"/>
    </row>
    <row r="197" spans="1:20">
      <c r="A197" t="s">
        <v>1230</v>
      </c>
      <c r="B197" t="s">
        <v>72</v>
      </c>
      <c r="C197" t="s">
        <v>69</v>
      </c>
      <c r="D197" t="s">
        <v>308</v>
      </c>
      <c r="E197" t="s">
        <v>1831</v>
      </c>
      <c r="F197" s="121">
        <v>30963.1</v>
      </c>
      <c r="G197" s="121">
        <v>27243.5</v>
      </c>
      <c r="H197" t="s">
        <v>1832</v>
      </c>
      <c r="I197" s="156">
        <v>41039</v>
      </c>
      <c r="K197" s="153"/>
      <c r="L197" s="153"/>
      <c r="M197" s="153"/>
      <c r="N197" s="153"/>
      <c r="O197" s="153"/>
      <c r="P197" s="152"/>
      <c r="Q197" s="152"/>
      <c r="R197" s="153"/>
      <c r="S197" s="154"/>
      <c r="T197" s="115"/>
    </row>
    <row r="198" spans="1:20">
      <c r="A198" t="s">
        <v>1230</v>
      </c>
      <c r="B198" t="s">
        <v>72</v>
      </c>
      <c r="C198" t="s">
        <v>49</v>
      </c>
      <c r="D198" t="s">
        <v>358</v>
      </c>
      <c r="E198" t="s">
        <v>1833</v>
      </c>
      <c r="F198" s="121">
        <v>45000</v>
      </c>
      <c r="G198" s="121">
        <v>44496</v>
      </c>
      <c r="H198" t="s">
        <v>336</v>
      </c>
      <c r="I198" s="156">
        <v>40974</v>
      </c>
      <c r="K198" s="153"/>
      <c r="L198" s="153"/>
      <c r="M198" s="153"/>
      <c r="N198" s="153"/>
      <c r="O198" s="153"/>
      <c r="P198" s="152"/>
      <c r="Q198" s="152"/>
      <c r="R198" s="153"/>
      <c r="S198" s="154"/>
      <c r="T198" s="115"/>
    </row>
    <row r="199" spans="1:20">
      <c r="A199" t="s">
        <v>1230</v>
      </c>
      <c r="B199" t="s">
        <v>72</v>
      </c>
      <c r="C199" t="s">
        <v>39</v>
      </c>
      <c r="D199" t="s">
        <v>139</v>
      </c>
      <c r="E199" t="s">
        <v>1834</v>
      </c>
      <c r="F199" s="121">
        <v>15000</v>
      </c>
      <c r="G199" s="121">
        <v>20600</v>
      </c>
      <c r="H199" t="s">
        <v>1835</v>
      </c>
      <c r="I199" s="156">
        <v>38717</v>
      </c>
      <c r="K199" s="153"/>
      <c r="L199" s="153"/>
      <c r="M199" s="153"/>
      <c r="N199" s="153"/>
      <c r="O199" s="153"/>
      <c r="P199" s="152"/>
      <c r="Q199" s="152"/>
      <c r="R199" s="153"/>
      <c r="S199" s="154"/>
      <c r="T199" s="115"/>
    </row>
    <row r="200" spans="1:20">
      <c r="A200" t="s">
        <v>1230</v>
      </c>
      <c r="B200" t="s">
        <v>72</v>
      </c>
      <c r="C200" t="s">
        <v>63</v>
      </c>
      <c r="D200" t="s">
        <v>247</v>
      </c>
      <c r="E200" t="s">
        <v>1836</v>
      </c>
      <c r="F200" s="121">
        <v>48000</v>
      </c>
      <c r="G200" s="121">
        <v>21630</v>
      </c>
      <c r="H200" t="s">
        <v>1837</v>
      </c>
      <c r="I200" s="156">
        <v>39813</v>
      </c>
      <c r="K200" s="153"/>
      <c r="L200" s="153"/>
      <c r="M200" s="153"/>
      <c r="N200" s="153"/>
      <c r="O200" s="153"/>
      <c r="P200" s="152"/>
      <c r="Q200" s="152"/>
      <c r="R200" s="153"/>
      <c r="S200" s="154"/>
      <c r="T200" s="115"/>
    </row>
    <row r="201" spans="1:20">
      <c r="A201" t="s">
        <v>1230</v>
      </c>
      <c r="B201" t="s">
        <v>72</v>
      </c>
      <c r="C201" t="s">
        <v>66</v>
      </c>
      <c r="D201" t="s">
        <v>268</v>
      </c>
      <c r="E201" t="s">
        <v>1838</v>
      </c>
      <c r="F201" s="121">
        <v>138650</v>
      </c>
      <c r="G201" s="121">
        <v>90640</v>
      </c>
      <c r="H201" t="s">
        <v>1839</v>
      </c>
      <c r="I201" s="156">
        <v>38352</v>
      </c>
      <c r="K201" s="153"/>
      <c r="L201" s="153"/>
      <c r="M201" s="153"/>
      <c r="N201" s="153"/>
      <c r="O201" s="153"/>
      <c r="P201" s="152"/>
      <c r="Q201" s="152"/>
      <c r="R201" s="153"/>
      <c r="S201" s="154"/>
      <c r="T201" s="115"/>
    </row>
    <row r="202" spans="1:20">
      <c r="A202" t="s">
        <v>1230</v>
      </c>
      <c r="B202" t="s">
        <v>72</v>
      </c>
      <c r="C202" t="s">
        <v>39</v>
      </c>
      <c r="D202" t="s">
        <v>144</v>
      </c>
      <c r="E202" t="s">
        <v>1840</v>
      </c>
      <c r="F202" s="121">
        <v>43260</v>
      </c>
      <c r="G202" s="121">
        <v>43260</v>
      </c>
      <c r="H202" t="s">
        <v>336</v>
      </c>
      <c r="I202" s="156">
        <v>41089</v>
      </c>
      <c r="K202" s="153"/>
      <c r="L202" s="153"/>
      <c r="M202" s="153"/>
      <c r="N202" s="153"/>
      <c r="O202" s="153"/>
      <c r="P202" s="152"/>
      <c r="Q202" s="152"/>
      <c r="R202" s="153"/>
      <c r="S202" s="154"/>
      <c r="T202" s="115"/>
    </row>
    <row r="203" spans="1:20">
      <c r="A203" t="s">
        <v>1230</v>
      </c>
      <c r="B203" t="s">
        <v>72</v>
      </c>
      <c r="C203" t="s">
        <v>39</v>
      </c>
      <c r="D203" t="s">
        <v>139</v>
      </c>
      <c r="E203" t="s">
        <v>1841</v>
      </c>
      <c r="F203" s="121">
        <v>20000</v>
      </c>
      <c r="G203" s="121">
        <v>12360</v>
      </c>
      <c r="H203" t="s">
        <v>1842</v>
      </c>
      <c r="I203" s="156">
        <v>36891</v>
      </c>
      <c r="K203" s="153"/>
      <c r="L203" s="153"/>
      <c r="M203" s="153"/>
      <c r="N203" s="153"/>
      <c r="O203" s="153"/>
      <c r="P203" s="152"/>
      <c r="Q203" s="152"/>
      <c r="R203" s="153"/>
      <c r="S203" s="154"/>
      <c r="T203" s="115"/>
    </row>
    <row r="204" spans="1:20">
      <c r="A204" t="s">
        <v>1230</v>
      </c>
      <c r="B204" t="s">
        <v>72</v>
      </c>
      <c r="C204" t="s">
        <v>51</v>
      </c>
      <c r="D204" t="s">
        <v>359</v>
      </c>
      <c r="E204" t="s">
        <v>1843</v>
      </c>
      <c r="F204" s="121">
        <v>49000</v>
      </c>
      <c r="G204" s="121">
        <v>29355</v>
      </c>
      <c r="H204" t="s">
        <v>360</v>
      </c>
      <c r="I204" s="156">
        <v>37621</v>
      </c>
      <c r="K204" s="153"/>
      <c r="L204" s="153"/>
      <c r="M204" s="153"/>
      <c r="N204" s="153"/>
      <c r="O204" s="153"/>
      <c r="P204" s="152"/>
      <c r="Q204" s="152"/>
      <c r="R204" s="153"/>
      <c r="S204" s="154"/>
      <c r="T204" s="115"/>
    </row>
    <row r="205" spans="1:20">
      <c r="A205" t="s">
        <v>1230</v>
      </c>
      <c r="B205" t="s">
        <v>72</v>
      </c>
      <c r="C205" t="s">
        <v>37</v>
      </c>
      <c r="D205" t="s">
        <v>116</v>
      </c>
      <c r="E205" t="s">
        <v>1844</v>
      </c>
      <c r="F205" s="121">
        <v>92500</v>
      </c>
      <c r="G205" s="121">
        <v>92883.34</v>
      </c>
      <c r="H205" t="s">
        <v>1845</v>
      </c>
      <c r="I205" s="156">
        <v>37621</v>
      </c>
      <c r="K205" s="153"/>
      <c r="L205" s="153"/>
      <c r="M205" s="153"/>
      <c r="N205" s="153"/>
      <c r="O205" s="153"/>
      <c r="P205" s="152"/>
      <c r="Q205" s="152"/>
      <c r="R205" s="153"/>
      <c r="S205" s="154"/>
      <c r="T205" s="115"/>
    </row>
    <row r="206" spans="1:20">
      <c r="A206" t="s">
        <v>1230</v>
      </c>
      <c r="B206" t="s">
        <v>72</v>
      </c>
      <c r="C206" t="s">
        <v>49</v>
      </c>
      <c r="D206" t="s">
        <v>7099</v>
      </c>
      <c r="E206" t="s">
        <v>7123</v>
      </c>
      <c r="F206" s="121">
        <v>2472</v>
      </c>
      <c r="G206" s="121">
        <v>2472</v>
      </c>
      <c r="H206" t="s">
        <v>336</v>
      </c>
      <c r="I206" s="156">
        <v>41089</v>
      </c>
      <c r="K206" s="153"/>
      <c r="L206" s="153"/>
      <c r="M206" s="153"/>
      <c r="N206" s="153"/>
      <c r="O206" s="153"/>
      <c r="P206" s="152"/>
      <c r="Q206" s="152"/>
      <c r="R206" s="153"/>
      <c r="S206" s="154"/>
      <c r="T206" s="115"/>
    </row>
    <row r="207" spans="1:20">
      <c r="A207" t="s">
        <v>1230</v>
      </c>
      <c r="B207" t="s">
        <v>72</v>
      </c>
      <c r="C207" t="s">
        <v>69</v>
      </c>
      <c r="D207" t="s">
        <v>307</v>
      </c>
      <c r="E207" t="s">
        <v>1846</v>
      </c>
      <c r="F207" s="121">
        <v>8000</v>
      </c>
      <c r="G207" s="121">
        <v>8000</v>
      </c>
      <c r="H207" t="s">
        <v>1847</v>
      </c>
      <c r="I207" s="156">
        <v>41337</v>
      </c>
      <c r="K207" s="153"/>
      <c r="L207" s="153"/>
      <c r="M207" s="153"/>
      <c r="N207" s="153"/>
      <c r="O207" s="153"/>
      <c r="P207" s="152"/>
      <c r="Q207" s="152"/>
      <c r="R207" s="153"/>
      <c r="S207" s="154"/>
      <c r="T207" s="115"/>
    </row>
    <row r="208" spans="1:20">
      <c r="A208" t="s">
        <v>1230</v>
      </c>
      <c r="B208" t="s">
        <v>72</v>
      </c>
      <c r="C208" t="s">
        <v>69</v>
      </c>
      <c r="D208" t="s">
        <v>309</v>
      </c>
      <c r="E208" t="s">
        <v>1846</v>
      </c>
      <c r="F208" s="121">
        <v>98000</v>
      </c>
      <c r="G208" s="121">
        <v>77260.3</v>
      </c>
      <c r="H208" t="s">
        <v>1847</v>
      </c>
      <c r="I208" s="156">
        <v>40945</v>
      </c>
      <c r="K208" s="153"/>
      <c r="L208" s="153"/>
      <c r="M208" s="153"/>
      <c r="N208" s="153"/>
      <c r="O208" s="153"/>
      <c r="P208" s="152"/>
      <c r="Q208" s="152"/>
      <c r="R208" s="153"/>
      <c r="S208" s="154"/>
      <c r="T208" s="115"/>
    </row>
    <row r="209" spans="1:20">
      <c r="A209" t="s">
        <v>1230</v>
      </c>
      <c r="B209" t="s">
        <v>72</v>
      </c>
      <c r="C209" t="s">
        <v>69</v>
      </c>
      <c r="D209" t="s">
        <v>307</v>
      </c>
      <c r="E209" t="s">
        <v>1848</v>
      </c>
      <c r="F209" s="121">
        <v>8000</v>
      </c>
      <c r="G209" s="121">
        <v>8000</v>
      </c>
      <c r="H209" t="s">
        <v>1849</v>
      </c>
      <c r="I209" s="156">
        <v>41337</v>
      </c>
      <c r="K209" s="153"/>
      <c r="L209" s="153"/>
      <c r="M209" s="153"/>
      <c r="N209" s="153"/>
      <c r="O209" s="153"/>
      <c r="P209" s="152"/>
      <c r="Q209" s="152"/>
      <c r="R209" s="153"/>
      <c r="S209" s="154"/>
      <c r="T209" s="115"/>
    </row>
    <row r="210" spans="1:20">
      <c r="A210" t="s">
        <v>1230</v>
      </c>
      <c r="B210" t="s">
        <v>72</v>
      </c>
      <c r="C210" t="s">
        <v>69</v>
      </c>
      <c r="D210" t="s">
        <v>310</v>
      </c>
      <c r="E210" t="s">
        <v>1848</v>
      </c>
      <c r="F210" s="121">
        <v>96000</v>
      </c>
      <c r="G210" s="121">
        <v>77260.3</v>
      </c>
      <c r="H210" t="s">
        <v>1849</v>
      </c>
      <c r="I210" s="156">
        <v>40575</v>
      </c>
      <c r="K210" s="153"/>
      <c r="L210" s="153"/>
      <c r="M210" s="153"/>
      <c r="N210" s="153"/>
      <c r="O210" s="153"/>
      <c r="P210" s="152"/>
      <c r="Q210" s="152"/>
      <c r="R210" s="153"/>
      <c r="S210" s="154"/>
      <c r="T210" s="115"/>
    </row>
    <row r="211" spans="1:20">
      <c r="A211" t="s">
        <v>1230</v>
      </c>
      <c r="B211" t="s">
        <v>72</v>
      </c>
      <c r="C211" t="s">
        <v>49</v>
      </c>
      <c r="D211" t="s">
        <v>7099</v>
      </c>
      <c r="E211" t="s">
        <v>7124</v>
      </c>
      <c r="F211" s="121">
        <v>2575</v>
      </c>
      <c r="G211" s="121">
        <v>2575</v>
      </c>
      <c r="H211" t="s">
        <v>336</v>
      </c>
      <c r="I211" s="156">
        <v>41089</v>
      </c>
      <c r="K211" s="153"/>
      <c r="L211" s="153"/>
      <c r="M211" s="153"/>
      <c r="N211" s="153"/>
      <c r="O211" s="153"/>
      <c r="P211" s="152"/>
      <c r="Q211" s="152"/>
      <c r="R211" s="153"/>
      <c r="S211" s="154"/>
      <c r="T211" s="115"/>
    </row>
    <row r="212" spans="1:20">
      <c r="A212" t="s">
        <v>1230</v>
      </c>
      <c r="B212" t="s">
        <v>72</v>
      </c>
      <c r="C212" t="s">
        <v>62</v>
      </c>
      <c r="D212" t="s">
        <v>238</v>
      </c>
      <c r="E212" t="s">
        <v>1850</v>
      </c>
      <c r="F212" s="121">
        <v>440100</v>
      </c>
      <c r="G212" s="121">
        <v>422300</v>
      </c>
      <c r="H212" t="s">
        <v>1851</v>
      </c>
      <c r="I212" s="156">
        <v>40847</v>
      </c>
      <c r="K212" s="153"/>
      <c r="L212" s="153"/>
      <c r="M212" s="153"/>
      <c r="N212" s="153"/>
      <c r="O212" s="153"/>
      <c r="P212" s="152"/>
      <c r="Q212" s="152"/>
      <c r="R212" s="153"/>
      <c r="S212" s="154"/>
      <c r="T212" s="115"/>
    </row>
    <row r="213" spans="1:20">
      <c r="A213" t="s">
        <v>1230</v>
      </c>
      <c r="B213" t="s">
        <v>72</v>
      </c>
      <c r="C213" t="s">
        <v>62</v>
      </c>
      <c r="D213" t="s">
        <v>238</v>
      </c>
      <c r="E213" t="s">
        <v>1852</v>
      </c>
      <c r="F213" s="121">
        <v>394325</v>
      </c>
      <c r="G213" s="121">
        <v>297464</v>
      </c>
      <c r="H213" t="s">
        <v>1853</v>
      </c>
      <c r="I213" s="156">
        <v>40742</v>
      </c>
      <c r="K213" s="153"/>
      <c r="L213" s="153"/>
      <c r="M213" s="153"/>
      <c r="N213" s="153"/>
      <c r="O213" s="153"/>
      <c r="P213" s="152"/>
      <c r="Q213" s="152"/>
      <c r="R213" s="153"/>
      <c r="S213" s="154"/>
      <c r="T213" s="115"/>
    </row>
    <row r="214" spans="1:20">
      <c r="A214" t="s">
        <v>1231</v>
      </c>
      <c r="B214" t="s">
        <v>71</v>
      </c>
      <c r="C214" t="s">
        <v>57</v>
      </c>
      <c r="D214" t="s">
        <v>1111</v>
      </c>
      <c r="E214" t="s">
        <v>1854</v>
      </c>
      <c r="F214" s="121">
        <v>560000</v>
      </c>
      <c r="G214" s="121">
        <v>560000</v>
      </c>
      <c r="H214" t="s">
        <v>1855</v>
      </c>
      <c r="I214" s="156">
        <v>40709</v>
      </c>
      <c r="K214" s="153"/>
      <c r="L214" s="153"/>
      <c r="M214" s="153"/>
      <c r="N214" s="153"/>
      <c r="O214" s="153"/>
      <c r="P214" s="152"/>
      <c r="Q214" s="152"/>
      <c r="R214" s="153"/>
      <c r="S214" s="154"/>
      <c r="T214" s="115"/>
    </row>
    <row r="215" spans="1:20">
      <c r="A215" t="s">
        <v>1230</v>
      </c>
      <c r="B215" t="s">
        <v>72</v>
      </c>
      <c r="C215" t="s">
        <v>41</v>
      </c>
      <c r="D215" t="s">
        <v>163</v>
      </c>
      <c r="E215" t="s">
        <v>1856</v>
      </c>
      <c r="F215" s="121">
        <v>325000</v>
      </c>
      <c r="G215" s="121">
        <v>239990</v>
      </c>
      <c r="H215" t="s">
        <v>1857</v>
      </c>
      <c r="I215" s="156">
        <v>35795</v>
      </c>
      <c r="K215" s="153"/>
      <c r="L215" s="153"/>
      <c r="M215" s="153"/>
      <c r="N215" s="153"/>
      <c r="O215" s="153"/>
      <c r="P215" s="152"/>
      <c r="Q215" s="152"/>
      <c r="R215" s="153"/>
      <c r="S215" s="154"/>
      <c r="T215" s="115"/>
    </row>
    <row r="216" spans="1:20">
      <c r="A216" t="s">
        <v>1230</v>
      </c>
      <c r="B216" t="s">
        <v>72</v>
      </c>
      <c r="C216" t="s">
        <v>41</v>
      </c>
      <c r="D216" t="s">
        <v>163</v>
      </c>
      <c r="E216" t="s">
        <v>1858</v>
      </c>
      <c r="F216" s="121">
        <v>350000</v>
      </c>
      <c r="G216" s="121">
        <v>272950</v>
      </c>
      <c r="H216" t="s">
        <v>1859</v>
      </c>
      <c r="I216" s="156">
        <v>38881</v>
      </c>
      <c r="K216" s="153"/>
      <c r="L216" s="153"/>
      <c r="M216" s="153"/>
      <c r="N216" s="153"/>
      <c r="O216" s="153"/>
      <c r="P216" s="152"/>
      <c r="Q216" s="152"/>
      <c r="R216" s="153"/>
      <c r="S216" s="154"/>
      <c r="T216" s="115"/>
    </row>
    <row r="217" spans="1:20">
      <c r="A217" t="s">
        <v>1230</v>
      </c>
      <c r="B217" t="s">
        <v>72</v>
      </c>
      <c r="C217" t="s">
        <v>39</v>
      </c>
      <c r="D217" t="s">
        <v>145</v>
      </c>
      <c r="E217" t="s">
        <v>1860</v>
      </c>
      <c r="F217" s="121">
        <v>3000</v>
      </c>
      <c r="G217" s="121">
        <v>8240</v>
      </c>
      <c r="H217" t="s">
        <v>1861</v>
      </c>
      <c r="I217" s="156">
        <v>39813</v>
      </c>
      <c r="K217" s="153"/>
      <c r="L217" s="153"/>
      <c r="M217" s="153"/>
      <c r="N217" s="153"/>
      <c r="O217" s="153"/>
      <c r="P217" s="152"/>
      <c r="Q217" s="152"/>
      <c r="R217" s="153"/>
      <c r="S217" s="154"/>
      <c r="T217" s="115"/>
    </row>
    <row r="218" spans="1:20">
      <c r="A218" t="s">
        <v>1230</v>
      </c>
      <c r="B218" t="s">
        <v>72</v>
      </c>
      <c r="C218" t="s">
        <v>49</v>
      </c>
      <c r="D218" t="s">
        <v>341</v>
      </c>
      <c r="E218" t="s">
        <v>1862</v>
      </c>
      <c r="F218" s="121">
        <v>10250</v>
      </c>
      <c r="G218" s="121">
        <v>11845</v>
      </c>
      <c r="H218" t="s">
        <v>1863</v>
      </c>
      <c r="I218" s="156">
        <v>38717</v>
      </c>
      <c r="K218" s="153"/>
      <c r="L218" s="153"/>
      <c r="M218" s="153"/>
      <c r="N218" s="153"/>
      <c r="O218" s="153"/>
      <c r="P218" s="152"/>
      <c r="Q218" s="152"/>
      <c r="R218" s="153"/>
      <c r="S218" s="154"/>
      <c r="T218" s="115"/>
    </row>
    <row r="219" spans="1:20">
      <c r="A219" t="s">
        <v>1230</v>
      </c>
      <c r="B219" t="s">
        <v>72</v>
      </c>
      <c r="C219" t="s">
        <v>37</v>
      </c>
      <c r="D219" t="s">
        <v>117</v>
      </c>
      <c r="E219" t="s">
        <v>1864</v>
      </c>
      <c r="F219" s="121">
        <v>59449.54</v>
      </c>
      <c r="G219" s="121">
        <v>59449.54</v>
      </c>
      <c r="H219" t="s">
        <v>1865</v>
      </c>
      <c r="I219" s="156">
        <v>41089</v>
      </c>
      <c r="K219" s="153"/>
      <c r="L219" s="153"/>
      <c r="M219" s="153"/>
      <c r="N219" s="153"/>
      <c r="O219" s="153"/>
      <c r="P219" s="152"/>
      <c r="Q219" s="152"/>
      <c r="R219" s="153"/>
      <c r="S219" s="154"/>
      <c r="T219" s="115"/>
    </row>
    <row r="220" spans="1:20">
      <c r="A220" t="s">
        <v>1230</v>
      </c>
      <c r="B220" t="s">
        <v>72</v>
      </c>
      <c r="C220" t="s">
        <v>39</v>
      </c>
      <c r="D220" t="s">
        <v>139</v>
      </c>
      <c r="E220" t="s">
        <v>1866</v>
      </c>
      <c r="F220" s="121">
        <v>20000</v>
      </c>
      <c r="G220" s="121">
        <v>18540</v>
      </c>
      <c r="H220" t="s">
        <v>1867</v>
      </c>
      <c r="I220" s="156">
        <v>33238</v>
      </c>
      <c r="K220" s="153"/>
      <c r="L220" s="153"/>
      <c r="M220" s="153"/>
      <c r="N220" s="153"/>
      <c r="O220" s="153"/>
      <c r="P220" s="152"/>
      <c r="Q220" s="152"/>
      <c r="R220" s="153"/>
      <c r="S220" s="154"/>
      <c r="T220" s="115"/>
    </row>
    <row r="221" spans="1:20">
      <c r="A221" t="s">
        <v>1230</v>
      </c>
      <c r="B221" t="s">
        <v>72</v>
      </c>
      <c r="C221" t="s">
        <v>39</v>
      </c>
      <c r="D221" t="s">
        <v>143</v>
      </c>
      <c r="E221" t="s">
        <v>1868</v>
      </c>
      <c r="F221" s="121">
        <v>14111</v>
      </c>
      <c r="G221" s="121">
        <v>14111</v>
      </c>
      <c r="H221" t="s">
        <v>336</v>
      </c>
      <c r="I221" s="156">
        <v>41089</v>
      </c>
      <c r="K221" s="153"/>
      <c r="L221" s="153"/>
      <c r="M221" s="153"/>
      <c r="N221" s="153"/>
      <c r="O221" s="153"/>
      <c r="P221" s="152"/>
      <c r="Q221" s="152"/>
      <c r="R221" s="153"/>
      <c r="S221" s="154"/>
      <c r="T221" s="115"/>
    </row>
    <row r="222" spans="1:20">
      <c r="A222" t="s">
        <v>1230</v>
      </c>
      <c r="B222" t="s">
        <v>72</v>
      </c>
      <c r="C222" t="s">
        <v>66</v>
      </c>
      <c r="D222" t="s">
        <v>270</v>
      </c>
      <c r="E222" t="s">
        <v>1869</v>
      </c>
      <c r="F222" s="121">
        <v>303850</v>
      </c>
      <c r="G222" s="121">
        <v>303850</v>
      </c>
      <c r="H222" t="s">
        <v>1870</v>
      </c>
      <c r="I222" s="156">
        <v>41089</v>
      </c>
      <c r="K222" s="153"/>
      <c r="L222" s="153"/>
      <c r="M222" s="153"/>
      <c r="N222" s="153"/>
      <c r="O222" s="153"/>
      <c r="P222" s="152"/>
      <c r="Q222" s="152"/>
      <c r="R222" s="153"/>
      <c r="S222" s="154"/>
      <c r="T222" s="115"/>
    </row>
    <row r="223" spans="1:20">
      <c r="A223" t="s">
        <v>1230</v>
      </c>
      <c r="B223" t="s">
        <v>72</v>
      </c>
      <c r="C223" t="s">
        <v>50</v>
      </c>
      <c r="D223" t="s">
        <v>361</v>
      </c>
      <c r="E223" t="s">
        <v>1871</v>
      </c>
      <c r="F223" s="121">
        <v>135960</v>
      </c>
      <c r="G223" s="121">
        <v>135960</v>
      </c>
      <c r="H223" t="s">
        <v>336</v>
      </c>
      <c r="I223" s="156">
        <v>41089</v>
      </c>
      <c r="K223" s="153"/>
      <c r="L223" s="153"/>
      <c r="M223" s="153"/>
      <c r="N223" s="153"/>
      <c r="O223" s="153"/>
      <c r="P223" s="152"/>
      <c r="Q223" s="152"/>
      <c r="R223" s="153"/>
      <c r="S223" s="154"/>
      <c r="T223" s="115"/>
    </row>
    <row r="224" spans="1:20">
      <c r="A224" t="s">
        <v>1231</v>
      </c>
      <c r="B224" t="s">
        <v>71</v>
      </c>
      <c r="C224" t="s">
        <v>56</v>
      </c>
      <c r="D224" t="s">
        <v>201</v>
      </c>
      <c r="E224" t="s">
        <v>1872</v>
      </c>
      <c r="F224" s="121">
        <v>360000</v>
      </c>
      <c r="G224" s="121">
        <v>360000</v>
      </c>
      <c r="H224" t="s">
        <v>1873</v>
      </c>
      <c r="I224" s="156">
        <v>40729</v>
      </c>
      <c r="K224" s="153"/>
      <c r="L224" s="153"/>
      <c r="M224" s="153"/>
      <c r="N224" s="153"/>
      <c r="O224" s="153"/>
      <c r="P224" s="152"/>
      <c r="Q224" s="152"/>
      <c r="R224" s="153"/>
      <c r="S224" s="154"/>
      <c r="T224" s="115"/>
    </row>
    <row r="225" spans="1:20">
      <c r="A225" t="s">
        <v>1230</v>
      </c>
      <c r="B225" t="s">
        <v>72</v>
      </c>
      <c r="C225" t="s">
        <v>66</v>
      </c>
      <c r="D225" t="s">
        <v>270</v>
      </c>
      <c r="E225" t="s">
        <v>1874</v>
      </c>
      <c r="F225" s="121">
        <v>303850</v>
      </c>
      <c r="G225" s="121">
        <v>303850</v>
      </c>
      <c r="H225" t="s">
        <v>1875</v>
      </c>
      <c r="I225" s="156">
        <v>41089</v>
      </c>
      <c r="K225" s="153"/>
      <c r="L225" s="153"/>
      <c r="M225" s="153"/>
      <c r="N225" s="153"/>
      <c r="O225" s="153"/>
      <c r="P225" s="152"/>
      <c r="Q225" s="152"/>
      <c r="R225" s="153"/>
      <c r="S225" s="154"/>
      <c r="T225" s="115"/>
    </row>
    <row r="226" spans="1:20">
      <c r="A226" t="s">
        <v>1230</v>
      </c>
      <c r="B226" t="s">
        <v>72</v>
      </c>
      <c r="C226" t="s">
        <v>50</v>
      </c>
      <c r="D226" t="s">
        <v>362</v>
      </c>
      <c r="E226" t="s">
        <v>1876</v>
      </c>
      <c r="F226" s="121">
        <v>200000</v>
      </c>
      <c r="G226" s="121">
        <v>200000</v>
      </c>
      <c r="H226" t="s">
        <v>336</v>
      </c>
      <c r="I226" s="156">
        <v>41066</v>
      </c>
      <c r="K226" s="153"/>
      <c r="L226" s="153"/>
      <c r="M226" s="153"/>
      <c r="N226" s="153"/>
      <c r="O226" s="153"/>
      <c r="P226" s="152"/>
      <c r="Q226" s="152"/>
      <c r="R226" s="153"/>
      <c r="S226" s="154"/>
      <c r="T226" s="115"/>
    </row>
    <row r="227" spans="1:20">
      <c r="A227" t="s">
        <v>1230</v>
      </c>
      <c r="B227" t="s">
        <v>72</v>
      </c>
      <c r="C227" t="s">
        <v>37</v>
      </c>
      <c r="D227" t="s">
        <v>118</v>
      </c>
      <c r="E227" t="s">
        <v>1877</v>
      </c>
      <c r="F227" s="121">
        <v>182000</v>
      </c>
      <c r="G227" s="121">
        <v>150230.65</v>
      </c>
      <c r="H227" t="s">
        <v>1878</v>
      </c>
      <c r="I227" s="156">
        <v>40359</v>
      </c>
      <c r="K227" s="153"/>
      <c r="L227" s="153"/>
      <c r="M227" s="153"/>
      <c r="N227" s="153"/>
      <c r="O227" s="153"/>
      <c r="P227" s="152"/>
      <c r="Q227" s="152"/>
      <c r="R227" s="153"/>
      <c r="S227" s="154"/>
      <c r="T227" s="115"/>
    </row>
    <row r="228" spans="1:20">
      <c r="A228" t="s">
        <v>1230</v>
      </c>
      <c r="B228" t="s">
        <v>72</v>
      </c>
      <c r="C228" t="s">
        <v>50</v>
      </c>
      <c r="D228" t="s">
        <v>343</v>
      </c>
      <c r="E228" t="s">
        <v>1879</v>
      </c>
      <c r="F228" s="121">
        <v>245000</v>
      </c>
      <c r="G228" s="121">
        <v>220111</v>
      </c>
      <c r="H228" t="s">
        <v>1880</v>
      </c>
      <c r="I228" s="156">
        <v>40687</v>
      </c>
      <c r="K228" s="153"/>
      <c r="L228" s="153"/>
      <c r="M228" s="153"/>
      <c r="N228" s="153"/>
      <c r="O228" s="153"/>
      <c r="P228" s="152"/>
      <c r="Q228" s="152"/>
      <c r="R228" s="153"/>
      <c r="S228" s="154"/>
      <c r="T228" s="115"/>
    </row>
    <row r="229" spans="1:20">
      <c r="A229" t="s">
        <v>1230</v>
      </c>
      <c r="B229" t="s">
        <v>72</v>
      </c>
      <c r="C229" t="s">
        <v>66</v>
      </c>
      <c r="D229" t="s">
        <v>268</v>
      </c>
      <c r="E229" t="s">
        <v>1881</v>
      </c>
      <c r="F229" s="121">
        <v>145000</v>
      </c>
      <c r="G229" s="121">
        <v>116184</v>
      </c>
      <c r="H229" t="s">
        <v>1882</v>
      </c>
      <c r="I229" s="156">
        <v>39813</v>
      </c>
      <c r="K229" s="153"/>
      <c r="L229" s="153"/>
      <c r="M229" s="153"/>
      <c r="N229" s="153"/>
      <c r="O229" s="153"/>
      <c r="P229" s="152"/>
      <c r="Q229" s="152"/>
      <c r="R229" s="153"/>
      <c r="S229" s="154"/>
      <c r="T229" s="115"/>
    </row>
    <row r="230" spans="1:20">
      <c r="A230" t="s">
        <v>1230</v>
      </c>
      <c r="B230" t="s">
        <v>72</v>
      </c>
      <c r="C230" t="s">
        <v>49</v>
      </c>
      <c r="D230" t="s">
        <v>363</v>
      </c>
      <c r="E230" t="s">
        <v>1883</v>
      </c>
      <c r="F230" s="121">
        <v>10250</v>
      </c>
      <c r="G230" s="121">
        <v>9527.5</v>
      </c>
      <c r="H230" t="s">
        <v>1884</v>
      </c>
      <c r="I230" s="156">
        <v>38717</v>
      </c>
      <c r="K230" s="153"/>
      <c r="L230" s="153"/>
      <c r="M230" s="153"/>
      <c r="N230" s="153"/>
      <c r="O230" s="153"/>
      <c r="P230" s="152"/>
      <c r="Q230" s="152"/>
      <c r="R230" s="153"/>
      <c r="S230" s="154"/>
      <c r="T230" s="115"/>
    </row>
    <row r="231" spans="1:20">
      <c r="A231" t="s">
        <v>1230</v>
      </c>
      <c r="B231" t="s">
        <v>72</v>
      </c>
      <c r="C231" t="s">
        <v>46</v>
      </c>
      <c r="D231" t="s">
        <v>178</v>
      </c>
      <c r="E231" t="s">
        <v>1885</v>
      </c>
      <c r="F231" s="121">
        <v>14800</v>
      </c>
      <c r="G231" s="121">
        <v>14162.5</v>
      </c>
      <c r="H231" t="s">
        <v>1886</v>
      </c>
      <c r="I231" s="156">
        <v>38352</v>
      </c>
      <c r="K231" s="153"/>
      <c r="L231" s="153"/>
      <c r="M231" s="153"/>
      <c r="N231" s="153"/>
      <c r="O231" s="153"/>
      <c r="P231" s="152"/>
      <c r="Q231" s="152"/>
      <c r="R231" s="153"/>
      <c r="S231" s="154"/>
      <c r="T231" s="115"/>
    </row>
    <row r="232" spans="1:20">
      <c r="A232" t="s">
        <v>1230</v>
      </c>
      <c r="B232" t="s">
        <v>72</v>
      </c>
      <c r="C232" t="s">
        <v>46</v>
      </c>
      <c r="D232" t="s">
        <v>7125</v>
      </c>
      <c r="E232" t="s">
        <v>7126</v>
      </c>
      <c r="F232" s="121">
        <v>22392.2</v>
      </c>
      <c r="G232" s="121">
        <v>22392.2</v>
      </c>
      <c r="H232" t="s">
        <v>7127</v>
      </c>
      <c r="I232" s="156">
        <v>41089</v>
      </c>
      <c r="K232" s="153"/>
      <c r="L232" s="153"/>
      <c r="M232" s="153"/>
      <c r="N232" s="153"/>
      <c r="O232" s="153"/>
      <c r="P232" s="152"/>
      <c r="Q232" s="152"/>
      <c r="R232" s="153"/>
      <c r="S232" s="154"/>
      <c r="T232" s="115"/>
    </row>
    <row r="233" spans="1:20">
      <c r="A233" t="s">
        <v>1230</v>
      </c>
      <c r="B233" t="s">
        <v>72</v>
      </c>
      <c r="C233" t="s">
        <v>46</v>
      </c>
      <c r="D233" t="s">
        <v>179</v>
      </c>
      <c r="E233" t="s">
        <v>1887</v>
      </c>
      <c r="F233" s="121">
        <v>14800</v>
      </c>
      <c r="G233" s="121">
        <v>14162.5</v>
      </c>
      <c r="H233" t="s">
        <v>1888</v>
      </c>
      <c r="I233" s="156">
        <v>38352</v>
      </c>
      <c r="K233" s="153"/>
      <c r="L233" s="153"/>
      <c r="M233" s="153"/>
      <c r="N233" s="153"/>
      <c r="O233" s="153"/>
      <c r="P233" s="152"/>
      <c r="Q233" s="152"/>
      <c r="R233" s="153"/>
      <c r="S233" s="154"/>
      <c r="T233" s="115"/>
    </row>
    <row r="234" spans="1:20">
      <c r="A234" t="s">
        <v>1230</v>
      </c>
      <c r="B234" t="s">
        <v>72</v>
      </c>
      <c r="C234" t="s">
        <v>39</v>
      </c>
      <c r="D234" t="s">
        <v>143</v>
      </c>
      <c r="E234" t="s">
        <v>1889</v>
      </c>
      <c r="F234" s="121">
        <v>4326</v>
      </c>
      <c r="G234" s="121">
        <v>4326</v>
      </c>
      <c r="H234" t="s">
        <v>336</v>
      </c>
      <c r="I234" s="156">
        <v>41089</v>
      </c>
      <c r="K234" s="153"/>
      <c r="L234" s="153"/>
      <c r="M234" s="153"/>
      <c r="N234" s="153"/>
      <c r="O234" s="153"/>
      <c r="P234" s="152"/>
      <c r="Q234" s="152"/>
      <c r="R234" s="153"/>
      <c r="S234" s="154"/>
      <c r="T234" s="115"/>
    </row>
    <row r="235" spans="1:20">
      <c r="A235" t="s">
        <v>1230</v>
      </c>
      <c r="B235" t="s">
        <v>72</v>
      </c>
      <c r="C235" t="s">
        <v>39</v>
      </c>
      <c r="D235" t="s">
        <v>136</v>
      </c>
      <c r="E235" t="s">
        <v>1890</v>
      </c>
      <c r="F235" s="121">
        <v>6150</v>
      </c>
      <c r="G235" s="121">
        <v>3193</v>
      </c>
      <c r="H235" t="s">
        <v>1891</v>
      </c>
      <c r="I235" s="156">
        <v>39813</v>
      </c>
      <c r="K235" s="153"/>
      <c r="L235" s="153"/>
      <c r="M235" s="153"/>
      <c r="N235" s="153"/>
      <c r="O235" s="153"/>
      <c r="P235" s="152"/>
      <c r="Q235" s="152"/>
      <c r="R235" s="153"/>
      <c r="S235" s="154"/>
      <c r="T235" s="115"/>
    </row>
    <row r="236" spans="1:20">
      <c r="A236" t="s">
        <v>1230</v>
      </c>
      <c r="B236" t="s">
        <v>72</v>
      </c>
      <c r="C236" t="s">
        <v>37</v>
      </c>
      <c r="D236" t="s">
        <v>119</v>
      </c>
      <c r="E236" t="s">
        <v>1892</v>
      </c>
      <c r="F236" s="121">
        <v>158259.5</v>
      </c>
      <c r="G236" s="121">
        <v>158259.5</v>
      </c>
      <c r="H236" t="s">
        <v>1893</v>
      </c>
      <c r="I236" s="156">
        <v>41089</v>
      </c>
      <c r="K236" s="153"/>
      <c r="L236" s="153"/>
      <c r="M236" s="153"/>
      <c r="N236" s="153"/>
      <c r="O236" s="153"/>
      <c r="P236" s="152"/>
      <c r="Q236" s="152"/>
      <c r="R236" s="153"/>
      <c r="S236" s="154"/>
      <c r="T236" s="115"/>
    </row>
    <row r="237" spans="1:20">
      <c r="A237" t="s">
        <v>1230</v>
      </c>
      <c r="B237" t="s">
        <v>72</v>
      </c>
      <c r="C237" t="s">
        <v>63</v>
      </c>
      <c r="D237" t="s">
        <v>250</v>
      </c>
      <c r="E237" t="s">
        <v>1894</v>
      </c>
      <c r="F237" s="121">
        <v>130000</v>
      </c>
      <c r="G237" s="121">
        <v>112785</v>
      </c>
      <c r="H237" t="s">
        <v>1895</v>
      </c>
      <c r="I237" s="156">
        <v>40424</v>
      </c>
      <c r="K237" s="153"/>
      <c r="L237" s="153"/>
      <c r="M237" s="153"/>
      <c r="N237" s="153"/>
      <c r="O237" s="153"/>
      <c r="P237" s="152"/>
      <c r="Q237" s="152"/>
      <c r="R237" s="153"/>
      <c r="S237" s="154"/>
      <c r="T237" s="115"/>
    </row>
    <row r="238" spans="1:20">
      <c r="A238" t="s">
        <v>1230</v>
      </c>
      <c r="B238" t="s">
        <v>72</v>
      </c>
      <c r="C238" t="s">
        <v>66</v>
      </c>
      <c r="D238" t="s">
        <v>270</v>
      </c>
      <c r="E238" t="s">
        <v>1896</v>
      </c>
      <c r="F238" s="121">
        <v>305850.25</v>
      </c>
      <c r="G238" s="121">
        <v>303850</v>
      </c>
      <c r="H238" t="s">
        <v>1897</v>
      </c>
      <c r="I238" s="156">
        <v>40435</v>
      </c>
      <c r="K238" s="153"/>
      <c r="L238" s="153"/>
      <c r="M238" s="153"/>
      <c r="N238" s="153"/>
      <c r="O238" s="153"/>
      <c r="P238" s="152"/>
      <c r="Q238" s="152"/>
      <c r="R238" s="153"/>
      <c r="S238" s="154"/>
      <c r="T238" s="115"/>
    </row>
    <row r="239" spans="1:20">
      <c r="A239" t="s">
        <v>1230</v>
      </c>
      <c r="B239" t="s">
        <v>72</v>
      </c>
      <c r="C239" t="s">
        <v>46</v>
      </c>
      <c r="D239" t="s">
        <v>180</v>
      </c>
      <c r="E239" t="s">
        <v>1898</v>
      </c>
      <c r="F239" s="121">
        <v>26955</v>
      </c>
      <c r="G239" s="121">
        <v>14111</v>
      </c>
      <c r="H239" t="s">
        <v>1899</v>
      </c>
      <c r="I239" s="156">
        <v>38129</v>
      </c>
      <c r="K239" s="153"/>
      <c r="L239" s="153"/>
      <c r="M239" s="153"/>
      <c r="N239" s="153"/>
      <c r="O239" s="153"/>
      <c r="P239" s="152"/>
      <c r="Q239" s="152"/>
      <c r="R239" s="153"/>
      <c r="S239" s="154"/>
      <c r="T239" s="115"/>
    </row>
    <row r="240" spans="1:20">
      <c r="A240" t="s">
        <v>1230</v>
      </c>
      <c r="B240" t="s">
        <v>72</v>
      </c>
      <c r="C240" t="s">
        <v>37</v>
      </c>
      <c r="D240" t="s">
        <v>120</v>
      </c>
      <c r="E240" t="s">
        <v>1900</v>
      </c>
      <c r="F240" s="121">
        <v>246000</v>
      </c>
      <c r="G240" s="121">
        <v>178690.58</v>
      </c>
      <c r="H240" t="s">
        <v>1901</v>
      </c>
      <c r="I240" s="156">
        <v>40438</v>
      </c>
      <c r="K240" s="153"/>
      <c r="L240" s="153"/>
      <c r="M240" s="153"/>
      <c r="N240" s="153"/>
      <c r="O240" s="153"/>
      <c r="P240" s="152"/>
      <c r="Q240" s="152"/>
      <c r="R240" s="153"/>
      <c r="S240" s="154"/>
      <c r="T240" s="115"/>
    </row>
    <row r="241" spans="1:20">
      <c r="A241" t="s">
        <v>1230</v>
      </c>
      <c r="B241" t="s">
        <v>72</v>
      </c>
      <c r="C241" t="s">
        <v>63</v>
      </c>
      <c r="D241" t="s">
        <v>249</v>
      </c>
      <c r="E241" t="s">
        <v>1902</v>
      </c>
      <c r="F241" s="121">
        <v>112785</v>
      </c>
      <c r="G241" s="121">
        <v>112785</v>
      </c>
      <c r="H241" t="s">
        <v>364</v>
      </c>
      <c r="I241" s="156">
        <v>41089</v>
      </c>
      <c r="K241" s="153"/>
      <c r="L241" s="153"/>
      <c r="M241" s="153"/>
      <c r="N241" s="153"/>
      <c r="O241" s="153"/>
      <c r="P241" s="152"/>
      <c r="Q241" s="152"/>
      <c r="R241" s="153"/>
      <c r="S241" s="154"/>
      <c r="T241" s="115"/>
    </row>
    <row r="242" spans="1:20">
      <c r="A242" t="s">
        <v>1230</v>
      </c>
      <c r="B242" t="s">
        <v>72</v>
      </c>
      <c r="C242" t="s">
        <v>56</v>
      </c>
      <c r="D242" t="s">
        <v>201</v>
      </c>
      <c r="E242" t="s">
        <v>1903</v>
      </c>
      <c r="F242" s="121">
        <v>195700</v>
      </c>
      <c r="G242" s="121">
        <v>195700</v>
      </c>
      <c r="H242" t="s">
        <v>336</v>
      </c>
      <c r="I242" s="156">
        <v>41089</v>
      </c>
      <c r="K242" s="153"/>
      <c r="L242" s="153"/>
      <c r="M242" s="153"/>
      <c r="N242" s="153"/>
      <c r="O242" s="153"/>
      <c r="P242" s="152"/>
      <c r="Q242" s="152"/>
      <c r="R242" s="153"/>
      <c r="S242" s="154"/>
      <c r="T242" s="115"/>
    </row>
    <row r="243" spans="1:20">
      <c r="A243" t="s">
        <v>1230</v>
      </c>
      <c r="B243" t="s">
        <v>72</v>
      </c>
      <c r="C243" t="s">
        <v>37</v>
      </c>
      <c r="D243" t="s">
        <v>121</v>
      </c>
      <c r="E243" t="s">
        <v>1904</v>
      </c>
      <c r="F243" s="121">
        <v>40000</v>
      </c>
      <c r="G243" s="121">
        <v>41612</v>
      </c>
      <c r="H243" t="s">
        <v>1905</v>
      </c>
      <c r="I243" s="156">
        <v>37256</v>
      </c>
      <c r="K243" s="153"/>
      <c r="L243" s="153"/>
      <c r="M243" s="153"/>
      <c r="N243" s="153"/>
      <c r="O243" s="153"/>
      <c r="P243" s="152"/>
      <c r="Q243" s="152"/>
      <c r="R243" s="153"/>
      <c r="S243" s="154"/>
      <c r="T243" s="115"/>
    </row>
    <row r="244" spans="1:20">
      <c r="A244" t="s">
        <v>1230</v>
      </c>
      <c r="B244" t="s">
        <v>72</v>
      </c>
      <c r="C244" t="s">
        <v>39</v>
      </c>
      <c r="D244" t="s">
        <v>146</v>
      </c>
      <c r="E244" t="s">
        <v>1906</v>
      </c>
      <c r="F244" s="121">
        <v>5600</v>
      </c>
      <c r="G244" s="121">
        <v>6180</v>
      </c>
      <c r="H244" t="s">
        <v>336</v>
      </c>
      <c r="I244" s="156">
        <v>39082</v>
      </c>
      <c r="K244" s="153"/>
      <c r="L244" s="153"/>
      <c r="M244" s="153"/>
      <c r="N244" s="153"/>
      <c r="O244" s="153"/>
      <c r="P244" s="152"/>
      <c r="Q244" s="152"/>
      <c r="R244" s="153"/>
      <c r="S244" s="154"/>
      <c r="T244" s="115"/>
    </row>
    <row r="245" spans="1:20">
      <c r="A245" t="s">
        <v>1230</v>
      </c>
      <c r="B245" t="s">
        <v>72</v>
      </c>
      <c r="C245" t="s">
        <v>66</v>
      </c>
      <c r="D245" t="s">
        <v>271</v>
      </c>
      <c r="E245" t="s">
        <v>1907</v>
      </c>
      <c r="F245" s="121">
        <v>324433.2</v>
      </c>
      <c r="G245" s="121">
        <v>303850</v>
      </c>
      <c r="H245" t="s">
        <v>1908</v>
      </c>
      <c r="I245" s="156">
        <v>40837</v>
      </c>
      <c r="K245" s="153"/>
      <c r="L245" s="153"/>
      <c r="M245" s="153"/>
      <c r="N245" s="153"/>
      <c r="O245" s="153"/>
      <c r="P245" s="152"/>
      <c r="Q245" s="152"/>
      <c r="R245" s="153"/>
      <c r="S245" s="154"/>
      <c r="T245" s="115"/>
    </row>
    <row r="246" spans="1:20">
      <c r="A246" t="s">
        <v>1230</v>
      </c>
      <c r="B246" t="s">
        <v>72</v>
      </c>
      <c r="C246" t="s">
        <v>46</v>
      </c>
      <c r="D246" t="s">
        <v>180</v>
      </c>
      <c r="E246" t="s">
        <v>1909</v>
      </c>
      <c r="F246" s="121">
        <v>26955</v>
      </c>
      <c r="G246" s="121">
        <v>14111</v>
      </c>
      <c r="H246" t="s">
        <v>1910</v>
      </c>
      <c r="I246" s="156">
        <v>38129</v>
      </c>
      <c r="K246" s="153"/>
      <c r="L246" s="153"/>
      <c r="M246" s="153"/>
      <c r="N246" s="153"/>
      <c r="O246" s="153"/>
      <c r="P246" s="152"/>
      <c r="Q246" s="152"/>
      <c r="R246" s="153"/>
      <c r="S246" s="154"/>
      <c r="T246" s="115"/>
    </row>
    <row r="247" spans="1:20">
      <c r="A247" t="s">
        <v>1230</v>
      </c>
      <c r="B247" t="s">
        <v>72</v>
      </c>
      <c r="C247" t="s">
        <v>66</v>
      </c>
      <c r="D247" t="s">
        <v>270</v>
      </c>
      <c r="E247" t="s">
        <v>1911</v>
      </c>
      <c r="F247" s="121">
        <v>356754.45</v>
      </c>
      <c r="G247" s="121">
        <v>303850</v>
      </c>
      <c r="H247" t="s">
        <v>1912</v>
      </c>
      <c r="I247" s="156">
        <v>40906</v>
      </c>
      <c r="K247" s="153"/>
      <c r="L247" s="153"/>
      <c r="M247" s="153"/>
      <c r="N247" s="153"/>
      <c r="O247" s="153"/>
      <c r="P247" s="152"/>
      <c r="Q247" s="152"/>
      <c r="R247" s="153"/>
      <c r="S247" s="154"/>
      <c r="T247" s="115"/>
    </row>
    <row r="248" spans="1:20">
      <c r="A248" t="s">
        <v>1230</v>
      </c>
      <c r="B248" t="s">
        <v>72</v>
      </c>
      <c r="C248" t="s">
        <v>46</v>
      </c>
      <c r="D248" t="s">
        <v>179</v>
      </c>
      <c r="E248" t="s">
        <v>1913</v>
      </c>
      <c r="F248" s="121">
        <v>14162.5</v>
      </c>
      <c r="G248" s="121">
        <v>14162.5</v>
      </c>
      <c r="H248" t="s">
        <v>1914</v>
      </c>
      <c r="I248" s="156">
        <v>41089</v>
      </c>
      <c r="K248" s="153"/>
      <c r="L248" s="153"/>
      <c r="M248" s="153"/>
      <c r="N248" s="153"/>
      <c r="O248" s="153"/>
      <c r="P248" s="152"/>
      <c r="Q248" s="152"/>
      <c r="R248" s="153"/>
      <c r="S248" s="154"/>
      <c r="T248" s="115"/>
    </row>
    <row r="249" spans="1:20">
      <c r="A249" t="s">
        <v>1230</v>
      </c>
      <c r="B249" t="s">
        <v>72</v>
      </c>
      <c r="C249" t="s">
        <v>66</v>
      </c>
      <c r="D249" t="s">
        <v>270</v>
      </c>
      <c r="E249" t="s">
        <v>1915</v>
      </c>
      <c r="F249" s="121">
        <v>305850.25</v>
      </c>
      <c r="G249" s="121">
        <v>303850</v>
      </c>
      <c r="H249" t="s">
        <v>1916</v>
      </c>
      <c r="I249" s="156">
        <v>40448</v>
      </c>
      <c r="K249" s="153"/>
      <c r="L249" s="153"/>
      <c r="M249" s="153"/>
      <c r="N249" s="153"/>
      <c r="O249" s="153"/>
      <c r="P249" s="152"/>
      <c r="Q249" s="152"/>
      <c r="R249" s="153"/>
      <c r="S249" s="154"/>
      <c r="T249" s="115"/>
    </row>
    <row r="250" spans="1:20">
      <c r="A250" t="s">
        <v>1230</v>
      </c>
      <c r="B250" t="s">
        <v>72</v>
      </c>
      <c r="C250" t="s">
        <v>46</v>
      </c>
      <c r="D250" t="s">
        <v>180</v>
      </c>
      <c r="E250" t="s">
        <v>1917</v>
      </c>
      <c r="F250" s="121">
        <v>26955</v>
      </c>
      <c r="G250" s="121">
        <v>14111</v>
      </c>
      <c r="H250" t="s">
        <v>1918</v>
      </c>
      <c r="I250" s="156">
        <v>37033</v>
      </c>
      <c r="K250" s="153"/>
      <c r="L250" s="153"/>
      <c r="M250" s="153"/>
      <c r="N250" s="153"/>
      <c r="O250" s="153"/>
      <c r="P250" s="152"/>
      <c r="Q250" s="152"/>
      <c r="R250" s="153"/>
      <c r="S250" s="154"/>
      <c r="T250" s="115"/>
    </row>
    <row r="251" spans="1:20">
      <c r="A251" t="s">
        <v>1230</v>
      </c>
      <c r="B251" t="s">
        <v>72</v>
      </c>
      <c r="C251" t="s">
        <v>66</v>
      </c>
      <c r="D251" t="s">
        <v>270</v>
      </c>
      <c r="E251" t="s">
        <v>1919</v>
      </c>
      <c r="F251" s="121">
        <v>356754.45</v>
      </c>
      <c r="G251" s="121">
        <v>303850</v>
      </c>
      <c r="H251" t="s">
        <v>1920</v>
      </c>
      <c r="I251" s="156">
        <v>40906</v>
      </c>
      <c r="K251" s="153"/>
      <c r="L251" s="153"/>
      <c r="M251" s="153"/>
      <c r="N251" s="153"/>
      <c r="O251" s="153"/>
      <c r="P251" s="152"/>
      <c r="Q251" s="152"/>
      <c r="R251" s="153"/>
      <c r="S251" s="154"/>
      <c r="T251" s="115"/>
    </row>
    <row r="252" spans="1:20">
      <c r="A252" t="s">
        <v>1230</v>
      </c>
      <c r="B252" t="s">
        <v>72</v>
      </c>
      <c r="C252" t="s">
        <v>46</v>
      </c>
      <c r="D252" t="s">
        <v>180</v>
      </c>
      <c r="E252" t="s">
        <v>1921</v>
      </c>
      <c r="F252" s="121">
        <v>26955</v>
      </c>
      <c r="G252" s="121">
        <v>14111</v>
      </c>
      <c r="H252" t="s">
        <v>1922</v>
      </c>
      <c r="I252" s="156">
        <v>38129</v>
      </c>
      <c r="K252" s="153"/>
      <c r="L252" s="153"/>
      <c r="M252" s="153"/>
      <c r="N252" s="153"/>
      <c r="O252" s="153"/>
      <c r="P252" s="152"/>
      <c r="Q252" s="152"/>
      <c r="R252" s="153"/>
      <c r="S252" s="154"/>
      <c r="T252" s="115"/>
    </row>
    <row r="253" spans="1:20">
      <c r="A253" t="s">
        <v>1230</v>
      </c>
      <c r="B253" t="s">
        <v>72</v>
      </c>
      <c r="C253" t="s">
        <v>66</v>
      </c>
      <c r="D253" t="s">
        <v>272</v>
      </c>
      <c r="E253" t="s">
        <v>1923</v>
      </c>
      <c r="F253" s="121">
        <v>38000</v>
      </c>
      <c r="G253" s="121">
        <v>39861</v>
      </c>
      <c r="H253" t="s">
        <v>1924</v>
      </c>
      <c r="I253" s="156">
        <v>36891</v>
      </c>
      <c r="K253" s="153"/>
      <c r="L253" s="153"/>
      <c r="M253" s="153"/>
      <c r="N253" s="153"/>
      <c r="O253" s="153"/>
      <c r="P253" s="152"/>
      <c r="Q253" s="152"/>
      <c r="R253" s="153"/>
      <c r="S253" s="154"/>
      <c r="T253" s="115"/>
    </row>
    <row r="254" spans="1:20">
      <c r="A254" t="s">
        <v>1230</v>
      </c>
      <c r="B254" t="s">
        <v>72</v>
      </c>
      <c r="C254" t="s">
        <v>49</v>
      </c>
      <c r="D254" t="s">
        <v>355</v>
      </c>
      <c r="E254" t="s">
        <v>1925</v>
      </c>
      <c r="F254" s="121">
        <v>1854</v>
      </c>
      <c r="G254" s="121">
        <v>1854</v>
      </c>
      <c r="H254" t="s">
        <v>336</v>
      </c>
      <c r="I254" s="156">
        <v>41089</v>
      </c>
      <c r="K254" s="153"/>
      <c r="L254" s="153"/>
      <c r="M254" s="153"/>
      <c r="N254" s="153"/>
      <c r="O254" s="153"/>
      <c r="P254" s="152"/>
      <c r="Q254" s="152"/>
      <c r="R254" s="153"/>
      <c r="S254" s="154"/>
      <c r="T254" s="115"/>
    </row>
    <row r="255" spans="1:20">
      <c r="A255" t="s">
        <v>1230</v>
      </c>
      <c r="B255" t="s">
        <v>72</v>
      </c>
      <c r="C255" t="s">
        <v>50</v>
      </c>
      <c r="D255" t="s">
        <v>365</v>
      </c>
      <c r="E255" t="s">
        <v>1926</v>
      </c>
      <c r="F255" s="121">
        <v>553309.07999999996</v>
      </c>
      <c r="G255" s="121">
        <v>530450</v>
      </c>
      <c r="H255" t="s">
        <v>6815</v>
      </c>
      <c r="I255" s="156">
        <v>39898</v>
      </c>
      <c r="K255" s="153"/>
      <c r="L255" s="153"/>
      <c r="M255" s="153"/>
      <c r="N255" s="153"/>
      <c r="O255" s="153"/>
      <c r="P255" s="152"/>
      <c r="Q255" s="152"/>
      <c r="R255" s="153"/>
      <c r="S255" s="154"/>
      <c r="T255" s="115"/>
    </row>
    <row r="256" spans="1:20">
      <c r="A256" t="s">
        <v>1230</v>
      </c>
      <c r="B256" t="s">
        <v>72</v>
      </c>
      <c r="C256" t="s">
        <v>50</v>
      </c>
      <c r="D256" t="s">
        <v>366</v>
      </c>
      <c r="E256" t="s">
        <v>1927</v>
      </c>
      <c r="F256" s="121">
        <v>143959.6</v>
      </c>
      <c r="G256" s="121">
        <v>142902.20000000001</v>
      </c>
      <c r="H256" t="s">
        <v>336</v>
      </c>
      <c r="I256" s="156">
        <v>39898</v>
      </c>
      <c r="K256" s="153"/>
      <c r="L256" s="153"/>
      <c r="M256" s="153"/>
      <c r="N256" s="153"/>
      <c r="O256" s="153"/>
      <c r="P256" s="152"/>
      <c r="Q256" s="152"/>
      <c r="R256" s="153"/>
      <c r="S256" s="154"/>
      <c r="T256" s="115"/>
    </row>
    <row r="257" spans="1:20">
      <c r="A257" t="s">
        <v>1230</v>
      </c>
      <c r="B257" t="s">
        <v>72</v>
      </c>
      <c r="C257" t="s">
        <v>68</v>
      </c>
      <c r="D257" t="s">
        <v>297</v>
      </c>
      <c r="E257" t="s">
        <v>1928</v>
      </c>
      <c r="F257" s="121">
        <v>38500</v>
      </c>
      <c r="G257" s="121">
        <v>37904</v>
      </c>
      <c r="H257" t="s">
        <v>1929</v>
      </c>
      <c r="I257" s="156">
        <v>39813</v>
      </c>
      <c r="K257" s="153"/>
      <c r="L257" s="153"/>
      <c r="M257" s="153"/>
      <c r="N257" s="153"/>
      <c r="O257" s="153"/>
      <c r="P257" s="152"/>
      <c r="Q257" s="152"/>
      <c r="R257" s="153"/>
      <c r="S257" s="154"/>
      <c r="T257" s="115"/>
    </row>
    <row r="258" spans="1:20">
      <c r="A258" t="s">
        <v>1230</v>
      </c>
      <c r="B258" t="s">
        <v>72</v>
      </c>
      <c r="C258" t="s">
        <v>69</v>
      </c>
      <c r="D258" t="s">
        <v>308</v>
      </c>
      <c r="E258" t="s">
        <v>1930</v>
      </c>
      <c r="F258" s="121">
        <v>30963.1</v>
      </c>
      <c r="G258" s="121">
        <v>27243.5</v>
      </c>
      <c r="H258" t="s">
        <v>1931</v>
      </c>
      <c r="I258" s="156">
        <v>41039</v>
      </c>
      <c r="K258" s="153"/>
      <c r="L258" s="153"/>
      <c r="M258" s="153"/>
      <c r="N258" s="153"/>
      <c r="O258" s="153"/>
      <c r="P258" s="152"/>
      <c r="Q258" s="152"/>
      <c r="R258" s="153"/>
      <c r="S258" s="154"/>
      <c r="T258" s="115"/>
    </row>
    <row r="259" spans="1:20">
      <c r="A259" t="s">
        <v>1230</v>
      </c>
      <c r="B259" t="s">
        <v>72</v>
      </c>
      <c r="C259" t="s">
        <v>69</v>
      </c>
      <c r="D259" t="s">
        <v>311</v>
      </c>
      <c r="E259" t="s">
        <v>1932</v>
      </c>
      <c r="F259" s="121">
        <v>25755.41</v>
      </c>
      <c r="G259" s="121">
        <v>22400.44</v>
      </c>
      <c r="H259" t="s">
        <v>1933</v>
      </c>
      <c r="I259" s="156">
        <v>40708</v>
      </c>
      <c r="K259" s="153"/>
      <c r="L259" s="153"/>
      <c r="M259" s="153"/>
      <c r="N259" s="153"/>
      <c r="O259" s="153"/>
      <c r="P259" s="152"/>
      <c r="Q259" s="152"/>
      <c r="R259" s="153"/>
      <c r="S259" s="154"/>
      <c r="T259" s="115"/>
    </row>
    <row r="260" spans="1:20">
      <c r="A260" t="s">
        <v>1230</v>
      </c>
      <c r="B260" t="s">
        <v>72</v>
      </c>
      <c r="C260" t="s">
        <v>37</v>
      </c>
      <c r="D260" t="s">
        <v>122</v>
      </c>
      <c r="E260" t="s">
        <v>1934</v>
      </c>
      <c r="F260" s="121">
        <v>185000</v>
      </c>
      <c r="G260" s="121">
        <v>143898.21</v>
      </c>
      <c r="H260" t="s">
        <v>1935</v>
      </c>
      <c r="I260" s="156">
        <v>40178</v>
      </c>
      <c r="K260" s="153"/>
      <c r="L260" s="153"/>
      <c r="M260" s="153"/>
      <c r="N260" s="153"/>
      <c r="O260" s="153"/>
      <c r="P260" s="152"/>
      <c r="Q260" s="152"/>
      <c r="R260" s="153"/>
      <c r="S260" s="154"/>
      <c r="T260" s="115"/>
    </row>
    <row r="261" spans="1:20">
      <c r="A261" t="s">
        <v>1230</v>
      </c>
      <c r="B261" t="s">
        <v>72</v>
      </c>
      <c r="C261" t="s">
        <v>50</v>
      </c>
      <c r="D261" t="s">
        <v>343</v>
      </c>
      <c r="E261" t="s">
        <v>1936</v>
      </c>
      <c r="F261" s="121">
        <v>139050</v>
      </c>
      <c r="G261" s="121">
        <v>139050</v>
      </c>
      <c r="H261" t="s">
        <v>1937</v>
      </c>
      <c r="I261" s="156">
        <v>41089</v>
      </c>
      <c r="K261" s="153"/>
      <c r="L261" s="153"/>
      <c r="M261" s="153"/>
      <c r="N261" s="153"/>
      <c r="O261" s="153"/>
      <c r="P261" s="152"/>
      <c r="Q261" s="152"/>
      <c r="R261" s="153"/>
      <c r="S261" s="154"/>
      <c r="T261" s="115"/>
    </row>
    <row r="262" spans="1:20">
      <c r="A262" t="s">
        <v>1230</v>
      </c>
      <c r="B262" t="s">
        <v>72</v>
      </c>
      <c r="C262" t="s">
        <v>66</v>
      </c>
      <c r="D262" t="s">
        <v>273</v>
      </c>
      <c r="E262" t="s">
        <v>1938</v>
      </c>
      <c r="F262" s="121">
        <v>139050</v>
      </c>
      <c r="G262" s="121">
        <v>139050</v>
      </c>
      <c r="H262" t="s">
        <v>1939</v>
      </c>
      <c r="I262" s="156">
        <v>40989</v>
      </c>
      <c r="K262" s="153"/>
      <c r="L262" s="153"/>
      <c r="M262" s="153"/>
      <c r="N262" s="153"/>
      <c r="O262" s="153"/>
      <c r="P262" s="152"/>
      <c r="Q262" s="152"/>
      <c r="R262" s="153"/>
      <c r="S262" s="154"/>
      <c r="T262" s="115"/>
    </row>
    <row r="263" spans="1:20">
      <c r="A263" t="s">
        <v>1230</v>
      </c>
      <c r="B263" t="s">
        <v>72</v>
      </c>
      <c r="C263" t="s">
        <v>50</v>
      </c>
      <c r="D263" t="s">
        <v>367</v>
      </c>
      <c r="E263" t="s">
        <v>1940</v>
      </c>
      <c r="F263" s="121">
        <v>200000</v>
      </c>
      <c r="G263" s="121">
        <v>200000</v>
      </c>
      <c r="H263" t="s">
        <v>336</v>
      </c>
      <c r="I263" s="156">
        <v>41066</v>
      </c>
      <c r="K263" s="153"/>
      <c r="L263" s="153"/>
      <c r="M263" s="153"/>
      <c r="N263" s="153"/>
      <c r="O263" s="153"/>
      <c r="P263" s="152"/>
      <c r="Q263" s="152"/>
      <c r="R263" s="153"/>
      <c r="S263" s="154"/>
      <c r="T263" s="115"/>
    </row>
    <row r="264" spans="1:20">
      <c r="A264" t="s">
        <v>1230</v>
      </c>
      <c r="B264" t="s">
        <v>72</v>
      </c>
      <c r="C264" t="s">
        <v>37</v>
      </c>
      <c r="D264" t="s">
        <v>123</v>
      </c>
      <c r="E264" t="s">
        <v>1941</v>
      </c>
      <c r="F264" s="121">
        <v>109333.33</v>
      </c>
      <c r="G264" s="121">
        <v>111080.35</v>
      </c>
      <c r="H264" t="s">
        <v>1942</v>
      </c>
      <c r="I264" s="156">
        <v>40294</v>
      </c>
      <c r="K264" s="153"/>
      <c r="L264" s="153"/>
      <c r="M264" s="153"/>
      <c r="N264" s="153"/>
      <c r="O264" s="153"/>
      <c r="P264" s="152"/>
      <c r="Q264" s="152"/>
      <c r="R264" s="153"/>
      <c r="S264" s="154"/>
      <c r="T264" s="115"/>
    </row>
    <row r="265" spans="1:20">
      <c r="A265" t="s">
        <v>1230</v>
      </c>
      <c r="B265" t="s">
        <v>72</v>
      </c>
      <c r="C265" t="s">
        <v>50</v>
      </c>
      <c r="D265" t="s">
        <v>343</v>
      </c>
      <c r="E265" t="s">
        <v>1943</v>
      </c>
      <c r="F265" s="121">
        <v>122700</v>
      </c>
      <c r="G265" s="121">
        <v>111961</v>
      </c>
      <c r="H265" t="s">
        <v>1944</v>
      </c>
      <c r="I265" s="156">
        <v>40667</v>
      </c>
      <c r="K265" s="153"/>
      <c r="L265" s="153"/>
      <c r="M265" s="153"/>
      <c r="N265" s="153"/>
      <c r="O265" s="153"/>
      <c r="P265" s="152"/>
      <c r="Q265" s="152"/>
      <c r="R265" s="153"/>
      <c r="S265" s="154"/>
      <c r="T265" s="115"/>
    </row>
    <row r="266" spans="1:20">
      <c r="A266" t="s">
        <v>1231</v>
      </c>
      <c r="B266" t="s">
        <v>71</v>
      </c>
      <c r="C266" t="s">
        <v>56</v>
      </c>
      <c r="D266" t="s">
        <v>201</v>
      </c>
      <c r="E266" t="s">
        <v>1945</v>
      </c>
      <c r="F266" s="121">
        <v>360000</v>
      </c>
      <c r="G266" s="121">
        <v>360000</v>
      </c>
      <c r="H266" t="s">
        <v>1946</v>
      </c>
      <c r="I266" s="156">
        <v>40742</v>
      </c>
      <c r="K266" s="153"/>
      <c r="L266" s="153"/>
      <c r="M266" s="153"/>
      <c r="N266" s="153"/>
      <c r="O266" s="153"/>
      <c r="P266" s="152"/>
      <c r="Q266" s="152"/>
      <c r="R266" s="153"/>
      <c r="S266" s="154"/>
      <c r="T266" s="115"/>
    </row>
    <row r="267" spans="1:20">
      <c r="A267" t="s">
        <v>1230</v>
      </c>
      <c r="B267" t="s">
        <v>72</v>
      </c>
      <c r="C267" t="s">
        <v>56</v>
      </c>
      <c r="D267" t="s">
        <v>202</v>
      </c>
      <c r="E267" t="s">
        <v>1947</v>
      </c>
      <c r="F267" s="121">
        <v>285000</v>
      </c>
      <c r="G267" s="121">
        <v>298700</v>
      </c>
      <c r="H267" t="s">
        <v>1948</v>
      </c>
      <c r="I267" s="156">
        <v>40633</v>
      </c>
      <c r="K267" s="153"/>
      <c r="L267" s="153"/>
      <c r="M267" s="153"/>
      <c r="N267" s="153"/>
      <c r="O267" s="153"/>
      <c r="P267" s="152"/>
      <c r="Q267" s="152"/>
      <c r="R267" s="153"/>
      <c r="S267" s="154"/>
      <c r="T267" s="115"/>
    </row>
    <row r="268" spans="1:20">
      <c r="A268" t="s">
        <v>1230</v>
      </c>
      <c r="B268" t="s">
        <v>72</v>
      </c>
      <c r="C268" t="s">
        <v>52</v>
      </c>
      <c r="D268" t="s">
        <v>187</v>
      </c>
      <c r="E268" t="s">
        <v>1949</v>
      </c>
      <c r="F268" s="121">
        <v>3296</v>
      </c>
      <c r="G268" s="121">
        <v>3296</v>
      </c>
      <c r="H268" t="s">
        <v>1950</v>
      </c>
      <c r="I268" s="156">
        <v>41089</v>
      </c>
      <c r="K268" s="153"/>
      <c r="L268" s="153"/>
      <c r="M268" s="153"/>
      <c r="N268" s="153"/>
      <c r="O268" s="153"/>
      <c r="P268" s="152"/>
      <c r="Q268" s="152"/>
      <c r="R268" s="153"/>
      <c r="S268" s="154"/>
      <c r="T268" s="115"/>
    </row>
    <row r="269" spans="1:20">
      <c r="A269" t="s">
        <v>1230</v>
      </c>
      <c r="B269" t="s">
        <v>72</v>
      </c>
      <c r="C269" t="s">
        <v>66</v>
      </c>
      <c r="D269" t="s">
        <v>274</v>
      </c>
      <c r="E269" t="s">
        <v>1951</v>
      </c>
      <c r="F269" s="121">
        <v>200000</v>
      </c>
      <c r="G269" s="121">
        <v>159650</v>
      </c>
      <c r="H269" t="s">
        <v>1952</v>
      </c>
      <c r="I269" s="156">
        <v>37621</v>
      </c>
      <c r="K269" s="153"/>
      <c r="L269" s="153"/>
      <c r="M269" s="153"/>
      <c r="N269" s="153"/>
      <c r="O269" s="153"/>
      <c r="P269" s="152"/>
      <c r="Q269" s="152"/>
      <c r="R269" s="153"/>
      <c r="S269" s="154"/>
      <c r="T269" s="115"/>
    </row>
    <row r="270" spans="1:20">
      <c r="A270" t="s">
        <v>1230</v>
      </c>
      <c r="B270" t="s">
        <v>72</v>
      </c>
      <c r="C270" t="s">
        <v>67</v>
      </c>
      <c r="D270" t="s">
        <v>294</v>
      </c>
      <c r="E270" t="s">
        <v>1953</v>
      </c>
      <c r="F270" s="121">
        <v>301481</v>
      </c>
      <c r="G270" s="121">
        <v>301481</v>
      </c>
      <c r="H270" t="s">
        <v>1954</v>
      </c>
      <c r="I270" s="156">
        <v>41089</v>
      </c>
      <c r="K270" s="153"/>
      <c r="L270" s="153"/>
      <c r="M270" s="153"/>
      <c r="N270" s="153"/>
      <c r="O270" s="153"/>
      <c r="P270" s="152"/>
      <c r="Q270" s="152"/>
      <c r="R270" s="153"/>
      <c r="S270" s="154"/>
      <c r="T270" s="115"/>
    </row>
    <row r="271" spans="1:20">
      <c r="A271" t="s">
        <v>1230</v>
      </c>
      <c r="B271" t="s">
        <v>72</v>
      </c>
      <c r="C271" t="s">
        <v>52</v>
      </c>
      <c r="D271" t="s">
        <v>188</v>
      </c>
      <c r="E271" t="s">
        <v>1955</v>
      </c>
      <c r="F271" s="121">
        <v>4400</v>
      </c>
      <c r="G271" s="121">
        <v>2889.15</v>
      </c>
      <c r="H271" t="s">
        <v>1956</v>
      </c>
      <c r="I271" s="156">
        <v>37563</v>
      </c>
      <c r="K271" s="153"/>
      <c r="L271" s="153"/>
      <c r="M271" s="153"/>
      <c r="N271" s="153"/>
      <c r="O271" s="153"/>
      <c r="P271" s="152"/>
      <c r="Q271" s="152"/>
      <c r="R271" s="153"/>
      <c r="S271" s="154"/>
      <c r="T271" s="115"/>
    </row>
    <row r="272" spans="1:20">
      <c r="A272" t="s">
        <v>1231</v>
      </c>
      <c r="B272" t="s">
        <v>71</v>
      </c>
      <c r="C272" t="s">
        <v>56</v>
      </c>
      <c r="D272" t="s">
        <v>208</v>
      </c>
      <c r="E272" t="s">
        <v>1957</v>
      </c>
      <c r="F272" s="121">
        <v>520000</v>
      </c>
      <c r="G272" s="121">
        <v>520000</v>
      </c>
      <c r="H272" t="s">
        <v>1958</v>
      </c>
      <c r="I272" s="156">
        <v>40709</v>
      </c>
      <c r="K272" s="153"/>
      <c r="L272" s="153"/>
      <c r="M272" s="153"/>
      <c r="N272" s="153"/>
      <c r="O272" s="153"/>
      <c r="P272" s="152"/>
      <c r="Q272" s="152"/>
      <c r="R272" s="153"/>
      <c r="S272" s="154"/>
      <c r="T272" s="115"/>
    </row>
    <row r="273" spans="1:20">
      <c r="A273" t="s">
        <v>1230</v>
      </c>
      <c r="B273" t="s">
        <v>72</v>
      </c>
      <c r="C273" t="s">
        <v>68</v>
      </c>
      <c r="D273" t="s">
        <v>298</v>
      </c>
      <c r="E273" t="s">
        <v>1959</v>
      </c>
      <c r="F273" s="121">
        <v>20000</v>
      </c>
      <c r="G273" s="121">
        <v>23226.5</v>
      </c>
      <c r="H273" t="s">
        <v>1960</v>
      </c>
      <c r="I273" s="156">
        <v>40141</v>
      </c>
      <c r="K273" s="153"/>
      <c r="L273" s="153"/>
      <c r="M273" s="153"/>
      <c r="N273" s="153"/>
      <c r="O273" s="153"/>
      <c r="P273" s="152"/>
      <c r="Q273" s="152"/>
      <c r="R273" s="153"/>
      <c r="S273" s="154"/>
      <c r="T273" s="115"/>
    </row>
    <row r="274" spans="1:20">
      <c r="A274" t="s">
        <v>1230</v>
      </c>
      <c r="B274" t="s">
        <v>72</v>
      </c>
      <c r="C274" t="s">
        <v>69</v>
      </c>
      <c r="D274" t="s">
        <v>312</v>
      </c>
      <c r="E274" t="s">
        <v>1961</v>
      </c>
      <c r="F274" s="121">
        <v>78000</v>
      </c>
      <c r="G274" s="121">
        <v>76835.94</v>
      </c>
      <c r="H274" t="s">
        <v>1962</v>
      </c>
      <c r="I274" s="156">
        <v>40458</v>
      </c>
      <c r="K274" s="153"/>
      <c r="L274" s="153"/>
      <c r="M274" s="153"/>
      <c r="N274" s="153"/>
      <c r="O274" s="153"/>
      <c r="P274" s="152"/>
      <c r="Q274" s="152"/>
      <c r="R274" s="153"/>
      <c r="S274" s="154"/>
      <c r="T274" s="115"/>
    </row>
    <row r="275" spans="1:20">
      <c r="A275" t="s">
        <v>1230</v>
      </c>
      <c r="B275" t="s">
        <v>72</v>
      </c>
      <c r="C275" t="s">
        <v>52</v>
      </c>
      <c r="D275" t="s">
        <v>189</v>
      </c>
      <c r="E275" t="s">
        <v>1963</v>
      </c>
      <c r="F275" s="121">
        <v>7000</v>
      </c>
      <c r="G275" s="121">
        <v>6600.24</v>
      </c>
      <c r="H275" t="s">
        <v>1964</v>
      </c>
      <c r="I275" s="156">
        <v>40094</v>
      </c>
      <c r="K275" s="153"/>
      <c r="L275" s="153"/>
      <c r="M275" s="153"/>
      <c r="N275" s="153"/>
      <c r="O275" s="153"/>
      <c r="P275" s="152"/>
      <c r="Q275" s="152"/>
      <c r="R275" s="153"/>
      <c r="S275" s="154"/>
      <c r="T275" s="115"/>
    </row>
    <row r="276" spans="1:20">
      <c r="A276" t="s">
        <v>1230</v>
      </c>
      <c r="B276" t="s">
        <v>72</v>
      </c>
      <c r="C276" t="s">
        <v>52</v>
      </c>
      <c r="D276" t="s">
        <v>190</v>
      </c>
      <c r="E276" t="s">
        <v>1965</v>
      </c>
      <c r="F276" s="121">
        <v>5500</v>
      </c>
      <c r="G276" s="121">
        <v>3662.68</v>
      </c>
      <c r="H276" t="s">
        <v>1966</v>
      </c>
      <c r="I276" s="156">
        <v>37986</v>
      </c>
      <c r="K276" s="153"/>
      <c r="L276" s="153"/>
      <c r="M276" s="153"/>
      <c r="N276" s="153"/>
      <c r="O276" s="153"/>
      <c r="P276" s="152"/>
      <c r="Q276" s="152"/>
      <c r="R276" s="153"/>
      <c r="S276" s="154"/>
      <c r="T276" s="115"/>
    </row>
    <row r="277" spans="1:20">
      <c r="A277" t="s">
        <v>1230</v>
      </c>
      <c r="B277" t="s">
        <v>72</v>
      </c>
      <c r="C277" t="s">
        <v>37</v>
      </c>
      <c r="D277" t="s">
        <v>123</v>
      </c>
      <c r="E277" t="s">
        <v>1967</v>
      </c>
      <c r="F277" s="121">
        <v>109333.34</v>
      </c>
      <c r="G277" s="121">
        <v>99255.95</v>
      </c>
      <c r="H277" t="s">
        <v>1968</v>
      </c>
      <c r="I277" s="156">
        <v>40294</v>
      </c>
      <c r="K277" s="153"/>
      <c r="L277" s="153"/>
      <c r="M277" s="153"/>
      <c r="N277" s="153"/>
      <c r="O277" s="153"/>
      <c r="P277" s="152"/>
      <c r="Q277" s="152"/>
      <c r="R277" s="153"/>
      <c r="S277" s="154"/>
      <c r="T277" s="115"/>
    </row>
    <row r="278" spans="1:20">
      <c r="A278" t="s">
        <v>1230</v>
      </c>
      <c r="B278" t="s">
        <v>72</v>
      </c>
      <c r="C278" t="s">
        <v>51</v>
      </c>
      <c r="D278" t="s">
        <v>368</v>
      </c>
      <c r="E278" t="s">
        <v>1969</v>
      </c>
      <c r="F278" s="121">
        <v>11587.5</v>
      </c>
      <c r="G278" s="121">
        <v>11587.5</v>
      </c>
      <c r="H278" t="s">
        <v>336</v>
      </c>
      <c r="I278" s="156">
        <v>41089</v>
      </c>
      <c r="K278" s="153"/>
      <c r="L278" s="153"/>
      <c r="M278" s="153"/>
      <c r="N278" s="153"/>
      <c r="O278" s="153"/>
      <c r="P278" s="152"/>
      <c r="Q278" s="152"/>
      <c r="R278" s="153"/>
      <c r="S278" s="154"/>
      <c r="T278" s="115"/>
    </row>
    <row r="279" spans="1:20">
      <c r="A279" t="s">
        <v>1231</v>
      </c>
      <c r="B279" t="s">
        <v>71</v>
      </c>
      <c r="C279" t="s">
        <v>1016</v>
      </c>
      <c r="D279" t="s">
        <v>107</v>
      </c>
      <c r="E279" t="s">
        <v>1970</v>
      </c>
      <c r="F279" s="121">
        <v>1295518</v>
      </c>
      <c r="G279" s="121">
        <v>1295518</v>
      </c>
      <c r="H279" t="s">
        <v>1971</v>
      </c>
      <c r="I279" s="156">
        <v>40502</v>
      </c>
      <c r="K279" s="153"/>
      <c r="L279" s="153"/>
      <c r="M279" s="153"/>
      <c r="N279" s="153"/>
      <c r="O279" s="153"/>
      <c r="P279" s="152"/>
      <c r="Q279" s="152"/>
      <c r="R279" s="153"/>
      <c r="S279" s="154"/>
      <c r="T279" s="115"/>
    </row>
    <row r="280" spans="1:20">
      <c r="A280" t="s">
        <v>1230</v>
      </c>
      <c r="B280" t="s">
        <v>72</v>
      </c>
      <c r="C280" t="s">
        <v>51</v>
      </c>
      <c r="D280" t="s">
        <v>369</v>
      </c>
      <c r="E280" t="s">
        <v>7128</v>
      </c>
      <c r="F280" s="121">
        <v>927</v>
      </c>
      <c r="G280" s="121">
        <v>927</v>
      </c>
      <c r="H280" t="s">
        <v>336</v>
      </c>
      <c r="I280" s="156">
        <v>41089</v>
      </c>
      <c r="K280" s="153"/>
      <c r="L280" s="153"/>
      <c r="M280" s="153"/>
      <c r="N280" s="153"/>
      <c r="O280" s="153"/>
      <c r="P280" s="152"/>
      <c r="Q280" s="152"/>
      <c r="R280" s="153"/>
      <c r="S280" s="154"/>
      <c r="T280" s="115"/>
    </row>
    <row r="281" spans="1:20">
      <c r="A281" t="s">
        <v>1230</v>
      </c>
      <c r="B281" t="s">
        <v>72</v>
      </c>
      <c r="C281" t="s">
        <v>51</v>
      </c>
      <c r="D281" t="s">
        <v>370</v>
      </c>
      <c r="E281" t="s">
        <v>1972</v>
      </c>
      <c r="F281" s="121">
        <v>329.6</v>
      </c>
      <c r="G281" s="121">
        <v>329.6</v>
      </c>
      <c r="H281" t="s">
        <v>336</v>
      </c>
      <c r="I281" s="156">
        <v>41089</v>
      </c>
      <c r="K281" s="153"/>
      <c r="L281" s="153"/>
      <c r="M281" s="153"/>
      <c r="N281" s="153"/>
      <c r="O281" s="153"/>
      <c r="P281" s="152"/>
      <c r="Q281" s="152"/>
      <c r="R281" s="153"/>
      <c r="S281" s="154"/>
      <c r="T281" s="115"/>
    </row>
    <row r="282" spans="1:20">
      <c r="A282" t="s">
        <v>1230</v>
      </c>
      <c r="B282" t="s">
        <v>72</v>
      </c>
      <c r="C282" t="s">
        <v>66</v>
      </c>
      <c r="D282" t="s">
        <v>275</v>
      </c>
      <c r="E282" t="s">
        <v>1973</v>
      </c>
      <c r="F282" s="121">
        <v>16377</v>
      </c>
      <c r="G282" s="121">
        <v>16377</v>
      </c>
      <c r="H282" t="s">
        <v>1974</v>
      </c>
      <c r="I282" s="156">
        <v>41089</v>
      </c>
      <c r="K282" s="153"/>
      <c r="L282" s="153"/>
      <c r="M282" s="153"/>
      <c r="N282" s="153"/>
      <c r="O282" s="153"/>
      <c r="P282" s="152"/>
      <c r="Q282" s="152"/>
      <c r="R282" s="153"/>
      <c r="S282" s="154"/>
      <c r="T282" s="115"/>
    </row>
    <row r="283" spans="1:20">
      <c r="A283" t="s">
        <v>1230</v>
      </c>
      <c r="B283" t="s">
        <v>72</v>
      </c>
      <c r="C283" t="s">
        <v>51</v>
      </c>
      <c r="D283" t="s">
        <v>368</v>
      </c>
      <c r="E283" t="s">
        <v>1975</v>
      </c>
      <c r="F283" s="121">
        <v>19570</v>
      </c>
      <c r="G283" s="121">
        <v>19570</v>
      </c>
      <c r="H283" t="s">
        <v>336</v>
      </c>
      <c r="I283" s="156">
        <v>41089</v>
      </c>
      <c r="K283" s="153"/>
      <c r="L283" s="153"/>
      <c r="M283" s="153"/>
      <c r="N283" s="153"/>
      <c r="O283" s="153"/>
      <c r="P283" s="152"/>
      <c r="Q283" s="152"/>
      <c r="R283" s="153"/>
      <c r="S283" s="154"/>
      <c r="T283" s="115"/>
    </row>
    <row r="284" spans="1:20">
      <c r="A284" t="s">
        <v>1230</v>
      </c>
      <c r="B284" t="s">
        <v>72</v>
      </c>
      <c r="C284" t="s">
        <v>51</v>
      </c>
      <c r="D284" t="s">
        <v>368</v>
      </c>
      <c r="E284" t="s">
        <v>1976</v>
      </c>
      <c r="F284" s="121">
        <v>14523</v>
      </c>
      <c r="G284" s="121">
        <v>14523</v>
      </c>
      <c r="H284" t="s">
        <v>336</v>
      </c>
      <c r="I284" s="156">
        <v>41089</v>
      </c>
      <c r="K284" s="153"/>
      <c r="L284" s="153"/>
      <c r="M284" s="153"/>
      <c r="N284" s="153"/>
      <c r="O284" s="153"/>
      <c r="P284" s="152"/>
      <c r="Q284" s="152"/>
      <c r="R284" s="153"/>
      <c r="S284" s="154"/>
      <c r="T284" s="115"/>
    </row>
    <row r="285" spans="1:20">
      <c r="A285" t="s">
        <v>1230</v>
      </c>
      <c r="B285" t="s">
        <v>72</v>
      </c>
      <c r="C285" t="s">
        <v>37</v>
      </c>
      <c r="D285" t="s">
        <v>124</v>
      </c>
      <c r="E285" t="s">
        <v>1977</v>
      </c>
      <c r="F285" s="121">
        <v>200000</v>
      </c>
      <c r="G285" s="121">
        <v>158259.5</v>
      </c>
      <c r="H285" t="s">
        <v>1978</v>
      </c>
      <c r="I285" s="156">
        <v>40359</v>
      </c>
      <c r="K285" s="153"/>
      <c r="L285" s="153"/>
      <c r="M285" s="153"/>
      <c r="N285" s="153"/>
      <c r="O285" s="153"/>
      <c r="P285" s="152"/>
      <c r="Q285" s="152"/>
      <c r="R285" s="153"/>
      <c r="S285" s="154"/>
      <c r="T285" s="115"/>
    </row>
    <row r="286" spans="1:20">
      <c r="A286" t="s">
        <v>1230</v>
      </c>
      <c r="B286" t="s">
        <v>72</v>
      </c>
      <c r="C286" t="s">
        <v>39</v>
      </c>
      <c r="D286" t="s">
        <v>147</v>
      </c>
      <c r="E286" t="s">
        <v>1979</v>
      </c>
      <c r="F286" s="121">
        <v>62000</v>
      </c>
      <c r="G286" s="121">
        <v>36565</v>
      </c>
      <c r="H286" t="s">
        <v>1980</v>
      </c>
      <c r="I286" s="156">
        <v>38352</v>
      </c>
      <c r="K286" s="153"/>
      <c r="L286" s="153"/>
      <c r="M286" s="153"/>
      <c r="N286" s="153"/>
      <c r="O286" s="153"/>
      <c r="P286" s="150"/>
      <c r="Q286" s="150"/>
      <c r="R286" s="153"/>
      <c r="S286" s="154"/>
      <c r="T286" s="115"/>
    </row>
    <row r="287" spans="1:20">
      <c r="A287" t="s">
        <v>1230</v>
      </c>
      <c r="B287" t="s">
        <v>72</v>
      </c>
      <c r="C287" t="s">
        <v>52</v>
      </c>
      <c r="D287" t="s">
        <v>190</v>
      </c>
      <c r="E287" t="s">
        <v>1981</v>
      </c>
      <c r="F287" s="121">
        <v>6000</v>
      </c>
      <c r="G287" s="121">
        <v>4129.2700000000004</v>
      </c>
      <c r="H287" t="s">
        <v>1982</v>
      </c>
      <c r="I287" s="156">
        <v>38352</v>
      </c>
      <c r="K287" s="153"/>
      <c r="L287" s="153"/>
      <c r="M287" s="153"/>
      <c r="N287" s="153"/>
      <c r="O287" s="153"/>
      <c r="P287" s="150"/>
      <c r="Q287" s="150"/>
      <c r="R287" s="153"/>
      <c r="S287" s="154"/>
      <c r="T287" s="115"/>
    </row>
    <row r="288" spans="1:20">
      <c r="A288" t="s">
        <v>1230</v>
      </c>
      <c r="B288" t="s">
        <v>72</v>
      </c>
      <c r="C288" t="s">
        <v>37</v>
      </c>
      <c r="D288" t="s">
        <v>125</v>
      </c>
      <c r="E288" t="s">
        <v>1983</v>
      </c>
      <c r="F288" s="121">
        <v>51000</v>
      </c>
      <c r="G288" s="121">
        <v>64238.01</v>
      </c>
      <c r="H288" t="s">
        <v>1984</v>
      </c>
      <c r="I288" s="156">
        <v>33603</v>
      </c>
      <c r="K288" s="153"/>
      <c r="L288" s="153"/>
      <c r="M288" s="153"/>
      <c r="N288" s="153"/>
      <c r="O288" s="153"/>
      <c r="P288" s="152"/>
      <c r="Q288" s="152"/>
      <c r="R288" s="153"/>
      <c r="S288" s="154"/>
      <c r="T288" s="115"/>
    </row>
    <row r="289" spans="1:20">
      <c r="A289" t="s">
        <v>1230</v>
      </c>
      <c r="B289" t="s">
        <v>72</v>
      </c>
      <c r="C289" t="s">
        <v>49</v>
      </c>
      <c r="D289" t="s">
        <v>371</v>
      </c>
      <c r="E289" t="s">
        <v>1985</v>
      </c>
      <c r="F289" s="121">
        <v>42000</v>
      </c>
      <c r="G289" s="121">
        <v>47380</v>
      </c>
      <c r="H289" t="s">
        <v>336</v>
      </c>
      <c r="I289" s="156">
        <v>37256</v>
      </c>
      <c r="K289" s="153"/>
      <c r="L289" s="153"/>
      <c r="M289" s="153"/>
      <c r="N289" s="153"/>
      <c r="O289" s="153"/>
      <c r="P289" s="152"/>
      <c r="Q289" s="152"/>
      <c r="R289" s="153"/>
      <c r="S289" s="154"/>
      <c r="T289" s="115"/>
    </row>
    <row r="290" spans="1:20">
      <c r="A290" t="s">
        <v>1230</v>
      </c>
      <c r="B290" t="s">
        <v>72</v>
      </c>
      <c r="C290" t="s">
        <v>63</v>
      </c>
      <c r="D290" t="s">
        <v>251</v>
      </c>
      <c r="E290" t="s">
        <v>1986</v>
      </c>
      <c r="F290" s="121">
        <v>25760</v>
      </c>
      <c r="G290" s="121">
        <v>23690</v>
      </c>
      <c r="H290" t="s">
        <v>372</v>
      </c>
      <c r="I290" s="156">
        <v>41089</v>
      </c>
      <c r="K290" s="153"/>
      <c r="L290" s="153"/>
      <c r="M290" s="153"/>
      <c r="N290" s="153"/>
      <c r="O290" s="153"/>
      <c r="P290" s="152"/>
      <c r="Q290" s="152"/>
      <c r="R290" s="153"/>
      <c r="S290" s="154"/>
      <c r="T290" s="115"/>
    </row>
    <row r="291" spans="1:20">
      <c r="A291" t="s">
        <v>1230</v>
      </c>
      <c r="B291" t="s">
        <v>72</v>
      </c>
      <c r="C291" t="s">
        <v>51</v>
      </c>
      <c r="D291" t="s">
        <v>368</v>
      </c>
      <c r="E291" t="s">
        <v>1987</v>
      </c>
      <c r="F291" s="121">
        <v>10557.5</v>
      </c>
      <c r="G291" s="121">
        <v>10557.5</v>
      </c>
      <c r="H291" t="s">
        <v>373</v>
      </c>
      <c r="I291" s="156">
        <v>41089</v>
      </c>
      <c r="K291" s="153"/>
      <c r="L291" s="153"/>
      <c r="M291" s="153"/>
      <c r="N291" s="153"/>
      <c r="O291" s="153"/>
      <c r="P291" s="152"/>
      <c r="Q291" s="152"/>
      <c r="R291" s="153"/>
      <c r="S291" s="154"/>
      <c r="T291" s="115"/>
    </row>
    <row r="292" spans="1:20">
      <c r="A292" t="s">
        <v>1230</v>
      </c>
      <c r="B292" t="s">
        <v>72</v>
      </c>
      <c r="C292" t="s">
        <v>43</v>
      </c>
      <c r="D292" t="s">
        <v>374</v>
      </c>
      <c r="E292" t="s">
        <v>1988</v>
      </c>
      <c r="F292" s="121">
        <v>5150</v>
      </c>
      <c r="G292" s="121">
        <v>5150</v>
      </c>
      <c r="H292" t="s">
        <v>373</v>
      </c>
      <c r="I292" s="156">
        <v>41089</v>
      </c>
      <c r="K292" s="153"/>
      <c r="L292" s="153"/>
      <c r="M292" s="153"/>
      <c r="N292" s="153"/>
      <c r="O292" s="153"/>
      <c r="P292" s="152"/>
      <c r="Q292" s="152"/>
      <c r="R292" s="153"/>
      <c r="S292" s="154"/>
      <c r="T292" s="115"/>
    </row>
    <row r="293" spans="1:20">
      <c r="A293" t="s">
        <v>1230</v>
      </c>
      <c r="B293" t="s">
        <v>72</v>
      </c>
      <c r="C293" t="s">
        <v>43</v>
      </c>
      <c r="D293" t="s">
        <v>374</v>
      </c>
      <c r="E293" t="s">
        <v>1989</v>
      </c>
      <c r="F293" s="121">
        <v>7498.4</v>
      </c>
      <c r="G293" s="121">
        <v>7498.4</v>
      </c>
      <c r="H293" t="s">
        <v>373</v>
      </c>
      <c r="I293" s="156">
        <v>41089</v>
      </c>
      <c r="K293" s="153"/>
      <c r="L293" s="153"/>
      <c r="M293" s="153"/>
      <c r="N293" s="153"/>
      <c r="O293" s="153"/>
      <c r="P293" s="152"/>
      <c r="Q293" s="152"/>
      <c r="R293" s="153"/>
      <c r="S293" s="154"/>
      <c r="T293" s="115"/>
    </row>
    <row r="294" spans="1:20">
      <c r="A294" t="s">
        <v>1230</v>
      </c>
      <c r="B294" t="s">
        <v>72</v>
      </c>
      <c r="C294" t="s">
        <v>52</v>
      </c>
      <c r="D294" t="s">
        <v>191</v>
      </c>
      <c r="E294" t="s">
        <v>1990</v>
      </c>
      <c r="F294" s="121">
        <v>3914</v>
      </c>
      <c r="G294" s="121">
        <v>3914</v>
      </c>
      <c r="H294" t="s">
        <v>336</v>
      </c>
      <c r="I294" s="156">
        <v>41089</v>
      </c>
      <c r="K294" s="153"/>
      <c r="L294" s="153"/>
      <c r="M294" s="153"/>
      <c r="N294" s="153"/>
      <c r="O294" s="153"/>
      <c r="P294" s="152"/>
      <c r="Q294" s="152"/>
      <c r="R294" s="153"/>
      <c r="S294" s="154"/>
      <c r="T294" s="115"/>
    </row>
    <row r="295" spans="1:20">
      <c r="A295" t="s">
        <v>1230</v>
      </c>
      <c r="B295" t="s">
        <v>72</v>
      </c>
      <c r="C295" t="s">
        <v>52</v>
      </c>
      <c r="D295" t="s">
        <v>192</v>
      </c>
      <c r="E295" t="s">
        <v>1991</v>
      </c>
      <c r="F295" s="121">
        <v>9622.2800000000007</v>
      </c>
      <c r="G295" s="121">
        <v>8034</v>
      </c>
      <c r="H295" t="s">
        <v>1992</v>
      </c>
      <c r="I295" s="156">
        <v>40724</v>
      </c>
      <c r="K295" s="153"/>
      <c r="L295" s="153"/>
      <c r="M295" s="153"/>
      <c r="N295" s="153"/>
      <c r="O295" s="153"/>
      <c r="P295" s="152"/>
      <c r="Q295" s="152"/>
      <c r="R295" s="153"/>
      <c r="S295" s="154"/>
      <c r="T295" s="115"/>
    </row>
    <row r="296" spans="1:20">
      <c r="A296" t="s">
        <v>1230</v>
      </c>
      <c r="B296" t="s">
        <v>72</v>
      </c>
      <c r="C296" t="s">
        <v>39</v>
      </c>
      <c r="D296" t="s">
        <v>136</v>
      </c>
      <c r="E296" t="s">
        <v>1993</v>
      </c>
      <c r="F296" s="121">
        <v>1854</v>
      </c>
      <c r="G296" s="121">
        <v>1854</v>
      </c>
      <c r="H296" t="s">
        <v>336</v>
      </c>
      <c r="I296" s="156">
        <v>41089</v>
      </c>
      <c r="K296" s="153"/>
      <c r="L296" s="153"/>
      <c r="M296" s="153"/>
      <c r="N296" s="153"/>
      <c r="O296" s="153"/>
      <c r="P296" s="152"/>
      <c r="Q296" s="152"/>
      <c r="R296" s="153"/>
      <c r="S296" s="154"/>
      <c r="T296" s="115"/>
    </row>
    <row r="297" spans="1:20">
      <c r="A297" t="s">
        <v>1230</v>
      </c>
      <c r="B297" t="s">
        <v>72</v>
      </c>
      <c r="C297" t="s">
        <v>66</v>
      </c>
      <c r="D297" t="s">
        <v>259</v>
      </c>
      <c r="E297" t="s">
        <v>1994</v>
      </c>
      <c r="F297" s="121">
        <v>165000</v>
      </c>
      <c r="G297" s="121">
        <v>122302.2</v>
      </c>
      <c r="H297" t="s">
        <v>1995</v>
      </c>
      <c r="I297" s="156">
        <v>38666</v>
      </c>
      <c r="K297" s="153"/>
      <c r="L297" s="153"/>
      <c r="M297" s="153"/>
      <c r="N297" s="153"/>
      <c r="O297" s="153"/>
      <c r="P297" s="152"/>
      <c r="Q297" s="152"/>
      <c r="R297" s="153"/>
      <c r="S297" s="154"/>
      <c r="T297" s="115"/>
    </row>
    <row r="298" spans="1:20">
      <c r="A298" t="s">
        <v>1230</v>
      </c>
      <c r="B298" t="s">
        <v>72</v>
      </c>
      <c r="C298" t="s">
        <v>52</v>
      </c>
      <c r="D298" t="s">
        <v>193</v>
      </c>
      <c r="E298" t="s">
        <v>1996</v>
      </c>
      <c r="F298" s="121">
        <v>5500</v>
      </c>
      <c r="G298" s="121">
        <v>4914.13</v>
      </c>
      <c r="H298" t="s">
        <v>1997</v>
      </c>
      <c r="I298" s="156">
        <v>38352</v>
      </c>
      <c r="K298" s="153"/>
      <c r="L298" s="153"/>
      <c r="M298" s="153"/>
      <c r="N298" s="153"/>
      <c r="O298" s="153"/>
      <c r="P298" s="152"/>
      <c r="Q298" s="152"/>
      <c r="R298" s="153"/>
      <c r="S298" s="154"/>
      <c r="T298" s="115"/>
    </row>
    <row r="299" spans="1:20">
      <c r="A299" t="s">
        <v>1230</v>
      </c>
      <c r="B299" t="s">
        <v>72</v>
      </c>
      <c r="C299" t="s">
        <v>39</v>
      </c>
      <c r="D299" t="s">
        <v>148</v>
      </c>
      <c r="E299" t="s">
        <v>1998</v>
      </c>
      <c r="F299" s="121">
        <v>35000</v>
      </c>
      <c r="G299" s="121">
        <v>43260</v>
      </c>
      <c r="H299" t="s">
        <v>1999</v>
      </c>
      <c r="I299" s="156">
        <v>35795</v>
      </c>
      <c r="K299" s="153"/>
      <c r="L299" s="153"/>
      <c r="M299" s="153"/>
      <c r="N299" s="153"/>
      <c r="O299" s="153"/>
      <c r="P299" s="152"/>
      <c r="Q299" s="152"/>
      <c r="R299" s="153"/>
      <c r="S299" s="154"/>
      <c r="T299" s="115"/>
    </row>
    <row r="300" spans="1:20">
      <c r="A300" t="s">
        <v>1230</v>
      </c>
      <c r="B300" t="s">
        <v>72</v>
      </c>
      <c r="C300" t="s">
        <v>68</v>
      </c>
      <c r="D300" t="s">
        <v>299</v>
      </c>
      <c r="E300" t="s">
        <v>2000</v>
      </c>
      <c r="F300" s="121">
        <v>20000</v>
      </c>
      <c r="G300" s="121">
        <v>23226.5</v>
      </c>
      <c r="H300" t="s">
        <v>2001</v>
      </c>
      <c r="I300" s="156">
        <v>39843</v>
      </c>
      <c r="K300" s="153"/>
      <c r="L300" s="153"/>
      <c r="M300" s="153"/>
      <c r="N300" s="153"/>
      <c r="O300" s="153"/>
      <c r="P300" s="152"/>
      <c r="Q300" s="152"/>
      <c r="R300" s="153"/>
      <c r="S300" s="154"/>
      <c r="T300" s="115"/>
    </row>
    <row r="301" spans="1:20">
      <c r="A301" t="s">
        <v>1230</v>
      </c>
      <c r="B301" t="s">
        <v>72</v>
      </c>
      <c r="C301" t="s">
        <v>52</v>
      </c>
      <c r="D301" t="s">
        <v>194</v>
      </c>
      <c r="E301" t="s">
        <v>2002</v>
      </c>
      <c r="F301" s="121">
        <v>2575</v>
      </c>
      <c r="G301" s="121">
        <v>2575</v>
      </c>
      <c r="H301" t="s">
        <v>2003</v>
      </c>
      <c r="I301" s="156">
        <v>41089</v>
      </c>
      <c r="K301" s="153"/>
      <c r="L301" s="153"/>
      <c r="M301" s="153"/>
      <c r="N301" s="153"/>
      <c r="O301" s="153"/>
      <c r="P301" s="152"/>
      <c r="Q301" s="152"/>
      <c r="R301" s="153"/>
      <c r="S301" s="154"/>
      <c r="T301" s="151"/>
    </row>
    <row r="302" spans="1:20">
      <c r="A302" t="s">
        <v>1230</v>
      </c>
      <c r="B302" t="s">
        <v>72</v>
      </c>
      <c r="C302" t="s">
        <v>52</v>
      </c>
      <c r="D302" t="s">
        <v>195</v>
      </c>
      <c r="E302" t="s">
        <v>2004</v>
      </c>
      <c r="F302" s="121">
        <v>2884</v>
      </c>
      <c r="G302" s="121">
        <v>2884</v>
      </c>
      <c r="H302" t="s">
        <v>336</v>
      </c>
      <c r="I302" s="156">
        <v>41089</v>
      </c>
      <c r="K302" s="153"/>
      <c r="L302" s="153"/>
      <c r="M302" s="153"/>
      <c r="N302" s="153"/>
      <c r="O302" s="153"/>
      <c r="P302" s="152"/>
      <c r="Q302" s="152"/>
      <c r="R302" s="153"/>
      <c r="S302" s="154"/>
      <c r="T302" s="115"/>
    </row>
    <row r="303" spans="1:20">
      <c r="A303" t="s">
        <v>1230</v>
      </c>
      <c r="B303" t="s">
        <v>72</v>
      </c>
      <c r="C303" t="s">
        <v>66</v>
      </c>
      <c r="D303" t="s">
        <v>268</v>
      </c>
      <c r="E303" t="s">
        <v>2005</v>
      </c>
      <c r="F303" s="121">
        <v>90640</v>
      </c>
      <c r="G303" s="121">
        <v>90640</v>
      </c>
      <c r="H303" t="s">
        <v>2006</v>
      </c>
      <c r="I303" s="156">
        <v>41089</v>
      </c>
      <c r="K303" s="153"/>
      <c r="L303" s="153"/>
      <c r="M303" s="153"/>
      <c r="N303" s="153"/>
      <c r="O303" s="153"/>
      <c r="P303" s="152"/>
      <c r="Q303" s="152"/>
      <c r="R303" s="153"/>
      <c r="S303" s="154"/>
      <c r="T303" s="115"/>
    </row>
    <row r="304" spans="1:20">
      <c r="A304" t="s">
        <v>1230</v>
      </c>
      <c r="B304" t="s">
        <v>72</v>
      </c>
      <c r="C304" t="s">
        <v>66</v>
      </c>
      <c r="D304" t="s">
        <v>276</v>
      </c>
      <c r="E304" t="s">
        <v>2007</v>
      </c>
      <c r="F304" s="121">
        <v>66800</v>
      </c>
      <c r="G304" s="121">
        <v>46350</v>
      </c>
      <c r="H304" t="s">
        <v>2008</v>
      </c>
      <c r="I304" s="156">
        <v>37256</v>
      </c>
      <c r="K304" s="153"/>
      <c r="L304" s="153"/>
      <c r="M304" s="153"/>
      <c r="N304" s="153"/>
      <c r="O304" s="153"/>
      <c r="P304" s="152"/>
      <c r="Q304" s="152"/>
      <c r="R304" s="153"/>
      <c r="S304" s="154"/>
      <c r="T304" s="115"/>
    </row>
    <row r="305" spans="1:20">
      <c r="A305" t="s">
        <v>1230</v>
      </c>
      <c r="B305" t="s">
        <v>72</v>
      </c>
      <c r="C305" t="s">
        <v>51</v>
      </c>
      <c r="D305" t="s">
        <v>375</v>
      </c>
      <c r="E305" t="s">
        <v>2009</v>
      </c>
      <c r="F305" s="121">
        <v>2300</v>
      </c>
      <c r="G305" s="121">
        <v>1802.5</v>
      </c>
      <c r="H305" t="s">
        <v>336</v>
      </c>
      <c r="I305" s="156">
        <v>39813</v>
      </c>
      <c r="K305" s="153"/>
      <c r="L305" s="153"/>
      <c r="M305" s="153"/>
      <c r="N305" s="153"/>
      <c r="O305" s="153"/>
      <c r="P305" s="152"/>
      <c r="Q305" s="152"/>
      <c r="R305" s="153"/>
      <c r="S305" s="154"/>
      <c r="T305" s="115"/>
    </row>
    <row r="306" spans="1:20">
      <c r="A306" t="s">
        <v>1230</v>
      </c>
      <c r="B306" t="s">
        <v>72</v>
      </c>
      <c r="C306" t="s">
        <v>49</v>
      </c>
      <c r="D306" t="s">
        <v>376</v>
      </c>
      <c r="E306" t="s">
        <v>2010</v>
      </c>
      <c r="F306" s="121">
        <v>35000</v>
      </c>
      <c r="G306" s="121">
        <v>6180</v>
      </c>
      <c r="H306" t="s">
        <v>2011</v>
      </c>
      <c r="I306" s="156">
        <v>39082</v>
      </c>
      <c r="K306" s="153"/>
      <c r="L306" s="153"/>
      <c r="M306" s="153"/>
      <c r="N306" s="153"/>
      <c r="O306" s="153"/>
      <c r="P306" s="152"/>
      <c r="Q306" s="152"/>
      <c r="R306" s="153"/>
      <c r="S306" s="154"/>
      <c r="T306" s="115"/>
    </row>
    <row r="307" spans="1:20">
      <c r="A307" t="s">
        <v>1230</v>
      </c>
      <c r="B307" t="s">
        <v>72</v>
      </c>
      <c r="C307" t="s">
        <v>37</v>
      </c>
      <c r="D307" t="s">
        <v>126</v>
      </c>
      <c r="E307" t="s">
        <v>2012</v>
      </c>
      <c r="F307" s="121">
        <v>90000</v>
      </c>
      <c r="G307" s="121">
        <v>80855</v>
      </c>
      <c r="H307" t="s">
        <v>2013</v>
      </c>
      <c r="I307" s="156">
        <v>40631</v>
      </c>
      <c r="K307" s="153"/>
      <c r="L307" s="153"/>
      <c r="M307" s="153"/>
      <c r="N307" s="153"/>
      <c r="O307" s="153"/>
      <c r="P307" s="152"/>
      <c r="Q307" s="152"/>
      <c r="R307" s="153"/>
      <c r="S307" s="154"/>
      <c r="T307" s="115"/>
    </row>
    <row r="308" spans="1:20">
      <c r="A308" t="s">
        <v>1230</v>
      </c>
      <c r="B308" t="s">
        <v>72</v>
      </c>
      <c r="C308" t="s">
        <v>39</v>
      </c>
      <c r="D308" t="s">
        <v>7129</v>
      </c>
      <c r="E308" t="s">
        <v>7130</v>
      </c>
      <c r="F308" s="121">
        <v>20000</v>
      </c>
      <c r="G308" s="121">
        <v>17510</v>
      </c>
      <c r="H308" t="s">
        <v>7131</v>
      </c>
      <c r="I308" s="156">
        <v>39813</v>
      </c>
      <c r="K308" s="153"/>
      <c r="L308" s="153"/>
      <c r="M308" s="153"/>
      <c r="N308" s="153"/>
      <c r="O308" s="153"/>
      <c r="P308" s="152"/>
      <c r="Q308" s="152"/>
      <c r="R308" s="153"/>
      <c r="S308" s="154"/>
      <c r="T308" s="115"/>
    </row>
    <row r="309" spans="1:20">
      <c r="A309" t="s">
        <v>1230</v>
      </c>
      <c r="B309" t="s">
        <v>72</v>
      </c>
      <c r="C309" t="s">
        <v>51</v>
      </c>
      <c r="D309" t="s">
        <v>7132</v>
      </c>
      <c r="E309" t="s">
        <v>7133</v>
      </c>
      <c r="F309" s="121">
        <v>1900</v>
      </c>
      <c r="G309" s="121">
        <v>1545</v>
      </c>
      <c r="H309" t="s">
        <v>336</v>
      </c>
      <c r="I309" s="156">
        <v>39813</v>
      </c>
      <c r="K309" s="153"/>
      <c r="L309" s="153"/>
      <c r="M309" s="153"/>
      <c r="N309" s="153"/>
      <c r="O309" s="153"/>
      <c r="P309" s="152"/>
      <c r="Q309" s="152"/>
      <c r="R309" s="153"/>
      <c r="S309" s="154"/>
      <c r="T309" s="115"/>
    </row>
    <row r="310" spans="1:20">
      <c r="A310" t="s">
        <v>1230</v>
      </c>
      <c r="B310" t="s">
        <v>72</v>
      </c>
      <c r="C310" t="s">
        <v>51</v>
      </c>
      <c r="D310" t="s">
        <v>377</v>
      </c>
      <c r="E310" t="s">
        <v>2014</v>
      </c>
      <c r="F310" s="121">
        <v>1000</v>
      </c>
      <c r="G310" s="121">
        <v>1390.5</v>
      </c>
      <c r="H310" t="s">
        <v>336</v>
      </c>
      <c r="I310" s="156">
        <v>39813</v>
      </c>
      <c r="K310" s="153"/>
      <c r="L310" s="153"/>
      <c r="M310" s="153"/>
      <c r="N310" s="153"/>
      <c r="O310" s="153"/>
      <c r="P310" s="152"/>
      <c r="Q310" s="152"/>
      <c r="R310" s="153"/>
      <c r="S310" s="154"/>
      <c r="T310" s="115"/>
    </row>
    <row r="311" spans="1:20">
      <c r="A311" t="s">
        <v>1230</v>
      </c>
      <c r="B311" t="s">
        <v>72</v>
      </c>
      <c r="C311" t="s">
        <v>51</v>
      </c>
      <c r="D311" t="s">
        <v>378</v>
      </c>
      <c r="E311" t="s">
        <v>2015</v>
      </c>
      <c r="F311" s="121">
        <v>8000</v>
      </c>
      <c r="G311" s="121">
        <v>36050</v>
      </c>
      <c r="H311" t="s">
        <v>336</v>
      </c>
      <c r="I311" s="156">
        <v>39813</v>
      </c>
      <c r="K311" s="153"/>
      <c r="L311" s="153"/>
      <c r="M311" s="153"/>
      <c r="N311" s="153"/>
      <c r="O311" s="153"/>
      <c r="P311" s="152"/>
      <c r="Q311" s="152"/>
      <c r="R311" s="153"/>
      <c r="S311" s="154"/>
      <c r="T311" s="115"/>
    </row>
    <row r="312" spans="1:20">
      <c r="A312" t="s">
        <v>1230</v>
      </c>
      <c r="B312" t="s">
        <v>72</v>
      </c>
      <c r="C312" t="s">
        <v>51</v>
      </c>
      <c r="D312" t="s">
        <v>7134</v>
      </c>
      <c r="E312" t="s">
        <v>7135</v>
      </c>
      <c r="F312" s="121">
        <v>1000</v>
      </c>
      <c r="G312" s="121">
        <v>721</v>
      </c>
      <c r="H312" t="s">
        <v>336</v>
      </c>
      <c r="I312" s="156">
        <v>39813</v>
      </c>
      <c r="K312" s="153"/>
      <c r="L312" s="153"/>
      <c r="M312" s="153"/>
      <c r="N312" s="153"/>
      <c r="O312" s="153"/>
      <c r="P312" s="152"/>
      <c r="Q312" s="152"/>
      <c r="R312" s="153"/>
      <c r="S312" s="154"/>
      <c r="T312" s="115"/>
    </row>
    <row r="313" spans="1:20">
      <c r="A313" t="s">
        <v>1230</v>
      </c>
      <c r="B313" t="s">
        <v>72</v>
      </c>
      <c r="C313" t="s">
        <v>51</v>
      </c>
      <c r="D313" t="s">
        <v>379</v>
      </c>
      <c r="E313" t="s">
        <v>2016</v>
      </c>
      <c r="F313" s="121">
        <v>1500</v>
      </c>
      <c r="G313" s="121">
        <v>2575</v>
      </c>
      <c r="H313" t="s">
        <v>336</v>
      </c>
      <c r="I313" s="156">
        <v>38717</v>
      </c>
      <c r="K313" s="153"/>
      <c r="L313" s="153"/>
      <c r="M313" s="153"/>
      <c r="N313" s="153"/>
      <c r="O313" s="153"/>
      <c r="P313" s="152"/>
      <c r="Q313" s="152"/>
      <c r="R313" s="153"/>
      <c r="S313" s="154"/>
      <c r="T313" s="115"/>
    </row>
    <row r="314" spans="1:20">
      <c r="A314" t="s">
        <v>1230</v>
      </c>
      <c r="B314" t="s">
        <v>72</v>
      </c>
      <c r="C314" t="s">
        <v>51</v>
      </c>
      <c r="D314" t="s">
        <v>380</v>
      </c>
      <c r="E314" t="s">
        <v>2017</v>
      </c>
      <c r="F314" s="121">
        <v>2575</v>
      </c>
      <c r="G314" s="121">
        <v>2575</v>
      </c>
      <c r="H314" t="s">
        <v>336</v>
      </c>
      <c r="I314" s="156">
        <v>41089</v>
      </c>
      <c r="K314" s="153"/>
      <c r="L314" s="153"/>
      <c r="M314" s="153"/>
      <c r="N314" s="153"/>
      <c r="O314" s="153"/>
      <c r="P314" s="152"/>
      <c r="Q314" s="152"/>
      <c r="R314" s="153"/>
      <c r="S314" s="154"/>
      <c r="T314" s="115"/>
    </row>
    <row r="315" spans="1:20">
      <c r="A315" t="s">
        <v>1230</v>
      </c>
      <c r="B315" t="s">
        <v>72</v>
      </c>
      <c r="C315" t="s">
        <v>51</v>
      </c>
      <c r="D315" t="s">
        <v>381</v>
      </c>
      <c r="E315" t="s">
        <v>2018</v>
      </c>
      <c r="F315" s="121">
        <v>5000</v>
      </c>
      <c r="G315" s="121">
        <v>3296</v>
      </c>
      <c r="H315" t="s">
        <v>336</v>
      </c>
      <c r="I315" s="156">
        <v>39813</v>
      </c>
      <c r="K315" s="153"/>
      <c r="L315" s="153"/>
      <c r="M315" s="153"/>
      <c r="N315" s="153"/>
      <c r="O315" s="153"/>
      <c r="P315" s="152"/>
      <c r="Q315" s="152"/>
      <c r="R315" s="153"/>
      <c r="S315" s="154"/>
      <c r="T315" s="115"/>
    </row>
    <row r="316" spans="1:20">
      <c r="A316" t="s">
        <v>1230</v>
      </c>
      <c r="B316" t="s">
        <v>72</v>
      </c>
      <c r="C316" t="s">
        <v>51</v>
      </c>
      <c r="D316" t="s">
        <v>382</v>
      </c>
      <c r="E316" t="s">
        <v>2019</v>
      </c>
      <c r="F316" s="121">
        <v>2500</v>
      </c>
      <c r="G316" s="121">
        <v>2214.5</v>
      </c>
      <c r="H316" t="s">
        <v>336</v>
      </c>
      <c r="I316" s="156">
        <v>37986</v>
      </c>
      <c r="K316" s="153"/>
      <c r="L316" s="153"/>
      <c r="M316" s="153"/>
      <c r="N316" s="153"/>
      <c r="O316" s="153"/>
      <c r="P316" s="152"/>
      <c r="Q316" s="152"/>
      <c r="R316" s="153"/>
      <c r="S316" s="154"/>
      <c r="T316" s="115"/>
    </row>
    <row r="317" spans="1:20">
      <c r="A317" t="s">
        <v>1230</v>
      </c>
      <c r="B317" t="s">
        <v>72</v>
      </c>
      <c r="C317" t="s">
        <v>51</v>
      </c>
      <c r="D317" t="s">
        <v>383</v>
      </c>
      <c r="E317" t="s">
        <v>2020</v>
      </c>
      <c r="F317" s="121">
        <v>600</v>
      </c>
      <c r="G317" s="121">
        <v>499.55</v>
      </c>
      <c r="H317" t="s">
        <v>336</v>
      </c>
      <c r="I317" s="156">
        <v>37986</v>
      </c>
      <c r="K317" s="153"/>
      <c r="L317" s="153"/>
      <c r="M317" s="153"/>
      <c r="N317" s="153"/>
      <c r="O317" s="153"/>
      <c r="P317" s="152"/>
      <c r="Q317" s="152"/>
      <c r="R317" s="153"/>
      <c r="S317" s="154"/>
      <c r="T317" s="115"/>
    </row>
    <row r="318" spans="1:20">
      <c r="A318" t="s">
        <v>1230</v>
      </c>
      <c r="B318" t="s">
        <v>72</v>
      </c>
      <c r="C318" t="s">
        <v>51</v>
      </c>
      <c r="D318" t="s">
        <v>384</v>
      </c>
      <c r="E318" t="s">
        <v>2021</v>
      </c>
      <c r="F318" s="121">
        <v>34000</v>
      </c>
      <c r="G318" s="121">
        <v>28325</v>
      </c>
      <c r="H318" t="s">
        <v>336</v>
      </c>
      <c r="I318" s="156">
        <v>39813</v>
      </c>
      <c r="K318" s="153"/>
      <c r="L318" s="153"/>
      <c r="M318" s="153"/>
      <c r="N318" s="153"/>
      <c r="O318" s="153"/>
      <c r="P318" s="152"/>
      <c r="Q318" s="152"/>
      <c r="R318" s="153"/>
      <c r="S318" s="154"/>
      <c r="T318" s="115"/>
    </row>
    <row r="319" spans="1:20">
      <c r="A319" t="s">
        <v>1230</v>
      </c>
      <c r="B319" t="s">
        <v>72</v>
      </c>
      <c r="C319" t="s">
        <v>51</v>
      </c>
      <c r="D319" t="s">
        <v>385</v>
      </c>
      <c r="E319" t="s">
        <v>2022</v>
      </c>
      <c r="F319" s="121">
        <v>440</v>
      </c>
      <c r="G319" s="121">
        <v>566.5</v>
      </c>
      <c r="H319" t="s">
        <v>336</v>
      </c>
      <c r="I319" s="156">
        <v>39813</v>
      </c>
      <c r="K319" s="153"/>
      <c r="L319" s="153"/>
      <c r="M319" s="153"/>
      <c r="N319" s="153"/>
      <c r="O319" s="153"/>
      <c r="P319" s="152"/>
      <c r="Q319" s="152"/>
      <c r="R319" s="153"/>
      <c r="S319" s="154"/>
      <c r="T319" s="115"/>
    </row>
    <row r="320" spans="1:20">
      <c r="A320" t="s">
        <v>1230</v>
      </c>
      <c r="B320" t="s">
        <v>72</v>
      </c>
      <c r="C320" t="s">
        <v>51</v>
      </c>
      <c r="D320" t="s">
        <v>386</v>
      </c>
      <c r="E320" t="s">
        <v>2023</v>
      </c>
      <c r="F320" s="121">
        <v>300</v>
      </c>
      <c r="G320" s="121">
        <v>824</v>
      </c>
      <c r="H320" t="s">
        <v>336</v>
      </c>
      <c r="I320" s="156">
        <v>39813</v>
      </c>
      <c r="K320" s="153"/>
      <c r="L320" s="153"/>
      <c r="M320" s="153"/>
      <c r="N320" s="153"/>
      <c r="O320" s="153"/>
      <c r="P320" s="152"/>
      <c r="Q320" s="150"/>
      <c r="R320" s="153"/>
      <c r="S320" s="154"/>
      <c r="T320" s="115"/>
    </row>
    <row r="321" spans="1:20">
      <c r="A321" t="s">
        <v>1230</v>
      </c>
      <c r="B321" t="s">
        <v>72</v>
      </c>
      <c r="C321" t="s">
        <v>51</v>
      </c>
      <c r="D321" t="s">
        <v>387</v>
      </c>
      <c r="E321" t="s">
        <v>2024</v>
      </c>
      <c r="F321" s="121">
        <v>59400</v>
      </c>
      <c r="G321" s="121">
        <v>58401</v>
      </c>
      <c r="H321" t="s">
        <v>336</v>
      </c>
      <c r="I321" s="156">
        <v>40939</v>
      </c>
      <c r="K321" s="153"/>
      <c r="L321" s="153"/>
      <c r="M321" s="153"/>
      <c r="N321" s="153"/>
      <c r="O321" s="153"/>
      <c r="P321" s="152"/>
      <c r="Q321" s="152"/>
      <c r="R321" s="153"/>
      <c r="S321" s="154"/>
      <c r="T321" s="115"/>
    </row>
    <row r="322" spans="1:20">
      <c r="A322" t="s">
        <v>1230</v>
      </c>
      <c r="B322" t="s">
        <v>72</v>
      </c>
      <c r="C322" t="s">
        <v>51</v>
      </c>
      <c r="D322" t="s">
        <v>388</v>
      </c>
      <c r="E322" t="s">
        <v>2025</v>
      </c>
      <c r="F322" s="121">
        <v>1300</v>
      </c>
      <c r="G322" s="121">
        <v>927</v>
      </c>
      <c r="H322" t="s">
        <v>336</v>
      </c>
      <c r="I322" s="156">
        <v>39813</v>
      </c>
      <c r="K322" s="153"/>
      <c r="L322" s="153"/>
      <c r="M322" s="153"/>
      <c r="N322" s="153"/>
      <c r="O322" s="153"/>
      <c r="P322" s="152"/>
      <c r="Q322" s="152"/>
      <c r="R322" s="153"/>
      <c r="S322" s="154"/>
      <c r="T322" s="115"/>
    </row>
    <row r="323" spans="1:20">
      <c r="A323" t="s">
        <v>1230</v>
      </c>
      <c r="B323" t="s">
        <v>72</v>
      </c>
      <c r="C323" t="s">
        <v>51</v>
      </c>
      <c r="D323" t="s">
        <v>389</v>
      </c>
      <c r="E323" t="s">
        <v>2026</v>
      </c>
      <c r="F323" s="121">
        <v>3000</v>
      </c>
      <c r="G323" s="121">
        <v>669.5</v>
      </c>
      <c r="H323" t="s">
        <v>336</v>
      </c>
      <c r="I323" s="156">
        <v>39813</v>
      </c>
      <c r="K323" s="153"/>
      <c r="L323" s="153"/>
      <c r="M323" s="153"/>
      <c r="N323" s="153"/>
      <c r="O323" s="153"/>
      <c r="P323" s="152"/>
      <c r="Q323" s="152"/>
      <c r="R323" s="153"/>
      <c r="S323" s="154"/>
      <c r="T323" s="115"/>
    </row>
    <row r="324" spans="1:20">
      <c r="A324" t="s">
        <v>1230</v>
      </c>
      <c r="B324" t="s">
        <v>72</v>
      </c>
      <c r="C324" t="s">
        <v>51</v>
      </c>
      <c r="D324" t="s">
        <v>369</v>
      </c>
      <c r="E324" t="s">
        <v>7136</v>
      </c>
      <c r="F324" s="121">
        <v>2884</v>
      </c>
      <c r="G324" s="121">
        <v>2884</v>
      </c>
      <c r="H324" t="s">
        <v>336</v>
      </c>
      <c r="I324" s="156">
        <v>41089</v>
      </c>
      <c r="K324" s="153"/>
      <c r="L324" s="153"/>
      <c r="M324" s="153"/>
      <c r="N324" s="153"/>
      <c r="O324" s="153"/>
      <c r="P324" s="152"/>
      <c r="Q324" s="152"/>
      <c r="R324" s="153"/>
      <c r="S324" s="154"/>
      <c r="T324" s="115"/>
    </row>
    <row r="325" spans="1:20">
      <c r="A325" t="s">
        <v>1230</v>
      </c>
      <c r="B325" t="s">
        <v>72</v>
      </c>
      <c r="C325" t="s">
        <v>39</v>
      </c>
      <c r="D325" t="s">
        <v>149</v>
      </c>
      <c r="E325" t="s">
        <v>2027</v>
      </c>
      <c r="F325" s="121">
        <v>53045</v>
      </c>
      <c r="G325" s="121">
        <v>53045</v>
      </c>
      <c r="H325" t="s">
        <v>2028</v>
      </c>
      <c r="I325" s="156">
        <v>41089</v>
      </c>
      <c r="K325" s="153"/>
      <c r="L325" s="153"/>
      <c r="M325" s="153"/>
      <c r="N325" s="153"/>
      <c r="O325" s="153"/>
      <c r="P325" s="150"/>
      <c r="Q325" s="150"/>
      <c r="R325" s="153"/>
      <c r="S325" s="154"/>
      <c r="T325" s="115"/>
    </row>
    <row r="326" spans="1:20">
      <c r="A326" t="s">
        <v>1230</v>
      </c>
      <c r="B326" t="s">
        <v>72</v>
      </c>
      <c r="C326" t="s">
        <v>45</v>
      </c>
      <c r="D326" t="s">
        <v>7137</v>
      </c>
      <c r="E326" t="s">
        <v>7138</v>
      </c>
      <c r="F326" s="121">
        <v>2985000</v>
      </c>
      <c r="G326" s="121">
        <v>2985000</v>
      </c>
      <c r="H326" t="s">
        <v>373</v>
      </c>
      <c r="I326" s="156">
        <v>41089</v>
      </c>
      <c r="K326" s="153"/>
      <c r="L326" s="153"/>
      <c r="M326" s="153"/>
      <c r="N326" s="153"/>
      <c r="O326" s="153"/>
      <c r="P326" s="152"/>
      <c r="Q326" s="152"/>
      <c r="R326" s="153"/>
      <c r="S326" s="154"/>
      <c r="T326" s="115"/>
    </row>
    <row r="327" spans="1:20">
      <c r="A327" t="s">
        <v>1230</v>
      </c>
      <c r="B327" t="s">
        <v>72</v>
      </c>
      <c r="C327" t="s">
        <v>45</v>
      </c>
      <c r="D327" t="s">
        <v>7139</v>
      </c>
      <c r="E327" t="s">
        <v>7140</v>
      </c>
      <c r="F327" s="121">
        <v>2300000</v>
      </c>
      <c r="G327" s="121">
        <v>2300000</v>
      </c>
      <c r="H327" t="s">
        <v>373</v>
      </c>
      <c r="I327" s="156">
        <v>41089</v>
      </c>
      <c r="K327" s="153"/>
      <c r="L327" s="153"/>
      <c r="M327" s="153"/>
      <c r="N327" s="153"/>
      <c r="O327" s="153"/>
      <c r="P327" s="150"/>
      <c r="Q327" s="150"/>
      <c r="R327" s="153"/>
      <c r="S327" s="154"/>
      <c r="T327" s="115"/>
    </row>
    <row r="328" spans="1:20">
      <c r="A328" t="s">
        <v>1230</v>
      </c>
      <c r="B328" t="s">
        <v>72</v>
      </c>
      <c r="C328" t="s">
        <v>45</v>
      </c>
      <c r="D328" t="s">
        <v>7141</v>
      </c>
      <c r="E328" t="s">
        <v>7142</v>
      </c>
      <c r="F328" s="121">
        <v>2300000</v>
      </c>
      <c r="G328" s="121">
        <v>2300000</v>
      </c>
      <c r="H328" t="s">
        <v>373</v>
      </c>
      <c r="I328" s="156">
        <v>41089</v>
      </c>
      <c r="K328" s="153"/>
      <c r="L328" s="153"/>
      <c r="M328" s="153"/>
      <c r="N328" s="153"/>
      <c r="O328" s="153"/>
      <c r="P328" s="150"/>
      <c r="Q328" s="150"/>
      <c r="R328" s="153"/>
      <c r="S328" s="154"/>
      <c r="T328" s="151"/>
    </row>
    <row r="329" spans="1:20">
      <c r="A329" t="s">
        <v>1230</v>
      </c>
      <c r="B329" t="s">
        <v>72</v>
      </c>
      <c r="C329" t="s">
        <v>45</v>
      </c>
      <c r="D329" t="s">
        <v>7143</v>
      </c>
      <c r="E329" t="s">
        <v>7144</v>
      </c>
      <c r="F329" s="121">
        <v>2300000</v>
      </c>
      <c r="G329" s="121">
        <v>2300000</v>
      </c>
      <c r="H329" t="s">
        <v>373</v>
      </c>
      <c r="I329" s="156">
        <v>41089</v>
      </c>
      <c r="K329" s="153"/>
      <c r="L329" s="153"/>
      <c r="M329" s="153"/>
      <c r="N329" s="153"/>
      <c r="O329" s="153"/>
      <c r="P329" s="152"/>
      <c r="Q329" s="152"/>
      <c r="R329" s="153"/>
      <c r="S329" s="154"/>
      <c r="T329" s="115"/>
    </row>
    <row r="330" spans="1:20">
      <c r="A330" t="s">
        <v>1230</v>
      </c>
      <c r="B330" t="s">
        <v>72</v>
      </c>
      <c r="C330" t="s">
        <v>51</v>
      </c>
      <c r="D330" t="s">
        <v>369</v>
      </c>
      <c r="E330" t="s">
        <v>2029</v>
      </c>
      <c r="F330" s="121">
        <v>2111.5</v>
      </c>
      <c r="G330" s="121">
        <v>2111.5</v>
      </c>
      <c r="H330" t="s">
        <v>336</v>
      </c>
      <c r="I330" s="156">
        <v>41089</v>
      </c>
      <c r="K330" s="153"/>
      <c r="L330" s="153"/>
      <c r="M330" s="153"/>
      <c r="N330" s="153"/>
      <c r="O330" s="153"/>
      <c r="P330" s="152"/>
      <c r="Q330" s="150"/>
      <c r="R330" s="153"/>
      <c r="S330" s="154"/>
      <c r="T330" s="115"/>
    </row>
    <row r="331" spans="1:20">
      <c r="A331" t="s">
        <v>1230</v>
      </c>
      <c r="B331" t="s">
        <v>72</v>
      </c>
      <c r="C331" t="s">
        <v>51</v>
      </c>
      <c r="D331" t="s">
        <v>369</v>
      </c>
      <c r="E331" t="s">
        <v>7145</v>
      </c>
      <c r="F331" s="121">
        <v>2101.1999999999998</v>
      </c>
      <c r="G331" s="121">
        <v>2101.1999999999998</v>
      </c>
      <c r="H331" t="s">
        <v>336</v>
      </c>
      <c r="I331" s="156">
        <v>41089</v>
      </c>
      <c r="K331" s="153"/>
      <c r="L331" s="153"/>
      <c r="M331" s="153"/>
      <c r="N331" s="153"/>
      <c r="O331" s="153"/>
      <c r="P331" s="152"/>
      <c r="Q331" s="150"/>
      <c r="R331" s="153"/>
      <c r="S331" s="154"/>
      <c r="T331" s="115"/>
    </row>
    <row r="332" spans="1:20">
      <c r="A332" t="s">
        <v>1230</v>
      </c>
      <c r="B332" t="s">
        <v>72</v>
      </c>
      <c r="C332" t="s">
        <v>51</v>
      </c>
      <c r="D332" t="s">
        <v>369</v>
      </c>
      <c r="E332" t="s">
        <v>7146</v>
      </c>
      <c r="F332" s="121">
        <v>2472</v>
      </c>
      <c r="G332" s="121">
        <v>2472</v>
      </c>
      <c r="H332" t="s">
        <v>336</v>
      </c>
      <c r="I332" s="156">
        <v>41089</v>
      </c>
      <c r="K332" s="153"/>
      <c r="L332" s="153"/>
      <c r="M332" s="153"/>
      <c r="N332" s="153"/>
      <c r="O332" s="153"/>
      <c r="P332" s="152"/>
      <c r="Q332" s="152"/>
      <c r="R332" s="153"/>
      <c r="S332" s="154"/>
      <c r="T332" s="115"/>
    </row>
    <row r="333" spans="1:20">
      <c r="A333" t="s">
        <v>1230</v>
      </c>
      <c r="B333" t="s">
        <v>72</v>
      </c>
      <c r="C333" t="s">
        <v>51</v>
      </c>
      <c r="D333" t="s">
        <v>369</v>
      </c>
      <c r="E333" t="s">
        <v>7147</v>
      </c>
      <c r="F333" s="121">
        <v>1854</v>
      </c>
      <c r="G333" s="121">
        <v>1854</v>
      </c>
      <c r="H333" t="s">
        <v>336</v>
      </c>
      <c r="I333" s="156">
        <v>41089</v>
      </c>
      <c r="K333" s="153"/>
      <c r="L333" s="153"/>
      <c r="M333" s="153"/>
      <c r="N333" s="153"/>
      <c r="O333" s="153"/>
      <c r="P333" s="152"/>
      <c r="Q333" s="152"/>
      <c r="R333" s="153"/>
      <c r="S333" s="154"/>
      <c r="T333" s="115"/>
    </row>
    <row r="334" spans="1:20">
      <c r="A334" t="s">
        <v>1230</v>
      </c>
      <c r="B334" t="s">
        <v>72</v>
      </c>
      <c r="C334" t="s">
        <v>51</v>
      </c>
      <c r="D334" t="s">
        <v>369</v>
      </c>
      <c r="E334" t="s">
        <v>7148</v>
      </c>
      <c r="F334" s="121">
        <v>1792.2</v>
      </c>
      <c r="G334" s="121">
        <v>1792.2</v>
      </c>
      <c r="H334" t="s">
        <v>336</v>
      </c>
      <c r="I334" s="156">
        <v>41089</v>
      </c>
      <c r="K334" s="153"/>
      <c r="L334" s="153"/>
      <c r="M334" s="153"/>
      <c r="N334" s="153"/>
      <c r="O334" s="153"/>
      <c r="P334" s="152"/>
      <c r="Q334" s="152"/>
      <c r="R334" s="153"/>
      <c r="S334" s="154"/>
      <c r="T334" s="115"/>
    </row>
    <row r="335" spans="1:20">
      <c r="A335" t="s">
        <v>1230</v>
      </c>
      <c r="B335" t="s">
        <v>72</v>
      </c>
      <c r="C335" t="s">
        <v>51</v>
      </c>
      <c r="D335" t="s">
        <v>379</v>
      </c>
      <c r="E335" t="s">
        <v>2030</v>
      </c>
      <c r="F335" s="121">
        <v>2300</v>
      </c>
      <c r="G335" s="121">
        <v>1699.5</v>
      </c>
      <c r="H335" t="s">
        <v>336</v>
      </c>
      <c r="I335" s="156">
        <v>39447</v>
      </c>
      <c r="K335" s="153"/>
      <c r="L335" s="153"/>
      <c r="M335" s="153"/>
      <c r="N335" s="153"/>
      <c r="O335" s="153"/>
      <c r="P335" s="152"/>
      <c r="Q335" s="152"/>
      <c r="R335" s="153"/>
      <c r="S335" s="154"/>
      <c r="T335" s="115"/>
    </row>
    <row r="336" spans="1:20">
      <c r="A336" t="s">
        <v>1230</v>
      </c>
      <c r="B336" t="s">
        <v>72</v>
      </c>
      <c r="C336" t="s">
        <v>50</v>
      </c>
      <c r="D336" t="s">
        <v>390</v>
      </c>
      <c r="E336" t="s">
        <v>2031</v>
      </c>
      <c r="F336" s="121">
        <v>11845</v>
      </c>
      <c r="G336" s="121">
        <v>11845</v>
      </c>
      <c r="H336" t="s">
        <v>336</v>
      </c>
      <c r="I336" s="156">
        <v>41089</v>
      </c>
      <c r="K336" s="153"/>
      <c r="L336" s="153"/>
      <c r="M336" s="153"/>
      <c r="N336" s="153"/>
      <c r="O336" s="153"/>
      <c r="P336" s="152"/>
      <c r="Q336" s="152"/>
      <c r="R336" s="153"/>
      <c r="S336" s="154"/>
      <c r="T336" s="115"/>
    </row>
    <row r="337" spans="1:20">
      <c r="A337" t="s">
        <v>1230</v>
      </c>
      <c r="B337" t="s">
        <v>72</v>
      </c>
      <c r="C337" t="s">
        <v>51</v>
      </c>
      <c r="D337" t="s">
        <v>369</v>
      </c>
      <c r="E337" t="s">
        <v>2032</v>
      </c>
      <c r="F337" s="121">
        <v>2060</v>
      </c>
      <c r="G337" s="121">
        <v>2060</v>
      </c>
      <c r="H337" t="s">
        <v>336</v>
      </c>
      <c r="I337" s="156">
        <v>41089</v>
      </c>
      <c r="K337" s="153"/>
      <c r="L337" s="153"/>
      <c r="M337" s="153"/>
      <c r="N337" s="153"/>
      <c r="O337" s="153"/>
      <c r="P337" s="152"/>
      <c r="Q337" s="152"/>
      <c r="R337" s="153"/>
      <c r="S337" s="154"/>
      <c r="T337" s="115"/>
    </row>
    <row r="338" spans="1:20">
      <c r="A338" t="s">
        <v>1230</v>
      </c>
      <c r="B338" t="s">
        <v>72</v>
      </c>
      <c r="C338" t="s">
        <v>50</v>
      </c>
      <c r="D338" t="s">
        <v>391</v>
      </c>
      <c r="E338" t="s">
        <v>2033</v>
      </c>
      <c r="F338" s="121">
        <v>46350</v>
      </c>
      <c r="G338" s="121">
        <v>46350</v>
      </c>
      <c r="H338" t="s">
        <v>336</v>
      </c>
      <c r="I338" s="156">
        <v>41089</v>
      </c>
      <c r="K338" s="153"/>
      <c r="L338" s="153"/>
      <c r="M338" s="153"/>
      <c r="N338" s="153"/>
      <c r="O338" s="153"/>
      <c r="P338" s="152"/>
      <c r="Q338" s="152"/>
      <c r="R338" s="153"/>
      <c r="S338" s="154"/>
      <c r="T338" s="115"/>
    </row>
    <row r="339" spans="1:20">
      <c r="A339" t="s">
        <v>1230</v>
      </c>
      <c r="B339" t="s">
        <v>72</v>
      </c>
      <c r="C339" t="s">
        <v>50</v>
      </c>
      <c r="D339" t="s">
        <v>392</v>
      </c>
      <c r="E339" t="s">
        <v>2034</v>
      </c>
      <c r="F339" s="121">
        <v>42266.71</v>
      </c>
      <c r="G339" s="121">
        <v>60203.5</v>
      </c>
      <c r="H339" t="s">
        <v>336</v>
      </c>
      <c r="I339" s="156">
        <v>40887</v>
      </c>
      <c r="K339" s="153"/>
      <c r="L339" s="153"/>
      <c r="M339" s="153"/>
      <c r="N339" s="153"/>
      <c r="O339" s="153"/>
      <c r="P339" s="152"/>
      <c r="Q339" s="152"/>
      <c r="R339" s="153"/>
      <c r="S339" s="154"/>
      <c r="T339" s="115"/>
    </row>
    <row r="340" spans="1:20">
      <c r="A340" t="s">
        <v>1230</v>
      </c>
      <c r="B340" t="s">
        <v>72</v>
      </c>
      <c r="C340" t="s">
        <v>50</v>
      </c>
      <c r="D340" t="s">
        <v>393</v>
      </c>
      <c r="E340" t="s">
        <v>2035</v>
      </c>
      <c r="F340" s="121">
        <v>3300</v>
      </c>
      <c r="G340" s="121">
        <v>2163</v>
      </c>
      <c r="H340" t="s">
        <v>336</v>
      </c>
      <c r="I340" s="156">
        <v>40913</v>
      </c>
      <c r="K340" s="153"/>
      <c r="L340" s="153"/>
      <c r="M340" s="153"/>
      <c r="N340" s="153"/>
      <c r="O340" s="153"/>
      <c r="P340" s="152"/>
      <c r="Q340" s="152"/>
      <c r="R340" s="153"/>
      <c r="S340" s="154"/>
      <c r="T340" s="115"/>
    </row>
    <row r="341" spans="1:20">
      <c r="A341" t="s">
        <v>1230</v>
      </c>
      <c r="B341" t="s">
        <v>72</v>
      </c>
      <c r="C341" t="s">
        <v>50</v>
      </c>
      <c r="D341" t="s">
        <v>390</v>
      </c>
      <c r="E341" t="s">
        <v>2036</v>
      </c>
      <c r="F341" s="121">
        <v>11845</v>
      </c>
      <c r="G341" s="121">
        <v>11845</v>
      </c>
      <c r="H341" t="s">
        <v>336</v>
      </c>
      <c r="I341" s="156">
        <v>41089</v>
      </c>
      <c r="K341" s="153"/>
      <c r="L341" s="153"/>
      <c r="M341" s="153"/>
      <c r="N341" s="153"/>
      <c r="O341" s="153"/>
      <c r="P341" s="152"/>
      <c r="Q341" s="152"/>
      <c r="R341" s="153"/>
      <c r="S341" s="154"/>
      <c r="T341" s="115"/>
    </row>
    <row r="342" spans="1:20">
      <c r="A342" t="s">
        <v>1230</v>
      </c>
      <c r="B342" t="s">
        <v>72</v>
      </c>
      <c r="C342" t="s">
        <v>66</v>
      </c>
      <c r="D342" t="s">
        <v>269</v>
      </c>
      <c r="E342" t="s">
        <v>2037</v>
      </c>
      <c r="F342" s="121">
        <v>175000</v>
      </c>
      <c r="G342" s="121">
        <v>153367</v>
      </c>
      <c r="H342" t="s">
        <v>2038</v>
      </c>
      <c r="I342" s="156">
        <v>39743</v>
      </c>
      <c r="K342" s="153"/>
      <c r="L342" s="153"/>
      <c r="M342" s="153"/>
      <c r="N342" s="153"/>
      <c r="O342" s="153"/>
      <c r="P342" s="152"/>
      <c r="Q342" s="152"/>
      <c r="R342" s="153"/>
      <c r="S342" s="154"/>
      <c r="T342" s="115"/>
    </row>
    <row r="343" spans="1:20">
      <c r="A343" t="s">
        <v>1230</v>
      </c>
      <c r="B343" t="s">
        <v>72</v>
      </c>
      <c r="C343" t="s">
        <v>46</v>
      </c>
      <c r="D343" t="s">
        <v>180</v>
      </c>
      <c r="E343" t="s">
        <v>2039</v>
      </c>
      <c r="F343" s="121">
        <v>15400</v>
      </c>
      <c r="G343" s="121">
        <v>14162.5</v>
      </c>
      <c r="H343" t="s">
        <v>394</v>
      </c>
      <c r="I343" s="156">
        <v>41089</v>
      </c>
      <c r="K343" s="153"/>
      <c r="L343" s="153"/>
      <c r="M343" s="153"/>
      <c r="N343" s="153"/>
      <c r="O343" s="153"/>
      <c r="P343" s="152"/>
      <c r="Q343" s="152"/>
      <c r="R343" s="153"/>
      <c r="S343" s="154"/>
      <c r="T343" s="115"/>
    </row>
    <row r="344" spans="1:20">
      <c r="A344" t="s">
        <v>1230</v>
      </c>
      <c r="B344" t="s">
        <v>72</v>
      </c>
      <c r="C344" t="s">
        <v>43</v>
      </c>
      <c r="D344" t="s">
        <v>374</v>
      </c>
      <c r="E344" t="s">
        <v>2040</v>
      </c>
      <c r="F344" s="121">
        <v>27529.599999999999</v>
      </c>
      <c r="G344" s="121">
        <v>25317.4</v>
      </c>
      <c r="H344" t="s">
        <v>336</v>
      </c>
      <c r="I344" s="156">
        <v>41089</v>
      </c>
      <c r="K344" s="153"/>
      <c r="L344" s="153"/>
      <c r="M344" s="153"/>
      <c r="N344" s="153"/>
      <c r="O344" s="153"/>
      <c r="P344" s="152"/>
      <c r="Q344" s="152"/>
      <c r="R344" s="153"/>
      <c r="S344" s="154"/>
      <c r="T344" s="115"/>
    </row>
    <row r="345" spans="1:20">
      <c r="A345" t="s">
        <v>1230</v>
      </c>
      <c r="B345" t="s">
        <v>72</v>
      </c>
      <c r="C345" t="s">
        <v>51</v>
      </c>
      <c r="D345" t="s">
        <v>395</v>
      </c>
      <c r="E345" t="s">
        <v>2041</v>
      </c>
      <c r="F345" s="121">
        <v>11000</v>
      </c>
      <c r="G345" s="121">
        <v>11000</v>
      </c>
      <c r="H345" t="s">
        <v>396</v>
      </c>
      <c r="I345" s="156">
        <v>41095</v>
      </c>
      <c r="K345" s="153"/>
      <c r="L345" s="153"/>
      <c r="M345" s="153"/>
      <c r="N345" s="153"/>
      <c r="O345" s="153"/>
      <c r="P345" s="152"/>
      <c r="Q345" s="152"/>
      <c r="R345" s="153"/>
      <c r="S345" s="154"/>
      <c r="T345" s="151"/>
    </row>
    <row r="346" spans="1:20">
      <c r="A346" t="s">
        <v>1230</v>
      </c>
      <c r="B346" t="s">
        <v>74</v>
      </c>
      <c r="C346" t="s">
        <v>51</v>
      </c>
      <c r="D346" t="s">
        <v>397</v>
      </c>
      <c r="E346" t="s">
        <v>2042</v>
      </c>
      <c r="F346" s="121">
        <v>1500</v>
      </c>
      <c r="G346" s="121">
        <v>1133</v>
      </c>
      <c r="H346" t="s">
        <v>398</v>
      </c>
      <c r="I346" s="156">
        <v>39813</v>
      </c>
      <c r="K346" s="153"/>
      <c r="L346" s="153"/>
      <c r="M346" s="153"/>
      <c r="N346" s="153"/>
      <c r="O346" s="153"/>
      <c r="P346" s="152"/>
      <c r="Q346" s="152"/>
      <c r="R346" s="153"/>
      <c r="S346" s="154"/>
      <c r="T346" s="151"/>
    </row>
    <row r="347" spans="1:20">
      <c r="A347" t="s">
        <v>1230</v>
      </c>
      <c r="B347" t="s">
        <v>72</v>
      </c>
      <c r="C347" t="s">
        <v>51</v>
      </c>
      <c r="D347" t="s">
        <v>399</v>
      </c>
      <c r="E347" t="s">
        <v>2043</v>
      </c>
      <c r="F347" s="121">
        <v>72800</v>
      </c>
      <c r="G347" s="121">
        <v>66950</v>
      </c>
      <c r="H347" t="s">
        <v>336</v>
      </c>
      <c r="I347" s="156">
        <v>41089</v>
      </c>
      <c r="K347" s="153"/>
      <c r="L347" s="153"/>
      <c r="M347" s="153"/>
      <c r="N347" s="153"/>
      <c r="O347" s="153"/>
      <c r="P347" s="152"/>
      <c r="Q347" s="152"/>
      <c r="R347" s="153"/>
      <c r="S347" s="154"/>
      <c r="T347" s="151"/>
    </row>
    <row r="348" spans="1:20">
      <c r="A348" t="s">
        <v>1230</v>
      </c>
      <c r="B348" t="s">
        <v>72</v>
      </c>
      <c r="C348" t="s">
        <v>51</v>
      </c>
      <c r="D348" t="s">
        <v>369</v>
      </c>
      <c r="E348" t="s">
        <v>7149</v>
      </c>
      <c r="F348" s="121">
        <v>940.8</v>
      </c>
      <c r="G348" s="121">
        <v>865.2</v>
      </c>
      <c r="H348" t="s">
        <v>336</v>
      </c>
      <c r="I348" s="156">
        <v>41089</v>
      </c>
      <c r="K348" s="153"/>
      <c r="L348" s="153"/>
      <c r="M348" s="153"/>
      <c r="N348" s="153"/>
      <c r="O348" s="153"/>
      <c r="P348" s="152"/>
      <c r="Q348" s="152"/>
      <c r="R348" s="153"/>
      <c r="S348" s="154"/>
      <c r="T348" s="151"/>
    </row>
    <row r="349" spans="1:20">
      <c r="A349" t="s">
        <v>1230</v>
      </c>
      <c r="B349" t="s">
        <v>72</v>
      </c>
      <c r="C349" t="s">
        <v>51</v>
      </c>
      <c r="D349" t="s">
        <v>400</v>
      </c>
      <c r="E349" t="s">
        <v>2044</v>
      </c>
      <c r="F349" s="121">
        <v>336500</v>
      </c>
      <c r="G349" s="121">
        <v>336500</v>
      </c>
      <c r="H349" t="s">
        <v>336</v>
      </c>
      <c r="I349" s="156">
        <v>41089</v>
      </c>
      <c r="K349" s="153"/>
      <c r="L349" s="153"/>
      <c r="M349" s="153"/>
      <c r="N349" s="153"/>
      <c r="O349" s="153"/>
      <c r="P349" s="152"/>
      <c r="Q349" s="152"/>
      <c r="R349" s="153"/>
      <c r="S349" s="154"/>
      <c r="T349" s="115"/>
    </row>
    <row r="350" spans="1:20">
      <c r="A350" t="s">
        <v>1230</v>
      </c>
      <c r="B350" t="s">
        <v>72</v>
      </c>
      <c r="C350" t="s">
        <v>51</v>
      </c>
      <c r="D350" t="s">
        <v>401</v>
      </c>
      <c r="E350" t="s">
        <v>2045</v>
      </c>
      <c r="F350" s="121">
        <v>28000</v>
      </c>
      <c r="G350" s="121">
        <v>28000</v>
      </c>
      <c r="H350" t="s">
        <v>336</v>
      </c>
      <c r="I350" s="156">
        <v>41089</v>
      </c>
      <c r="K350" s="153"/>
      <c r="L350" s="153"/>
      <c r="M350" s="153"/>
      <c r="N350" s="153"/>
      <c r="O350" s="153"/>
      <c r="P350" s="152"/>
      <c r="Q350" s="152"/>
      <c r="R350" s="153"/>
      <c r="S350" s="154"/>
      <c r="T350" s="115"/>
    </row>
    <row r="351" spans="1:20">
      <c r="A351" t="s">
        <v>1230</v>
      </c>
      <c r="B351" t="s">
        <v>72</v>
      </c>
      <c r="C351" t="s">
        <v>51</v>
      </c>
      <c r="D351" t="s">
        <v>402</v>
      </c>
      <c r="E351" t="s">
        <v>2046</v>
      </c>
      <c r="F351" s="121">
        <v>28000</v>
      </c>
      <c r="G351" s="121">
        <v>28000</v>
      </c>
      <c r="H351" t="s">
        <v>336</v>
      </c>
      <c r="I351" s="156">
        <v>41089</v>
      </c>
      <c r="K351" s="153"/>
      <c r="L351" s="153"/>
      <c r="M351" s="153"/>
      <c r="N351" s="153"/>
      <c r="O351" s="153"/>
      <c r="P351" s="152"/>
      <c r="Q351" s="152"/>
      <c r="R351" s="153"/>
      <c r="S351" s="154"/>
      <c r="T351" s="115"/>
    </row>
    <row r="352" spans="1:20">
      <c r="A352" t="s">
        <v>1230</v>
      </c>
      <c r="B352" t="s">
        <v>72</v>
      </c>
      <c r="C352" t="s">
        <v>43</v>
      </c>
      <c r="D352" t="s">
        <v>374</v>
      </c>
      <c r="E352" t="s">
        <v>2047</v>
      </c>
      <c r="F352" s="121">
        <v>10640</v>
      </c>
      <c r="G352" s="121">
        <v>9785</v>
      </c>
      <c r="H352" t="s">
        <v>336</v>
      </c>
      <c r="I352" s="156">
        <v>41089</v>
      </c>
      <c r="K352" s="153"/>
      <c r="L352" s="153"/>
      <c r="M352" s="153"/>
      <c r="N352" s="153"/>
      <c r="O352" s="153"/>
      <c r="P352" s="152"/>
      <c r="Q352" s="152"/>
      <c r="R352" s="153"/>
      <c r="S352" s="154"/>
      <c r="T352" s="115"/>
    </row>
    <row r="353" spans="1:20">
      <c r="A353" t="s">
        <v>1230</v>
      </c>
      <c r="B353" t="s">
        <v>74</v>
      </c>
      <c r="C353" t="s">
        <v>41</v>
      </c>
      <c r="D353" t="s">
        <v>165</v>
      </c>
      <c r="E353" t="s">
        <v>2048</v>
      </c>
      <c r="F353" s="121">
        <v>350000</v>
      </c>
      <c r="G353" s="121">
        <v>272950</v>
      </c>
      <c r="H353" t="s">
        <v>2049</v>
      </c>
      <c r="I353" s="156">
        <v>38881</v>
      </c>
      <c r="K353" s="153"/>
      <c r="L353" s="153"/>
      <c r="M353" s="153"/>
      <c r="N353" s="153"/>
      <c r="O353" s="153"/>
      <c r="P353" s="152"/>
      <c r="Q353" s="152"/>
      <c r="R353" s="153"/>
      <c r="S353" s="154"/>
      <c r="T353" s="115"/>
    </row>
    <row r="354" spans="1:20">
      <c r="A354" t="s">
        <v>1230</v>
      </c>
      <c r="B354" t="s">
        <v>74</v>
      </c>
      <c r="C354" t="s">
        <v>66</v>
      </c>
      <c r="D354" t="s">
        <v>276</v>
      </c>
      <c r="E354" t="s">
        <v>2050</v>
      </c>
      <c r="F354" s="121">
        <v>100000</v>
      </c>
      <c r="G354" s="121">
        <v>44805</v>
      </c>
      <c r="H354" t="s">
        <v>2051</v>
      </c>
      <c r="I354" s="156">
        <v>36891</v>
      </c>
      <c r="K354" s="153"/>
      <c r="L354" s="153"/>
      <c r="M354" s="153"/>
      <c r="N354" s="153"/>
      <c r="O354" s="153"/>
      <c r="P354" s="152"/>
      <c r="Q354" s="152"/>
      <c r="R354" s="153"/>
      <c r="S354" s="154"/>
      <c r="T354" s="115"/>
    </row>
    <row r="355" spans="1:20">
      <c r="A355" t="s">
        <v>1230</v>
      </c>
      <c r="B355" t="s">
        <v>74</v>
      </c>
      <c r="C355" t="s">
        <v>66</v>
      </c>
      <c r="D355" t="s">
        <v>268</v>
      </c>
      <c r="E355" t="s">
        <v>2052</v>
      </c>
      <c r="F355" s="121">
        <v>145000</v>
      </c>
      <c r="G355" s="121">
        <v>116184</v>
      </c>
      <c r="H355" t="s">
        <v>2053</v>
      </c>
      <c r="I355" s="156">
        <v>39758</v>
      </c>
      <c r="K355" s="153"/>
      <c r="L355" s="153"/>
      <c r="M355" s="153"/>
      <c r="N355" s="153"/>
      <c r="O355" s="153"/>
      <c r="P355" s="152"/>
      <c r="Q355" s="152"/>
      <c r="R355" s="153"/>
      <c r="S355" s="154"/>
      <c r="T355" s="115"/>
    </row>
    <row r="356" spans="1:20">
      <c r="A356" t="s">
        <v>1230</v>
      </c>
      <c r="B356" t="s">
        <v>74</v>
      </c>
      <c r="C356" t="s">
        <v>41</v>
      </c>
      <c r="D356" t="s">
        <v>160</v>
      </c>
      <c r="E356" t="s">
        <v>2054</v>
      </c>
      <c r="F356" s="121">
        <v>265000</v>
      </c>
      <c r="G356" s="121">
        <v>231750</v>
      </c>
      <c r="H356" t="s">
        <v>2055</v>
      </c>
      <c r="I356" s="156">
        <v>38352</v>
      </c>
      <c r="K356" s="153"/>
      <c r="L356" s="153"/>
      <c r="M356" s="153"/>
      <c r="N356" s="153"/>
      <c r="O356" s="153"/>
      <c r="P356" s="152"/>
      <c r="Q356" s="152"/>
      <c r="R356" s="153"/>
      <c r="S356" s="154"/>
      <c r="T356" s="115"/>
    </row>
    <row r="357" spans="1:20">
      <c r="A357" t="s">
        <v>1230</v>
      </c>
      <c r="B357" t="s">
        <v>74</v>
      </c>
      <c r="C357" t="s">
        <v>39</v>
      </c>
      <c r="D357" t="s">
        <v>154</v>
      </c>
      <c r="E357" t="s">
        <v>2056</v>
      </c>
      <c r="F357" s="121">
        <v>3000</v>
      </c>
      <c r="G357" s="121">
        <v>927</v>
      </c>
      <c r="H357" t="s">
        <v>398</v>
      </c>
      <c r="I357" s="156">
        <v>39447</v>
      </c>
      <c r="K357" s="153"/>
      <c r="L357" s="153"/>
      <c r="M357" s="153"/>
      <c r="N357" s="153"/>
      <c r="O357" s="153"/>
      <c r="P357" s="152"/>
      <c r="Q357" s="152"/>
      <c r="R357" s="153"/>
      <c r="S357" s="154"/>
      <c r="T357" s="115"/>
    </row>
    <row r="358" spans="1:20">
      <c r="A358" t="s">
        <v>1230</v>
      </c>
      <c r="B358" t="s">
        <v>74</v>
      </c>
      <c r="C358" t="s">
        <v>49</v>
      </c>
      <c r="D358" t="s">
        <v>403</v>
      </c>
      <c r="E358" t="s">
        <v>2057</v>
      </c>
      <c r="F358" s="121">
        <v>16800</v>
      </c>
      <c r="G358" s="121">
        <v>10511.15</v>
      </c>
      <c r="H358" t="s">
        <v>2058</v>
      </c>
      <c r="I358" s="156">
        <v>37405</v>
      </c>
      <c r="K358" s="153"/>
      <c r="L358" s="153"/>
      <c r="M358" s="153"/>
      <c r="N358" s="153"/>
      <c r="O358" s="153"/>
      <c r="P358" s="150"/>
      <c r="Q358" s="150"/>
      <c r="R358" s="153"/>
      <c r="S358" s="154"/>
      <c r="T358" s="115"/>
    </row>
    <row r="359" spans="1:20">
      <c r="A359" t="s">
        <v>1230</v>
      </c>
      <c r="B359" t="s">
        <v>74</v>
      </c>
      <c r="C359" t="s">
        <v>49</v>
      </c>
      <c r="D359" t="s">
        <v>339</v>
      </c>
      <c r="E359" t="s">
        <v>2059</v>
      </c>
      <c r="F359" s="121">
        <v>26800</v>
      </c>
      <c r="G359" s="121">
        <v>14131.6</v>
      </c>
      <c r="H359" t="s">
        <v>2060</v>
      </c>
      <c r="I359" s="156">
        <v>37782</v>
      </c>
      <c r="K359" s="153"/>
      <c r="L359" s="153"/>
      <c r="M359" s="153"/>
      <c r="N359" s="153"/>
      <c r="O359" s="153"/>
      <c r="P359" s="152"/>
      <c r="Q359" s="152"/>
      <c r="R359" s="153"/>
      <c r="S359" s="154"/>
      <c r="T359" s="115"/>
    </row>
    <row r="360" spans="1:20">
      <c r="A360" t="s">
        <v>1230</v>
      </c>
      <c r="B360" t="s">
        <v>74</v>
      </c>
      <c r="C360" t="s">
        <v>56</v>
      </c>
      <c r="D360" t="s">
        <v>206</v>
      </c>
      <c r="E360" t="s">
        <v>2061</v>
      </c>
      <c r="F360" s="121">
        <v>200000</v>
      </c>
      <c r="G360" s="121">
        <v>194670</v>
      </c>
      <c r="H360" t="s">
        <v>2062</v>
      </c>
      <c r="I360" s="156">
        <v>38075</v>
      </c>
      <c r="K360" s="153"/>
      <c r="L360" s="153"/>
      <c r="M360" s="153"/>
      <c r="N360" s="153"/>
      <c r="O360" s="153"/>
      <c r="P360" s="152"/>
      <c r="Q360" s="152"/>
      <c r="R360" s="153"/>
      <c r="S360" s="154"/>
      <c r="T360" s="115"/>
    </row>
    <row r="361" spans="1:20">
      <c r="A361" t="s">
        <v>1230</v>
      </c>
      <c r="B361" t="s">
        <v>74</v>
      </c>
      <c r="C361" t="s">
        <v>49</v>
      </c>
      <c r="D361" t="s">
        <v>404</v>
      </c>
      <c r="E361" t="s">
        <v>2063</v>
      </c>
      <c r="F361" s="121">
        <v>14550</v>
      </c>
      <c r="G361" s="121">
        <v>9558.4</v>
      </c>
      <c r="H361" t="s">
        <v>2064</v>
      </c>
      <c r="I361" s="156">
        <v>36784</v>
      </c>
      <c r="K361" s="153"/>
      <c r="L361" s="153"/>
      <c r="M361" s="153"/>
      <c r="N361" s="153"/>
      <c r="O361" s="153"/>
      <c r="P361" s="152"/>
      <c r="Q361" s="152"/>
      <c r="R361" s="153"/>
      <c r="S361" s="154"/>
      <c r="T361" s="115"/>
    </row>
    <row r="362" spans="1:20">
      <c r="A362" t="s">
        <v>1230</v>
      </c>
      <c r="B362" t="s">
        <v>74</v>
      </c>
      <c r="C362" t="s">
        <v>62</v>
      </c>
      <c r="D362" t="s">
        <v>243</v>
      </c>
      <c r="E362" t="s">
        <v>2065</v>
      </c>
      <c r="F362" s="121">
        <v>345600</v>
      </c>
      <c r="G362" s="121">
        <v>190550</v>
      </c>
      <c r="H362" t="s">
        <v>2066</v>
      </c>
      <c r="I362" s="156">
        <v>38352</v>
      </c>
      <c r="K362" s="153"/>
      <c r="L362" s="153"/>
      <c r="M362" s="153"/>
      <c r="N362" s="153"/>
      <c r="O362" s="153"/>
      <c r="P362" s="152"/>
      <c r="Q362" s="152"/>
      <c r="R362" s="153"/>
      <c r="S362" s="154"/>
      <c r="T362" s="115"/>
    </row>
    <row r="363" spans="1:20">
      <c r="A363" t="s">
        <v>1230</v>
      </c>
      <c r="B363" t="s">
        <v>74</v>
      </c>
      <c r="C363" t="s">
        <v>39</v>
      </c>
      <c r="D363" t="s">
        <v>135</v>
      </c>
      <c r="E363" t="s">
        <v>2067</v>
      </c>
      <c r="F363" s="121">
        <v>49300</v>
      </c>
      <c r="G363" s="121">
        <v>43981</v>
      </c>
      <c r="H363" t="s">
        <v>2068</v>
      </c>
      <c r="I363" s="156">
        <v>39082</v>
      </c>
      <c r="K363" s="153"/>
      <c r="L363" s="153"/>
      <c r="M363" s="153"/>
      <c r="N363" s="153"/>
      <c r="O363" s="153"/>
      <c r="P363" s="152"/>
      <c r="Q363" s="152"/>
      <c r="R363" s="153"/>
      <c r="S363" s="154"/>
      <c r="T363" s="115"/>
    </row>
    <row r="364" spans="1:20">
      <c r="A364" t="s">
        <v>1230</v>
      </c>
      <c r="B364" t="s">
        <v>74</v>
      </c>
      <c r="C364" t="s">
        <v>58</v>
      </c>
      <c r="D364" t="s">
        <v>212</v>
      </c>
      <c r="E364" t="s">
        <v>2069</v>
      </c>
      <c r="F364" s="121">
        <v>312000</v>
      </c>
      <c r="G364" s="121">
        <v>304607.05</v>
      </c>
      <c r="H364" t="s">
        <v>2070</v>
      </c>
      <c r="I364" s="156">
        <v>40822</v>
      </c>
      <c r="K364" s="153"/>
      <c r="L364" s="153"/>
      <c r="M364" s="153"/>
      <c r="N364" s="153"/>
      <c r="O364" s="153"/>
      <c r="P364" s="152"/>
      <c r="Q364" s="152"/>
      <c r="R364" s="153"/>
      <c r="S364" s="154"/>
      <c r="T364" s="115"/>
    </row>
    <row r="365" spans="1:20">
      <c r="A365" t="s">
        <v>1230</v>
      </c>
      <c r="B365" t="s">
        <v>74</v>
      </c>
      <c r="C365" t="s">
        <v>62</v>
      </c>
      <c r="D365" t="s">
        <v>244</v>
      </c>
      <c r="E365" t="s">
        <v>2071</v>
      </c>
      <c r="F365" s="121">
        <v>430000</v>
      </c>
      <c r="G365" s="121">
        <v>303240</v>
      </c>
      <c r="H365" t="s">
        <v>2072</v>
      </c>
      <c r="I365" s="156">
        <v>39813</v>
      </c>
      <c r="K365" s="153"/>
      <c r="L365" s="153"/>
      <c r="M365" s="153"/>
      <c r="N365" s="153"/>
      <c r="O365" s="153"/>
      <c r="P365" s="152"/>
      <c r="Q365" s="152"/>
      <c r="R365" s="153"/>
      <c r="S365" s="154"/>
      <c r="T365" s="115"/>
    </row>
    <row r="366" spans="1:20">
      <c r="A366" t="s">
        <v>1230</v>
      </c>
      <c r="B366" t="s">
        <v>74</v>
      </c>
      <c r="C366" t="s">
        <v>66</v>
      </c>
      <c r="D366" t="s">
        <v>282</v>
      </c>
      <c r="E366" t="s">
        <v>2073</v>
      </c>
      <c r="F366" s="121">
        <v>42000</v>
      </c>
      <c r="G366" s="121">
        <v>40170</v>
      </c>
      <c r="H366" t="s">
        <v>2074</v>
      </c>
      <c r="I366" s="156">
        <v>37256</v>
      </c>
      <c r="K366" s="153"/>
      <c r="L366" s="153"/>
      <c r="M366" s="153"/>
      <c r="N366" s="153"/>
      <c r="O366" s="153"/>
      <c r="P366" s="152"/>
      <c r="Q366" s="152"/>
      <c r="R366" s="153"/>
      <c r="S366" s="154"/>
      <c r="T366" s="115"/>
    </row>
    <row r="367" spans="1:20">
      <c r="A367" t="s">
        <v>1230</v>
      </c>
      <c r="B367" t="s">
        <v>72</v>
      </c>
      <c r="C367" t="s">
        <v>49</v>
      </c>
      <c r="D367" t="s">
        <v>405</v>
      </c>
      <c r="E367" t="s">
        <v>2075</v>
      </c>
      <c r="F367" s="121">
        <v>2800</v>
      </c>
      <c r="G367" s="121">
        <v>2575</v>
      </c>
      <c r="H367" t="s">
        <v>398</v>
      </c>
      <c r="I367" s="156">
        <v>41089</v>
      </c>
      <c r="K367" s="153"/>
      <c r="L367" s="153"/>
      <c r="M367" s="153"/>
      <c r="N367" s="153"/>
      <c r="O367" s="153"/>
      <c r="P367" s="152"/>
      <c r="Q367" s="150"/>
      <c r="R367" s="153"/>
      <c r="S367" s="154"/>
      <c r="T367" s="115"/>
    </row>
    <row r="368" spans="1:20">
      <c r="A368" t="s">
        <v>1230</v>
      </c>
      <c r="B368" t="s">
        <v>74</v>
      </c>
      <c r="C368" t="s">
        <v>49</v>
      </c>
      <c r="D368" t="s">
        <v>406</v>
      </c>
      <c r="E368" t="s">
        <v>2076</v>
      </c>
      <c r="F368" s="121">
        <v>40000</v>
      </c>
      <c r="G368" s="121">
        <v>29561</v>
      </c>
      <c r="H368" t="s">
        <v>1824</v>
      </c>
      <c r="I368" s="156">
        <v>39082</v>
      </c>
      <c r="K368" s="153"/>
      <c r="L368" s="153"/>
      <c r="M368" s="153"/>
      <c r="N368" s="153"/>
      <c r="O368" s="153"/>
      <c r="P368" s="152"/>
      <c r="Q368" s="152"/>
      <c r="R368" s="153"/>
      <c r="S368" s="154"/>
      <c r="T368" s="115"/>
    </row>
    <row r="369" spans="1:20">
      <c r="A369" t="s">
        <v>1230</v>
      </c>
      <c r="B369" t="s">
        <v>72</v>
      </c>
      <c r="C369" t="s">
        <v>51</v>
      </c>
      <c r="D369" t="s">
        <v>353</v>
      </c>
      <c r="E369" t="s">
        <v>2077</v>
      </c>
      <c r="F369" s="121">
        <v>4944</v>
      </c>
      <c r="G369" s="121">
        <v>4944</v>
      </c>
      <c r="H369" t="s">
        <v>398</v>
      </c>
      <c r="I369" s="156">
        <v>41089</v>
      </c>
      <c r="K369" s="153"/>
      <c r="L369" s="153"/>
      <c r="M369" s="153"/>
      <c r="N369" s="153"/>
      <c r="O369" s="153"/>
      <c r="P369" s="152"/>
      <c r="Q369" s="152"/>
      <c r="R369" s="153"/>
      <c r="S369" s="154"/>
      <c r="T369" s="115"/>
    </row>
    <row r="370" spans="1:20">
      <c r="A370" t="s">
        <v>1230</v>
      </c>
      <c r="B370" t="s">
        <v>74</v>
      </c>
      <c r="C370" t="s">
        <v>51</v>
      </c>
      <c r="D370" t="s">
        <v>407</v>
      </c>
      <c r="E370" t="s">
        <v>2078</v>
      </c>
      <c r="F370" s="121">
        <v>10000</v>
      </c>
      <c r="G370" s="121">
        <v>2832.5</v>
      </c>
      <c r="H370" t="s">
        <v>398</v>
      </c>
      <c r="I370" s="156">
        <v>39813</v>
      </c>
      <c r="K370" s="153"/>
      <c r="L370" s="153"/>
      <c r="M370" s="153"/>
      <c r="N370" s="153"/>
      <c r="O370" s="153"/>
      <c r="P370" s="152"/>
      <c r="Q370" s="152"/>
      <c r="R370" s="153"/>
      <c r="S370" s="154"/>
      <c r="T370" s="115"/>
    </row>
    <row r="371" spans="1:20">
      <c r="A371" t="s">
        <v>1230</v>
      </c>
      <c r="B371" t="s">
        <v>72</v>
      </c>
      <c r="C371" t="s">
        <v>51</v>
      </c>
      <c r="D371" t="s">
        <v>7150</v>
      </c>
      <c r="E371" t="s">
        <v>7151</v>
      </c>
      <c r="F371" s="121">
        <v>2163</v>
      </c>
      <c r="G371" s="121">
        <v>2163</v>
      </c>
      <c r="H371" t="s">
        <v>398</v>
      </c>
      <c r="I371" s="156">
        <v>41089</v>
      </c>
      <c r="K371" s="153"/>
      <c r="L371" s="153"/>
      <c r="M371" s="153"/>
      <c r="N371" s="153"/>
      <c r="O371" s="153"/>
      <c r="P371" s="152"/>
      <c r="Q371" s="152"/>
      <c r="R371" s="153"/>
      <c r="S371" s="154"/>
      <c r="T371" s="115"/>
    </row>
    <row r="372" spans="1:20">
      <c r="A372" t="s">
        <v>1230</v>
      </c>
      <c r="B372" t="s">
        <v>74</v>
      </c>
      <c r="C372" t="s">
        <v>63</v>
      </c>
      <c r="D372" t="s">
        <v>252</v>
      </c>
      <c r="E372" t="s">
        <v>2079</v>
      </c>
      <c r="F372" s="121">
        <v>360000</v>
      </c>
      <c r="G372" s="121">
        <v>348140</v>
      </c>
      <c r="H372" t="s">
        <v>1818</v>
      </c>
      <c r="I372" s="156">
        <v>40640</v>
      </c>
      <c r="K372" s="153"/>
      <c r="L372" s="153"/>
      <c r="M372" s="153"/>
      <c r="N372" s="153"/>
      <c r="O372" s="153"/>
      <c r="P372" s="152"/>
      <c r="Q372" s="152"/>
      <c r="R372" s="153"/>
      <c r="S372" s="154"/>
      <c r="T372" s="115"/>
    </row>
    <row r="373" spans="1:20">
      <c r="A373" t="s">
        <v>1230</v>
      </c>
      <c r="B373" t="s">
        <v>74</v>
      </c>
      <c r="C373" t="s">
        <v>63</v>
      </c>
      <c r="D373" t="s">
        <v>253</v>
      </c>
      <c r="E373" t="s">
        <v>2080</v>
      </c>
      <c r="F373" s="121">
        <v>17900</v>
      </c>
      <c r="G373" s="121">
        <v>6901</v>
      </c>
      <c r="H373" t="s">
        <v>2081</v>
      </c>
      <c r="I373" s="156">
        <v>37826</v>
      </c>
      <c r="K373" s="153"/>
      <c r="L373" s="153"/>
      <c r="M373" s="153"/>
      <c r="N373" s="153"/>
      <c r="O373" s="153"/>
      <c r="P373" s="152"/>
      <c r="Q373" s="152"/>
      <c r="R373" s="153"/>
      <c r="S373" s="154"/>
      <c r="T373" s="115"/>
    </row>
    <row r="374" spans="1:20">
      <c r="A374" t="s">
        <v>1230</v>
      </c>
      <c r="B374" t="s">
        <v>74</v>
      </c>
      <c r="C374" t="s">
        <v>61</v>
      </c>
      <c r="D374" t="s">
        <v>235</v>
      </c>
      <c r="E374" t="s">
        <v>2082</v>
      </c>
      <c r="F374" s="121">
        <v>63000</v>
      </c>
      <c r="G374" s="121">
        <v>47380</v>
      </c>
      <c r="H374" t="s">
        <v>2083</v>
      </c>
      <c r="I374" s="156">
        <v>39082</v>
      </c>
      <c r="K374" s="153"/>
      <c r="L374" s="153"/>
      <c r="M374" s="153"/>
      <c r="N374" s="153"/>
      <c r="O374" s="153"/>
      <c r="P374" s="152"/>
      <c r="Q374" s="152"/>
      <c r="R374" s="153"/>
      <c r="S374" s="154"/>
      <c r="T374" s="115"/>
    </row>
    <row r="375" spans="1:20">
      <c r="A375" t="s">
        <v>1230</v>
      </c>
      <c r="B375" t="s">
        <v>74</v>
      </c>
      <c r="C375" t="s">
        <v>63</v>
      </c>
      <c r="D375" t="s">
        <v>254</v>
      </c>
      <c r="E375" t="s">
        <v>2084</v>
      </c>
      <c r="F375" s="121">
        <v>48000</v>
      </c>
      <c r="G375" s="121">
        <v>30591</v>
      </c>
      <c r="H375" t="s">
        <v>2085</v>
      </c>
      <c r="I375" s="156">
        <v>39813</v>
      </c>
      <c r="K375" s="153"/>
      <c r="L375" s="153"/>
      <c r="M375" s="153"/>
      <c r="N375" s="153"/>
      <c r="O375" s="153"/>
      <c r="P375" s="152"/>
      <c r="Q375" s="152"/>
      <c r="R375" s="153"/>
      <c r="S375" s="154"/>
      <c r="T375" s="115"/>
    </row>
    <row r="376" spans="1:20">
      <c r="A376" t="s">
        <v>1230</v>
      </c>
      <c r="B376" t="s">
        <v>74</v>
      </c>
      <c r="C376" t="s">
        <v>66</v>
      </c>
      <c r="D376" t="s">
        <v>278</v>
      </c>
      <c r="E376" t="s">
        <v>2086</v>
      </c>
      <c r="F376" s="121">
        <v>225000</v>
      </c>
      <c r="G376" s="121">
        <v>150277</v>
      </c>
      <c r="H376" t="s">
        <v>2087</v>
      </c>
      <c r="I376" s="156">
        <v>37621</v>
      </c>
      <c r="K376" s="153"/>
      <c r="L376" s="153"/>
      <c r="M376" s="153"/>
      <c r="N376" s="153"/>
      <c r="O376" s="153"/>
      <c r="P376" s="152"/>
      <c r="Q376" s="152"/>
      <c r="R376" s="153"/>
      <c r="S376" s="154"/>
      <c r="T376" s="115"/>
    </row>
    <row r="377" spans="1:20">
      <c r="A377" t="s">
        <v>1230</v>
      </c>
      <c r="B377" t="s">
        <v>74</v>
      </c>
      <c r="C377" t="s">
        <v>49</v>
      </c>
      <c r="D377" t="s">
        <v>408</v>
      </c>
      <c r="E377" t="s">
        <v>2088</v>
      </c>
      <c r="F377" s="121">
        <v>29561</v>
      </c>
      <c r="G377" s="121">
        <v>29561</v>
      </c>
      <c r="H377" t="s">
        <v>398</v>
      </c>
      <c r="I377" s="156">
        <v>41089</v>
      </c>
      <c r="K377" s="153"/>
      <c r="L377" s="153"/>
      <c r="M377" s="153"/>
      <c r="N377" s="153"/>
      <c r="O377" s="153"/>
      <c r="P377" s="152"/>
      <c r="Q377" s="152"/>
      <c r="R377" s="153"/>
      <c r="S377" s="154"/>
      <c r="T377" s="115"/>
    </row>
    <row r="378" spans="1:20">
      <c r="A378" t="s">
        <v>1230</v>
      </c>
      <c r="B378" t="s">
        <v>74</v>
      </c>
      <c r="C378" t="s">
        <v>59</v>
      </c>
      <c r="D378" t="s">
        <v>220</v>
      </c>
      <c r="E378" t="s">
        <v>2089</v>
      </c>
      <c r="F378" s="121">
        <v>106120</v>
      </c>
      <c r="G378" s="121">
        <v>97592.5</v>
      </c>
      <c r="H378" t="s">
        <v>2090</v>
      </c>
      <c r="I378" s="156">
        <v>41089</v>
      </c>
      <c r="K378" s="153"/>
      <c r="L378" s="153"/>
      <c r="M378" s="153"/>
      <c r="N378" s="153"/>
      <c r="O378" s="153"/>
      <c r="P378" s="152"/>
      <c r="Q378" s="152"/>
      <c r="R378" s="153"/>
      <c r="S378" s="154"/>
      <c r="T378" s="115"/>
    </row>
    <row r="379" spans="1:20">
      <c r="A379" t="s">
        <v>1230</v>
      </c>
      <c r="B379" t="s">
        <v>74</v>
      </c>
      <c r="C379" t="s">
        <v>61</v>
      </c>
      <c r="D379" t="s">
        <v>235</v>
      </c>
      <c r="E379" t="s">
        <v>2091</v>
      </c>
      <c r="F379" s="121">
        <v>63000</v>
      </c>
      <c r="G379" s="121">
        <v>55671.5</v>
      </c>
      <c r="H379" t="s">
        <v>2092</v>
      </c>
      <c r="I379" s="156">
        <v>39447</v>
      </c>
      <c r="K379" s="153"/>
      <c r="L379" s="153"/>
      <c r="M379" s="153"/>
      <c r="N379" s="153"/>
      <c r="O379" s="153"/>
      <c r="P379" s="152"/>
      <c r="Q379" s="152"/>
      <c r="R379" s="153"/>
      <c r="S379" s="154"/>
      <c r="T379" s="115"/>
    </row>
    <row r="380" spans="1:20">
      <c r="A380" t="s">
        <v>1230</v>
      </c>
      <c r="B380" t="s">
        <v>72</v>
      </c>
      <c r="C380" t="s">
        <v>51</v>
      </c>
      <c r="D380" t="s">
        <v>353</v>
      </c>
      <c r="E380" t="s">
        <v>2093</v>
      </c>
      <c r="F380" s="121">
        <v>6608</v>
      </c>
      <c r="G380" s="121">
        <v>6077</v>
      </c>
      <c r="H380" t="s">
        <v>398</v>
      </c>
      <c r="I380" s="156">
        <v>41089</v>
      </c>
      <c r="K380" s="153"/>
      <c r="L380" s="153"/>
      <c r="M380" s="153"/>
      <c r="N380" s="153"/>
      <c r="O380" s="153"/>
      <c r="P380" s="152"/>
      <c r="Q380" s="152"/>
      <c r="R380" s="153"/>
      <c r="S380" s="154"/>
      <c r="T380" s="115"/>
    </row>
    <row r="381" spans="1:20">
      <c r="A381" t="s">
        <v>1230</v>
      </c>
      <c r="B381" t="s">
        <v>74</v>
      </c>
      <c r="C381" t="s">
        <v>39</v>
      </c>
      <c r="D381" t="s">
        <v>135</v>
      </c>
      <c r="E381" t="s">
        <v>2094</v>
      </c>
      <c r="F381" s="121">
        <v>49300</v>
      </c>
      <c r="G381" s="121">
        <v>43981</v>
      </c>
      <c r="H381" t="s">
        <v>2095</v>
      </c>
      <c r="I381" s="156">
        <v>39082</v>
      </c>
      <c r="K381" s="153"/>
      <c r="L381" s="153"/>
      <c r="M381" s="153"/>
      <c r="N381" s="153"/>
      <c r="O381" s="153"/>
      <c r="P381" s="152"/>
      <c r="Q381" s="152"/>
      <c r="R381" s="153"/>
      <c r="S381" s="154"/>
      <c r="T381" s="115"/>
    </row>
    <row r="382" spans="1:20">
      <c r="A382" t="s">
        <v>1230</v>
      </c>
      <c r="B382" t="s">
        <v>74</v>
      </c>
      <c r="C382" t="s">
        <v>62</v>
      </c>
      <c r="D382" t="s">
        <v>245</v>
      </c>
      <c r="E382" t="s">
        <v>2096</v>
      </c>
      <c r="F382" s="121">
        <v>394325</v>
      </c>
      <c r="G382" s="121">
        <v>297464</v>
      </c>
      <c r="H382" t="s">
        <v>2097</v>
      </c>
      <c r="I382" s="156">
        <v>40742</v>
      </c>
      <c r="K382" s="153"/>
      <c r="L382" s="153"/>
      <c r="M382" s="153"/>
      <c r="N382" s="153"/>
      <c r="O382" s="153"/>
      <c r="P382" s="152"/>
      <c r="Q382" s="152"/>
      <c r="R382" s="153"/>
      <c r="S382" s="154"/>
      <c r="T382" s="115"/>
    </row>
    <row r="383" spans="1:20">
      <c r="A383" t="s">
        <v>1230</v>
      </c>
      <c r="B383" t="s">
        <v>74</v>
      </c>
      <c r="C383" t="s">
        <v>63</v>
      </c>
      <c r="D383" t="s">
        <v>255</v>
      </c>
      <c r="E383" t="s">
        <v>2098</v>
      </c>
      <c r="F383" s="121">
        <v>57500</v>
      </c>
      <c r="G383" s="121">
        <v>30900</v>
      </c>
      <c r="H383" t="s">
        <v>2099</v>
      </c>
      <c r="I383" s="156">
        <v>40178</v>
      </c>
      <c r="K383" s="153"/>
      <c r="L383" s="153"/>
      <c r="M383" s="153"/>
      <c r="N383" s="153"/>
      <c r="O383" s="153"/>
      <c r="P383" s="152"/>
      <c r="Q383" s="152"/>
      <c r="R383" s="153"/>
      <c r="S383" s="154"/>
      <c r="T383" s="115"/>
    </row>
    <row r="384" spans="1:20">
      <c r="A384" t="s">
        <v>1230</v>
      </c>
      <c r="B384" t="s">
        <v>74</v>
      </c>
      <c r="C384" t="s">
        <v>66</v>
      </c>
      <c r="D384" t="s">
        <v>283</v>
      </c>
      <c r="E384" t="s">
        <v>2100</v>
      </c>
      <c r="F384" s="121">
        <v>330400</v>
      </c>
      <c r="G384" s="121">
        <v>303850</v>
      </c>
      <c r="H384" t="s">
        <v>2101</v>
      </c>
      <c r="I384" s="156">
        <v>41089</v>
      </c>
      <c r="K384" s="153"/>
      <c r="L384" s="153"/>
      <c r="M384" s="153"/>
      <c r="N384" s="153"/>
      <c r="O384" s="153"/>
      <c r="P384" s="152"/>
      <c r="Q384" s="152"/>
      <c r="R384" s="153"/>
      <c r="S384" s="154"/>
      <c r="T384" s="115"/>
    </row>
    <row r="385" spans="1:20">
      <c r="A385" t="s">
        <v>1230</v>
      </c>
      <c r="B385" t="s">
        <v>74</v>
      </c>
      <c r="C385" t="s">
        <v>51</v>
      </c>
      <c r="D385" t="s">
        <v>409</v>
      </c>
      <c r="E385" t="s">
        <v>2102</v>
      </c>
      <c r="F385" s="121">
        <v>11800</v>
      </c>
      <c r="G385" s="121">
        <v>9785</v>
      </c>
      <c r="H385" t="s">
        <v>398</v>
      </c>
      <c r="I385" s="156">
        <v>40994</v>
      </c>
      <c r="K385" s="153"/>
      <c r="L385" s="153"/>
      <c r="M385" s="153"/>
      <c r="N385" s="153"/>
      <c r="O385" s="153"/>
      <c r="P385" s="152"/>
      <c r="Q385" s="152"/>
      <c r="R385" s="153"/>
      <c r="S385" s="154"/>
      <c r="T385" s="115"/>
    </row>
    <row r="386" spans="1:20">
      <c r="A386" t="s">
        <v>1230</v>
      </c>
      <c r="B386" t="s">
        <v>74</v>
      </c>
      <c r="C386" t="s">
        <v>51</v>
      </c>
      <c r="D386" t="s">
        <v>410</v>
      </c>
      <c r="E386" t="s">
        <v>2103</v>
      </c>
      <c r="F386" s="121">
        <v>45000</v>
      </c>
      <c r="G386" s="121">
        <v>49440</v>
      </c>
      <c r="H386" t="s">
        <v>411</v>
      </c>
      <c r="I386" s="156">
        <v>39813</v>
      </c>
      <c r="K386" s="153"/>
      <c r="L386" s="153"/>
      <c r="M386" s="153"/>
      <c r="N386" s="153"/>
      <c r="O386" s="153"/>
      <c r="P386" s="152"/>
      <c r="Q386" s="152"/>
      <c r="R386" s="153"/>
      <c r="S386" s="154"/>
      <c r="T386" s="115"/>
    </row>
    <row r="387" spans="1:20">
      <c r="A387" t="s">
        <v>1230</v>
      </c>
      <c r="B387" t="s">
        <v>74</v>
      </c>
      <c r="C387" t="s">
        <v>59</v>
      </c>
      <c r="D387" t="s">
        <v>230</v>
      </c>
      <c r="E387" t="s">
        <v>2104</v>
      </c>
      <c r="F387" s="121">
        <v>32000</v>
      </c>
      <c r="G387" s="121">
        <v>23690</v>
      </c>
      <c r="H387" t="s">
        <v>2105</v>
      </c>
      <c r="I387" s="156">
        <v>36891</v>
      </c>
      <c r="K387" s="153"/>
      <c r="L387" s="153"/>
      <c r="M387" s="153"/>
      <c r="N387" s="153"/>
      <c r="O387" s="153"/>
      <c r="P387" s="152"/>
      <c r="Q387" s="152"/>
      <c r="R387" s="153"/>
      <c r="S387" s="154"/>
      <c r="T387" s="115"/>
    </row>
    <row r="388" spans="1:20">
      <c r="A388" t="s">
        <v>1230</v>
      </c>
      <c r="B388" t="s">
        <v>74</v>
      </c>
      <c r="C388" t="s">
        <v>46</v>
      </c>
      <c r="D388" t="s">
        <v>180</v>
      </c>
      <c r="E388" t="s">
        <v>2106</v>
      </c>
      <c r="F388" s="121">
        <v>14000</v>
      </c>
      <c r="G388" s="121">
        <v>12875</v>
      </c>
      <c r="H388" t="s">
        <v>412</v>
      </c>
      <c r="I388" s="156">
        <v>41089</v>
      </c>
      <c r="K388" s="153"/>
      <c r="L388" s="153"/>
      <c r="M388" s="153"/>
      <c r="N388" s="153"/>
      <c r="O388" s="153"/>
      <c r="P388" s="152"/>
      <c r="Q388" s="152"/>
      <c r="R388" s="153"/>
      <c r="S388" s="154"/>
      <c r="T388" s="115"/>
    </row>
    <row r="389" spans="1:20">
      <c r="A389" t="s">
        <v>1230</v>
      </c>
      <c r="B389" t="s">
        <v>74</v>
      </c>
      <c r="C389" t="s">
        <v>58</v>
      </c>
      <c r="D389" t="s">
        <v>215</v>
      </c>
      <c r="E389" t="s">
        <v>2107</v>
      </c>
      <c r="F389" s="121">
        <v>312000</v>
      </c>
      <c r="G389" s="121">
        <v>304607.05</v>
      </c>
      <c r="H389" t="s">
        <v>2108</v>
      </c>
      <c r="I389" s="156">
        <v>40525</v>
      </c>
      <c r="K389" s="153"/>
      <c r="L389" s="153"/>
      <c r="M389" s="153"/>
      <c r="N389" s="153"/>
      <c r="O389" s="153"/>
      <c r="P389" s="152"/>
      <c r="Q389" s="152"/>
      <c r="R389" s="153"/>
      <c r="S389" s="154"/>
      <c r="T389" s="115"/>
    </row>
    <row r="390" spans="1:20">
      <c r="A390" t="s">
        <v>1230</v>
      </c>
      <c r="B390" t="s">
        <v>74</v>
      </c>
      <c r="C390" t="s">
        <v>58</v>
      </c>
      <c r="D390" t="s">
        <v>215</v>
      </c>
      <c r="E390" t="s">
        <v>2109</v>
      </c>
      <c r="F390" s="121">
        <v>288000</v>
      </c>
      <c r="G390" s="121">
        <v>304607.05</v>
      </c>
      <c r="H390" t="s">
        <v>2110</v>
      </c>
      <c r="I390" s="156">
        <v>40525</v>
      </c>
      <c r="K390" s="153"/>
      <c r="L390" s="153"/>
      <c r="M390" s="153"/>
      <c r="N390" s="153"/>
      <c r="O390" s="153"/>
      <c r="P390" s="152"/>
      <c r="Q390" s="152"/>
      <c r="R390" s="153"/>
      <c r="S390" s="154"/>
      <c r="T390" s="115"/>
    </row>
    <row r="391" spans="1:20">
      <c r="A391" t="s">
        <v>1230</v>
      </c>
      <c r="B391" t="s">
        <v>74</v>
      </c>
      <c r="C391" t="s">
        <v>51</v>
      </c>
      <c r="D391" t="s">
        <v>413</v>
      </c>
      <c r="E391" t="s">
        <v>2111</v>
      </c>
      <c r="F391" s="121">
        <v>49000</v>
      </c>
      <c r="G391" s="121">
        <v>34711</v>
      </c>
      <c r="H391" t="s">
        <v>398</v>
      </c>
      <c r="I391" s="156">
        <v>37621</v>
      </c>
      <c r="K391" s="153"/>
      <c r="L391" s="153"/>
      <c r="M391" s="153"/>
      <c r="N391" s="153"/>
      <c r="O391" s="153"/>
      <c r="P391" s="152"/>
      <c r="Q391" s="152"/>
      <c r="R391" s="153"/>
      <c r="S391" s="154"/>
      <c r="T391" s="115"/>
    </row>
    <row r="392" spans="1:20">
      <c r="A392" t="s">
        <v>1230</v>
      </c>
      <c r="B392" t="s">
        <v>74</v>
      </c>
      <c r="C392" t="s">
        <v>42</v>
      </c>
      <c r="D392" t="s">
        <v>170</v>
      </c>
      <c r="E392" t="s">
        <v>2112</v>
      </c>
      <c r="F392" s="121">
        <v>518750</v>
      </c>
      <c r="G392" s="121">
        <v>512940</v>
      </c>
      <c r="H392" t="s">
        <v>2113</v>
      </c>
      <c r="I392" s="156">
        <v>40640</v>
      </c>
      <c r="K392" s="153"/>
      <c r="L392" s="153"/>
      <c r="M392" s="153"/>
      <c r="N392" s="153"/>
      <c r="O392" s="153"/>
      <c r="P392" s="152"/>
      <c r="Q392" s="152"/>
      <c r="R392" s="153"/>
      <c r="S392" s="154"/>
      <c r="T392" s="115"/>
    </row>
    <row r="393" spans="1:20">
      <c r="A393" t="s">
        <v>1230</v>
      </c>
      <c r="B393" t="s">
        <v>74</v>
      </c>
      <c r="C393" t="s">
        <v>59</v>
      </c>
      <c r="D393" t="s">
        <v>224</v>
      </c>
      <c r="E393" t="s">
        <v>2114</v>
      </c>
      <c r="F393" s="121">
        <v>61200</v>
      </c>
      <c r="G393" s="121">
        <v>40891</v>
      </c>
      <c r="H393" t="s">
        <v>2115</v>
      </c>
      <c r="I393" s="156">
        <v>38289</v>
      </c>
      <c r="K393" s="153"/>
      <c r="L393" s="153"/>
      <c r="M393" s="153"/>
      <c r="N393" s="153"/>
      <c r="O393" s="153"/>
      <c r="P393" s="152"/>
      <c r="Q393" s="152"/>
      <c r="R393" s="153"/>
      <c r="S393" s="154"/>
      <c r="T393" s="115"/>
    </row>
    <row r="394" spans="1:20">
      <c r="A394" t="s">
        <v>1230</v>
      </c>
      <c r="B394" t="s">
        <v>74</v>
      </c>
      <c r="C394" t="s">
        <v>66</v>
      </c>
      <c r="D394" t="s">
        <v>284</v>
      </c>
      <c r="E394" t="s">
        <v>2116</v>
      </c>
      <c r="F394" s="121">
        <v>127388.8</v>
      </c>
      <c r="G394" s="121">
        <v>117152.2</v>
      </c>
      <c r="H394" t="s">
        <v>2117</v>
      </c>
      <c r="I394" s="156">
        <v>41089</v>
      </c>
      <c r="K394" s="153"/>
      <c r="L394" s="153"/>
      <c r="M394" s="153"/>
      <c r="N394" s="153"/>
      <c r="O394" s="153"/>
      <c r="P394" s="152"/>
      <c r="Q394" s="152"/>
      <c r="R394" s="153"/>
      <c r="S394" s="154"/>
      <c r="T394" s="115"/>
    </row>
    <row r="395" spans="1:20">
      <c r="A395" t="s">
        <v>1230</v>
      </c>
      <c r="B395" t="s">
        <v>74</v>
      </c>
      <c r="C395" t="s">
        <v>39</v>
      </c>
      <c r="D395" t="s">
        <v>155</v>
      </c>
      <c r="E395" t="s">
        <v>2118</v>
      </c>
      <c r="F395" s="121">
        <v>20000</v>
      </c>
      <c r="G395" s="121">
        <v>15965</v>
      </c>
      <c r="H395" t="s">
        <v>2119</v>
      </c>
      <c r="I395" s="156">
        <v>39813</v>
      </c>
      <c r="K395" s="153"/>
      <c r="L395" s="153"/>
      <c r="M395" s="153"/>
      <c r="N395" s="153"/>
      <c r="O395" s="153"/>
      <c r="P395" s="152"/>
      <c r="Q395" s="152"/>
      <c r="R395" s="153"/>
      <c r="S395" s="154"/>
      <c r="T395" s="115"/>
    </row>
    <row r="396" spans="1:20">
      <c r="A396" t="s">
        <v>1230</v>
      </c>
      <c r="B396" t="s">
        <v>74</v>
      </c>
      <c r="C396" t="s">
        <v>59</v>
      </c>
      <c r="D396" t="s">
        <v>231</v>
      </c>
      <c r="E396" t="s">
        <v>2120</v>
      </c>
      <c r="F396" s="121">
        <v>62146</v>
      </c>
      <c r="G396" s="121">
        <v>36050</v>
      </c>
      <c r="H396" t="s">
        <v>2121</v>
      </c>
      <c r="I396" s="156">
        <v>38352</v>
      </c>
      <c r="K396" s="153"/>
      <c r="L396" s="153"/>
      <c r="M396" s="153"/>
      <c r="N396" s="153"/>
      <c r="O396" s="153"/>
      <c r="P396" s="152"/>
      <c r="Q396" s="152"/>
      <c r="R396" s="153"/>
      <c r="S396" s="154"/>
      <c r="T396" s="115"/>
    </row>
    <row r="397" spans="1:20">
      <c r="A397" t="s">
        <v>1230</v>
      </c>
      <c r="B397" t="s">
        <v>74</v>
      </c>
      <c r="C397" t="s">
        <v>39</v>
      </c>
      <c r="D397" t="s">
        <v>156</v>
      </c>
      <c r="E397" t="s">
        <v>2122</v>
      </c>
      <c r="F397" s="121">
        <v>6150</v>
      </c>
      <c r="G397" s="121">
        <v>1854</v>
      </c>
      <c r="H397" t="s">
        <v>1672</v>
      </c>
      <c r="I397" s="156">
        <v>39813</v>
      </c>
      <c r="K397" s="153"/>
      <c r="L397" s="153"/>
      <c r="M397" s="153"/>
      <c r="N397" s="153"/>
      <c r="O397" s="153"/>
      <c r="P397" s="152"/>
      <c r="Q397" s="152"/>
      <c r="R397" s="153"/>
      <c r="S397" s="154"/>
      <c r="T397" s="115"/>
    </row>
    <row r="398" spans="1:20">
      <c r="A398" t="s">
        <v>1230</v>
      </c>
      <c r="B398" t="s">
        <v>74</v>
      </c>
      <c r="C398" t="s">
        <v>49</v>
      </c>
      <c r="D398" t="s">
        <v>414</v>
      </c>
      <c r="E398" t="s">
        <v>2123</v>
      </c>
      <c r="F398" s="121">
        <v>10440</v>
      </c>
      <c r="G398" s="121">
        <v>1957</v>
      </c>
      <c r="H398" t="s">
        <v>398</v>
      </c>
      <c r="I398" s="156">
        <v>39813</v>
      </c>
      <c r="K398" s="153"/>
      <c r="L398" s="153"/>
      <c r="M398" s="153"/>
      <c r="N398" s="153"/>
      <c r="O398" s="153"/>
      <c r="P398" s="152"/>
      <c r="Q398" s="152"/>
      <c r="R398" s="153"/>
      <c r="S398" s="154"/>
      <c r="T398" s="115"/>
    </row>
    <row r="399" spans="1:20">
      <c r="A399" t="s">
        <v>1230</v>
      </c>
      <c r="B399" t="s">
        <v>74</v>
      </c>
      <c r="C399" t="s">
        <v>39</v>
      </c>
      <c r="D399" t="s">
        <v>157</v>
      </c>
      <c r="E399" t="s">
        <v>2124</v>
      </c>
      <c r="F399" s="121">
        <v>17500</v>
      </c>
      <c r="G399" s="121">
        <v>2266</v>
      </c>
      <c r="H399" t="s">
        <v>1891</v>
      </c>
      <c r="I399" s="156">
        <v>39813</v>
      </c>
      <c r="K399" s="153"/>
      <c r="L399" s="153"/>
      <c r="M399" s="153"/>
      <c r="N399" s="153"/>
      <c r="O399" s="153"/>
      <c r="P399" s="152"/>
      <c r="Q399" s="152"/>
      <c r="R399" s="153"/>
      <c r="S399" s="154"/>
      <c r="T399" s="115"/>
    </row>
    <row r="400" spans="1:20">
      <c r="A400" t="s">
        <v>1230</v>
      </c>
      <c r="B400" t="s">
        <v>74</v>
      </c>
      <c r="C400" t="s">
        <v>68</v>
      </c>
      <c r="D400" t="s">
        <v>305</v>
      </c>
      <c r="E400" t="s">
        <v>2125</v>
      </c>
      <c r="F400" s="121">
        <v>54580</v>
      </c>
      <c r="G400" s="121">
        <v>43975.85</v>
      </c>
      <c r="H400" t="s">
        <v>2126</v>
      </c>
      <c r="I400" s="156">
        <v>40843</v>
      </c>
      <c r="K400" s="153"/>
      <c r="L400" s="153"/>
      <c r="M400" s="153"/>
      <c r="N400" s="153"/>
      <c r="O400" s="153"/>
      <c r="P400" s="152"/>
      <c r="Q400" s="152"/>
      <c r="R400" s="153"/>
      <c r="S400" s="154"/>
      <c r="T400" s="115"/>
    </row>
    <row r="401" spans="1:20">
      <c r="A401" t="s">
        <v>1230</v>
      </c>
      <c r="B401" t="s">
        <v>74</v>
      </c>
      <c r="C401" t="s">
        <v>66</v>
      </c>
      <c r="D401" t="s">
        <v>285</v>
      </c>
      <c r="E401" t="s">
        <v>2127</v>
      </c>
      <c r="F401" s="121">
        <v>320429.2</v>
      </c>
      <c r="G401" s="121">
        <v>303850</v>
      </c>
      <c r="H401" t="s">
        <v>2128</v>
      </c>
      <c r="I401" s="156">
        <v>40843</v>
      </c>
      <c r="K401" s="153"/>
      <c r="L401" s="153"/>
      <c r="M401" s="153"/>
      <c r="N401" s="153"/>
      <c r="O401" s="153"/>
      <c r="P401" s="152"/>
      <c r="Q401" s="152"/>
      <c r="R401" s="153"/>
      <c r="S401" s="154"/>
      <c r="T401" s="115"/>
    </row>
    <row r="402" spans="1:20">
      <c r="A402" t="s">
        <v>1230</v>
      </c>
      <c r="B402" t="s">
        <v>74</v>
      </c>
      <c r="C402" t="s">
        <v>46</v>
      </c>
      <c r="D402" t="s">
        <v>178</v>
      </c>
      <c r="E402" t="s">
        <v>2129</v>
      </c>
      <c r="F402" s="121">
        <v>14800</v>
      </c>
      <c r="G402" s="121">
        <v>14162.5</v>
      </c>
      <c r="H402" t="s">
        <v>2130</v>
      </c>
      <c r="I402" s="156">
        <v>38352</v>
      </c>
      <c r="K402" s="153"/>
      <c r="L402" s="153"/>
      <c r="M402" s="153"/>
      <c r="N402" s="153"/>
      <c r="O402" s="153"/>
      <c r="P402" s="152"/>
      <c r="Q402" s="152"/>
      <c r="R402" s="153"/>
      <c r="S402" s="154"/>
      <c r="T402" s="115"/>
    </row>
    <row r="403" spans="1:20">
      <c r="A403" t="s">
        <v>1230</v>
      </c>
      <c r="B403" t="s">
        <v>74</v>
      </c>
      <c r="C403" t="s">
        <v>66</v>
      </c>
      <c r="D403" t="s">
        <v>286</v>
      </c>
      <c r="E403" t="s">
        <v>2131</v>
      </c>
      <c r="F403" s="121">
        <v>385000</v>
      </c>
      <c r="G403" s="121">
        <v>189417</v>
      </c>
      <c r="H403" t="s">
        <v>2132</v>
      </c>
      <c r="I403" s="156">
        <v>38717</v>
      </c>
      <c r="K403" s="153"/>
      <c r="L403" s="153"/>
      <c r="M403" s="153"/>
      <c r="N403" s="153"/>
      <c r="O403" s="153"/>
      <c r="P403" s="152"/>
      <c r="Q403" s="152"/>
      <c r="R403" s="153"/>
      <c r="S403" s="154"/>
      <c r="T403" s="115"/>
    </row>
    <row r="404" spans="1:20">
      <c r="A404" t="s">
        <v>1230</v>
      </c>
      <c r="B404" t="s">
        <v>74</v>
      </c>
      <c r="C404" t="s">
        <v>46</v>
      </c>
      <c r="D404" t="s">
        <v>177</v>
      </c>
      <c r="E404" t="s">
        <v>2133</v>
      </c>
      <c r="F404" s="121">
        <v>13900</v>
      </c>
      <c r="G404" s="121">
        <v>14162.5</v>
      </c>
      <c r="H404" t="s">
        <v>2134</v>
      </c>
      <c r="I404" s="156">
        <v>38352</v>
      </c>
      <c r="K404" s="153"/>
      <c r="L404" s="153"/>
      <c r="M404" s="153"/>
      <c r="N404" s="153"/>
      <c r="O404" s="153"/>
      <c r="P404" s="152"/>
      <c r="Q404" s="152"/>
      <c r="R404" s="153"/>
      <c r="S404" s="154"/>
      <c r="T404" s="115"/>
    </row>
    <row r="405" spans="1:20">
      <c r="A405" t="s">
        <v>1230</v>
      </c>
      <c r="B405" t="s">
        <v>74</v>
      </c>
      <c r="C405" t="s">
        <v>52</v>
      </c>
      <c r="D405" t="s">
        <v>199</v>
      </c>
      <c r="E405" t="s">
        <v>2135</v>
      </c>
      <c r="F405" s="121">
        <v>9011</v>
      </c>
      <c r="G405" s="121">
        <v>7730.15</v>
      </c>
      <c r="H405" t="s">
        <v>415</v>
      </c>
      <c r="I405" s="156">
        <v>40883</v>
      </c>
      <c r="K405" s="153"/>
      <c r="L405" s="153"/>
      <c r="M405" s="153"/>
      <c r="N405" s="153"/>
      <c r="O405" s="153"/>
      <c r="P405" s="152"/>
      <c r="Q405" s="152"/>
      <c r="R405" s="153"/>
      <c r="S405" s="154"/>
      <c r="T405" s="115"/>
    </row>
    <row r="406" spans="1:20">
      <c r="A406" t="s">
        <v>1230</v>
      </c>
      <c r="B406" t="s">
        <v>74</v>
      </c>
      <c r="C406" t="s">
        <v>66</v>
      </c>
      <c r="D406" t="s">
        <v>287</v>
      </c>
      <c r="E406" t="s">
        <v>2136</v>
      </c>
      <c r="F406" s="121">
        <v>145000</v>
      </c>
      <c r="G406" s="121">
        <v>116184</v>
      </c>
      <c r="H406" t="s">
        <v>2137</v>
      </c>
      <c r="I406" s="156">
        <v>39813</v>
      </c>
      <c r="K406" s="153"/>
      <c r="L406" s="153"/>
      <c r="M406" s="153"/>
      <c r="N406" s="153"/>
      <c r="O406" s="153"/>
      <c r="P406" s="152"/>
      <c r="Q406" s="152"/>
      <c r="R406" s="153"/>
      <c r="S406" s="154"/>
      <c r="T406" s="115"/>
    </row>
    <row r="407" spans="1:20">
      <c r="A407" t="s">
        <v>1230</v>
      </c>
      <c r="B407" t="s">
        <v>74</v>
      </c>
      <c r="C407" t="s">
        <v>46</v>
      </c>
      <c r="D407" t="s">
        <v>177</v>
      </c>
      <c r="E407" t="s">
        <v>2138</v>
      </c>
      <c r="F407" s="121">
        <v>11300</v>
      </c>
      <c r="G407" s="121">
        <v>11072.5</v>
      </c>
      <c r="H407" t="s">
        <v>2139</v>
      </c>
      <c r="I407" s="156">
        <v>37621</v>
      </c>
      <c r="K407" s="153"/>
      <c r="L407" s="153"/>
      <c r="M407" s="153"/>
      <c r="N407" s="153"/>
      <c r="O407" s="153"/>
      <c r="P407" s="152"/>
      <c r="Q407" s="152"/>
      <c r="R407" s="153"/>
      <c r="S407" s="154"/>
      <c r="T407" s="115"/>
    </row>
    <row r="408" spans="1:20">
      <c r="A408" t="s">
        <v>1230</v>
      </c>
      <c r="B408" t="s">
        <v>74</v>
      </c>
      <c r="C408" t="s">
        <v>66</v>
      </c>
      <c r="D408" t="s">
        <v>278</v>
      </c>
      <c r="E408" t="s">
        <v>2140</v>
      </c>
      <c r="F408" s="121">
        <v>225000</v>
      </c>
      <c r="G408" s="121">
        <v>150277</v>
      </c>
      <c r="H408" t="s">
        <v>2141</v>
      </c>
      <c r="I408" s="156">
        <v>37621</v>
      </c>
      <c r="K408" s="153"/>
      <c r="L408" s="153"/>
      <c r="M408" s="153"/>
      <c r="N408" s="153"/>
      <c r="O408" s="153"/>
      <c r="P408" s="152"/>
      <c r="Q408" s="152"/>
      <c r="R408" s="153"/>
      <c r="S408" s="154"/>
      <c r="T408" s="115"/>
    </row>
    <row r="409" spans="1:20">
      <c r="A409" t="s">
        <v>1230</v>
      </c>
      <c r="B409" t="s">
        <v>72</v>
      </c>
      <c r="C409" t="s">
        <v>46</v>
      </c>
      <c r="D409" t="s">
        <v>180</v>
      </c>
      <c r="E409" t="s">
        <v>2142</v>
      </c>
      <c r="F409" s="121">
        <v>14111</v>
      </c>
      <c r="G409" s="121">
        <v>14111</v>
      </c>
      <c r="H409" t="s">
        <v>416</v>
      </c>
      <c r="I409" s="156">
        <v>39813</v>
      </c>
      <c r="K409" s="153"/>
      <c r="L409" s="153"/>
      <c r="M409" s="153"/>
      <c r="N409" s="153"/>
      <c r="O409" s="153"/>
      <c r="P409" s="152"/>
      <c r="Q409" s="152"/>
      <c r="R409" s="153"/>
      <c r="S409" s="154"/>
      <c r="T409" s="115"/>
    </row>
    <row r="410" spans="1:20">
      <c r="A410" t="s">
        <v>1230</v>
      </c>
      <c r="B410" t="s">
        <v>74</v>
      </c>
      <c r="C410" t="s">
        <v>51</v>
      </c>
      <c r="D410" t="s">
        <v>417</v>
      </c>
      <c r="E410" t="s">
        <v>2143</v>
      </c>
      <c r="F410" s="121">
        <v>1300</v>
      </c>
      <c r="G410" s="121">
        <v>721</v>
      </c>
      <c r="H410" t="s">
        <v>398</v>
      </c>
      <c r="I410" s="156">
        <v>36891</v>
      </c>
      <c r="K410" s="153"/>
      <c r="L410" s="153"/>
      <c r="M410" s="153"/>
      <c r="N410" s="153"/>
      <c r="O410" s="153"/>
      <c r="P410" s="152"/>
      <c r="Q410" s="152"/>
      <c r="R410" s="153"/>
      <c r="S410" s="154"/>
      <c r="T410" s="115"/>
    </row>
    <row r="411" spans="1:20">
      <c r="A411" t="s">
        <v>1230</v>
      </c>
      <c r="B411" t="s">
        <v>74</v>
      </c>
      <c r="C411" t="s">
        <v>51</v>
      </c>
      <c r="D411" t="s">
        <v>418</v>
      </c>
      <c r="E411" t="s">
        <v>2144</v>
      </c>
      <c r="F411" s="121">
        <v>824</v>
      </c>
      <c r="G411" s="121">
        <v>824</v>
      </c>
      <c r="H411" t="s">
        <v>411</v>
      </c>
      <c r="I411" s="156">
        <v>41089</v>
      </c>
      <c r="K411" s="153"/>
      <c r="L411" s="153"/>
      <c r="M411" s="153"/>
      <c r="N411" s="153"/>
      <c r="O411" s="153"/>
      <c r="P411" s="152"/>
      <c r="Q411" s="152"/>
      <c r="R411" s="153"/>
      <c r="S411" s="154"/>
      <c r="T411" s="115"/>
    </row>
    <row r="412" spans="1:20">
      <c r="A412" t="s">
        <v>1230</v>
      </c>
      <c r="B412" t="s">
        <v>72</v>
      </c>
      <c r="C412" t="s">
        <v>51</v>
      </c>
      <c r="D412" t="s">
        <v>419</v>
      </c>
      <c r="E412" t="s">
        <v>7152</v>
      </c>
      <c r="F412" s="121">
        <v>2987</v>
      </c>
      <c r="G412" s="121">
        <v>2987</v>
      </c>
      <c r="H412" t="s">
        <v>398</v>
      </c>
      <c r="I412" s="156">
        <v>39813</v>
      </c>
      <c r="K412" s="153"/>
      <c r="L412" s="153"/>
      <c r="M412" s="153"/>
      <c r="N412" s="153"/>
      <c r="O412" s="153"/>
      <c r="P412" s="152"/>
      <c r="Q412" s="152"/>
      <c r="R412" s="153"/>
      <c r="S412" s="154"/>
      <c r="T412" s="115"/>
    </row>
    <row r="413" spans="1:20">
      <c r="A413" t="s">
        <v>1230</v>
      </c>
      <c r="B413" t="s">
        <v>74</v>
      </c>
      <c r="C413" t="s">
        <v>51</v>
      </c>
      <c r="D413" t="s">
        <v>420</v>
      </c>
      <c r="E413" t="s">
        <v>2145</v>
      </c>
      <c r="F413" s="121">
        <v>600</v>
      </c>
      <c r="G413" s="121">
        <v>499.55</v>
      </c>
      <c r="H413" t="s">
        <v>398</v>
      </c>
      <c r="I413" s="156">
        <v>37986</v>
      </c>
      <c r="K413" s="153"/>
      <c r="L413" s="153"/>
      <c r="M413" s="153"/>
      <c r="N413" s="153"/>
      <c r="O413" s="153"/>
      <c r="P413" s="152"/>
      <c r="Q413" s="152"/>
      <c r="R413" s="153"/>
      <c r="S413" s="154"/>
      <c r="T413" s="115"/>
    </row>
    <row r="414" spans="1:20">
      <c r="A414" t="s">
        <v>1230</v>
      </c>
      <c r="B414" t="s">
        <v>74</v>
      </c>
      <c r="C414" t="s">
        <v>51</v>
      </c>
      <c r="D414" t="s">
        <v>421</v>
      </c>
      <c r="E414" t="s">
        <v>2146</v>
      </c>
      <c r="F414" s="121">
        <v>34300</v>
      </c>
      <c r="G414" s="121">
        <v>28325</v>
      </c>
      <c r="H414" t="s">
        <v>398</v>
      </c>
      <c r="I414" s="156">
        <v>39813</v>
      </c>
      <c r="K414" s="153"/>
      <c r="L414" s="153"/>
      <c r="M414" s="153"/>
      <c r="N414" s="153"/>
      <c r="O414" s="153"/>
      <c r="P414" s="152"/>
      <c r="Q414" s="152"/>
      <c r="R414" s="153"/>
      <c r="S414" s="154"/>
      <c r="T414" s="115"/>
    </row>
    <row r="415" spans="1:20">
      <c r="A415" t="s">
        <v>1230</v>
      </c>
      <c r="B415" t="s">
        <v>74</v>
      </c>
      <c r="C415" t="s">
        <v>51</v>
      </c>
      <c r="D415" t="s">
        <v>379</v>
      </c>
      <c r="E415" t="s">
        <v>2147</v>
      </c>
      <c r="F415" s="121">
        <v>2300</v>
      </c>
      <c r="G415" s="121">
        <v>1957</v>
      </c>
      <c r="H415" t="s">
        <v>398</v>
      </c>
      <c r="I415" s="156">
        <v>37986</v>
      </c>
      <c r="K415" s="153"/>
      <c r="L415" s="153"/>
      <c r="M415" s="153"/>
      <c r="N415" s="153"/>
      <c r="O415" s="153"/>
      <c r="P415" s="152"/>
      <c r="Q415" s="152"/>
      <c r="R415" s="153"/>
      <c r="S415" s="154"/>
      <c r="T415" s="115"/>
    </row>
    <row r="416" spans="1:20">
      <c r="A416" t="s">
        <v>1230</v>
      </c>
      <c r="B416" t="s">
        <v>72</v>
      </c>
      <c r="C416" t="s">
        <v>51</v>
      </c>
      <c r="D416" t="s">
        <v>369</v>
      </c>
      <c r="E416" t="s">
        <v>7153</v>
      </c>
      <c r="F416" s="121">
        <v>875.5</v>
      </c>
      <c r="G416" s="121">
        <v>875.5</v>
      </c>
      <c r="H416" t="s">
        <v>398</v>
      </c>
      <c r="I416" s="156">
        <v>39813</v>
      </c>
      <c r="K416" s="153"/>
      <c r="L416" s="153"/>
      <c r="M416" s="153"/>
      <c r="N416" s="153"/>
      <c r="O416" s="153"/>
      <c r="P416" s="152"/>
      <c r="Q416" s="152"/>
      <c r="R416" s="153"/>
      <c r="S416" s="154"/>
      <c r="T416" s="115"/>
    </row>
    <row r="417" spans="1:20">
      <c r="A417" t="s">
        <v>1230</v>
      </c>
      <c r="B417" t="s">
        <v>74</v>
      </c>
      <c r="C417" t="s">
        <v>43</v>
      </c>
      <c r="D417" t="s">
        <v>374</v>
      </c>
      <c r="E417" t="s">
        <v>2148</v>
      </c>
      <c r="F417" s="121">
        <v>22325.25</v>
      </c>
      <c r="G417" s="121">
        <v>22325.25</v>
      </c>
      <c r="H417" t="s">
        <v>398</v>
      </c>
      <c r="I417" s="156">
        <v>41089</v>
      </c>
      <c r="K417" s="153"/>
      <c r="L417" s="153"/>
      <c r="M417" s="153"/>
      <c r="N417" s="153"/>
      <c r="O417" s="153"/>
      <c r="P417" s="152"/>
      <c r="Q417" s="152"/>
      <c r="R417" s="153"/>
      <c r="S417" s="154"/>
      <c r="T417" s="115"/>
    </row>
    <row r="418" spans="1:20">
      <c r="A418" t="s">
        <v>1230</v>
      </c>
      <c r="B418" t="s">
        <v>74</v>
      </c>
      <c r="C418" t="s">
        <v>51</v>
      </c>
      <c r="D418" t="s">
        <v>368</v>
      </c>
      <c r="E418" t="s">
        <v>2149</v>
      </c>
      <c r="F418" s="121">
        <v>19261</v>
      </c>
      <c r="G418" s="121">
        <v>19261</v>
      </c>
      <c r="H418" t="s">
        <v>398</v>
      </c>
      <c r="I418" s="156">
        <v>41089</v>
      </c>
      <c r="K418" s="153"/>
      <c r="L418" s="153"/>
      <c r="M418" s="153"/>
      <c r="N418" s="153"/>
      <c r="O418" s="153"/>
      <c r="P418" s="152"/>
      <c r="Q418" s="152"/>
      <c r="R418" s="153"/>
      <c r="S418" s="154"/>
      <c r="T418" s="115"/>
    </row>
    <row r="419" spans="1:20">
      <c r="A419" t="s">
        <v>1230</v>
      </c>
      <c r="B419" t="s">
        <v>74</v>
      </c>
      <c r="C419" t="s">
        <v>51</v>
      </c>
      <c r="D419" t="s">
        <v>368</v>
      </c>
      <c r="E419" t="s">
        <v>2150</v>
      </c>
      <c r="F419" s="121">
        <v>17860.2</v>
      </c>
      <c r="G419" s="121">
        <v>17860.2</v>
      </c>
      <c r="H419" t="s">
        <v>398</v>
      </c>
      <c r="I419" s="156">
        <v>41089</v>
      </c>
      <c r="K419" s="153"/>
      <c r="L419" s="153"/>
      <c r="M419" s="153"/>
      <c r="N419" s="153"/>
      <c r="O419" s="153"/>
      <c r="P419" s="152"/>
      <c r="Q419" s="152"/>
      <c r="R419" s="153"/>
      <c r="S419" s="154"/>
      <c r="T419" s="115"/>
    </row>
    <row r="420" spans="1:20">
      <c r="A420" t="s">
        <v>1230</v>
      </c>
      <c r="B420" t="s">
        <v>74</v>
      </c>
      <c r="C420" t="s">
        <v>51</v>
      </c>
      <c r="D420" t="s">
        <v>368</v>
      </c>
      <c r="E420" t="s">
        <v>2151</v>
      </c>
      <c r="F420" s="121">
        <v>9270</v>
      </c>
      <c r="G420" s="121">
        <v>9270</v>
      </c>
      <c r="H420" t="s">
        <v>398</v>
      </c>
      <c r="I420" s="156">
        <v>41089</v>
      </c>
      <c r="K420" s="153"/>
      <c r="L420" s="153"/>
      <c r="M420" s="153"/>
      <c r="N420" s="153"/>
      <c r="O420" s="153"/>
      <c r="P420" s="152"/>
      <c r="Q420" s="152"/>
      <c r="R420" s="153"/>
      <c r="S420" s="154"/>
      <c r="T420" s="115"/>
    </row>
    <row r="421" spans="1:20">
      <c r="A421" t="s">
        <v>1230</v>
      </c>
      <c r="B421" t="s">
        <v>74</v>
      </c>
      <c r="C421" t="s">
        <v>49</v>
      </c>
      <c r="D421" t="s">
        <v>422</v>
      </c>
      <c r="E421" t="s">
        <v>2152</v>
      </c>
      <c r="F421" s="121">
        <v>7416</v>
      </c>
      <c r="G421" s="121">
        <v>7416</v>
      </c>
      <c r="H421" t="s">
        <v>398</v>
      </c>
      <c r="I421" s="156">
        <v>41089</v>
      </c>
      <c r="K421" s="153"/>
      <c r="L421" s="153"/>
      <c r="M421" s="153"/>
      <c r="N421" s="153"/>
      <c r="O421" s="153"/>
      <c r="P421" s="152"/>
      <c r="Q421" s="152"/>
      <c r="R421" s="153"/>
      <c r="S421" s="154"/>
      <c r="T421" s="115"/>
    </row>
    <row r="422" spans="1:20">
      <c r="A422" t="s">
        <v>1230</v>
      </c>
      <c r="B422" t="s">
        <v>73</v>
      </c>
      <c r="C422" t="s">
        <v>52</v>
      </c>
      <c r="D422" t="s">
        <v>199</v>
      </c>
      <c r="E422" t="s">
        <v>2153</v>
      </c>
      <c r="F422" s="121">
        <v>9011</v>
      </c>
      <c r="G422" s="121">
        <v>7730.15</v>
      </c>
      <c r="H422" t="s">
        <v>415</v>
      </c>
      <c r="I422" s="156">
        <v>40883</v>
      </c>
      <c r="K422" s="153"/>
      <c r="L422" s="153"/>
      <c r="M422" s="153"/>
      <c r="N422" s="153"/>
      <c r="O422" s="153"/>
      <c r="P422" s="152"/>
      <c r="Q422" s="152"/>
      <c r="R422" s="153"/>
      <c r="S422" s="154"/>
      <c r="T422" s="115"/>
    </row>
    <row r="423" spans="1:20">
      <c r="A423" t="s">
        <v>1230</v>
      </c>
      <c r="B423" t="s">
        <v>73</v>
      </c>
      <c r="C423" t="s">
        <v>69</v>
      </c>
      <c r="D423" t="s">
        <v>319</v>
      </c>
      <c r="E423" t="s">
        <v>2154</v>
      </c>
      <c r="F423" s="121">
        <v>28000</v>
      </c>
      <c r="G423" s="121">
        <v>28016</v>
      </c>
      <c r="H423" t="s">
        <v>2155</v>
      </c>
      <c r="I423" s="156">
        <v>41082</v>
      </c>
      <c r="K423" s="153"/>
      <c r="L423" s="153"/>
      <c r="M423" s="153"/>
      <c r="N423" s="153"/>
      <c r="O423" s="153"/>
      <c r="P423" s="152"/>
      <c r="Q423" s="150"/>
      <c r="R423" s="153"/>
      <c r="S423" s="154"/>
      <c r="T423" s="115"/>
    </row>
    <row r="424" spans="1:20">
      <c r="A424" t="s">
        <v>1230</v>
      </c>
      <c r="B424" t="s">
        <v>73</v>
      </c>
      <c r="C424" t="s">
        <v>62</v>
      </c>
      <c r="D424" t="s">
        <v>240</v>
      </c>
      <c r="E424" t="s">
        <v>2156</v>
      </c>
      <c r="F424" s="121">
        <v>347000</v>
      </c>
      <c r="G424" s="121">
        <v>332175</v>
      </c>
      <c r="H424" t="s">
        <v>2157</v>
      </c>
      <c r="I424" s="156">
        <v>40848</v>
      </c>
      <c r="K424" s="153"/>
      <c r="L424" s="153"/>
      <c r="M424" s="153"/>
      <c r="N424" s="153"/>
      <c r="O424" s="153"/>
      <c r="P424" s="150"/>
      <c r="Q424" s="150"/>
      <c r="R424" s="153"/>
      <c r="S424" s="154"/>
      <c r="T424" s="115"/>
    </row>
    <row r="425" spans="1:20">
      <c r="A425" t="s">
        <v>1230</v>
      </c>
      <c r="B425" t="s">
        <v>73</v>
      </c>
      <c r="C425" t="s">
        <v>66</v>
      </c>
      <c r="D425" t="s">
        <v>288</v>
      </c>
      <c r="E425" t="s">
        <v>2158</v>
      </c>
      <c r="F425" s="121">
        <v>147000</v>
      </c>
      <c r="G425" s="121">
        <v>117152.2</v>
      </c>
      <c r="H425" t="s">
        <v>2159</v>
      </c>
      <c r="I425" s="156">
        <v>39813</v>
      </c>
      <c r="K425" s="153"/>
      <c r="L425" s="153"/>
      <c r="M425" s="153"/>
      <c r="N425" s="153"/>
      <c r="O425" s="153"/>
      <c r="P425" s="152"/>
      <c r="Q425" s="152"/>
      <c r="R425" s="153"/>
      <c r="S425" s="154"/>
      <c r="T425" s="115"/>
    </row>
    <row r="426" spans="1:20">
      <c r="A426" t="s">
        <v>1230</v>
      </c>
      <c r="B426" t="s">
        <v>73</v>
      </c>
      <c r="C426" t="s">
        <v>59</v>
      </c>
      <c r="D426" t="s">
        <v>233</v>
      </c>
      <c r="E426" t="s">
        <v>2160</v>
      </c>
      <c r="F426" s="121">
        <v>35000</v>
      </c>
      <c r="G426" s="121">
        <v>27295</v>
      </c>
      <c r="H426" t="s">
        <v>2161</v>
      </c>
      <c r="I426" s="156">
        <v>37986</v>
      </c>
      <c r="K426" s="153"/>
      <c r="L426" s="153"/>
      <c r="M426" s="153"/>
      <c r="N426" s="153"/>
      <c r="O426" s="153"/>
      <c r="P426" s="150"/>
      <c r="Q426" s="150"/>
      <c r="R426" s="153"/>
      <c r="S426" s="154"/>
      <c r="T426" s="115"/>
    </row>
    <row r="427" spans="1:20">
      <c r="A427" t="s">
        <v>1230</v>
      </c>
      <c r="B427" t="s">
        <v>73</v>
      </c>
      <c r="C427" t="s">
        <v>59</v>
      </c>
      <c r="D427" t="s">
        <v>233</v>
      </c>
      <c r="E427" t="s">
        <v>2162</v>
      </c>
      <c r="F427" s="121">
        <v>35000</v>
      </c>
      <c r="G427" s="121">
        <v>27295</v>
      </c>
      <c r="H427" t="s">
        <v>2163</v>
      </c>
      <c r="I427" s="156">
        <v>37986</v>
      </c>
      <c r="K427" s="153"/>
      <c r="L427" s="153"/>
      <c r="M427" s="153"/>
      <c r="N427" s="153"/>
      <c r="O427" s="153"/>
      <c r="P427" s="152"/>
      <c r="Q427" s="152"/>
      <c r="R427" s="153"/>
      <c r="S427" s="154"/>
      <c r="T427" s="115"/>
    </row>
    <row r="428" spans="1:20">
      <c r="A428" t="s">
        <v>1230</v>
      </c>
      <c r="B428" t="s">
        <v>73</v>
      </c>
      <c r="C428" t="s">
        <v>42</v>
      </c>
      <c r="D428" t="s">
        <v>169</v>
      </c>
      <c r="E428" t="s">
        <v>2164</v>
      </c>
      <c r="F428" s="121">
        <v>1</v>
      </c>
      <c r="G428" s="121">
        <v>1</v>
      </c>
      <c r="H428" t="s">
        <v>2165</v>
      </c>
      <c r="I428" s="156">
        <v>41603</v>
      </c>
      <c r="K428" s="153"/>
      <c r="L428" s="153"/>
      <c r="M428" s="153"/>
      <c r="N428" s="153"/>
      <c r="O428" s="153"/>
      <c r="P428" s="152"/>
      <c r="Q428" s="152"/>
      <c r="R428" s="153"/>
      <c r="S428" s="154"/>
      <c r="T428" s="151"/>
    </row>
    <row r="429" spans="1:20">
      <c r="A429" t="s">
        <v>1230</v>
      </c>
      <c r="B429" t="s">
        <v>73</v>
      </c>
      <c r="C429" t="s">
        <v>59</v>
      </c>
      <c r="D429" t="s">
        <v>234</v>
      </c>
      <c r="E429" t="s">
        <v>2166</v>
      </c>
      <c r="F429" s="121">
        <v>62146</v>
      </c>
      <c r="G429" s="121">
        <v>36050</v>
      </c>
      <c r="H429" t="s">
        <v>2167</v>
      </c>
      <c r="I429" s="156">
        <v>38135</v>
      </c>
      <c r="K429" s="153"/>
      <c r="L429" s="153"/>
      <c r="M429" s="153"/>
      <c r="N429" s="153"/>
      <c r="O429" s="153"/>
      <c r="P429" s="150"/>
      <c r="Q429" s="150"/>
      <c r="R429" s="153"/>
      <c r="S429" s="154"/>
      <c r="T429" s="151"/>
    </row>
    <row r="430" spans="1:20">
      <c r="A430" t="s">
        <v>1230</v>
      </c>
      <c r="B430" t="s">
        <v>73</v>
      </c>
      <c r="C430" t="s">
        <v>59</v>
      </c>
      <c r="D430" t="s">
        <v>233</v>
      </c>
      <c r="E430" t="s">
        <v>2168</v>
      </c>
      <c r="F430" s="121">
        <v>35000</v>
      </c>
      <c r="G430" s="121">
        <v>27295</v>
      </c>
      <c r="H430" t="s">
        <v>2169</v>
      </c>
      <c r="I430" s="156">
        <v>37986</v>
      </c>
      <c r="K430" s="153"/>
      <c r="L430" s="153"/>
      <c r="M430" s="153"/>
      <c r="N430" s="153"/>
      <c r="O430" s="153"/>
      <c r="P430" s="152"/>
      <c r="Q430" s="152"/>
      <c r="R430" s="153"/>
      <c r="S430" s="154"/>
      <c r="T430" s="151"/>
    </row>
    <row r="431" spans="1:20">
      <c r="A431" t="s">
        <v>1230</v>
      </c>
      <c r="B431" t="s">
        <v>73</v>
      </c>
      <c r="C431" t="s">
        <v>58</v>
      </c>
      <c r="D431" t="s">
        <v>215</v>
      </c>
      <c r="E431" t="s">
        <v>2170</v>
      </c>
      <c r="F431" s="121">
        <v>270000</v>
      </c>
      <c r="G431" s="121">
        <v>304607.05</v>
      </c>
      <c r="H431" t="s">
        <v>2171</v>
      </c>
      <c r="I431" s="156">
        <v>40178</v>
      </c>
      <c r="K431" s="153"/>
      <c r="L431" s="153"/>
      <c r="M431" s="153"/>
      <c r="N431" s="153"/>
      <c r="O431" s="153"/>
      <c r="P431" s="152"/>
      <c r="Q431" s="152"/>
      <c r="R431" s="153"/>
      <c r="S431" s="154"/>
      <c r="T431" s="151"/>
    </row>
    <row r="432" spans="1:20">
      <c r="A432" t="s">
        <v>1230</v>
      </c>
      <c r="B432" t="s">
        <v>73</v>
      </c>
      <c r="C432" t="s">
        <v>66</v>
      </c>
      <c r="D432" t="s">
        <v>269</v>
      </c>
      <c r="E432" t="s">
        <v>2172</v>
      </c>
      <c r="F432" s="121">
        <v>175000</v>
      </c>
      <c r="G432" s="121">
        <v>153367</v>
      </c>
      <c r="H432" t="s">
        <v>2173</v>
      </c>
      <c r="I432" s="156">
        <v>39743</v>
      </c>
      <c r="K432" s="153"/>
      <c r="L432" s="153"/>
      <c r="M432" s="153"/>
      <c r="N432" s="153"/>
      <c r="O432" s="153"/>
      <c r="P432" s="152"/>
      <c r="Q432" s="152"/>
      <c r="R432" s="153"/>
      <c r="S432" s="154"/>
      <c r="T432" s="151"/>
    </row>
    <row r="433" spans="1:20">
      <c r="A433" t="s">
        <v>1230</v>
      </c>
      <c r="B433" t="s">
        <v>73</v>
      </c>
      <c r="C433" t="s">
        <v>49</v>
      </c>
      <c r="D433" t="s">
        <v>423</v>
      </c>
      <c r="E433" t="s">
        <v>2174</v>
      </c>
      <c r="F433" s="121">
        <v>5130</v>
      </c>
      <c r="G433" s="121">
        <v>3553.5</v>
      </c>
      <c r="H433" t="s">
        <v>415</v>
      </c>
      <c r="I433" s="156">
        <v>39813</v>
      </c>
      <c r="K433" s="153"/>
      <c r="L433" s="153"/>
      <c r="M433" s="153"/>
      <c r="N433" s="153"/>
      <c r="O433" s="153"/>
      <c r="P433" s="152"/>
      <c r="Q433" s="152"/>
      <c r="R433" s="153"/>
      <c r="S433" s="154"/>
      <c r="T433" s="115"/>
    </row>
    <row r="434" spans="1:20">
      <c r="A434" t="s">
        <v>1230</v>
      </c>
      <c r="B434" t="s">
        <v>73</v>
      </c>
      <c r="C434" t="s">
        <v>58</v>
      </c>
      <c r="D434" t="s">
        <v>213</v>
      </c>
      <c r="E434" t="s">
        <v>2175</v>
      </c>
      <c r="F434" s="121">
        <v>515364.53</v>
      </c>
      <c r="G434" s="121">
        <v>475860</v>
      </c>
      <c r="H434" t="s">
        <v>2176</v>
      </c>
      <c r="I434" s="156">
        <v>40417</v>
      </c>
      <c r="K434" s="153"/>
      <c r="L434" s="153"/>
      <c r="M434" s="153"/>
      <c r="N434" s="153"/>
      <c r="O434" s="153"/>
      <c r="P434" s="152"/>
      <c r="Q434" s="152"/>
      <c r="R434" s="153"/>
      <c r="S434" s="154"/>
      <c r="T434" s="115"/>
    </row>
    <row r="435" spans="1:20">
      <c r="A435" t="s">
        <v>1230</v>
      </c>
      <c r="B435" t="s">
        <v>73</v>
      </c>
      <c r="C435" t="s">
        <v>56</v>
      </c>
      <c r="D435" t="s">
        <v>1017</v>
      </c>
      <c r="E435" t="s">
        <v>2177</v>
      </c>
      <c r="F435" s="121">
        <v>135000</v>
      </c>
      <c r="G435" s="121">
        <v>135960</v>
      </c>
      <c r="H435" t="s">
        <v>2178</v>
      </c>
      <c r="I435" s="156">
        <v>40178</v>
      </c>
      <c r="K435" s="153"/>
      <c r="L435" s="153"/>
      <c r="M435" s="153"/>
      <c r="N435" s="153"/>
      <c r="O435" s="153"/>
      <c r="P435" s="152"/>
      <c r="Q435" s="152"/>
      <c r="R435" s="153"/>
      <c r="S435" s="154"/>
      <c r="T435" s="115"/>
    </row>
    <row r="436" spans="1:20">
      <c r="A436" t="s">
        <v>1230</v>
      </c>
      <c r="B436" t="s">
        <v>73</v>
      </c>
      <c r="C436" t="s">
        <v>46</v>
      </c>
      <c r="D436" t="s">
        <v>183</v>
      </c>
      <c r="E436" t="s">
        <v>2179</v>
      </c>
      <c r="F436" s="121">
        <v>13900</v>
      </c>
      <c r="G436" s="121">
        <v>12339.4</v>
      </c>
      <c r="H436" t="s">
        <v>2180</v>
      </c>
      <c r="I436" s="156">
        <v>38352</v>
      </c>
      <c r="K436" s="153"/>
      <c r="L436" s="153"/>
      <c r="M436" s="153"/>
      <c r="N436" s="153"/>
      <c r="O436" s="153"/>
      <c r="P436" s="152"/>
      <c r="Q436" s="152"/>
      <c r="R436" s="153"/>
      <c r="S436" s="154"/>
      <c r="T436" s="115"/>
    </row>
    <row r="437" spans="1:20">
      <c r="A437" t="s">
        <v>1230</v>
      </c>
      <c r="B437" t="s">
        <v>73</v>
      </c>
      <c r="C437" t="s">
        <v>51</v>
      </c>
      <c r="D437" t="s">
        <v>7154</v>
      </c>
      <c r="E437" t="s">
        <v>7155</v>
      </c>
      <c r="F437" s="121">
        <v>1200</v>
      </c>
      <c r="G437" s="121">
        <v>911.55</v>
      </c>
      <c r="H437" t="s">
        <v>424</v>
      </c>
      <c r="I437" s="156">
        <v>40178</v>
      </c>
      <c r="K437" s="153"/>
      <c r="L437" s="153"/>
      <c r="M437" s="153"/>
      <c r="N437" s="153"/>
      <c r="O437" s="153"/>
      <c r="P437" s="152"/>
      <c r="Q437" s="152"/>
      <c r="R437" s="153"/>
      <c r="S437" s="154"/>
      <c r="T437" s="115"/>
    </row>
    <row r="438" spans="1:20">
      <c r="A438" t="s">
        <v>1230</v>
      </c>
      <c r="B438" t="s">
        <v>73</v>
      </c>
      <c r="C438" t="s">
        <v>51</v>
      </c>
      <c r="D438" t="s">
        <v>425</v>
      </c>
      <c r="E438" t="s">
        <v>2181</v>
      </c>
      <c r="F438" s="121">
        <v>2000</v>
      </c>
      <c r="G438" s="121">
        <v>133.9</v>
      </c>
      <c r="H438" t="s">
        <v>424</v>
      </c>
      <c r="I438" s="156">
        <v>38717</v>
      </c>
      <c r="K438" s="153"/>
      <c r="L438" s="153"/>
      <c r="M438" s="153"/>
      <c r="N438" s="153"/>
      <c r="O438" s="153"/>
      <c r="P438" s="152"/>
      <c r="Q438" s="152"/>
      <c r="R438" s="153"/>
      <c r="S438" s="154"/>
      <c r="T438" s="115"/>
    </row>
    <row r="439" spans="1:20">
      <c r="A439" t="s">
        <v>1230</v>
      </c>
      <c r="B439" t="s">
        <v>73</v>
      </c>
      <c r="C439" t="s">
        <v>51</v>
      </c>
      <c r="D439" t="s">
        <v>426</v>
      </c>
      <c r="E439" t="s">
        <v>2182</v>
      </c>
      <c r="F439" s="121">
        <v>16800</v>
      </c>
      <c r="G439" s="121">
        <v>15450</v>
      </c>
      <c r="H439" t="s">
        <v>415</v>
      </c>
      <c r="I439" s="156">
        <v>41089</v>
      </c>
      <c r="K439" s="153"/>
      <c r="L439" s="153"/>
      <c r="M439" s="153"/>
      <c r="N439" s="153"/>
      <c r="O439" s="153"/>
      <c r="P439" s="152"/>
      <c r="Q439" s="152"/>
      <c r="R439" s="153"/>
      <c r="S439" s="154"/>
      <c r="T439" s="115"/>
    </row>
    <row r="440" spans="1:20">
      <c r="A440" t="s">
        <v>1230</v>
      </c>
      <c r="B440" t="s">
        <v>73</v>
      </c>
      <c r="C440" t="s">
        <v>51</v>
      </c>
      <c r="D440" t="s">
        <v>7156</v>
      </c>
      <c r="E440" t="s">
        <v>7157</v>
      </c>
      <c r="F440" s="121">
        <v>3500</v>
      </c>
      <c r="G440" s="121">
        <v>2832.5</v>
      </c>
      <c r="H440" t="s">
        <v>415</v>
      </c>
      <c r="I440" s="156">
        <v>37256</v>
      </c>
      <c r="K440" s="153"/>
      <c r="L440" s="153"/>
      <c r="M440" s="153"/>
      <c r="N440" s="153"/>
      <c r="O440" s="153"/>
      <c r="P440" s="152"/>
      <c r="Q440" s="152"/>
      <c r="R440" s="153"/>
      <c r="S440" s="154"/>
      <c r="T440" s="115"/>
    </row>
    <row r="441" spans="1:20">
      <c r="A441" t="s">
        <v>1230</v>
      </c>
      <c r="B441" t="s">
        <v>73</v>
      </c>
      <c r="C441" t="s">
        <v>51</v>
      </c>
      <c r="D441" t="s">
        <v>369</v>
      </c>
      <c r="E441" t="s">
        <v>2183</v>
      </c>
      <c r="F441" s="121">
        <v>2016</v>
      </c>
      <c r="G441" s="121">
        <v>1854</v>
      </c>
      <c r="H441" t="s">
        <v>415</v>
      </c>
      <c r="I441" s="156">
        <v>41089</v>
      </c>
      <c r="K441" s="153"/>
      <c r="L441" s="153"/>
      <c r="M441" s="153"/>
      <c r="N441" s="153"/>
      <c r="O441" s="153"/>
      <c r="P441" s="152"/>
      <c r="Q441" s="152"/>
      <c r="R441" s="153"/>
      <c r="S441" s="154"/>
      <c r="T441" s="115"/>
    </row>
    <row r="442" spans="1:20">
      <c r="A442" t="s">
        <v>1230</v>
      </c>
      <c r="B442" t="s">
        <v>72</v>
      </c>
      <c r="C442" t="s">
        <v>51</v>
      </c>
      <c r="D442" t="s">
        <v>427</v>
      </c>
      <c r="E442" t="s">
        <v>2184</v>
      </c>
      <c r="F442" s="121">
        <v>1800</v>
      </c>
      <c r="G442" s="121">
        <v>570.62</v>
      </c>
      <c r="H442" t="s">
        <v>424</v>
      </c>
      <c r="I442" s="156">
        <v>39813</v>
      </c>
      <c r="K442" s="153"/>
      <c r="L442" s="153"/>
      <c r="M442" s="153"/>
      <c r="N442" s="153"/>
      <c r="O442" s="153"/>
      <c r="P442" s="150"/>
      <c r="Q442" s="150"/>
      <c r="R442" s="153"/>
      <c r="S442" s="154"/>
      <c r="T442" s="115"/>
    </row>
    <row r="443" spans="1:20">
      <c r="A443" t="s">
        <v>1230</v>
      </c>
      <c r="B443" t="s">
        <v>73</v>
      </c>
      <c r="C443" t="s">
        <v>51</v>
      </c>
      <c r="D443" t="s">
        <v>428</v>
      </c>
      <c r="E443" t="s">
        <v>2185</v>
      </c>
      <c r="F443" s="121">
        <v>400</v>
      </c>
      <c r="G443" s="121">
        <v>927</v>
      </c>
      <c r="H443" t="s">
        <v>424</v>
      </c>
      <c r="I443" s="156">
        <v>38352</v>
      </c>
      <c r="K443" s="153"/>
      <c r="L443" s="153"/>
      <c r="M443" s="153"/>
      <c r="N443" s="153"/>
      <c r="O443" s="153"/>
      <c r="P443" s="152"/>
      <c r="Q443" s="152"/>
      <c r="R443" s="153"/>
      <c r="S443" s="154"/>
      <c r="T443" s="115"/>
    </row>
    <row r="444" spans="1:20">
      <c r="A444" t="s">
        <v>1230</v>
      </c>
      <c r="B444" t="s">
        <v>73</v>
      </c>
      <c r="C444" t="s">
        <v>51</v>
      </c>
      <c r="D444" t="s">
        <v>429</v>
      </c>
      <c r="E444" t="s">
        <v>2186</v>
      </c>
      <c r="F444" s="121">
        <v>1568</v>
      </c>
      <c r="G444" s="121">
        <v>1442</v>
      </c>
      <c r="H444" t="s">
        <v>415</v>
      </c>
      <c r="I444" s="156">
        <v>41089</v>
      </c>
      <c r="K444" s="153"/>
      <c r="L444" s="153"/>
      <c r="M444" s="153"/>
      <c r="N444" s="153"/>
      <c r="O444" s="153"/>
      <c r="P444" s="152"/>
      <c r="Q444" s="152"/>
      <c r="R444" s="153"/>
      <c r="S444" s="154"/>
      <c r="T444" s="115"/>
    </row>
    <row r="445" spans="1:20">
      <c r="A445" t="s">
        <v>1230</v>
      </c>
      <c r="B445" t="s">
        <v>73</v>
      </c>
      <c r="C445" t="s">
        <v>51</v>
      </c>
      <c r="D445" t="s">
        <v>418</v>
      </c>
      <c r="E445" t="s">
        <v>2187</v>
      </c>
      <c r="F445" s="121">
        <v>3000</v>
      </c>
      <c r="G445" s="121">
        <v>3000</v>
      </c>
      <c r="H445" t="s">
        <v>415</v>
      </c>
      <c r="I445" s="156">
        <v>41089</v>
      </c>
      <c r="K445" s="153"/>
      <c r="L445" s="153"/>
      <c r="M445" s="153"/>
      <c r="N445" s="153"/>
      <c r="O445" s="153"/>
      <c r="P445" s="152"/>
      <c r="Q445" s="152"/>
      <c r="R445" s="153"/>
      <c r="S445" s="154"/>
      <c r="T445" s="115"/>
    </row>
    <row r="446" spans="1:20">
      <c r="A446" t="s">
        <v>1230</v>
      </c>
      <c r="B446" t="s">
        <v>73</v>
      </c>
      <c r="C446" t="s">
        <v>43</v>
      </c>
      <c r="D446" t="s">
        <v>374</v>
      </c>
      <c r="E446" t="s">
        <v>2188</v>
      </c>
      <c r="F446" s="121">
        <v>18581.2</v>
      </c>
      <c r="G446" s="121">
        <v>18581.2</v>
      </c>
      <c r="H446" t="s">
        <v>415</v>
      </c>
      <c r="I446" s="156">
        <v>41089</v>
      </c>
      <c r="K446" s="153"/>
      <c r="L446" s="153"/>
      <c r="M446" s="153"/>
      <c r="N446" s="153"/>
      <c r="O446" s="153"/>
      <c r="P446" s="152"/>
      <c r="Q446" s="152"/>
      <c r="R446" s="153"/>
      <c r="S446" s="154"/>
      <c r="T446" s="115"/>
    </row>
    <row r="447" spans="1:20">
      <c r="A447" t="s">
        <v>1230</v>
      </c>
      <c r="B447" t="s">
        <v>73</v>
      </c>
      <c r="C447" t="s">
        <v>51</v>
      </c>
      <c r="D447" t="s">
        <v>425</v>
      </c>
      <c r="E447" t="s">
        <v>2189</v>
      </c>
      <c r="F447" s="121">
        <v>1220</v>
      </c>
      <c r="G447" s="121">
        <v>1545</v>
      </c>
      <c r="H447" t="s">
        <v>415</v>
      </c>
      <c r="I447" s="156">
        <v>38717</v>
      </c>
      <c r="K447" s="153"/>
      <c r="L447" s="153"/>
      <c r="M447" s="153"/>
      <c r="N447" s="153"/>
      <c r="O447" s="153"/>
      <c r="P447" s="152"/>
      <c r="Q447" s="152"/>
      <c r="R447" s="153"/>
      <c r="S447" s="154"/>
      <c r="T447" s="115"/>
    </row>
    <row r="448" spans="1:20">
      <c r="A448" t="s">
        <v>1230</v>
      </c>
      <c r="B448" t="s">
        <v>73</v>
      </c>
      <c r="C448" t="s">
        <v>46</v>
      </c>
      <c r="D448" t="s">
        <v>177</v>
      </c>
      <c r="E448" t="s">
        <v>2190</v>
      </c>
      <c r="F448" s="121">
        <v>11300</v>
      </c>
      <c r="G448" s="121">
        <v>11072.5</v>
      </c>
      <c r="H448" t="s">
        <v>2191</v>
      </c>
      <c r="I448" s="156">
        <v>37621</v>
      </c>
      <c r="K448" s="153"/>
      <c r="L448" s="153"/>
      <c r="M448" s="153"/>
      <c r="N448" s="153"/>
      <c r="O448" s="153"/>
      <c r="P448" s="152"/>
      <c r="Q448" s="152"/>
      <c r="R448" s="153"/>
      <c r="S448" s="154"/>
      <c r="T448" s="115"/>
    </row>
    <row r="449" spans="1:20">
      <c r="A449" t="s">
        <v>1230</v>
      </c>
      <c r="B449" t="s">
        <v>73</v>
      </c>
      <c r="C449" t="s">
        <v>66</v>
      </c>
      <c r="D449" t="s">
        <v>282</v>
      </c>
      <c r="E449" t="s">
        <v>2192</v>
      </c>
      <c r="F449" s="121">
        <v>42000</v>
      </c>
      <c r="G449" s="121">
        <v>40170</v>
      </c>
      <c r="H449" t="s">
        <v>2193</v>
      </c>
      <c r="I449" s="156">
        <v>37621</v>
      </c>
      <c r="K449" s="153"/>
      <c r="L449" s="153"/>
      <c r="M449" s="153"/>
      <c r="N449" s="153"/>
      <c r="O449" s="153"/>
      <c r="P449" s="152"/>
      <c r="Q449" s="152"/>
      <c r="R449" s="153"/>
      <c r="S449" s="154"/>
      <c r="T449" s="115"/>
    </row>
    <row r="450" spans="1:20">
      <c r="A450" t="s">
        <v>1230</v>
      </c>
      <c r="B450" t="s">
        <v>73</v>
      </c>
      <c r="C450" t="s">
        <v>51</v>
      </c>
      <c r="D450" t="s">
        <v>368</v>
      </c>
      <c r="E450" t="s">
        <v>2194</v>
      </c>
      <c r="F450" s="121">
        <v>15862</v>
      </c>
      <c r="G450" s="121">
        <v>15862</v>
      </c>
      <c r="H450" t="s">
        <v>415</v>
      </c>
      <c r="I450" s="156">
        <v>41089</v>
      </c>
      <c r="K450" s="153"/>
      <c r="L450" s="153"/>
      <c r="M450" s="153"/>
      <c r="N450" s="153"/>
      <c r="O450" s="153"/>
      <c r="P450" s="152"/>
      <c r="Q450" s="152"/>
      <c r="R450" s="153"/>
      <c r="S450" s="154"/>
      <c r="T450" s="115"/>
    </row>
    <row r="451" spans="1:20">
      <c r="A451" t="s">
        <v>1230</v>
      </c>
      <c r="B451" t="s">
        <v>72</v>
      </c>
      <c r="C451" t="s">
        <v>56</v>
      </c>
      <c r="D451" t="s">
        <v>203</v>
      </c>
      <c r="E451" t="s">
        <v>2195</v>
      </c>
      <c r="F451" s="121">
        <v>160000</v>
      </c>
      <c r="G451" s="121">
        <v>160000</v>
      </c>
      <c r="H451" t="s">
        <v>2196</v>
      </c>
      <c r="I451" s="156">
        <v>41086</v>
      </c>
      <c r="K451" s="153"/>
      <c r="L451" s="153"/>
      <c r="M451" s="153"/>
      <c r="N451" s="153"/>
      <c r="O451" s="153"/>
      <c r="P451" s="152"/>
      <c r="Q451" s="152"/>
      <c r="R451" s="153"/>
      <c r="S451" s="154"/>
      <c r="T451" s="115"/>
    </row>
    <row r="452" spans="1:20">
      <c r="A452" t="s">
        <v>1230</v>
      </c>
      <c r="B452" t="s">
        <v>74</v>
      </c>
      <c r="C452" t="s">
        <v>66</v>
      </c>
      <c r="D452" t="s">
        <v>266</v>
      </c>
      <c r="E452" t="s">
        <v>2197</v>
      </c>
      <c r="F452" s="121">
        <v>127280</v>
      </c>
      <c r="G452" s="121">
        <v>85181</v>
      </c>
      <c r="H452" t="s">
        <v>2198</v>
      </c>
      <c r="I452" s="156">
        <v>38352</v>
      </c>
      <c r="K452" s="153"/>
      <c r="L452" s="153"/>
      <c r="M452" s="153"/>
      <c r="N452" s="153"/>
      <c r="O452" s="153"/>
      <c r="P452" s="152"/>
      <c r="Q452" s="152"/>
      <c r="R452" s="153"/>
      <c r="S452" s="154"/>
      <c r="T452" s="115"/>
    </row>
    <row r="453" spans="1:20">
      <c r="A453" t="s">
        <v>1230</v>
      </c>
      <c r="B453" t="s">
        <v>75</v>
      </c>
      <c r="C453" t="s">
        <v>66</v>
      </c>
      <c r="D453" t="s">
        <v>290</v>
      </c>
      <c r="E453" t="s">
        <v>2199</v>
      </c>
      <c r="F453" s="121">
        <v>324433.2</v>
      </c>
      <c r="G453" s="121">
        <v>303850</v>
      </c>
      <c r="H453" t="s">
        <v>2200</v>
      </c>
      <c r="I453" s="156">
        <v>40837</v>
      </c>
      <c r="K453" s="153"/>
      <c r="L453" s="153"/>
      <c r="M453" s="153"/>
      <c r="N453" s="153"/>
      <c r="O453" s="153"/>
      <c r="P453" s="152"/>
      <c r="Q453" s="150"/>
      <c r="R453" s="153"/>
      <c r="S453" s="154"/>
      <c r="T453" s="115"/>
    </row>
    <row r="454" spans="1:20">
      <c r="A454" t="s">
        <v>1230</v>
      </c>
      <c r="B454" t="s">
        <v>75</v>
      </c>
      <c r="C454" t="s">
        <v>66</v>
      </c>
      <c r="D454" t="s">
        <v>278</v>
      </c>
      <c r="E454" t="s">
        <v>2201</v>
      </c>
      <c r="F454" s="121">
        <v>225000</v>
      </c>
      <c r="G454" s="121">
        <v>150277</v>
      </c>
      <c r="H454" t="s">
        <v>2202</v>
      </c>
      <c r="I454" s="156">
        <v>37621</v>
      </c>
      <c r="K454" s="153"/>
      <c r="L454" s="153"/>
      <c r="M454" s="153"/>
      <c r="N454" s="153"/>
      <c r="O454" s="153"/>
      <c r="P454" s="152"/>
      <c r="Q454" s="150"/>
      <c r="R454" s="153"/>
      <c r="S454" s="154"/>
      <c r="T454" s="115"/>
    </row>
    <row r="455" spans="1:20">
      <c r="A455" t="s">
        <v>1230</v>
      </c>
      <c r="B455" t="s">
        <v>75</v>
      </c>
      <c r="C455" t="s">
        <v>66</v>
      </c>
      <c r="D455" t="s">
        <v>266</v>
      </c>
      <c r="E455" t="s">
        <v>2203</v>
      </c>
      <c r="F455" s="121">
        <v>127280</v>
      </c>
      <c r="G455" s="121">
        <v>85181</v>
      </c>
      <c r="H455" t="s">
        <v>2204</v>
      </c>
      <c r="I455" s="156">
        <v>38352</v>
      </c>
      <c r="K455" s="153"/>
      <c r="L455" s="153"/>
      <c r="M455" s="153"/>
      <c r="N455" s="153"/>
      <c r="O455" s="153"/>
      <c r="P455" s="152"/>
      <c r="Q455" s="152"/>
      <c r="R455" s="153"/>
      <c r="S455" s="154"/>
      <c r="T455" s="115"/>
    </row>
    <row r="456" spans="1:20">
      <c r="A456" t="s">
        <v>1230</v>
      </c>
      <c r="B456" t="s">
        <v>75</v>
      </c>
      <c r="C456" t="s">
        <v>62</v>
      </c>
      <c r="D456" t="s">
        <v>246</v>
      </c>
      <c r="E456" t="s">
        <v>2205</v>
      </c>
      <c r="F456" s="121">
        <v>347000</v>
      </c>
      <c r="G456" s="121">
        <v>332175</v>
      </c>
      <c r="H456" t="s">
        <v>2206</v>
      </c>
      <c r="I456" s="156">
        <v>40842</v>
      </c>
      <c r="K456" s="153"/>
      <c r="L456" s="153"/>
      <c r="M456" s="153"/>
      <c r="N456" s="153"/>
      <c r="O456" s="153"/>
      <c r="P456" s="152"/>
      <c r="Q456" s="152"/>
      <c r="R456" s="153"/>
      <c r="S456" s="154"/>
      <c r="T456" s="115"/>
    </row>
    <row r="457" spans="1:20">
      <c r="A457" t="s">
        <v>1230</v>
      </c>
      <c r="B457" t="s">
        <v>75</v>
      </c>
      <c r="C457" t="s">
        <v>66</v>
      </c>
      <c r="D457" t="s">
        <v>269</v>
      </c>
      <c r="E457" t="s">
        <v>2207</v>
      </c>
      <c r="F457" s="121">
        <v>175000</v>
      </c>
      <c r="G457" s="121">
        <v>153367</v>
      </c>
      <c r="H457" t="s">
        <v>2208</v>
      </c>
      <c r="I457" s="156">
        <v>39743</v>
      </c>
      <c r="K457" s="153"/>
      <c r="L457" s="153"/>
      <c r="M457" s="153"/>
      <c r="N457" s="153"/>
      <c r="O457" s="153"/>
      <c r="P457" s="152"/>
      <c r="Q457" s="152"/>
      <c r="R457" s="153"/>
      <c r="S457" s="154"/>
      <c r="T457" s="115"/>
    </row>
    <row r="458" spans="1:20">
      <c r="A458" t="s">
        <v>1230</v>
      </c>
      <c r="B458" t="s">
        <v>75</v>
      </c>
      <c r="C458" t="s">
        <v>58</v>
      </c>
      <c r="D458" t="s">
        <v>218</v>
      </c>
      <c r="E458" t="s">
        <v>2209</v>
      </c>
      <c r="F458" s="121">
        <v>43157</v>
      </c>
      <c r="G458" s="121">
        <v>43157</v>
      </c>
      <c r="H458" t="s">
        <v>2210</v>
      </c>
      <c r="I458" s="156">
        <v>41089</v>
      </c>
      <c r="K458" s="153"/>
      <c r="L458" s="153"/>
      <c r="M458" s="153"/>
      <c r="N458" s="153"/>
      <c r="O458" s="153"/>
      <c r="P458" s="152"/>
      <c r="Q458" s="150"/>
      <c r="R458" s="153"/>
      <c r="S458" s="154"/>
      <c r="T458" s="115"/>
    </row>
    <row r="459" spans="1:20">
      <c r="A459" t="s">
        <v>1230</v>
      </c>
      <c r="B459" t="s">
        <v>75</v>
      </c>
      <c r="C459" t="s">
        <v>49</v>
      </c>
      <c r="D459" t="s">
        <v>431</v>
      </c>
      <c r="E459" t="s">
        <v>2211</v>
      </c>
      <c r="F459" s="121">
        <v>7725</v>
      </c>
      <c r="G459" s="121">
        <v>7725</v>
      </c>
      <c r="H459" t="s">
        <v>430</v>
      </c>
      <c r="I459" s="156">
        <v>41089</v>
      </c>
      <c r="K459" s="153"/>
      <c r="L459" s="153"/>
      <c r="M459" s="153"/>
      <c r="N459" s="153"/>
      <c r="O459" s="153"/>
      <c r="P459" s="150"/>
      <c r="Q459" s="150"/>
      <c r="R459" s="153"/>
      <c r="S459" s="154"/>
      <c r="T459" s="115"/>
    </row>
    <row r="460" spans="1:20">
      <c r="A460" t="s">
        <v>1230</v>
      </c>
      <c r="B460" t="s">
        <v>75</v>
      </c>
      <c r="C460" t="s">
        <v>58</v>
      </c>
      <c r="D460" t="s">
        <v>218</v>
      </c>
      <c r="E460" t="s">
        <v>2212</v>
      </c>
      <c r="F460" s="121">
        <v>43157</v>
      </c>
      <c r="G460" s="121">
        <v>43157</v>
      </c>
      <c r="H460" t="s">
        <v>2210</v>
      </c>
      <c r="I460" s="156">
        <v>41089</v>
      </c>
      <c r="K460" s="153"/>
      <c r="L460" s="153"/>
      <c r="M460" s="153"/>
      <c r="N460" s="153"/>
      <c r="O460" s="153"/>
      <c r="P460" s="152"/>
      <c r="Q460" s="152"/>
      <c r="R460" s="153"/>
      <c r="S460" s="154"/>
      <c r="T460" s="115"/>
    </row>
    <row r="461" spans="1:20">
      <c r="A461" t="s">
        <v>1230</v>
      </c>
      <c r="B461" t="s">
        <v>75</v>
      </c>
      <c r="C461" t="s">
        <v>39</v>
      </c>
      <c r="D461" t="s">
        <v>146</v>
      </c>
      <c r="E461" t="s">
        <v>2213</v>
      </c>
      <c r="F461" s="121">
        <v>4635</v>
      </c>
      <c r="G461" s="121">
        <v>4635</v>
      </c>
      <c r="H461" t="s">
        <v>430</v>
      </c>
      <c r="I461" s="156">
        <v>41089</v>
      </c>
      <c r="K461" s="153"/>
      <c r="L461" s="153"/>
      <c r="M461" s="153"/>
      <c r="N461" s="153"/>
      <c r="O461" s="153"/>
      <c r="P461" s="152"/>
      <c r="Q461" s="152"/>
      <c r="R461" s="153"/>
      <c r="S461" s="154"/>
      <c r="T461" s="115"/>
    </row>
    <row r="462" spans="1:20">
      <c r="A462" t="s">
        <v>1230</v>
      </c>
      <c r="B462" t="s">
        <v>75</v>
      </c>
      <c r="C462" t="s">
        <v>39</v>
      </c>
      <c r="D462" t="s">
        <v>146</v>
      </c>
      <c r="E462" t="s">
        <v>2214</v>
      </c>
      <c r="F462" s="121">
        <v>3605</v>
      </c>
      <c r="G462" s="121">
        <v>3605</v>
      </c>
      <c r="H462" t="s">
        <v>430</v>
      </c>
      <c r="I462" s="156">
        <v>41089</v>
      </c>
      <c r="K462" s="153"/>
      <c r="L462" s="153"/>
      <c r="M462" s="153"/>
      <c r="N462" s="153"/>
      <c r="O462" s="153"/>
      <c r="P462" s="152"/>
      <c r="Q462" s="152"/>
      <c r="R462" s="153"/>
      <c r="S462" s="154"/>
      <c r="T462" s="115"/>
    </row>
    <row r="463" spans="1:20">
      <c r="A463" t="s">
        <v>1230</v>
      </c>
      <c r="B463" t="s">
        <v>75</v>
      </c>
      <c r="C463" t="s">
        <v>66</v>
      </c>
      <c r="D463" t="s">
        <v>269</v>
      </c>
      <c r="E463" t="s">
        <v>2215</v>
      </c>
      <c r="F463" s="121">
        <v>175000</v>
      </c>
      <c r="G463" s="121">
        <v>153367</v>
      </c>
      <c r="H463" t="s">
        <v>2216</v>
      </c>
      <c r="I463" s="156">
        <v>39743</v>
      </c>
      <c r="K463" s="153"/>
      <c r="L463" s="153"/>
      <c r="M463" s="153"/>
      <c r="N463" s="153"/>
      <c r="O463" s="153"/>
      <c r="P463" s="152"/>
      <c r="Q463" s="152"/>
      <c r="R463" s="153"/>
      <c r="S463" s="154"/>
      <c r="T463" s="115"/>
    </row>
    <row r="464" spans="1:20">
      <c r="A464" t="s">
        <v>1230</v>
      </c>
      <c r="B464" t="s">
        <v>75</v>
      </c>
      <c r="C464" t="s">
        <v>46</v>
      </c>
      <c r="D464" t="s">
        <v>180</v>
      </c>
      <c r="E464" t="s">
        <v>7158</v>
      </c>
      <c r="F464" s="121">
        <v>8034</v>
      </c>
      <c r="G464" s="121">
        <v>8034</v>
      </c>
      <c r="H464" t="s">
        <v>7159</v>
      </c>
      <c r="I464" s="156">
        <v>41089</v>
      </c>
      <c r="K464" s="153"/>
      <c r="L464" s="153"/>
      <c r="M464" s="153"/>
      <c r="N464" s="153"/>
      <c r="O464" s="153"/>
      <c r="P464" s="152"/>
      <c r="Q464" s="152"/>
      <c r="R464" s="153"/>
      <c r="S464" s="154"/>
      <c r="T464" s="115"/>
    </row>
    <row r="465" spans="1:20">
      <c r="A465" t="s">
        <v>1230</v>
      </c>
      <c r="B465" t="s">
        <v>75</v>
      </c>
      <c r="C465" t="s">
        <v>39</v>
      </c>
      <c r="D465" t="s">
        <v>146</v>
      </c>
      <c r="E465" t="s">
        <v>7160</v>
      </c>
      <c r="F465" s="121">
        <v>5392.05</v>
      </c>
      <c r="G465" s="121">
        <v>5392.05</v>
      </c>
      <c r="H465" t="s">
        <v>430</v>
      </c>
      <c r="I465" s="156">
        <v>41089</v>
      </c>
      <c r="K465" s="153"/>
      <c r="L465" s="153"/>
      <c r="M465" s="153"/>
      <c r="N465" s="153"/>
      <c r="O465" s="153"/>
      <c r="P465" s="152"/>
      <c r="Q465" s="152"/>
      <c r="R465" s="153"/>
      <c r="S465" s="154"/>
      <c r="T465" s="115"/>
    </row>
    <row r="466" spans="1:20">
      <c r="A466" t="s">
        <v>1230</v>
      </c>
      <c r="B466" t="s">
        <v>75</v>
      </c>
      <c r="C466" t="s">
        <v>51</v>
      </c>
      <c r="D466" t="s">
        <v>368</v>
      </c>
      <c r="E466" t="s">
        <v>2217</v>
      </c>
      <c r="F466" s="121">
        <v>14523</v>
      </c>
      <c r="G466" s="121">
        <v>14523</v>
      </c>
      <c r="H466" t="s">
        <v>430</v>
      </c>
      <c r="I466" s="156">
        <v>41089</v>
      </c>
      <c r="K466" s="153"/>
      <c r="L466" s="153"/>
      <c r="M466" s="153"/>
      <c r="N466" s="153"/>
      <c r="O466" s="153"/>
      <c r="P466" s="152"/>
      <c r="Q466" s="152"/>
      <c r="R466" s="153"/>
      <c r="S466" s="154"/>
      <c r="T466" s="115"/>
    </row>
    <row r="467" spans="1:20">
      <c r="A467" t="s">
        <v>1230</v>
      </c>
      <c r="B467" t="s">
        <v>75</v>
      </c>
      <c r="C467" t="s">
        <v>51</v>
      </c>
      <c r="D467" t="s">
        <v>368</v>
      </c>
      <c r="E467" t="s">
        <v>2218</v>
      </c>
      <c r="F467" s="121">
        <v>14729</v>
      </c>
      <c r="G467" s="121">
        <v>14729</v>
      </c>
      <c r="H467" t="s">
        <v>430</v>
      </c>
      <c r="I467" s="156">
        <v>41089</v>
      </c>
      <c r="K467" s="153"/>
      <c r="L467" s="153"/>
      <c r="M467" s="153"/>
      <c r="N467" s="153"/>
      <c r="O467" s="153"/>
      <c r="P467" s="152"/>
      <c r="Q467" s="152"/>
      <c r="R467" s="153"/>
      <c r="S467" s="154"/>
      <c r="T467" s="115"/>
    </row>
    <row r="468" spans="1:20">
      <c r="A468" t="s">
        <v>1230</v>
      </c>
      <c r="B468" t="s">
        <v>75</v>
      </c>
      <c r="C468" t="s">
        <v>46</v>
      </c>
      <c r="D468" t="s">
        <v>178</v>
      </c>
      <c r="E468" t="s">
        <v>2219</v>
      </c>
      <c r="F468" s="121">
        <v>10000</v>
      </c>
      <c r="G468" s="121">
        <v>11639</v>
      </c>
      <c r="H468" t="s">
        <v>2220</v>
      </c>
      <c r="I468" s="156">
        <v>37400</v>
      </c>
      <c r="K468" s="153"/>
      <c r="L468" s="153"/>
      <c r="M468" s="153"/>
      <c r="N468" s="153"/>
      <c r="O468" s="153"/>
      <c r="P468" s="152"/>
      <c r="Q468" s="152"/>
      <c r="R468" s="153"/>
      <c r="S468" s="154"/>
      <c r="T468" s="115"/>
    </row>
    <row r="469" spans="1:20">
      <c r="A469" t="s">
        <v>1230</v>
      </c>
      <c r="B469" t="s">
        <v>75</v>
      </c>
      <c r="C469" t="s">
        <v>49</v>
      </c>
      <c r="D469" t="s">
        <v>432</v>
      </c>
      <c r="E469" t="s">
        <v>2221</v>
      </c>
      <c r="F469" s="121">
        <v>4635</v>
      </c>
      <c r="G469" s="121">
        <v>4635</v>
      </c>
      <c r="H469" t="s">
        <v>430</v>
      </c>
      <c r="I469" s="156">
        <v>41089</v>
      </c>
      <c r="K469" s="153"/>
      <c r="L469" s="153"/>
      <c r="M469" s="153"/>
      <c r="N469" s="153"/>
      <c r="O469" s="153"/>
      <c r="P469" s="152"/>
      <c r="Q469" s="152"/>
      <c r="R469" s="153"/>
      <c r="S469" s="154"/>
      <c r="T469" s="115"/>
    </row>
    <row r="470" spans="1:20">
      <c r="A470" t="s">
        <v>1230</v>
      </c>
      <c r="B470" t="s">
        <v>75</v>
      </c>
      <c r="C470" t="s">
        <v>52</v>
      </c>
      <c r="D470" t="s">
        <v>200</v>
      </c>
      <c r="E470" t="s">
        <v>2222</v>
      </c>
      <c r="F470" s="121">
        <v>7792.98</v>
      </c>
      <c r="G470" s="121">
        <v>7792.98</v>
      </c>
      <c r="H470" t="s">
        <v>430</v>
      </c>
      <c r="I470" s="156">
        <v>41089</v>
      </c>
      <c r="K470" s="153"/>
      <c r="L470" s="153"/>
      <c r="M470" s="153"/>
      <c r="N470" s="153"/>
      <c r="O470" s="153"/>
      <c r="P470" s="152"/>
      <c r="Q470" s="152"/>
      <c r="R470" s="153"/>
      <c r="S470" s="154"/>
      <c r="T470" s="115"/>
    </row>
    <row r="471" spans="1:20">
      <c r="A471" t="s">
        <v>1230</v>
      </c>
      <c r="B471" t="s">
        <v>75</v>
      </c>
      <c r="C471" t="s">
        <v>39</v>
      </c>
      <c r="D471" t="s">
        <v>7161</v>
      </c>
      <c r="E471" t="s">
        <v>7162</v>
      </c>
      <c r="F471" s="121">
        <v>18025</v>
      </c>
      <c r="G471" s="121">
        <v>18025</v>
      </c>
      <c r="H471" t="s">
        <v>430</v>
      </c>
      <c r="I471" s="156">
        <v>41089</v>
      </c>
      <c r="K471" s="153"/>
      <c r="L471" s="153"/>
      <c r="M471" s="153"/>
      <c r="N471" s="153"/>
      <c r="O471" s="153"/>
      <c r="P471" s="152"/>
      <c r="Q471" s="152"/>
      <c r="R471" s="153"/>
      <c r="S471" s="154"/>
      <c r="T471" s="115"/>
    </row>
    <row r="472" spans="1:20">
      <c r="A472" t="s">
        <v>1230</v>
      </c>
      <c r="B472" t="s">
        <v>75</v>
      </c>
      <c r="C472" t="s">
        <v>51</v>
      </c>
      <c r="D472" t="s">
        <v>419</v>
      </c>
      <c r="E472" t="s">
        <v>2223</v>
      </c>
      <c r="F472" s="121">
        <v>824</v>
      </c>
      <c r="G472" s="121">
        <v>824</v>
      </c>
      <c r="H472" t="s">
        <v>430</v>
      </c>
      <c r="I472" s="156">
        <v>41089</v>
      </c>
      <c r="K472" s="153"/>
      <c r="L472" s="153"/>
      <c r="M472" s="153"/>
      <c r="N472" s="153"/>
      <c r="O472" s="153"/>
      <c r="P472" s="152"/>
      <c r="Q472" s="152"/>
      <c r="R472" s="153"/>
      <c r="S472" s="154"/>
      <c r="T472" s="115"/>
    </row>
    <row r="473" spans="1:20">
      <c r="A473" t="s">
        <v>1230</v>
      </c>
      <c r="B473" t="s">
        <v>75</v>
      </c>
      <c r="C473" t="s">
        <v>51</v>
      </c>
      <c r="D473" t="s">
        <v>399</v>
      </c>
      <c r="E473" t="s">
        <v>7163</v>
      </c>
      <c r="F473" s="121">
        <v>30385</v>
      </c>
      <c r="G473" s="121">
        <v>30385</v>
      </c>
      <c r="H473" t="s">
        <v>430</v>
      </c>
      <c r="I473" s="156">
        <v>41089</v>
      </c>
      <c r="K473" s="153"/>
      <c r="L473" s="153"/>
      <c r="M473" s="153"/>
      <c r="N473" s="153"/>
      <c r="O473" s="153"/>
      <c r="P473" s="152"/>
      <c r="Q473" s="152"/>
      <c r="R473" s="153"/>
      <c r="S473" s="154"/>
      <c r="T473" s="115"/>
    </row>
    <row r="474" spans="1:20">
      <c r="A474" t="s">
        <v>1230</v>
      </c>
      <c r="B474" t="s">
        <v>75</v>
      </c>
      <c r="C474" t="s">
        <v>51</v>
      </c>
      <c r="D474" t="s">
        <v>399</v>
      </c>
      <c r="E474" t="s">
        <v>2224</v>
      </c>
      <c r="F474" s="121">
        <v>30900</v>
      </c>
      <c r="G474" s="121">
        <v>30900</v>
      </c>
      <c r="H474" t="s">
        <v>430</v>
      </c>
      <c r="I474" s="156">
        <v>41089</v>
      </c>
      <c r="K474" s="153"/>
      <c r="L474" s="153"/>
      <c r="M474" s="153"/>
      <c r="N474" s="153"/>
      <c r="O474" s="153"/>
      <c r="P474" s="152"/>
      <c r="Q474" s="152"/>
      <c r="R474" s="153"/>
      <c r="S474" s="154"/>
      <c r="T474" s="115"/>
    </row>
    <row r="475" spans="1:20">
      <c r="A475" t="s">
        <v>1230</v>
      </c>
      <c r="B475" t="s">
        <v>75</v>
      </c>
      <c r="C475" t="s">
        <v>46</v>
      </c>
      <c r="D475" t="s">
        <v>178</v>
      </c>
      <c r="E475" t="s">
        <v>2225</v>
      </c>
      <c r="F475" s="121">
        <v>10000</v>
      </c>
      <c r="G475" s="121">
        <v>9064</v>
      </c>
      <c r="H475" t="s">
        <v>2226</v>
      </c>
      <c r="I475" s="156">
        <v>37400</v>
      </c>
      <c r="K475" s="153"/>
      <c r="L475" s="153"/>
      <c r="M475" s="153"/>
      <c r="N475" s="153"/>
      <c r="O475" s="153"/>
      <c r="P475" s="152"/>
      <c r="Q475" s="152"/>
      <c r="R475" s="153"/>
      <c r="S475" s="154"/>
      <c r="T475" s="115"/>
    </row>
    <row r="476" spans="1:20">
      <c r="A476" t="s">
        <v>1230</v>
      </c>
      <c r="B476" t="s">
        <v>75</v>
      </c>
      <c r="C476" t="s">
        <v>51</v>
      </c>
      <c r="D476" t="s">
        <v>369</v>
      </c>
      <c r="E476" t="s">
        <v>2227</v>
      </c>
      <c r="F476" s="121">
        <v>1957</v>
      </c>
      <c r="G476" s="121">
        <v>1957</v>
      </c>
      <c r="H476" t="s">
        <v>430</v>
      </c>
      <c r="I476" s="156">
        <v>41089</v>
      </c>
      <c r="K476" s="153"/>
      <c r="L476" s="153"/>
      <c r="M476" s="153"/>
      <c r="N476" s="153"/>
      <c r="O476" s="153"/>
      <c r="P476" s="152"/>
      <c r="Q476" s="152"/>
      <c r="R476" s="153"/>
      <c r="S476" s="154"/>
      <c r="T476" s="115"/>
    </row>
    <row r="477" spans="1:20">
      <c r="A477" t="s">
        <v>1230</v>
      </c>
      <c r="B477" t="s">
        <v>75</v>
      </c>
      <c r="C477" t="s">
        <v>51</v>
      </c>
      <c r="D477" t="s">
        <v>418</v>
      </c>
      <c r="E477" t="s">
        <v>2228</v>
      </c>
      <c r="F477" s="121">
        <v>927</v>
      </c>
      <c r="G477" s="121">
        <v>927</v>
      </c>
      <c r="H477" t="s">
        <v>430</v>
      </c>
      <c r="I477" s="156">
        <v>41089</v>
      </c>
      <c r="K477" s="153"/>
      <c r="L477" s="153"/>
      <c r="M477" s="153"/>
      <c r="N477" s="153"/>
      <c r="O477" s="153"/>
      <c r="P477" s="152"/>
      <c r="Q477" s="152"/>
      <c r="R477" s="153"/>
      <c r="S477" s="154"/>
      <c r="T477" s="115"/>
    </row>
    <row r="478" spans="1:20">
      <c r="A478" t="s">
        <v>1230</v>
      </c>
      <c r="B478" t="s">
        <v>75</v>
      </c>
      <c r="C478" t="s">
        <v>51</v>
      </c>
      <c r="D478" t="s">
        <v>399</v>
      </c>
      <c r="E478" t="s">
        <v>7164</v>
      </c>
      <c r="F478" s="121">
        <v>66950</v>
      </c>
      <c r="G478" s="121">
        <v>66950</v>
      </c>
      <c r="H478" t="s">
        <v>430</v>
      </c>
      <c r="I478" s="156">
        <v>41089</v>
      </c>
      <c r="K478" s="153"/>
      <c r="L478" s="153"/>
      <c r="M478" s="153"/>
      <c r="N478" s="153"/>
      <c r="O478" s="153"/>
      <c r="P478" s="152"/>
      <c r="Q478" s="152"/>
      <c r="R478" s="153"/>
      <c r="S478" s="154"/>
      <c r="T478" s="115"/>
    </row>
    <row r="479" spans="1:20">
      <c r="A479" t="s">
        <v>1230</v>
      </c>
      <c r="B479" t="s">
        <v>75</v>
      </c>
      <c r="C479" t="s">
        <v>51</v>
      </c>
      <c r="D479" t="s">
        <v>369</v>
      </c>
      <c r="E479" t="s">
        <v>2229</v>
      </c>
      <c r="F479" s="121">
        <v>1493.5</v>
      </c>
      <c r="G479" s="121">
        <v>1493.5</v>
      </c>
      <c r="H479" t="s">
        <v>430</v>
      </c>
      <c r="I479" s="156">
        <v>41089</v>
      </c>
      <c r="K479" s="153"/>
      <c r="L479" s="153"/>
      <c r="M479" s="153"/>
      <c r="N479" s="153"/>
      <c r="O479" s="153"/>
      <c r="P479" s="152"/>
      <c r="Q479" s="152"/>
      <c r="R479" s="153"/>
      <c r="S479" s="154"/>
      <c r="T479" s="115"/>
    </row>
    <row r="480" spans="1:20">
      <c r="A480" t="s">
        <v>1230</v>
      </c>
      <c r="B480" t="s">
        <v>75</v>
      </c>
      <c r="C480" t="s">
        <v>51</v>
      </c>
      <c r="D480" t="s">
        <v>7165</v>
      </c>
      <c r="E480" t="s">
        <v>7166</v>
      </c>
      <c r="F480" s="121">
        <v>5000</v>
      </c>
      <c r="G480" s="121">
        <v>20600</v>
      </c>
      <c r="H480" t="s">
        <v>7121</v>
      </c>
      <c r="I480" s="156">
        <v>39813</v>
      </c>
      <c r="K480" s="153"/>
      <c r="L480" s="153"/>
      <c r="M480" s="153"/>
      <c r="N480" s="153"/>
      <c r="O480" s="153"/>
      <c r="P480" s="152"/>
      <c r="Q480" s="152"/>
      <c r="R480" s="153"/>
      <c r="S480" s="154"/>
      <c r="T480" s="115"/>
    </row>
    <row r="481" spans="1:20">
      <c r="A481" t="s">
        <v>1230</v>
      </c>
      <c r="B481" t="s">
        <v>75</v>
      </c>
      <c r="C481" t="s">
        <v>46</v>
      </c>
      <c r="D481" t="s">
        <v>185</v>
      </c>
      <c r="E481" t="s">
        <v>2230</v>
      </c>
      <c r="F481" s="121">
        <v>25750</v>
      </c>
      <c r="G481" s="121">
        <v>25750</v>
      </c>
      <c r="H481" t="s">
        <v>433</v>
      </c>
      <c r="I481" s="156">
        <v>41089</v>
      </c>
      <c r="K481" s="153"/>
      <c r="L481" s="153"/>
      <c r="M481" s="153"/>
      <c r="N481" s="153"/>
      <c r="O481" s="153"/>
      <c r="P481" s="152"/>
      <c r="Q481" s="152"/>
      <c r="R481" s="153"/>
      <c r="S481" s="154"/>
      <c r="T481" s="115"/>
    </row>
    <row r="482" spans="1:20">
      <c r="A482" t="s">
        <v>1230</v>
      </c>
      <c r="B482" t="s">
        <v>75</v>
      </c>
      <c r="C482" t="s">
        <v>49</v>
      </c>
      <c r="D482" t="s">
        <v>434</v>
      </c>
      <c r="E482" t="s">
        <v>2231</v>
      </c>
      <c r="F482" s="121">
        <v>73300</v>
      </c>
      <c r="G482" s="121">
        <v>59740</v>
      </c>
      <c r="H482" t="s">
        <v>2232</v>
      </c>
      <c r="I482" s="156">
        <v>39813</v>
      </c>
      <c r="K482" s="153"/>
      <c r="L482" s="153"/>
      <c r="M482" s="153"/>
      <c r="N482" s="153"/>
      <c r="O482" s="153"/>
      <c r="P482" s="152"/>
      <c r="Q482" s="152"/>
      <c r="R482" s="153"/>
      <c r="S482" s="154"/>
      <c r="T482" s="115"/>
    </row>
    <row r="483" spans="1:20">
      <c r="A483" t="s">
        <v>1230</v>
      </c>
      <c r="B483" t="s">
        <v>74</v>
      </c>
      <c r="C483" t="s">
        <v>63</v>
      </c>
      <c r="D483" t="s">
        <v>256</v>
      </c>
      <c r="E483" t="s">
        <v>2233</v>
      </c>
      <c r="F483" s="121">
        <v>46800</v>
      </c>
      <c r="G483" s="121">
        <v>30225.35</v>
      </c>
      <c r="H483" t="s">
        <v>2234</v>
      </c>
      <c r="I483" s="156">
        <v>38946</v>
      </c>
      <c r="K483" s="153"/>
      <c r="L483" s="153"/>
      <c r="M483" s="153"/>
      <c r="N483" s="153"/>
      <c r="O483" s="153"/>
      <c r="P483" s="152"/>
      <c r="Q483" s="152"/>
      <c r="R483" s="153"/>
      <c r="S483" s="154"/>
      <c r="T483" s="115"/>
    </row>
    <row r="484" spans="1:20">
      <c r="A484" t="s">
        <v>1230</v>
      </c>
      <c r="B484" t="s">
        <v>75</v>
      </c>
      <c r="C484" t="s">
        <v>66</v>
      </c>
      <c r="D484" t="s">
        <v>291</v>
      </c>
      <c r="E484" t="s">
        <v>2235</v>
      </c>
      <c r="F484" s="121">
        <v>35000</v>
      </c>
      <c r="G484" s="121">
        <v>19570</v>
      </c>
      <c r="H484" t="s">
        <v>2236</v>
      </c>
      <c r="I484" s="156">
        <v>36525</v>
      </c>
      <c r="K484" s="153"/>
      <c r="L484" s="153"/>
      <c r="M484" s="153"/>
      <c r="N484" s="153"/>
      <c r="O484" s="153"/>
      <c r="P484" s="152"/>
      <c r="Q484" s="152"/>
      <c r="R484" s="153"/>
      <c r="S484" s="154"/>
      <c r="T484" s="115"/>
    </row>
    <row r="485" spans="1:20">
      <c r="A485" t="s">
        <v>1230</v>
      </c>
      <c r="B485" t="s">
        <v>75</v>
      </c>
      <c r="C485" t="s">
        <v>56</v>
      </c>
      <c r="D485" t="s">
        <v>201</v>
      </c>
      <c r="E485" t="s">
        <v>2237</v>
      </c>
      <c r="F485" s="121">
        <v>164800</v>
      </c>
      <c r="G485" s="121">
        <v>164800</v>
      </c>
      <c r="H485" t="s">
        <v>2238</v>
      </c>
      <c r="I485" s="156">
        <v>41089</v>
      </c>
      <c r="K485" s="153"/>
      <c r="L485" s="153"/>
      <c r="M485" s="153"/>
      <c r="N485" s="153"/>
      <c r="O485" s="153"/>
      <c r="P485" s="152"/>
      <c r="Q485" s="152"/>
      <c r="R485" s="153"/>
      <c r="S485" s="154"/>
      <c r="T485" s="115"/>
    </row>
    <row r="486" spans="1:20">
      <c r="A486" t="s">
        <v>1230</v>
      </c>
      <c r="B486" t="s">
        <v>75</v>
      </c>
      <c r="C486" t="s">
        <v>66</v>
      </c>
      <c r="D486" t="s">
        <v>260</v>
      </c>
      <c r="E486" t="s">
        <v>2239</v>
      </c>
      <c r="F486" s="121">
        <v>303557.8</v>
      </c>
      <c r="G486" s="121">
        <v>303850</v>
      </c>
      <c r="H486" t="s">
        <v>2240</v>
      </c>
      <c r="I486" s="156">
        <v>40590</v>
      </c>
      <c r="K486" s="153"/>
      <c r="L486" s="153"/>
      <c r="M486" s="153"/>
      <c r="N486" s="153"/>
      <c r="O486" s="153"/>
      <c r="P486" s="152"/>
      <c r="Q486" s="152"/>
      <c r="R486" s="153"/>
      <c r="S486" s="154"/>
      <c r="T486" s="115"/>
    </row>
    <row r="487" spans="1:20">
      <c r="A487" t="s">
        <v>1230</v>
      </c>
      <c r="B487" t="s">
        <v>75</v>
      </c>
      <c r="C487" t="s">
        <v>63</v>
      </c>
      <c r="D487" t="s">
        <v>247</v>
      </c>
      <c r="E487" t="s">
        <v>2241</v>
      </c>
      <c r="F487" s="121">
        <v>26162</v>
      </c>
      <c r="G487" s="121">
        <v>26162</v>
      </c>
      <c r="H487" t="s">
        <v>435</v>
      </c>
      <c r="I487" s="156">
        <v>41089</v>
      </c>
      <c r="K487" s="153"/>
      <c r="L487" s="153"/>
      <c r="M487" s="153"/>
      <c r="N487" s="153"/>
      <c r="O487" s="153"/>
      <c r="P487" s="152"/>
      <c r="Q487" s="152"/>
      <c r="R487" s="153"/>
      <c r="S487" s="154"/>
      <c r="T487" s="115"/>
    </row>
    <row r="488" spans="1:20">
      <c r="A488" t="s">
        <v>1230</v>
      </c>
      <c r="B488" t="s">
        <v>75</v>
      </c>
      <c r="C488" t="s">
        <v>49</v>
      </c>
      <c r="D488" t="s">
        <v>7099</v>
      </c>
      <c r="E488" t="s">
        <v>7167</v>
      </c>
      <c r="F488" s="121">
        <v>1236</v>
      </c>
      <c r="G488" s="121">
        <v>1236</v>
      </c>
      <c r="H488" t="s">
        <v>430</v>
      </c>
      <c r="I488" s="156">
        <v>41089</v>
      </c>
      <c r="K488" s="153"/>
      <c r="L488" s="153"/>
      <c r="M488" s="153"/>
      <c r="N488" s="153"/>
      <c r="O488" s="153"/>
      <c r="P488" s="152"/>
      <c r="Q488" s="152"/>
      <c r="R488" s="153"/>
      <c r="S488" s="154"/>
      <c r="T488" s="115"/>
    </row>
    <row r="489" spans="1:20">
      <c r="A489" t="s">
        <v>1230</v>
      </c>
      <c r="B489" t="s">
        <v>75</v>
      </c>
      <c r="C489" t="s">
        <v>51</v>
      </c>
      <c r="D489" t="s">
        <v>436</v>
      </c>
      <c r="E489" t="s">
        <v>2242</v>
      </c>
      <c r="F489" s="121">
        <v>45000</v>
      </c>
      <c r="G489" s="121">
        <v>63860</v>
      </c>
      <c r="H489" t="s">
        <v>424</v>
      </c>
      <c r="I489" s="156">
        <v>35795</v>
      </c>
      <c r="K489" s="153"/>
      <c r="L489" s="153"/>
      <c r="M489" s="153"/>
      <c r="N489" s="153"/>
      <c r="O489" s="153"/>
      <c r="P489" s="150"/>
      <c r="Q489" s="150"/>
      <c r="R489" s="153"/>
      <c r="S489" s="154"/>
      <c r="T489" s="115"/>
    </row>
    <row r="490" spans="1:20">
      <c r="A490" t="s">
        <v>1230</v>
      </c>
      <c r="B490" t="s">
        <v>75</v>
      </c>
      <c r="C490" t="s">
        <v>66</v>
      </c>
      <c r="D490" t="s">
        <v>268</v>
      </c>
      <c r="E490" t="s">
        <v>2243</v>
      </c>
      <c r="F490" s="121">
        <v>72500</v>
      </c>
      <c r="G490" s="121">
        <v>116184</v>
      </c>
      <c r="H490" t="s">
        <v>2244</v>
      </c>
      <c r="I490" s="156">
        <v>37621</v>
      </c>
      <c r="K490" s="153"/>
      <c r="L490" s="153"/>
      <c r="M490" s="153"/>
      <c r="N490" s="153"/>
      <c r="O490" s="153"/>
      <c r="P490" s="152"/>
      <c r="Q490" s="152"/>
      <c r="R490" s="153"/>
      <c r="S490" s="154"/>
      <c r="T490" s="151"/>
    </row>
    <row r="491" spans="1:20">
      <c r="A491" t="s">
        <v>1230</v>
      </c>
      <c r="B491" t="s">
        <v>75</v>
      </c>
      <c r="C491" t="s">
        <v>46</v>
      </c>
      <c r="D491" t="s">
        <v>178</v>
      </c>
      <c r="E491" t="s">
        <v>2245</v>
      </c>
      <c r="F491" s="121">
        <v>14800</v>
      </c>
      <c r="G491" s="121">
        <v>14162.5</v>
      </c>
      <c r="H491" t="s">
        <v>2246</v>
      </c>
      <c r="I491" s="156">
        <v>38352</v>
      </c>
      <c r="K491" s="153"/>
      <c r="L491" s="153"/>
      <c r="M491" s="153"/>
      <c r="N491" s="153"/>
      <c r="O491" s="153"/>
      <c r="P491" s="152"/>
      <c r="Q491" s="152"/>
      <c r="R491" s="153"/>
      <c r="S491" s="154"/>
      <c r="T491" s="151"/>
    </row>
    <row r="492" spans="1:20">
      <c r="A492" t="s">
        <v>1230</v>
      </c>
      <c r="B492" t="s">
        <v>75</v>
      </c>
      <c r="C492" t="s">
        <v>67</v>
      </c>
      <c r="D492" t="s">
        <v>295</v>
      </c>
      <c r="E492" t="s">
        <v>2247</v>
      </c>
      <c r="F492" s="121">
        <v>200000</v>
      </c>
      <c r="G492" s="121">
        <v>193125</v>
      </c>
      <c r="H492" t="s">
        <v>2248</v>
      </c>
      <c r="I492" s="156">
        <v>30316</v>
      </c>
      <c r="K492" s="153"/>
      <c r="L492" s="153"/>
      <c r="M492" s="153"/>
      <c r="N492" s="153"/>
      <c r="O492" s="153"/>
      <c r="P492" s="152"/>
      <c r="Q492" s="152"/>
      <c r="R492" s="153"/>
      <c r="S492" s="154"/>
      <c r="T492" s="151"/>
    </row>
    <row r="493" spans="1:20">
      <c r="A493" t="s">
        <v>1230</v>
      </c>
      <c r="B493" t="s">
        <v>75</v>
      </c>
      <c r="C493" t="s">
        <v>46</v>
      </c>
      <c r="D493" t="s">
        <v>186</v>
      </c>
      <c r="E493" t="s">
        <v>2249</v>
      </c>
      <c r="F493" s="121">
        <v>13900</v>
      </c>
      <c r="G493" s="121">
        <v>12339.4</v>
      </c>
      <c r="H493" t="s">
        <v>2250</v>
      </c>
      <c r="I493" s="156">
        <v>38352</v>
      </c>
      <c r="K493" s="153"/>
      <c r="L493" s="153"/>
      <c r="M493" s="153"/>
      <c r="N493" s="153"/>
      <c r="O493" s="153"/>
      <c r="P493" s="152"/>
      <c r="Q493" s="152"/>
      <c r="R493" s="153"/>
      <c r="S493" s="154"/>
      <c r="T493" s="115"/>
    </row>
    <row r="494" spans="1:20">
      <c r="A494" t="s">
        <v>1230</v>
      </c>
      <c r="B494" t="s">
        <v>75</v>
      </c>
      <c r="C494" t="s">
        <v>49</v>
      </c>
      <c r="D494" t="s">
        <v>337</v>
      </c>
      <c r="E494" t="s">
        <v>2251</v>
      </c>
      <c r="F494" s="121">
        <v>25600</v>
      </c>
      <c r="G494" s="121">
        <v>23020.5</v>
      </c>
      <c r="H494" t="s">
        <v>2252</v>
      </c>
      <c r="I494" s="156">
        <v>38128</v>
      </c>
      <c r="K494" s="153"/>
      <c r="L494" s="153"/>
      <c r="M494" s="153"/>
      <c r="N494" s="153"/>
      <c r="O494" s="153"/>
      <c r="P494" s="150"/>
      <c r="Q494" s="150"/>
      <c r="R494" s="153"/>
      <c r="S494" s="154"/>
      <c r="T494" s="115"/>
    </row>
    <row r="495" spans="1:20">
      <c r="A495" t="s">
        <v>1230</v>
      </c>
      <c r="B495" t="s">
        <v>75</v>
      </c>
      <c r="C495" t="s">
        <v>66</v>
      </c>
      <c r="D495" t="s">
        <v>292</v>
      </c>
      <c r="E495" t="s">
        <v>2253</v>
      </c>
      <c r="F495" s="121">
        <v>152440</v>
      </c>
      <c r="G495" s="121">
        <v>152440</v>
      </c>
      <c r="H495" t="s">
        <v>2254</v>
      </c>
      <c r="I495" s="156">
        <v>41089</v>
      </c>
      <c r="K495" s="153"/>
      <c r="L495" s="153"/>
      <c r="M495" s="153"/>
      <c r="N495" s="153"/>
      <c r="O495" s="153"/>
      <c r="P495" s="152"/>
      <c r="Q495" s="152"/>
      <c r="R495" s="153"/>
      <c r="S495" s="154"/>
      <c r="T495" s="115"/>
    </row>
    <row r="496" spans="1:20">
      <c r="A496" t="s">
        <v>1230</v>
      </c>
      <c r="B496" t="s">
        <v>75</v>
      </c>
      <c r="C496" t="s">
        <v>66</v>
      </c>
      <c r="D496" t="s">
        <v>293</v>
      </c>
      <c r="E496" t="s">
        <v>2255</v>
      </c>
      <c r="F496" s="121">
        <v>40170</v>
      </c>
      <c r="G496" s="121">
        <v>40170</v>
      </c>
      <c r="H496" t="s">
        <v>2256</v>
      </c>
      <c r="I496" s="156">
        <v>41089</v>
      </c>
      <c r="K496" s="153"/>
      <c r="L496" s="153"/>
      <c r="M496" s="153"/>
      <c r="N496" s="153"/>
      <c r="O496" s="153"/>
      <c r="P496" s="152"/>
      <c r="Q496" s="152"/>
      <c r="R496" s="153"/>
      <c r="S496" s="154"/>
      <c r="T496" s="115"/>
    </row>
    <row r="497" spans="1:20">
      <c r="A497" t="s">
        <v>1230</v>
      </c>
      <c r="B497" t="s">
        <v>72</v>
      </c>
      <c r="C497" t="s">
        <v>66</v>
      </c>
      <c r="D497" t="s">
        <v>268</v>
      </c>
      <c r="E497" t="s">
        <v>2257</v>
      </c>
      <c r="F497" s="121">
        <v>145000</v>
      </c>
      <c r="G497" s="121">
        <v>116184</v>
      </c>
      <c r="H497" t="s">
        <v>2258</v>
      </c>
      <c r="I497" s="156">
        <v>39758</v>
      </c>
      <c r="K497" s="153"/>
      <c r="L497" s="153"/>
      <c r="M497" s="153"/>
      <c r="N497" s="153"/>
      <c r="O497" s="153"/>
      <c r="P497" s="152"/>
      <c r="Q497" s="152"/>
      <c r="R497" s="153"/>
      <c r="S497" s="154"/>
      <c r="T497" s="115"/>
    </row>
    <row r="498" spans="1:20">
      <c r="A498" t="s">
        <v>1230</v>
      </c>
      <c r="B498" t="s">
        <v>74</v>
      </c>
      <c r="C498" t="s">
        <v>69</v>
      </c>
      <c r="D498" t="s">
        <v>318</v>
      </c>
      <c r="E498" t="s">
        <v>2259</v>
      </c>
      <c r="F498" s="121">
        <v>98000</v>
      </c>
      <c r="G498" s="121">
        <v>77260.3</v>
      </c>
      <c r="H498" t="s">
        <v>2260</v>
      </c>
      <c r="I498" s="156">
        <v>41015</v>
      </c>
      <c r="K498" s="153"/>
      <c r="L498" s="153"/>
      <c r="M498" s="153"/>
      <c r="N498" s="153"/>
      <c r="O498" s="153"/>
      <c r="P498" s="152"/>
      <c r="Q498" s="152"/>
      <c r="R498" s="153"/>
      <c r="S498" s="154"/>
      <c r="T498" s="115"/>
    </row>
    <row r="499" spans="1:20">
      <c r="A499" t="s">
        <v>1230</v>
      </c>
      <c r="B499" t="s">
        <v>75</v>
      </c>
      <c r="C499" t="s">
        <v>39</v>
      </c>
      <c r="D499" t="s">
        <v>146</v>
      </c>
      <c r="E499" t="s">
        <v>2261</v>
      </c>
      <c r="F499" s="121">
        <v>4635</v>
      </c>
      <c r="G499" s="121">
        <v>4635</v>
      </c>
      <c r="H499" t="s">
        <v>430</v>
      </c>
      <c r="I499" s="156">
        <v>41089</v>
      </c>
      <c r="K499" s="153"/>
      <c r="L499" s="153"/>
      <c r="M499" s="153"/>
      <c r="N499" s="153"/>
      <c r="O499" s="153"/>
      <c r="P499" s="152"/>
      <c r="Q499" s="152"/>
      <c r="R499" s="153"/>
      <c r="S499" s="154"/>
      <c r="T499" s="115"/>
    </row>
    <row r="500" spans="1:20">
      <c r="A500" t="s">
        <v>1230</v>
      </c>
      <c r="B500" t="s">
        <v>72</v>
      </c>
      <c r="C500" t="s">
        <v>49</v>
      </c>
      <c r="D500" t="s">
        <v>437</v>
      </c>
      <c r="E500" t="s">
        <v>2262</v>
      </c>
      <c r="F500" s="121">
        <v>62500</v>
      </c>
      <c r="G500" s="121">
        <v>56392.5</v>
      </c>
      <c r="H500" t="s">
        <v>2263</v>
      </c>
      <c r="I500" s="156">
        <v>40694</v>
      </c>
      <c r="K500" s="153"/>
      <c r="L500" s="153"/>
      <c r="M500" s="153"/>
      <c r="N500" s="153"/>
      <c r="O500" s="153"/>
      <c r="P500" s="152"/>
      <c r="Q500" s="152"/>
      <c r="R500" s="153"/>
      <c r="S500" s="154"/>
      <c r="T500" s="115"/>
    </row>
    <row r="501" spans="1:20">
      <c r="A501" t="s">
        <v>1230</v>
      </c>
      <c r="B501" t="s">
        <v>72</v>
      </c>
      <c r="C501" t="s">
        <v>66</v>
      </c>
      <c r="D501" t="s">
        <v>277</v>
      </c>
      <c r="E501" t="s">
        <v>2264</v>
      </c>
      <c r="F501" s="121">
        <v>318554.59999999998</v>
      </c>
      <c r="G501" s="121">
        <v>303850</v>
      </c>
      <c r="H501" t="s">
        <v>2265</v>
      </c>
      <c r="I501" s="156">
        <v>40856</v>
      </c>
      <c r="K501" s="153"/>
      <c r="L501" s="153"/>
      <c r="M501" s="153"/>
      <c r="N501" s="153"/>
      <c r="O501" s="153"/>
      <c r="P501" s="152"/>
      <c r="Q501" s="152"/>
      <c r="R501" s="153"/>
      <c r="S501" s="154"/>
      <c r="T501" s="115"/>
    </row>
    <row r="502" spans="1:20">
      <c r="A502" t="s">
        <v>1230</v>
      </c>
      <c r="B502" t="s">
        <v>72</v>
      </c>
      <c r="C502" t="s">
        <v>66</v>
      </c>
      <c r="D502" t="s">
        <v>277</v>
      </c>
      <c r="E502" t="s">
        <v>2266</v>
      </c>
      <c r="F502" s="121">
        <v>318554.59999999998</v>
      </c>
      <c r="G502" s="121">
        <v>303850</v>
      </c>
      <c r="H502" t="s">
        <v>2267</v>
      </c>
      <c r="I502" s="156">
        <v>40856</v>
      </c>
      <c r="K502" s="153"/>
      <c r="L502" s="153"/>
      <c r="M502" s="153"/>
      <c r="N502" s="153"/>
      <c r="O502" s="153"/>
      <c r="P502" s="152"/>
      <c r="Q502" s="152"/>
      <c r="R502" s="153"/>
      <c r="S502" s="154"/>
      <c r="T502" s="115"/>
    </row>
    <row r="503" spans="1:20">
      <c r="A503" t="s">
        <v>1230</v>
      </c>
      <c r="B503" t="s">
        <v>72</v>
      </c>
      <c r="C503" t="s">
        <v>46</v>
      </c>
      <c r="D503" t="s">
        <v>181</v>
      </c>
      <c r="E503" t="s">
        <v>2268</v>
      </c>
      <c r="F503" s="121">
        <v>13900</v>
      </c>
      <c r="G503" s="121">
        <v>12875</v>
      </c>
      <c r="H503" t="s">
        <v>2269</v>
      </c>
      <c r="I503" s="156">
        <v>37986</v>
      </c>
      <c r="K503" s="153"/>
      <c r="L503" s="153"/>
      <c r="M503" s="153"/>
      <c r="N503" s="153"/>
      <c r="O503" s="153"/>
      <c r="P503" s="152"/>
      <c r="Q503" s="152"/>
      <c r="R503" s="153"/>
      <c r="S503" s="154"/>
      <c r="T503" s="115"/>
    </row>
    <row r="504" spans="1:20">
      <c r="A504" t="s">
        <v>1230</v>
      </c>
      <c r="B504" t="s">
        <v>72</v>
      </c>
      <c r="C504" t="s">
        <v>46</v>
      </c>
      <c r="D504" t="s">
        <v>180</v>
      </c>
      <c r="E504" t="s">
        <v>2270</v>
      </c>
      <c r="F504" s="121">
        <v>13900</v>
      </c>
      <c r="G504" s="121">
        <v>12875</v>
      </c>
      <c r="H504" t="s">
        <v>2271</v>
      </c>
      <c r="I504" s="156">
        <v>37986</v>
      </c>
      <c r="K504" s="153"/>
      <c r="L504" s="153"/>
      <c r="M504" s="153"/>
      <c r="N504" s="153"/>
      <c r="O504" s="153"/>
      <c r="P504" s="152"/>
      <c r="Q504" s="152"/>
      <c r="R504" s="153"/>
      <c r="S504" s="154"/>
      <c r="T504" s="115"/>
    </row>
    <row r="505" spans="1:20">
      <c r="A505" t="s">
        <v>1230</v>
      </c>
      <c r="B505" t="s">
        <v>71</v>
      </c>
      <c r="C505" t="s">
        <v>43</v>
      </c>
      <c r="D505" t="s">
        <v>374</v>
      </c>
      <c r="E505" t="s">
        <v>2272</v>
      </c>
      <c r="F505" s="121">
        <v>4356.8999999999996</v>
      </c>
      <c r="G505" s="121">
        <v>4356.8999999999996</v>
      </c>
      <c r="H505" t="s">
        <v>438</v>
      </c>
      <c r="I505" s="156">
        <v>41089</v>
      </c>
      <c r="K505" s="153"/>
      <c r="L505" s="153"/>
      <c r="M505" s="153"/>
      <c r="N505" s="153"/>
      <c r="O505" s="153"/>
      <c r="P505" s="152"/>
      <c r="Q505" s="152"/>
      <c r="R505" s="153"/>
      <c r="S505" s="154"/>
      <c r="T505" s="115"/>
    </row>
    <row r="506" spans="1:20">
      <c r="A506" t="s">
        <v>1230</v>
      </c>
      <c r="B506" t="s">
        <v>74</v>
      </c>
      <c r="C506" t="s">
        <v>43</v>
      </c>
      <c r="D506" t="s">
        <v>374</v>
      </c>
      <c r="E506" t="s">
        <v>2273</v>
      </c>
      <c r="F506" s="121">
        <v>25317.4</v>
      </c>
      <c r="G506" s="121">
        <v>25317.4</v>
      </c>
      <c r="H506" t="s">
        <v>398</v>
      </c>
      <c r="I506" s="156">
        <v>41089</v>
      </c>
      <c r="K506" s="153"/>
      <c r="L506" s="153"/>
      <c r="M506" s="153"/>
      <c r="N506" s="153"/>
      <c r="O506" s="153"/>
      <c r="P506" s="152"/>
      <c r="Q506" s="152"/>
      <c r="R506" s="153"/>
      <c r="S506" s="154"/>
      <c r="T506" s="115"/>
    </row>
    <row r="507" spans="1:20">
      <c r="A507" t="s">
        <v>1230</v>
      </c>
      <c r="B507" t="s">
        <v>74</v>
      </c>
      <c r="C507" t="s">
        <v>46</v>
      </c>
      <c r="D507" t="s">
        <v>180</v>
      </c>
      <c r="E507" t="s">
        <v>7168</v>
      </c>
      <c r="F507" s="121">
        <v>12360</v>
      </c>
      <c r="G507" s="121">
        <v>12360</v>
      </c>
      <c r="H507" t="s">
        <v>7169</v>
      </c>
      <c r="I507" s="156">
        <v>41089</v>
      </c>
      <c r="K507" s="153"/>
      <c r="L507" s="153"/>
      <c r="M507" s="153"/>
      <c r="N507" s="153"/>
      <c r="O507" s="153"/>
      <c r="P507" s="152"/>
      <c r="Q507" s="152"/>
      <c r="R507" s="153"/>
      <c r="S507" s="154"/>
      <c r="T507" s="115"/>
    </row>
    <row r="508" spans="1:20">
      <c r="A508" t="s">
        <v>1230</v>
      </c>
      <c r="B508" t="s">
        <v>74</v>
      </c>
      <c r="C508" t="s">
        <v>51</v>
      </c>
      <c r="D508" t="s">
        <v>429</v>
      </c>
      <c r="E508" t="s">
        <v>2274</v>
      </c>
      <c r="F508" s="121">
        <v>1545</v>
      </c>
      <c r="G508" s="121">
        <v>1545</v>
      </c>
      <c r="H508" t="s">
        <v>398</v>
      </c>
      <c r="I508" s="156">
        <v>41089</v>
      </c>
      <c r="K508" s="153"/>
      <c r="L508" s="153"/>
      <c r="M508" s="153"/>
      <c r="N508" s="153"/>
      <c r="O508" s="153"/>
      <c r="P508" s="152"/>
      <c r="Q508" s="152"/>
      <c r="R508" s="153"/>
      <c r="S508" s="154"/>
      <c r="T508" s="115"/>
    </row>
    <row r="509" spans="1:20">
      <c r="A509" t="s">
        <v>1230</v>
      </c>
      <c r="B509" t="s">
        <v>74</v>
      </c>
      <c r="C509" t="s">
        <v>51</v>
      </c>
      <c r="D509" t="s">
        <v>7170</v>
      </c>
      <c r="E509" t="s">
        <v>7171</v>
      </c>
      <c r="F509" s="121">
        <v>300</v>
      </c>
      <c r="G509" s="121">
        <v>566.5</v>
      </c>
      <c r="H509" t="s">
        <v>398</v>
      </c>
      <c r="I509" s="156">
        <v>39813</v>
      </c>
      <c r="K509" s="153"/>
      <c r="L509" s="153"/>
      <c r="M509" s="153"/>
      <c r="N509" s="153"/>
      <c r="O509" s="153"/>
      <c r="P509" s="152"/>
      <c r="Q509" s="152"/>
      <c r="R509" s="153"/>
      <c r="S509" s="154"/>
      <c r="T509" s="115"/>
    </row>
    <row r="510" spans="1:20">
      <c r="A510" t="s">
        <v>1230</v>
      </c>
      <c r="B510" t="s">
        <v>74</v>
      </c>
      <c r="C510" t="s">
        <v>51</v>
      </c>
      <c r="D510" t="s">
        <v>439</v>
      </c>
      <c r="E510" t="s">
        <v>2275</v>
      </c>
      <c r="F510" s="121">
        <v>500</v>
      </c>
      <c r="G510" s="121">
        <v>360.5</v>
      </c>
      <c r="H510" t="s">
        <v>398</v>
      </c>
      <c r="I510" s="156">
        <v>39813</v>
      </c>
      <c r="K510" s="153"/>
      <c r="L510" s="153"/>
      <c r="M510" s="153"/>
      <c r="N510" s="153"/>
      <c r="O510" s="153"/>
      <c r="P510" s="152"/>
      <c r="Q510" s="152"/>
      <c r="R510" s="153"/>
      <c r="S510" s="154"/>
      <c r="T510" s="115"/>
    </row>
    <row r="511" spans="1:20">
      <c r="A511" t="s">
        <v>1230</v>
      </c>
      <c r="B511" t="s">
        <v>74</v>
      </c>
      <c r="C511" t="s">
        <v>51</v>
      </c>
      <c r="D511" t="s">
        <v>440</v>
      </c>
      <c r="E511" t="s">
        <v>2276</v>
      </c>
      <c r="F511" s="121">
        <v>5000</v>
      </c>
      <c r="G511" s="121">
        <v>4532</v>
      </c>
      <c r="H511" t="s">
        <v>398</v>
      </c>
      <c r="I511" s="156">
        <v>38352</v>
      </c>
      <c r="K511" s="153"/>
      <c r="L511" s="153"/>
      <c r="M511" s="153"/>
      <c r="N511" s="153"/>
      <c r="O511" s="153"/>
      <c r="P511" s="152"/>
      <c r="Q511" s="152"/>
      <c r="R511" s="153"/>
      <c r="S511" s="154"/>
      <c r="T511" s="115"/>
    </row>
    <row r="512" spans="1:20">
      <c r="A512" t="s">
        <v>1230</v>
      </c>
      <c r="B512" t="s">
        <v>74</v>
      </c>
      <c r="C512" t="s">
        <v>51</v>
      </c>
      <c r="D512" t="s">
        <v>7172</v>
      </c>
      <c r="E512" t="s">
        <v>7173</v>
      </c>
      <c r="F512" s="121">
        <v>500</v>
      </c>
      <c r="G512" s="121">
        <v>406.85</v>
      </c>
      <c r="H512" t="s">
        <v>398</v>
      </c>
      <c r="I512" s="156">
        <v>39813</v>
      </c>
      <c r="K512" s="153"/>
      <c r="L512" s="153"/>
      <c r="M512" s="153"/>
      <c r="N512" s="153"/>
      <c r="O512" s="153"/>
      <c r="P512" s="152"/>
      <c r="Q512" s="152"/>
      <c r="R512" s="153"/>
      <c r="S512" s="154"/>
      <c r="T512" s="115"/>
    </row>
    <row r="513" spans="1:20">
      <c r="A513" t="s">
        <v>1230</v>
      </c>
      <c r="B513" t="s">
        <v>74</v>
      </c>
      <c r="C513" t="s">
        <v>67</v>
      </c>
      <c r="D513" t="s">
        <v>295</v>
      </c>
      <c r="E513" t="s">
        <v>2277</v>
      </c>
      <c r="F513" s="121">
        <v>200000</v>
      </c>
      <c r="G513" s="121">
        <v>193125</v>
      </c>
      <c r="H513" t="s">
        <v>2278</v>
      </c>
      <c r="I513" s="156">
        <v>30316</v>
      </c>
      <c r="K513" s="153"/>
      <c r="L513" s="153"/>
      <c r="M513" s="153"/>
      <c r="N513" s="153"/>
      <c r="O513" s="153"/>
      <c r="P513" s="152"/>
      <c r="Q513" s="152"/>
      <c r="R513" s="153"/>
      <c r="S513" s="154"/>
      <c r="T513" s="115"/>
    </row>
    <row r="514" spans="1:20">
      <c r="A514" t="s">
        <v>1230</v>
      </c>
      <c r="B514" t="s">
        <v>72</v>
      </c>
      <c r="C514" t="s">
        <v>51</v>
      </c>
      <c r="D514" t="s">
        <v>441</v>
      </c>
      <c r="E514" t="s">
        <v>2279</v>
      </c>
      <c r="F514" s="121">
        <v>5000</v>
      </c>
      <c r="G514" s="121">
        <v>1596.5</v>
      </c>
      <c r="H514" t="s">
        <v>398</v>
      </c>
      <c r="I514" s="156">
        <v>39813</v>
      </c>
      <c r="K514" s="153"/>
      <c r="L514" s="153"/>
      <c r="M514" s="153"/>
      <c r="N514" s="153"/>
      <c r="O514" s="153"/>
      <c r="P514" s="152"/>
      <c r="Q514" s="152"/>
      <c r="R514" s="153"/>
      <c r="S514" s="154"/>
      <c r="T514" s="115"/>
    </row>
    <row r="515" spans="1:20">
      <c r="A515" t="s">
        <v>1230</v>
      </c>
      <c r="B515" t="s">
        <v>72</v>
      </c>
      <c r="C515" t="s">
        <v>66</v>
      </c>
      <c r="D515" t="s">
        <v>278</v>
      </c>
      <c r="E515" t="s">
        <v>2280</v>
      </c>
      <c r="F515" s="121">
        <v>225000</v>
      </c>
      <c r="G515" s="121">
        <v>150277</v>
      </c>
      <c r="H515" t="s">
        <v>2281</v>
      </c>
      <c r="I515" s="156">
        <v>37621</v>
      </c>
      <c r="K515" s="153"/>
      <c r="L515" s="153"/>
      <c r="M515" s="153"/>
      <c r="N515" s="153"/>
      <c r="O515" s="153"/>
      <c r="P515" s="152"/>
      <c r="Q515" s="152"/>
      <c r="R515" s="153"/>
      <c r="S515" s="154"/>
      <c r="T515" s="115"/>
    </row>
    <row r="516" spans="1:20">
      <c r="A516" t="s">
        <v>1230</v>
      </c>
      <c r="B516" t="s">
        <v>71</v>
      </c>
      <c r="C516" t="s">
        <v>43</v>
      </c>
      <c r="D516" t="s">
        <v>374</v>
      </c>
      <c r="E516" t="s">
        <v>2282</v>
      </c>
      <c r="F516" s="121">
        <v>28283.8</v>
      </c>
      <c r="G516" s="121">
        <v>28283.8</v>
      </c>
      <c r="H516" t="s">
        <v>442</v>
      </c>
      <c r="I516" s="156">
        <v>41089</v>
      </c>
      <c r="K516" s="153"/>
      <c r="L516" s="153"/>
      <c r="M516" s="153"/>
      <c r="N516" s="153"/>
      <c r="O516" s="153"/>
      <c r="P516" s="152"/>
      <c r="Q516" s="152"/>
      <c r="R516" s="153"/>
      <c r="S516" s="154"/>
      <c r="T516" s="115"/>
    </row>
    <row r="517" spans="1:20">
      <c r="A517" t="s">
        <v>1230</v>
      </c>
      <c r="B517" t="s">
        <v>72</v>
      </c>
      <c r="C517" t="s">
        <v>51</v>
      </c>
      <c r="D517" t="s">
        <v>443</v>
      </c>
      <c r="E517" t="s">
        <v>2283</v>
      </c>
      <c r="F517" s="121">
        <v>10932.31</v>
      </c>
      <c r="G517" s="121">
        <v>7446.9</v>
      </c>
      <c r="H517" t="s">
        <v>2284</v>
      </c>
      <c r="I517" s="156">
        <v>40506</v>
      </c>
      <c r="K517" s="153"/>
      <c r="L517" s="153"/>
      <c r="M517" s="153"/>
      <c r="N517" s="153"/>
      <c r="O517" s="153"/>
      <c r="P517" s="152"/>
      <c r="Q517" s="152"/>
      <c r="R517" s="153"/>
      <c r="S517" s="154"/>
      <c r="T517" s="115"/>
    </row>
    <row r="518" spans="1:20">
      <c r="A518" t="s">
        <v>1230</v>
      </c>
      <c r="B518" t="s">
        <v>72</v>
      </c>
      <c r="C518" t="s">
        <v>49</v>
      </c>
      <c r="D518" t="s">
        <v>444</v>
      </c>
      <c r="E518" t="s">
        <v>2285</v>
      </c>
      <c r="F518" s="121">
        <v>3500</v>
      </c>
      <c r="G518" s="121">
        <v>2163</v>
      </c>
      <c r="H518" t="s">
        <v>336</v>
      </c>
      <c r="I518" s="156">
        <v>39813</v>
      </c>
      <c r="K518" s="153"/>
      <c r="L518" s="153"/>
      <c r="M518" s="153"/>
      <c r="N518" s="153"/>
      <c r="O518" s="153"/>
      <c r="P518" s="152"/>
      <c r="Q518" s="152"/>
      <c r="R518" s="153"/>
      <c r="S518" s="154"/>
      <c r="T518" s="115"/>
    </row>
    <row r="519" spans="1:20">
      <c r="A519" t="s">
        <v>1230</v>
      </c>
      <c r="B519" t="s">
        <v>72</v>
      </c>
      <c r="C519" t="s">
        <v>50</v>
      </c>
      <c r="D519" t="s">
        <v>367</v>
      </c>
      <c r="E519" t="s">
        <v>2286</v>
      </c>
      <c r="F519" s="121">
        <v>200000</v>
      </c>
      <c r="G519" s="121">
        <v>200000</v>
      </c>
      <c r="H519" t="s">
        <v>336</v>
      </c>
      <c r="I519" s="156">
        <v>41075</v>
      </c>
      <c r="K519" s="153"/>
      <c r="L519" s="153"/>
      <c r="M519" s="153"/>
      <c r="N519" s="153"/>
      <c r="O519" s="153"/>
      <c r="P519" s="152"/>
      <c r="Q519" s="152"/>
      <c r="R519" s="153"/>
      <c r="S519" s="154"/>
      <c r="T519" s="115"/>
    </row>
    <row r="520" spans="1:20">
      <c r="A520" t="s">
        <v>1230</v>
      </c>
      <c r="B520" t="s">
        <v>71</v>
      </c>
      <c r="C520" t="s">
        <v>43</v>
      </c>
      <c r="D520" t="s">
        <v>374</v>
      </c>
      <c r="E520" t="s">
        <v>2287</v>
      </c>
      <c r="F520" s="121">
        <v>26316.5</v>
      </c>
      <c r="G520" s="121">
        <v>26316.5</v>
      </c>
      <c r="H520" t="s">
        <v>442</v>
      </c>
      <c r="I520" s="156">
        <v>41089</v>
      </c>
      <c r="K520" s="153"/>
      <c r="L520" s="153"/>
      <c r="M520" s="153"/>
      <c r="N520" s="153"/>
      <c r="O520" s="153"/>
      <c r="P520" s="152"/>
      <c r="Q520" s="152"/>
      <c r="R520" s="153"/>
      <c r="S520" s="154"/>
      <c r="T520" s="115"/>
    </row>
    <row r="521" spans="1:20">
      <c r="A521" t="s">
        <v>1230</v>
      </c>
      <c r="B521" t="s">
        <v>71</v>
      </c>
      <c r="C521" t="s">
        <v>43</v>
      </c>
      <c r="D521" t="s">
        <v>374</v>
      </c>
      <c r="E521" t="s">
        <v>2288</v>
      </c>
      <c r="F521" s="121">
        <v>6633.2</v>
      </c>
      <c r="G521" s="121">
        <v>6633.2</v>
      </c>
      <c r="H521" t="s">
        <v>445</v>
      </c>
      <c r="I521" s="156">
        <v>41089</v>
      </c>
      <c r="K521" s="153"/>
      <c r="L521" s="153"/>
      <c r="M521" s="153"/>
      <c r="N521" s="153"/>
      <c r="O521" s="153"/>
      <c r="P521" s="152"/>
      <c r="Q521" s="152"/>
      <c r="R521" s="153"/>
      <c r="S521" s="154"/>
      <c r="T521" s="115"/>
    </row>
    <row r="522" spans="1:20">
      <c r="A522" t="s">
        <v>1230</v>
      </c>
      <c r="B522" t="s">
        <v>72</v>
      </c>
      <c r="C522" t="s">
        <v>69</v>
      </c>
      <c r="D522" t="s">
        <v>313</v>
      </c>
      <c r="E522" t="s">
        <v>2289</v>
      </c>
      <c r="F522" s="121">
        <v>25784</v>
      </c>
      <c r="G522" s="121">
        <v>25784</v>
      </c>
      <c r="H522" t="s">
        <v>2290</v>
      </c>
      <c r="I522" s="156">
        <v>41089</v>
      </c>
      <c r="K522" s="153"/>
      <c r="L522" s="153"/>
      <c r="M522" s="153"/>
      <c r="N522" s="153"/>
      <c r="O522" s="153"/>
      <c r="P522" s="152"/>
      <c r="Q522" s="152"/>
      <c r="R522" s="153"/>
      <c r="S522" s="154"/>
      <c r="T522" s="115"/>
    </row>
    <row r="523" spans="1:20">
      <c r="A523" t="s">
        <v>1230</v>
      </c>
      <c r="B523" t="s">
        <v>72</v>
      </c>
      <c r="C523" t="s">
        <v>56</v>
      </c>
      <c r="D523" t="s">
        <v>203</v>
      </c>
      <c r="E523" t="s">
        <v>2291</v>
      </c>
      <c r="F523" s="121">
        <v>160000</v>
      </c>
      <c r="G523" s="121">
        <v>160000</v>
      </c>
      <c r="H523" t="s">
        <v>2292</v>
      </c>
      <c r="I523" s="156">
        <v>41086</v>
      </c>
      <c r="K523" s="153"/>
      <c r="L523" s="153"/>
      <c r="M523" s="153"/>
      <c r="N523" s="153"/>
      <c r="O523" s="153"/>
      <c r="P523" s="152"/>
      <c r="Q523" s="152"/>
      <c r="R523" s="153"/>
      <c r="S523" s="154"/>
      <c r="T523" s="115"/>
    </row>
    <row r="524" spans="1:20">
      <c r="A524" t="s">
        <v>1230</v>
      </c>
      <c r="B524" t="s">
        <v>73</v>
      </c>
      <c r="C524" t="s">
        <v>37</v>
      </c>
      <c r="D524" t="s">
        <v>127</v>
      </c>
      <c r="E524" t="s">
        <v>2293</v>
      </c>
      <c r="F524" s="121">
        <v>111000</v>
      </c>
      <c r="G524" s="121">
        <v>111000</v>
      </c>
      <c r="H524" t="s">
        <v>2294</v>
      </c>
      <c r="I524" s="156">
        <v>41015</v>
      </c>
      <c r="K524" s="153"/>
      <c r="L524" s="153"/>
      <c r="M524" s="153"/>
      <c r="N524" s="153"/>
      <c r="O524" s="153"/>
      <c r="P524" s="152"/>
      <c r="Q524" s="152"/>
      <c r="R524" s="153"/>
      <c r="S524" s="154"/>
      <c r="T524" s="115"/>
    </row>
    <row r="525" spans="1:20">
      <c r="A525" t="s">
        <v>1230</v>
      </c>
      <c r="B525" t="s">
        <v>72</v>
      </c>
      <c r="C525" t="s">
        <v>51</v>
      </c>
      <c r="D525" t="s">
        <v>448</v>
      </c>
      <c r="E525" t="s">
        <v>2295</v>
      </c>
      <c r="F525" s="121">
        <v>629.1</v>
      </c>
      <c r="G525" s="121">
        <v>629.1</v>
      </c>
      <c r="H525" t="s">
        <v>396</v>
      </c>
      <c r="I525" s="156">
        <v>41113</v>
      </c>
      <c r="K525" s="153"/>
      <c r="L525" s="153"/>
      <c r="M525" s="153"/>
      <c r="N525" s="153"/>
      <c r="O525" s="153"/>
      <c r="P525" s="152"/>
      <c r="Q525" s="152"/>
      <c r="R525" s="153"/>
      <c r="S525" s="154"/>
      <c r="T525" s="115"/>
    </row>
    <row r="526" spans="1:20">
      <c r="A526" t="s">
        <v>1230</v>
      </c>
      <c r="B526" t="s">
        <v>72</v>
      </c>
      <c r="C526" t="s">
        <v>45</v>
      </c>
      <c r="D526" t="s">
        <v>449</v>
      </c>
      <c r="E526" t="s">
        <v>2296</v>
      </c>
      <c r="F526" s="121">
        <v>45150</v>
      </c>
      <c r="G526" s="121">
        <v>45150</v>
      </c>
      <c r="H526" t="s">
        <v>396</v>
      </c>
      <c r="I526" s="156">
        <v>41107</v>
      </c>
      <c r="K526" s="153"/>
      <c r="L526" s="153"/>
      <c r="M526" s="153"/>
      <c r="N526" s="153"/>
      <c r="O526" s="153"/>
      <c r="P526" s="152"/>
      <c r="Q526" s="152"/>
      <c r="R526" s="153"/>
      <c r="S526" s="154"/>
      <c r="T526" s="115"/>
    </row>
    <row r="527" spans="1:20">
      <c r="A527" t="s">
        <v>1230</v>
      </c>
      <c r="B527" t="s">
        <v>72</v>
      </c>
      <c r="C527" t="s">
        <v>45</v>
      </c>
      <c r="D527" t="s">
        <v>449</v>
      </c>
      <c r="E527" t="s">
        <v>2297</v>
      </c>
      <c r="F527" s="121">
        <v>35500</v>
      </c>
      <c r="G527" s="121">
        <v>35500</v>
      </c>
      <c r="H527" t="s">
        <v>373</v>
      </c>
      <c r="I527" s="156">
        <v>41089</v>
      </c>
      <c r="K527" s="153"/>
      <c r="L527" s="153"/>
      <c r="M527" s="153"/>
      <c r="N527" s="153"/>
      <c r="O527" s="153"/>
      <c r="P527" s="150"/>
      <c r="Q527" s="150"/>
      <c r="R527" s="153"/>
      <c r="S527" s="154"/>
      <c r="T527" s="115"/>
    </row>
    <row r="528" spans="1:20">
      <c r="A528" t="s">
        <v>1230</v>
      </c>
      <c r="B528" t="s">
        <v>72</v>
      </c>
      <c r="C528" t="s">
        <v>45</v>
      </c>
      <c r="D528" t="s">
        <v>449</v>
      </c>
      <c r="E528" t="s">
        <v>2298</v>
      </c>
      <c r="F528" s="121">
        <v>35500</v>
      </c>
      <c r="G528" s="121">
        <v>35500</v>
      </c>
      <c r="H528" t="s">
        <v>373</v>
      </c>
      <c r="I528" s="156">
        <v>41089</v>
      </c>
      <c r="K528" s="153"/>
      <c r="L528" s="153"/>
      <c r="M528" s="153"/>
      <c r="N528" s="153"/>
      <c r="O528" s="153"/>
      <c r="P528" s="150"/>
      <c r="Q528" s="150"/>
      <c r="R528" s="153"/>
      <c r="S528" s="154"/>
      <c r="T528" s="115"/>
    </row>
    <row r="529" spans="1:20">
      <c r="A529" t="s">
        <v>1230</v>
      </c>
      <c r="B529" t="s">
        <v>71</v>
      </c>
      <c r="C529" t="s">
        <v>69</v>
      </c>
      <c r="D529" t="s">
        <v>323</v>
      </c>
      <c r="E529" t="s">
        <v>2299</v>
      </c>
      <c r="F529" s="121">
        <v>135000</v>
      </c>
      <c r="G529" s="121">
        <v>75480</v>
      </c>
      <c r="H529" t="s">
        <v>2300</v>
      </c>
      <c r="I529" s="156">
        <v>39082</v>
      </c>
      <c r="K529" s="153"/>
      <c r="L529" s="153"/>
      <c r="M529" s="153"/>
      <c r="N529" s="153"/>
      <c r="O529" s="153"/>
      <c r="P529" s="152"/>
      <c r="Q529" s="152"/>
      <c r="R529" s="153"/>
      <c r="S529" s="154"/>
      <c r="T529" s="115"/>
    </row>
    <row r="530" spans="1:20">
      <c r="A530" t="s">
        <v>1230</v>
      </c>
      <c r="B530" t="s">
        <v>71</v>
      </c>
      <c r="C530" t="s">
        <v>69</v>
      </c>
      <c r="D530" t="s">
        <v>324</v>
      </c>
      <c r="E530" t="s">
        <v>2301</v>
      </c>
      <c r="F530" s="121">
        <v>25940.31</v>
      </c>
      <c r="G530" s="121">
        <v>25940.31</v>
      </c>
      <c r="H530" t="s">
        <v>2302</v>
      </c>
      <c r="I530" s="156">
        <v>41022</v>
      </c>
      <c r="K530" s="153"/>
      <c r="L530" s="153"/>
      <c r="M530" s="153"/>
      <c r="N530" s="153"/>
      <c r="O530" s="153"/>
      <c r="P530" s="150"/>
      <c r="Q530" s="150"/>
      <c r="R530" s="153"/>
      <c r="S530" s="154"/>
      <c r="T530" s="115"/>
    </row>
    <row r="531" spans="1:20">
      <c r="A531" t="s">
        <v>1230</v>
      </c>
      <c r="B531" t="s">
        <v>74</v>
      </c>
      <c r="C531" t="s">
        <v>51</v>
      </c>
      <c r="D531" t="s">
        <v>451</v>
      </c>
      <c r="E531" t="s">
        <v>2303</v>
      </c>
      <c r="F531" s="121">
        <v>6420</v>
      </c>
      <c r="G531" s="121">
        <v>6420</v>
      </c>
      <c r="H531" t="s">
        <v>452</v>
      </c>
      <c r="I531" s="156">
        <v>41108</v>
      </c>
      <c r="K531" s="153"/>
      <c r="L531" s="153"/>
      <c r="M531" s="153"/>
      <c r="N531" s="153"/>
      <c r="O531" s="153"/>
      <c r="P531" s="152"/>
      <c r="Q531" s="152"/>
      <c r="R531" s="153"/>
      <c r="S531" s="154"/>
      <c r="T531" s="115"/>
    </row>
    <row r="532" spans="1:20">
      <c r="A532" t="s">
        <v>1230</v>
      </c>
      <c r="B532" t="s">
        <v>74</v>
      </c>
      <c r="C532" t="s">
        <v>51</v>
      </c>
      <c r="D532" t="s">
        <v>453</v>
      </c>
      <c r="E532" t="s">
        <v>2304</v>
      </c>
      <c r="F532" s="121">
        <v>1850</v>
      </c>
      <c r="G532" s="121">
        <v>1850</v>
      </c>
      <c r="H532" t="s">
        <v>452</v>
      </c>
      <c r="I532" s="156">
        <v>41113</v>
      </c>
      <c r="K532" s="153"/>
      <c r="L532" s="153"/>
      <c r="M532" s="153"/>
      <c r="N532" s="153"/>
      <c r="O532" s="153"/>
      <c r="P532" s="152"/>
      <c r="Q532" s="152"/>
      <c r="R532" s="153"/>
      <c r="S532" s="154"/>
      <c r="T532" s="115"/>
    </row>
    <row r="533" spans="1:20">
      <c r="A533" t="s">
        <v>1230</v>
      </c>
      <c r="B533" t="s">
        <v>74</v>
      </c>
      <c r="C533" t="s">
        <v>51</v>
      </c>
      <c r="D533" t="s">
        <v>453</v>
      </c>
      <c r="E533" t="s">
        <v>2305</v>
      </c>
      <c r="F533" s="121">
        <v>1850</v>
      </c>
      <c r="G533" s="121">
        <v>1850</v>
      </c>
      <c r="H533" t="s">
        <v>396</v>
      </c>
      <c r="I533" s="156">
        <v>41129</v>
      </c>
      <c r="K533" s="153"/>
      <c r="L533" s="153"/>
      <c r="M533" s="153"/>
      <c r="N533" s="153"/>
      <c r="O533" s="153"/>
      <c r="P533" s="152"/>
      <c r="Q533" s="152"/>
      <c r="R533" s="153"/>
      <c r="S533" s="154"/>
      <c r="T533" s="115"/>
    </row>
    <row r="534" spans="1:20">
      <c r="A534" t="s">
        <v>1230</v>
      </c>
      <c r="B534" t="s">
        <v>74</v>
      </c>
      <c r="C534" t="s">
        <v>51</v>
      </c>
      <c r="D534" t="s">
        <v>454</v>
      </c>
      <c r="E534" t="s">
        <v>2306</v>
      </c>
      <c r="F534" s="121">
        <v>2211</v>
      </c>
      <c r="G534" s="121">
        <v>2211</v>
      </c>
      <c r="H534" t="s">
        <v>452</v>
      </c>
      <c r="I534" s="156">
        <v>41129</v>
      </c>
      <c r="K534" s="153"/>
      <c r="L534" s="153"/>
      <c r="M534" s="153"/>
      <c r="N534" s="153"/>
      <c r="O534" s="153"/>
      <c r="P534" s="152"/>
      <c r="Q534" s="152"/>
      <c r="R534" s="153"/>
      <c r="S534" s="154"/>
      <c r="T534" s="115"/>
    </row>
    <row r="535" spans="1:20">
      <c r="A535" t="s">
        <v>1230</v>
      </c>
      <c r="B535" t="s">
        <v>72</v>
      </c>
      <c r="C535" t="s">
        <v>39</v>
      </c>
      <c r="D535" t="s">
        <v>150</v>
      </c>
      <c r="E535" t="s">
        <v>2307</v>
      </c>
      <c r="F535" s="121">
        <v>1700</v>
      </c>
      <c r="G535" s="121">
        <v>1700</v>
      </c>
      <c r="H535" t="s">
        <v>455</v>
      </c>
      <c r="I535" s="156">
        <v>41129</v>
      </c>
      <c r="K535" s="153"/>
      <c r="L535" s="153"/>
      <c r="M535" s="153"/>
      <c r="N535" s="153"/>
      <c r="O535" s="153"/>
      <c r="P535" s="152"/>
      <c r="Q535" s="152"/>
      <c r="R535" s="153"/>
      <c r="S535" s="154"/>
      <c r="T535" s="115"/>
    </row>
    <row r="536" spans="1:20">
      <c r="A536" t="s">
        <v>1230</v>
      </c>
      <c r="B536" t="s">
        <v>72</v>
      </c>
      <c r="C536" t="s">
        <v>51</v>
      </c>
      <c r="D536" t="s">
        <v>456</v>
      </c>
      <c r="E536" t="s">
        <v>2308</v>
      </c>
      <c r="F536" s="121">
        <v>2190</v>
      </c>
      <c r="G536" s="121">
        <v>2190</v>
      </c>
      <c r="H536" t="s">
        <v>396</v>
      </c>
      <c r="I536" s="156">
        <v>41169</v>
      </c>
      <c r="K536" s="153"/>
      <c r="L536" s="153"/>
      <c r="M536" s="153"/>
      <c r="N536" s="153"/>
      <c r="O536" s="153"/>
      <c r="P536" s="152"/>
      <c r="Q536" s="152"/>
      <c r="R536" s="153"/>
      <c r="S536" s="154"/>
      <c r="T536" s="115"/>
    </row>
    <row r="537" spans="1:20">
      <c r="A537" t="s">
        <v>1230</v>
      </c>
      <c r="B537" t="s">
        <v>1012</v>
      </c>
      <c r="C537" t="s">
        <v>56</v>
      </c>
      <c r="D537" t="s">
        <v>207</v>
      </c>
      <c r="E537" t="s">
        <v>2309</v>
      </c>
      <c r="F537" s="121">
        <v>116333.33</v>
      </c>
      <c r="G537" s="121">
        <v>116333.33</v>
      </c>
      <c r="H537" t="s">
        <v>458</v>
      </c>
      <c r="I537" s="156">
        <v>41135</v>
      </c>
      <c r="K537" s="153"/>
      <c r="L537" s="153"/>
      <c r="M537" s="153"/>
      <c r="N537" s="153"/>
      <c r="O537" s="153"/>
      <c r="P537" s="152"/>
      <c r="Q537" s="152"/>
      <c r="R537" s="153"/>
      <c r="S537" s="154"/>
      <c r="T537" s="115"/>
    </row>
    <row r="538" spans="1:20">
      <c r="A538" t="s">
        <v>1230</v>
      </c>
      <c r="B538" t="s">
        <v>1012</v>
      </c>
      <c r="C538" t="s">
        <v>56</v>
      </c>
      <c r="D538" t="s">
        <v>203</v>
      </c>
      <c r="E538" t="s">
        <v>2309</v>
      </c>
      <c r="F538" s="121">
        <v>100000</v>
      </c>
      <c r="G538" s="121">
        <v>100000</v>
      </c>
      <c r="H538" t="s">
        <v>458</v>
      </c>
      <c r="I538" s="156">
        <v>41143</v>
      </c>
      <c r="K538" s="153"/>
      <c r="L538" s="153"/>
      <c r="M538" s="153"/>
      <c r="N538" s="153"/>
      <c r="O538" s="153"/>
      <c r="P538" s="152"/>
      <c r="Q538" s="152"/>
      <c r="R538" s="153"/>
      <c r="S538" s="154"/>
      <c r="T538" s="115"/>
    </row>
    <row r="539" spans="1:20">
      <c r="A539" t="s">
        <v>1230</v>
      </c>
      <c r="B539" t="s">
        <v>72</v>
      </c>
      <c r="C539" t="s">
        <v>56</v>
      </c>
      <c r="D539" t="s">
        <v>203</v>
      </c>
      <c r="E539" t="s">
        <v>2310</v>
      </c>
      <c r="F539" s="121">
        <v>100000</v>
      </c>
      <c r="G539" s="121">
        <v>100000</v>
      </c>
      <c r="H539" t="s">
        <v>2311</v>
      </c>
      <c r="I539" s="156">
        <v>41143</v>
      </c>
      <c r="K539" s="153"/>
      <c r="L539" s="153"/>
      <c r="M539" s="153"/>
      <c r="N539" s="153"/>
      <c r="O539" s="153"/>
      <c r="P539" s="152"/>
      <c r="Q539" s="152"/>
      <c r="R539" s="153"/>
      <c r="S539" s="154"/>
      <c r="T539" s="151"/>
    </row>
    <row r="540" spans="1:20">
      <c r="A540" t="s">
        <v>1230</v>
      </c>
      <c r="B540" t="s">
        <v>72</v>
      </c>
      <c r="C540" t="s">
        <v>56</v>
      </c>
      <c r="D540" t="s">
        <v>204</v>
      </c>
      <c r="E540" t="s">
        <v>2310</v>
      </c>
      <c r="F540" s="121">
        <v>116333.34</v>
      </c>
      <c r="G540" s="121">
        <v>116333.34</v>
      </c>
      <c r="H540" t="s">
        <v>2311</v>
      </c>
      <c r="I540" s="156">
        <v>41141</v>
      </c>
      <c r="K540" s="153"/>
      <c r="L540" s="153"/>
      <c r="M540" s="153"/>
      <c r="N540" s="153"/>
      <c r="O540" s="153"/>
      <c r="P540" s="152"/>
      <c r="Q540" s="152"/>
      <c r="R540" s="153"/>
      <c r="S540" s="154"/>
      <c r="T540" s="115"/>
    </row>
    <row r="541" spans="1:20">
      <c r="A541" t="s">
        <v>1230</v>
      </c>
      <c r="B541" t="s">
        <v>72</v>
      </c>
      <c r="C541" t="s">
        <v>66</v>
      </c>
      <c r="D541" t="s">
        <v>279</v>
      </c>
      <c r="E541" t="s">
        <v>2312</v>
      </c>
      <c r="F541" s="121">
        <v>182000</v>
      </c>
      <c r="G541" s="121">
        <v>182000</v>
      </c>
      <c r="H541" t="s">
        <v>2313</v>
      </c>
      <c r="I541" s="156">
        <v>41143</v>
      </c>
      <c r="K541" s="153"/>
      <c r="L541" s="153"/>
      <c r="M541" s="153"/>
      <c r="N541" s="153"/>
      <c r="O541" s="153"/>
      <c r="P541" s="152"/>
      <c r="Q541" s="152"/>
      <c r="R541" s="153"/>
      <c r="S541" s="154"/>
      <c r="T541" s="115"/>
    </row>
    <row r="542" spans="1:20">
      <c r="A542" t="s">
        <v>1230</v>
      </c>
      <c r="B542" t="s">
        <v>72</v>
      </c>
      <c r="C542" t="s">
        <v>66</v>
      </c>
      <c r="D542" t="s">
        <v>279</v>
      </c>
      <c r="E542" t="s">
        <v>2314</v>
      </c>
      <c r="F542" s="121">
        <v>182000</v>
      </c>
      <c r="G542" s="121">
        <v>182000</v>
      </c>
      <c r="H542" t="s">
        <v>2315</v>
      </c>
      <c r="I542" s="156">
        <v>41143</v>
      </c>
      <c r="K542" s="153"/>
      <c r="L542" s="153"/>
      <c r="M542" s="153"/>
      <c r="N542" s="153"/>
      <c r="O542" s="153"/>
      <c r="P542" s="152"/>
      <c r="Q542" s="152"/>
      <c r="R542" s="153"/>
      <c r="S542" s="154"/>
      <c r="T542" s="115"/>
    </row>
    <row r="543" spans="1:20">
      <c r="A543" t="s">
        <v>1230</v>
      </c>
      <c r="B543" t="s">
        <v>72</v>
      </c>
      <c r="C543" t="s">
        <v>66</v>
      </c>
      <c r="D543" t="s">
        <v>279</v>
      </c>
      <c r="E543" t="s">
        <v>2316</v>
      </c>
      <c r="F543" s="121">
        <v>182000</v>
      </c>
      <c r="G543" s="121">
        <v>182000</v>
      </c>
      <c r="H543" t="s">
        <v>2317</v>
      </c>
      <c r="I543" s="156">
        <v>41143</v>
      </c>
      <c r="K543" s="153"/>
      <c r="L543" s="153"/>
      <c r="M543" s="153"/>
      <c r="N543" s="153"/>
      <c r="O543" s="153"/>
      <c r="P543" s="152"/>
      <c r="Q543" s="152"/>
      <c r="R543" s="153"/>
      <c r="S543" s="154"/>
      <c r="T543" s="115"/>
    </row>
    <row r="544" spans="1:20">
      <c r="A544" t="s">
        <v>1230</v>
      </c>
      <c r="B544" t="s">
        <v>72</v>
      </c>
      <c r="C544" t="s">
        <v>66</v>
      </c>
      <c r="D544" t="s">
        <v>279</v>
      </c>
      <c r="E544" t="s">
        <v>2318</v>
      </c>
      <c r="F544" s="121">
        <v>182000</v>
      </c>
      <c r="G544" s="121">
        <v>182000</v>
      </c>
      <c r="H544" t="s">
        <v>2319</v>
      </c>
      <c r="I544" s="156">
        <v>41143</v>
      </c>
      <c r="K544" s="153"/>
      <c r="L544" s="153"/>
      <c r="M544" s="153"/>
      <c r="N544" s="153"/>
      <c r="O544" s="153"/>
      <c r="P544" s="152"/>
      <c r="Q544" s="152"/>
      <c r="R544" s="153"/>
      <c r="S544" s="154"/>
      <c r="T544" s="115"/>
    </row>
    <row r="545" spans="1:20">
      <c r="A545" t="s">
        <v>1230</v>
      </c>
      <c r="B545" t="s">
        <v>72</v>
      </c>
      <c r="C545" t="s">
        <v>66</v>
      </c>
      <c r="D545" t="s">
        <v>279</v>
      </c>
      <c r="E545" t="s">
        <v>2320</v>
      </c>
      <c r="F545" s="121">
        <v>180000</v>
      </c>
      <c r="G545" s="121">
        <v>180000</v>
      </c>
      <c r="H545" t="s">
        <v>1939</v>
      </c>
      <c r="I545" s="156">
        <v>41143</v>
      </c>
      <c r="K545" s="153"/>
      <c r="L545" s="153"/>
      <c r="M545" s="153"/>
      <c r="N545" s="153"/>
      <c r="O545" s="153"/>
      <c r="P545" s="150"/>
      <c r="Q545" s="150"/>
      <c r="R545" s="153"/>
      <c r="S545" s="154"/>
      <c r="T545" s="115"/>
    </row>
    <row r="546" spans="1:20">
      <c r="A546" t="s">
        <v>1230</v>
      </c>
      <c r="B546" t="s">
        <v>72</v>
      </c>
      <c r="C546" t="s">
        <v>58</v>
      </c>
      <c r="D546" t="s">
        <v>214</v>
      </c>
      <c r="E546" t="s">
        <v>2321</v>
      </c>
      <c r="F546" s="121">
        <v>149500</v>
      </c>
      <c r="G546" s="121">
        <v>149500</v>
      </c>
      <c r="H546" t="s">
        <v>396</v>
      </c>
      <c r="I546" s="156">
        <v>41143</v>
      </c>
      <c r="K546" s="153"/>
      <c r="L546" s="153"/>
      <c r="M546" s="153"/>
      <c r="N546" s="153"/>
      <c r="O546" s="153"/>
      <c r="P546" s="152"/>
      <c r="Q546" s="152"/>
      <c r="R546" s="153"/>
      <c r="S546" s="154"/>
      <c r="T546" s="115"/>
    </row>
    <row r="547" spans="1:20">
      <c r="A547" t="s">
        <v>1230</v>
      </c>
      <c r="B547" t="s">
        <v>72</v>
      </c>
      <c r="C547" t="s">
        <v>58</v>
      </c>
      <c r="D547" t="s">
        <v>214</v>
      </c>
      <c r="E547" t="s">
        <v>2322</v>
      </c>
      <c r="F547" s="121">
        <v>149500</v>
      </c>
      <c r="G547" s="121">
        <v>149500</v>
      </c>
      <c r="H547" t="s">
        <v>396</v>
      </c>
      <c r="I547" s="156">
        <v>41143</v>
      </c>
      <c r="K547" s="153"/>
      <c r="L547" s="153"/>
      <c r="M547" s="153"/>
      <c r="N547" s="153"/>
      <c r="O547" s="153"/>
      <c r="P547" s="152"/>
      <c r="Q547" s="152"/>
      <c r="R547" s="153"/>
      <c r="S547" s="154"/>
      <c r="T547" s="115"/>
    </row>
    <row r="548" spans="1:20">
      <c r="A548" t="s">
        <v>1230</v>
      </c>
      <c r="B548" t="s">
        <v>75</v>
      </c>
      <c r="C548" t="s">
        <v>51</v>
      </c>
      <c r="D548" t="s">
        <v>459</v>
      </c>
      <c r="E548" t="s">
        <v>2323</v>
      </c>
      <c r="F548" s="121">
        <v>13800</v>
      </c>
      <c r="G548" s="121">
        <v>13800</v>
      </c>
      <c r="H548" t="s">
        <v>460</v>
      </c>
      <c r="I548" s="156">
        <v>41145</v>
      </c>
      <c r="K548" s="153"/>
      <c r="L548" s="153"/>
      <c r="M548" s="153"/>
      <c r="N548" s="153"/>
      <c r="O548" s="153"/>
      <c r="P548" s="152"/>
      <c r="Q548" s="152"/>
      <c r="R548" s="153"/>
      <c r="S548" s="154"/>
      <c r="T548" s="115"/>
    </row>
    <row r="549" spans="1:20">
      <c r="A549" t="s">
        <v>1230</v>
      </c>
      <c r="B549" t="s">
        <v>1012</v>
      </c>
      <c r="C549" t="s">
        <v>51</v>
      </c>
      <c r="D549" t="s">
        <v>461</v>
      </c>
      <c r="E549" t="s">
        <v>2324</v>
      </c>
      <c r="F549" s="121">
        <v>1656.78</v>
      </c>
      <c r="G549" s="121">
        <v>1656.78</v>
      </c>
      <c r="H549" t="s">
        <v>458</v>
      </c>
      <c r="I549" s="156">
        <v>41145</v>
      </c>
      <c r="K549" s="153"/>
      <c r="L549" s="153"/>
      <c r="M549" s="153"/>
      <c r="N549" s="153"/>
      <c r="O549" s="153"/>
      <c r="P549" s="152"/>
      <c r="Q549" s="152"/>
      <c r="R549" s="153"/>
      <c r="S549" s="154"/>
      <c r="T549" s="115"/>
    </row>
    <row r="550" spans="1:20">
      <c r="A550" t="s">
        <v>1230</v>
      </c>
      <c r="B550" t="s">
        <v>1012</v>
      </c>
      <c r="C550" t="s">
        <v>51</v>
      </c>
      <c r="D550" t="s">
        <v>462</v>
      </c>
      <c r="E550" t="s">
        <v>2325</v>
      </c>
      <c r="F550" s="121">
        <v>1093.22</v>
      </c>
      <c r="G550" s="121">
        <v>1093.22</v>
      </c>
      <c r="H550" t="s">
        <v>458</v>
      </c>
      <c r="I550" s="156">
        <v>41145</v>
      </c>
      <c r="K550" s="153"/>
      <c r="L550" s="153"/>
      <c r="M550" s="153"/>
      <c r="N550" s="153"/>
      <c r="O550" s="153"/>
      <c r="P550" s="152"/>
      <c r="Q550" s="152"/>
      <c r="R550" s="153"/>
      <c r="S550" s="154"/>
      <c r="T550" s="115"/>
    </row>
    <row r="551" spans="1:20">
      <c r="A551" t="s">
        <v>1230</v>
      </c>
      <c r="B551" t="s">
        <v>72</v>
      </c>
      <c r="C551" t="s">
        <v>39</v>
      </c>
      <c r="D551" t="s">
        <v>151</v>
      </c>
      <c r="E551" t="s">
        <v>2326</v>
      </c>
      <c r="F551" s="121">
        <v>1900</v>
      </c>
      <c r="G551" s="121">
        <v>1900</v>
      </c>
      <c r="H551" t="s">
        <v>396</v>
      </c>
      <c r="I551" s="156">
        <v>41145</v>
      </c>
      <c r="K551" s="153"/>
      <c r="L551" s="153"/>
      <c r="M551" s="153"/>
      <c r="N551" s="153"/>
      <c r="O551" s="153"/>
      <c r="P551" s="152"/>
      <c r="Q551" s="152"/>
      <c r="R551" s="153"/>
      <c r="S551" s="154"/>
      <c r="T551" s="115"/>
    </row>
    <row r="552" spans="1:20">
      <c r="A552" t="s">
        <v>1230</v>
      </c>
      <c r="B552" t="s">
        <v>75</v>
      </c>
      <c r="C552" t="s">
        <v>51</v>
      </c>
      <c r="D552" t="s">
        <v>463</v>
      </c>
      <c r="E552" t="s">
        <v>2327</v>
      </c>
      <c r="F552" s="121">
        <v>1468.95</v>
      </c>
      <c r="G552" s="121">
        <v>1468.95</v>
      </c>
      <c r="H552" t="s">
        <v>460</v>
      </c>
      <c r="I552" s="156">
        <v>41149</v>
      </c>
      <c r="K552" s="153"/>
      <c r="L552" s="153"/>
      <c r="M552" s="153"/>
      <c r="N552" s="153"/>
      <c r="O552" s="153"/>
      <c r="P552" s="152"/>
      <c r="Q552" s="152"/>
      <c r="R552" s="153"/>
      <c r="S552" s="154"/>
      <c r="T552" s="115"/>
    </row>
    <row r="553" spans="1:20">
      <c r="A553" t="s">
        <v>1230</v>
      </c>
      <c r="B553" t="s">
        <v>72</v>
      </c>
      <c r="C553" t="s">
        <v>51</v>
      </c>
      <c r="D553" t="s">
        <v>464</v>
      </c>
      <c r="E553" t="s">
        <v>2328</v>
      </c>
      <c r="F553" s="121">
        <v>56000</v>
      </c>
      <c r="G553" s="121">
        <v>56000</v>
      </c>
      <c r="H553" t="s">
        <v>396</v>
      </c>
      <c r="I553" s="156">
        <v>41152</v>
      </c>
      <c r="K553" s="153"/>
      <c r="L553" s="153"/>
      <c r="M553" s="153"/>
      <c r="N553" s="153"/>
      <c r="O553" s="153"/>
      <c r="P553" s="152"/>
      <c r="Q553" s="152"/>
      <c r="R553" s="153"/>
      <c r="S553" s="154"/>
      <c r="T553" s="115"/>
    </row>
    <row r="554" spans="1:20">
      <c r="A554" t="s">
        <v>1230</v>
      </c>
      <c r="B554" t="s">
        <v>72</v>
      </c>
      <c r="C554" t="s">
        <v>51</v>
      </c>
      <c r="D554" t="s">
        <v>465</v>
      </c>
      <c r="E554" t="s">
        <v>2329</v>
      </c>
      <c r="F554" s="121">
        <v>336500</v>
      </c>
      <c r="G554" s="121">
        <v>336500</v>
      </c>
      <c r="H554" t="s">
        <v>396</v>
      </c>
      <c r="I554" s="156">
        <v>41152</v>
      </c>
      <c r="K554" s="153"/>
      <c r="L554" s="153"/>
      <c r="M554" s="153"/>
      <c r="N554" s="153"/>
      <c r="O554" s="153"/>
      <c r="P554" s="152"/>
      <c r="Q554" s="152"/>
      <c r="R554" s="153"/>
      <c r="S554" s="154"/>
      <c r="T554" s="115"/>
    </row>
    <row r="555" spans="1:20">
      <c r="A555" t="s">
        <v>1231</v>
      </c>
      <c r="B555" t="s">
        <v>71</v>
      </c>
      <c r="C555" t="s">
        <v>37</v>
      </c>
      <c r="D555" t="s">
        <v>128</v>
      </c>
      <c r="E555" t="s">
        <v>2330</v>
      </c>
      <c r="F555" s="121">
        <v>395000</v>
      </c>
      <c r="G555" s="121">
        <v>395000</v>
      </c>
      <c r="H555" t="s">
        <v>2331</v>
      </c>
      <c r="I555" s="156">
        <v>41074</v>
      </c>
      <c r="K555" s="153"/>
      <c r="L555" s="153"/>
      <c r="M555" s="153"/>
      <c r="N555" s="153"/>
      <c r="O555" s="153"/>
      <c r="P555" s="152"/>
      <c r="Q555" s="152"/>
      <c r="R555" s="153"/>
      <c r="S555" s="154"/>
      <c r="T555" s="115"/>
    </row>
    <row r="556" spans="1:20">
      <c r="A556" t="s">
        <v>1230</v>
      </c>
      <c r="B556" t="s">
        <v>72</v>
      </c>
      <c r="C556" t="s">
        <v>51</v>
      </c>
      <c r="D556" t="s">
        <v>466</v>
      </c>
      <c r="E556" t="s">
        <v>2332</v>
      </c>
      <c r="F556" s="121">
        <v>2100</v>
      </c>
      <c r="G556" s="121">
        <v>2100</v>
      </c>
      <c r="H556" t="s">
        <v>396</v>
      </c>
      <c r="I556" s="156">
        <v>41185</v>
      </c>
      <c r="K556" s="153"/>
      <c r="L556" s="153"/>
      <c r="M556" s="153"/>
      <c r="N556" s="153"/>
      <c r="O556" s="153"/>
      <c r="P556" s="152"/>
      <c r="Q556" s="152"/>
      <c r="R556" s="153"/>
      <c r="S556" s="154"/>
      <c r="T556" s="115"/>
    </row>
    <row r="557" spans="1:20">
      <c r="A557" t="s">
        <v>1230</v>
      </c>
      <c r="B557" t="s">
        <v>74</v>
      </c>
      <c r="C557" t="s">
        <v>66</v>
      </c>
      <c r="D557" t="s">
        <v>280</v>
      </c>
      <c r="E557" t="s">
        <v>2333</v>
      </c>
      <c r="F557" s="121">
        <v>444488</v>
      </c>
      <c r="G557" s="121">
        <v>444488</v>
      </c>
      <c r="H557" t="s">
        <v>2334</v>
      </c>
      <c r="I557" s="156">
        <v>41185</v>
      </c>
      <c r="K557" s="153"/>
      <c r="L557" s="153"/>
      <c r="M557" s="153"/>
      <c r="N557" s="153"/>
      <c r="O557" s="153"/>
      <c r="P557" s="152"/>
      <c r="Q557" s="152"/>
      <c r="R557" s="153"/>
      <c r="S557" s="154"/>
      <c r="T557" s="115"/>
    </row>
    <row r="558" spans="1:20">
      <c r="A558" t="s">
        <v>1230</v>
      </c>
      <c r="B558" t="s">
        <v>72</v>
      </c>
      <c r="C558" t="s">
        <v>51</v>
      </c>
      <c r="D558" t="s">
        <v>467</v>
      </c>
      <c r="E558" t="s">
        <v>2335</v>
      </c>
      <c r="F558" s="121">
        <v>870</v>
      </c>
      <c r="G558" s="121">
        <v>870</v>
      </c>
      <c r="H558" t="s">
        <v>396</v>
      </c>
      <c r="I558" s="156">
        <v>41185</v>
      </c>
      <c r="K558" s="153"/>
      <c r="L558" s="153"/>
      <c r="M558" s="153"/>
      <c r="N558" s="153"/>
      <c r="O558" s="153"/>
      <c r="P558" s="152"/>
      <c r="Q558" s="152"/>
      <c r="R558" s="153"/>
      <c r="S558" s="154"/>
      <c r="T558" s="115"/>
    </row>
    <row r="559" spans="1:20">
      <c r="A559" t="s">
        <v>1230</v>
      </c>
      <c r="B559" t="s">
        <v>72</v>
      </c>
      <c r="C559" t="s">
        <v>51</v>
      </c>
      <c r="D559" t="s">
        <v>468</v>
      </c>
      <c r="E559" t="s">
        <v>2336</v>
      </c>
      <c r="F559" s="121">
        <v>6600</v>
      </c>
      <c r="G559" s="121">
        <v>6600</v>
      </c>
      <c r="H559" t="s">
        <v>396</v>
      </c>
      <c r="I559" s="156">
        <v>41185</v>
      </c>
      <c r="K559" s="153"/>
      <c r="L559" s="153"/>
      <c r="M559" s="153"/>
      <c r="N559" s="153"/>
      <c r="O559" s="153"/>
      <c r="P559" s="152"/>
      <c r="Q559" s="152"/>
      <c r="R559" s="153"/>
      <c r="S559" s="154"/>
      <c r="T559" s="115"/>
    </row>
    <row r="560" spans="1:20">
      <c r="A560" t="s">
        <v>1230</v>
      </c>
      <c r="B560" t="s">
        <v>72</v>
      </c>
      <c r="C560" t="s">
        <v>45</v>
      </c>
      <c r="D560" t="s">
        <v>469</v>
      </c>
      <c r="E560" t="s">
        <v>2337</v>
      </c>
      <c r="F560" s="121">
        <v>1980</v>
      </c>
      <c r="G560" s="121">
        <v>1980</v>
      </c>
      <c r="H560" t="s">
        <v>396</v>
      </c>
      <c r="I560" s="156">
        <v>41129</v>
      </c>
      <c r="K560" s="153"/>
      <c r="L560" s="153"/>
      <c r="M560" s="153"/>
      <c r="N560" s="153"/>
      <c r="O560" s="153"/>
      <c r="P560" s="152"/>
      <c r="Q560" s="152"/>
      <c r="R560" s="153"/>
      <c r="S560" s="154"/>
      <c r="T560" s="115"/>
    </row>
    <row r="561" spans="1:20">
      <c r="A561" t="s">
        <v>1230</v>
      </c>
      <c r="B561" t="s">
        <v>72</v>
      </c>
      <c r="C561" t="s">
        <v>45</v>
      </c>
      <c r="D561" t="s">
        <v>470</v>
      </c>
      <c r="E561" t="s">
        <v>2338</v>
      </c>
      <c r="F561" s="121">
        <v>3440</v>
      </c>
      <c r="G561" s="121">
        <v>3440</v>
      </c>
      <c r="H561" t="s">
        <v>396</v>
      </c>
      <c r="I561" s="156">
        <v>41129</v>
      </c>
      <c r="K561" s="153"/>
      <c r="L561" s="153"/>
      <c r="M561" s="153"/>
      <c r="N561" s="153"/>
      <c r="O561" s="153"/>
      <c r="P561" s="152"/>
      <c r="Q561" s="152"/>
      <c r="R561" s="153"/>
      <c r="S561" s="154"/>
      <c r="T561" s="115"/>
    </row>
    <row r="562" spans="1:20">
      <c r="A562" t="s">
        <v>1230</v>
      </c>
      <c r="B562" t="s">
        <v>72</v>
      </c>
      <c r="C562" t="s">
        <v>45</v>
      </c>
      <c r="D562" t="s">
        <v>471</v>
      </c>
      <c r="E562" t="s">
        <v>2339</v>
      </c>
      <c r="F562" s="121">
        <v>3350</v>
      </c>
      <c r="G562" s="121">
        <v>3350</v>
      </c>
      <c r="H562" t="s">
        <v>396</v>
      </c>
      <c r="I562" s="156">
        <v>41129</v>
      </c>
      <c r="K562" s="153"/>
      <c r="L562" s="153"/>
      <c r="M562" s="153"/>
      <c r="N562" s="153"/>
      <c r="O562" s="153"/>
      <c r="P562" s="152"/>
      <c r="Q562" s="152"/>
      <c r="R562" s="153"/>
      <c r="S562" s="154"/>
      <c r="T562" s="115"/>
    </row>
    <row r="563" spans="1:20">
      <c r="A563" t="s">
        <v>1231</v>
      </c>
      <c r="B563" t="s">
        <v>71</v>
      </c>
      <c r="C563" t="s">
        <v>1018</v>
      </c>
      <c r="D563" t="s">
        <v>108</v>
      </c>
      <c r="E563" t="s">
        <v>2340</v>
      </c>
      <c r="F563" s="121">
        <v>3345045</v>
      </c>
      <c r="G563" s="121">
        <v>3345045</v>
      </c>
      <c r="H563" t="s">
        <v>2341</v>
      </c>
      <c r="I563" s="156">
        <v>41169</v>
      </c>
      <c r="K563" s="153"/>
      <c r="L563" s="153"/>
      <c r="M563" s="153"/>
      <c r="N563" s="153"/>
      <c r="O563" s="153"/>
      <c r="P563" s="152"/>
      <c r="Q563" s="152"/>
      <c r="R563" s="153"/>
      <c r="S563" s="154"/>
      <c r="T563" s="115"/>
    </row>
    <row r="564" spans="1:20">
      <c r="A564" t="s">
        <v>1230</v>
      </c>
      <c r="B564" t="s">
        <v>72</v>
      </c>
      <c r="C564" t="s">
        <v>51</v>
      </c>
      <c r="D564" t="s">
        <v>472</v>
      </c>
      <c r="E564" t="s">
        <v>2342</v>
      </c>
      <c r="F564" s="121">
        <v>1484.15</v>
      </c>
      <c r="G564" s="121">
        <v>1484.15</v>
      </c>
      <c r="H564" t="s">
        <v>396</v>
      </c>
      <c r="I564" s="156">
        <v>41204</v>
      </c>
      <c r="K564" s="153"/>
      <c r="L564" s="153"/>
      <c r="M564" s="153"/>
      <c r="N564" s="153"/>
      <c r="O564" s="153"/>
      <c r="P564" s="152"/>
      <c r="Q564" s="152"/>
      <c r="R564" s="153"/>
      <c r="S564" s="154"/>
      <c r="T564" s="115"/>
    </row>
    <row r="565" spans="1:20">
      <c r="A565" t="s">
        <v>1230</v>
      </c>
      <c r="B565" t="s">
        <v>72</v>
      </c>
      <c r="C565" t="s">
        <v>42</v>
      </c>
      <c r="D565" t="s">
        <v>167</v>
      </c>
      <c r="E565" t="s">
        <v>2343</v>
      </c>
      <c r="F565" s="121">
        <v>561750</v>
      </c>
      <c r="G565" s="121">
        <v>561750</v>
      </c>
      <c r="H565" t="s">
        <v>2344</v>
      </c>
      <c r="I565" s="156">
        <v>41204</v>
      </c>
      <c r="K565" s="153"/>
      <c r="L565" s="153"/>
      <c r="M565" s="153"/>
      <c r="N565" s="153"/>
      <c r="O565" s="153"/>
      <c r="P565" s="152"/>
      <c r="Q565" s="152"/>
      <c r="R565" s="153"/>
      <c r="S565" s="154"/>
      <c r="T565" s="115"/>
    </row>
    <row r="566" spans="1:20">
      <c r="A566" t="s">
        <v>1230</v>
      </c>
      <c r="B566" t="s">
        <v>72</v>
      </c>
      <c r="C566" t="s">
        <v>42</v>
      </c>
      <c r="D566" t="s">
        <v>168</v>
      </c>
      <c r="E566" t="s">
        <v>2345</v>
      </c>
      <c r="F566" s="121">
        <v>615000</v>
      </c>
      <c r="G566" s="121">
        <v>615000</v>
      </c>
      <c r="H566" t="s">
        <v>2346</v>
      </c>
      <c r="I566" s="156">
        <v>41204</v>
      </c>
      <c r="K566" s="153"/>
      <c r="L566" s="153"/>
      <c r="M566" s="153"/>
      <c r="N566" s="153"/>
      <c r="O566" s="153"/>
      <c r="P566" s="152"/>
      <c r="Q566" s="152"/>
      <c r="R566" s="153"/>
      <c r="S566" s="154"/>
      <c r="T566" s="115"/>
    </row>
    <row r="567" spans="1:20">
      <c r="A567" t="s">
        <v>1230</v>
      </c>
      <c r="B567" t="s">
        <v>72</v>
      </c>
      <c r="C567" t="s">
        <v>42</v>
      </c>
      <c r="D567" t="s">
        <v>168</v>
      </c>
      <c r="E567" t="s">
        <v>2347</v>
      </c>
      <c r="F567" s="121">
        <v>615000</v>
      </c>
      <c r="G567" s="121">
        <v>615000</v>
      </c>
      <c r="H567" t="s">
        <v>2348</v>
      </c>
      <c r="I567" s="156">
        <v>41204</v>
      </c>
      <c r="K567" s="153"/>
      <c r="L567" s="153"/>
      <c r="M567" s="153"/>
      <c r="N567" s="153"/>
      <c r="O567" s="153"/>
      <c r="P567" s="152"/>
      <c r="Q567" s="152"/>
      <c r="R567" s="153"/>
      <c r="S567" s="154"/>
      <c r="T567" s="115"/>
    </row>
    <row r="568" spans="1:20">
      <c r="A568" t="s">
        <v>1230</v>
      </c>
      <c r="B568" t="s">
        <v>72</v>
      </c>
      <c r="C568" t="s">
        <v>42</v>
      </c>
      <c r="D568" t="s">
        <v>168</v>
      </c>
      <c r="E568" t="s">
        <v>2349</v>
      </c>
      <c r="F568" s="121">
        <v>615000</v>
      </c>
      <c r="G568" s="121">
        <v>615000</v>
      </c>
      <c r="H568" t="s">
        <v>2350</v>
      </c>
      <c r="I568" s="156">
        <v>41204</v>
      </c>
      <c r="K568" s="153"/>
      <c r="L568" s="153"/>
      <c r="M568" s="153"/>
      <c r="N568" s="153"/>
      <c r="O568" s="153"/>
      <c r="P568" s="152"/>
      <c r="Q568" s="152"/>
      <c r="R568" s="153"/>
      <c r="S568" s="154"/>
      <c r="T568" s="115"/>
    </row>
    <row r="569" spans="1:20">
      <c r="A569" t="s">
        <v>1230</v>
      </c>
      <c r="B569" t="s">
        <v>72</v>
      </c>
      <c r="C569" t="s">
        <v>42</v>
      </c>
      <c r="D569" t="s">
        <v>168</v>
      </c>
      <c r="E569" t="s">
        <v>2351</v>
      </c>
      <c r="F569" s="121">
        <v>615000</v>
      </c>
      <c r="G569" s="121">
        <v>615000</v>
      </c>
      <c r="H569" t="s">
        <v>2352</v>
      </c>
      <c r="I569" s="156">
        <v>41204</v>
      </c>
      <c r="K569" s="153"/>
      <c r="L569" s="153"/>
      <c r="M569" s="153"/>
      <c r="N569" s="153"/>
      <c r="O569" s="153"/>
      <c r="P569" s="152"/>
      <c r="Q569" s="152"/>
      <c r="R569" s="153"/>
      <c r="S569" s="154"/>
      <c r="T569" s="115"/>
    </row>
    <row r="570" spans="1:20">
      <c r="A570" t="s">
        <v>1230</v>
      </c>
      <c r="B570" t="s">
        <v>72</v>
      </c>
      <c r="C570" t="s">
        <v>42</v>
      </c>
      <c r="D570" t="s">
        <v>168</v>
      </c>
      <c r="E570" t="s">
        <v>2353</v>
      </c>
      <c r="F570" s="121">
        <v>615000</v>
      </c>
      <c r="G570" s="121">
        <v>615000</v>
      </c>
      <c r="H570" t="s">
        <v>2354</v>
      </c>
      <c r="I570" s="156">
        <v>41204</v>
      </c>
      <c r="K570" s="153"/>
      <c r="L570" s="153"/>
      <c r="M570" s="153"/>
      <c r="N570" s="153"/>
      <c r="O570" s="153"/>
      <c r="P570" s="152"/>
      <c r="Q570" s="152"/>
      <c r="R570" s="153"/>
      <c r="S570" s="154"/>
      <c r="T570" s="115"/>
    </row>
    <row r="571" spans="1:20">
      <c r="A571" t="s">
        <v>1230</v>
      </c>
      <c r="B571" t="s">
        <v>72</v>
      </c>
      <c r="C571" t="s">
        <v>59</v>
      </c>
      <c r="D571" t="s">
        <v>226</v>
      </c>
      <c r="E571" t="s">
        <v>2355</v>
      </c>
      <c r="F571" s="121">
        <v>205000</v>
      </c>
      <c r="G571" s="121">
        <v>205000</v>
      </c>
      <c r="H571" t="s">
        <v>2356</v>
      </c>
      <c r="I571" s="156">
        <v>41205</v>
      </c>
      <c r="K571" s="153"/>
      <c r="L571" s="153"/>
      <c r="M571" s="153"/>
      <c r="N571" s="153"/>
      <c r="O571" s="153"/>
      <c r="P571" s="152"/>
      <c r="Q571" s="152"/>
      <c r="R571" s="153"/>
      <c r="S571" s="154"/>
      <c r="T571" s="115"/>
    </row>
    <row r="572" spans="1:20">
      <c r="A572" t="s">
        <v>1230</v>
      </c>
      <c r="B572" t="s">
        <v>72</v>
      </c>
      <c r="C572" t="s">
        <v>59</v>
      </c>
      <c r="D572" t="s">
        <v>226</v>
      </c>
      <c r="E572" t="s">
        <v>2357</v>
      </c>
      <c r="F572" s="121">
        <v>205000</v>
      </c>
      <c r="G572" s="121">
        <v>205000</v>
      </c>
      <c r="H572" t="s">
        <v>2358</v>
      </c>
      <c r="I572" s="156">
        <v>41205</v>
      </c>
      <c r="K572" s="153"/>
      <c r="L572" s="153"/>
      <c r="M572" s="153"/>
      <c r="N572" s="153"/>
      <c r="O572" s="153"/>
      <c r="P572" s="152"/>
      <c r="Q572" s="152"/>
      <c r="R572" s="153"/>
      <c r="S572" s="154"/>
      <c r="T572" s="115"/>
    </row>
    <row r="573" spans="1:20">
      <c r="A573" t="s">
        <v>1230</v>
      </c>
      <c r="B573" t="s">
        <v>72</v>
      </c>
      <c r="C573" t="s">
        <v>59</v>
      </c>
      <c r="D573" t="s">
        <v>226</v>
      </c>
      <c r="E573" t="s">
        <v>2359</v>
      </c>
      <c r="F573" s="121">
        <v>205000</v>
      </c>
      <c r="G573" s="121">
        <v>205000</v>
      </c>
      <c r="H573" t="s">
        <v>2360</v>
      </c>
      <c r="I573" s="156">
        <v>41205</v>
      </c>
      <c r="K573" s="153"/>
      <c r="L573" s="153"/>
      <c r="M573" s="153"/>
      <c r="N573" s="153"/>
      <c r="O573" s="153"/>
      <c r="P573" s="152"/>
      <c r="Q573" s="152"/>
      <c r="R573" s="153"/>
      <c r="S573" s="154"/>
      <c r="T573" s="115"/>
    </row>
    <row r="574" spans="1:20">
      <c r="A574" t="s">
        <v>1230</v>
      </c>
      <c r="B574" t="s">
        <v>72</v>
      </c>
      <c r="C574" t="s">
        <v>59</v>
      </c>
      <c r="D574" t="s">
        <v>226</v>
      </c>
      <c r="E574" t="s">
        <v>2361</v>
      </c>
      <c r="F574" s="121">
        <v>205000</v>
      </c>
      <c r="G574" s="121">
        <v>205000</v>
      </c>
      <c r="H574" t="s">
        <v>2356</v>
      </c>
      <c r="I574" s="156">
        <v>41205</v>
      </c>
      <c r="K574" s="153"/>
      <c r="L574" s="153"/>
      <c r="M574" s="153"/>
      <c r="N574" s="153"/>
      <c r="O574" s="153"/>
      <c r="P574" s="152"/>
      <c r="Q574" s="152"/>
      <c r="R574" s="153"/>
      <c r="S574" s="154"/>
      <c r="T574" s="115"/>
    </row>
    <row r="575" spans="1:20">
      <c r="A575" t="s">
        <v>1230</v>
      </c>
      <c r="B575" t="s">
        <v>72</v>
      </c>
      <c r="C575" t="s">
        <v>59</v>
      </c>
      <c r="D575" t="s">
        <v>226</v>
      </c>
      <c r="E575" t="s">
        <v>2362</v>
      </c>
      <c r="F575" s="121">
        <v>205000</v>
      </c>
      <c r="G575" s="121">
        <v>205000</v>
      </c>
      <c r="H575" t="s">
        <v>2363</v>
      </c>
      <c r="I575" s="156">
        <v>41205</v>
      </c>
      <c r="K575" s="153"/>
      <c r="L575" s="153"/>
      <c r="M575" s="153"/>
      <c r="N575" s="153"/>
      <c r="O575" s="153"/>
      <c r="P575" s="152"/>
      <c r="Q575" s="152"/>
      <c r="R575" s="153"/>
      <c r="S575" s="154"/>
      <c r="T575" s="115"/>
    </row>
    <row r="576" spans="1:20">
      <c r="A576" t="s">
        <v>1230</v>
      </c>
      <c r="B576" t="s">
        <v>72</v>
      </c>
      <c r="C576" t="s">
        <v>51</v>
      </c>
      <c r="D576" t="s">
        <v>473</v>
      </c>
      <c r="E576" t="s">
        <v>2364</v>
      </c>
      <c r="F576" s="121">
        <v>15223.03</v>
      </c>
      <c r="G576" s="121">
        <v>15223.03</v>
      </c>
      <c r="H576" t="s">
        <v>474</v>
      </c>
      <c r="I576" s="156">
        <v>41212</v>
      </c>
      <c r="K576" s="153"/>
      <c r="L576" s="153"/>
      <c r="M576" s="153"/>
      <c r="N576" s="153"/>
      <c r="O576" s="153"/>
      <c r="P576" s="152"/>
      <c r="Q576" s="152"/>
      <c r="R576" s="153"/>
      <c r="S576" s="154"/>
      <c r="T576" s="115"/>
    </row>
    <row r="577" spans="1:20">
      <c r="A577" t="s">
        <v>1230</v>
      </c>
      <c r="B577" t="s">
        <v>74</v>
      </c>
      <c r="C577" t="s">
        <v>51</v>
      </c>
      <c r="D577" t="s">
        <v>393</v>
      </c>
      <c r="E577" t="s">
        <v>2365</v>
      </c>
      <c r="F577" s="121">
        <v>2850</v>
      </c>
      <c r="G577" s="121">
        <v>2850</v>
      </c>
      <c r="H577" t="s">
        <v>452</v>
      </c>
      <c r="I577" s="156">
        <v>41212</v>
      </c>
      <c r="K577" s="153"/>
      <c r="L577" s="153"/>
      <c r="M577" s="153"/>
      <c r="N577" s="153"/>
      <c r="O577" s="153"/>
      <c r="P577" s="152"/>
      <c r="Q577" s="152"/>
      <c r="R577" s="153"/>
      <c r="S577" s="154"/>
      <c r="T577" s="151"/>
    </row>
    <row r="578" spans="1:20">
      <c r="A578" t="s">
        <v>1230</v>
      </c>
      <c r="B578" t="s">
        <v>72</v>
      </c>
      <c r="C578" t="s">
        <v>51</v>
      </c>
      <c r="D578" t="s">
        <v>475</v>
      </c>
      <c r="E578" t="s">
        <v>2366</v>
      </c>
      <c r="F578" s="121">
        <v>1268.6500000000001</v>
      </c>
      <c r="G578" s="121">
        <v>1268.6500000000001</v>
      </c>
      <c r="H578" t="s">
        <v>396</v>
      </c>
      <c r="I578" s="156">
        <v>41212</v>
      </c>
      <c r="K578" s="153"/>
      <c r="L578" s="153"/>
      <c r="M578" s="153"/>
      <c r="N578" s="153"/>
      <c r="O578" s="153"/>
      <c r="P578" s="152"/>
      <c r="Q578" s="152"/>
      <c r="R578" s="153"/>
      <c r="S578" s="154"/>
      <c r="T578" s="151"/>
    </row>
    <row r="579" spans="1:20">
      <c r="A579" t="s">
        <v>1230</v>
      </c>
      <c r="B579" t="s">
        <v>72</v>
      </c>
      <c r="C579" t="s">
        <v>51</v>
      </c>
      <c r="D579" t="s">
        <v>475</v>
      </c>
      <c r="E579" t="s">
        <v>2367</v>
      </c>
      <c r="F579" s="121">
        <v>1268.6500000000001</v>
      </c>
      <c r="G579" s="121">
        <v>1268.6500000000001</v>
      </c>
      <c r="H579" t="s">
        <v>396</v>
      </c>
      <c r="I579" s="156">
        <v>41212</v>
      </c>
      <c r="K579" s="153"/>
      <c r="L579" s="153"/>
      <c r="M579" s="153"/>
      <c r="N579" s="153"/>
      <c r="O579" s="153"/>
      <c r="P579" s="152"/>
      <c r="Q579" s="152"/>
      <c r="R579" s="153"/>
      <c r="S579" s="154"/>
      <c r="T579" s="151"/>
    </row>
    <row r="580" spans="1:20">
      <c r="A580" t="s">
        <v>1230</v>
      </c>
      <c r="B580" t="s">
        <v>73</v>
      </c>
      <c r="C580" t="s">
        <v>51</v>
      </c>
      <c r="D580" t="s">
        <v>476</v>
      </c>
      <c r="E580" t="s">
        <v>2368</v>
      </c>
      <c r="F580" s="121">
        <v>12700</v>
      </c>
      <c r="G580" s="121">
        <v>12700</v>
      </c>
      <c r="H580" t="s">
        <v>457</v>
      </c>
      <c r="I580" s="156">
        <v>41213</v>
      </c>
      <c r="K580" s="153"/>
      <c r="L580" s="153"/>
      <c r="M580" s="153"/>
      <c r="N580" s="153"/>
      <c r="O580" s="153"/>
      <c r="P580" s="152"/>
      <c r="Q580" s="152"/>
      <c r="R580" s="153"/>
      <c r="S580" s="154"/>
      <c r="T580" s="151"/>
    </row>
    <row r="581" spans="1:20">
      <c r="A581" t="s">
        <v>1230</v>
      </c>
      <c r="B581" t="s">
        <v>72</v>
      </c>
      <c r="C581" t="s">
        <v>62</v>
      </c>
      <c r="D581" t="s">
        <v>242</v>
      </c>
      <c r="E581" t="s">
        <v>2369</v>
      </c>
      <c r="F581" s="121">
        <v>470000</v>
      </c>
      <c r="G581" s="121">
        <v>470000</v>
      </c>
      <c r="H581" t="s">
        <v>2370</v>
      </c>
      <c r="I581" s="156">
        <v>41218</v>
      </c>
      <c r="K581" s="153"/>
      <c r="L581" s="153"/>
      <c r="M581" s="153"/>
      <c r="N581" s="153"/>
      <c r="O581" s="153"/>
      <c r="P581" s="152"/>
      <c r="Q581" s="152"/>
      <c r="R581" s="153"/>
      <c r="S581" s="154"/>
      <c r="T581" s="115"/>
    </row>
    <row r="582" spans="1:20">
      <c r="A582" t="s">
        <v>1230</v>
      </c>
      <c r="B582" t="s">
        <v>72</v>
      </c>
      <c r="C582" t="s">
        <v>42</v>
      </c>
      <c r="D582" t="s">
        <v>167</v>
      </c>
      <c r="E582" t="s">
        <v>2371</v>
      </c>
      <c r="F582" s="121">
        <v>561750</v>
      </c>
      <c r="G582" s="121">
        <v>561750</v>
      </c>
      <c r="H582" t="s">
        <v>2372</v>
      </c>
      <c r="I582" s="156">
        <v>41218</v>
      </c>
      <c r="K582" s="153"/>
      <c r="L582" s="153"/>
      <c r="M582" s="153"/>
      <c r="N582" s="153"/>
      <c r="O582" s="153"/>
      <c r="P582" s="150"/>
      <c r="Q582" s="150"/>
      <c r="R582" s="153"/>
      <c r="S582" s="154"/>
      <c r="T582" s="115"/>
    </row>
    <row r="583" spans="1:20">
      <c r="A583" t="s">
        <v>1230</v>
      </c>
      <c r="B583" t="s">
        <v>72</v>
      </c>
      <c r="C583" t="s">
        <v>42</v>
      </c>
      <c r="D583" t="s">
        <v>167</v>
      </c>
      <c r="E583" t="s">
        <v>2373</v>
      </c>
      <c r="F583" s="121">
        <v>561750</v>
      </c>
      <c r="G583" s="121">
        <v>561750</v>
      </c>
      <c r="H583" t="s">
        <v>2374</v>
      </c>
      <c r="I583" s="156">
        <v>41218</v>
      </c>
      <c r="K583" s="153"/>
      <c r="L583" s="153"/>
      <c r="M583" s="153"/>
      <c r="N583" s="153"/>
      <c r="O583" s="153"/>
      <c r="P583" s="152"/>
      <c r="Q583" s="152"/>
      <c r="R583" s="153"/>
      <c r="S583" s="154"/>
      <c r="T583" s="115"/>
    </row>
    <row r="584" spans="1:20">
      <c r="A584" t="s">
        <v>1230</v>
      </c>
      <c r="B584" t="s">
        <v>72</v>
      </c>
      <c r="C584" t="s">
        <v>42</v>
      </c>
      <c r="D584" t="s">
        <v>167</v>
      </c>
      <c r="E584" t="s">
        <v>2375</v>
      </c>
      <c r="F584" s="121">
        <v>561750</v>
      </c>
      <c r="G584" s="121">
        <v>561750</v>
      </c>
      <c r="H584" t="s">
        <v>2376</v>
      </c>
      <c r="I584" s="156">
        <v>41218</v>
      </c>
      <c r="K584" s="153"/>
      <c r="L584" s="153"/>
      <c r="M584" s="153"/>
      <c r="N584" s="153"/>
      <c r="O584" s="153"/>
      <c r="P584" s="152"/>
      <c r="Q584" s="152"/>
      <c r="R584" s="153"/>
      <c r="S584" s="154"/>
      <c r="T584" s="115"/>
    </row>
    <row r="585" spans="1:20">
      <c r="A585" t="s">
        <v>1230</v>
      </c>
      <c r="B585" t="s">
        <v>72</v>
      </c>
      <c r="C585" t="s">
        <v>42</v>
      </c>
      <c r="D585" t="s">
        <v>167</v>
      </c>
      <c r="E585" t="s">
        <v>2377</v>
      </c>
      <c r="F585" s="121">
        <v>561750</v>
      </c>
      <c r="G585" s="121">
        <v>561750</v>
      </c>
      <c r="H585" t="s">
        <v>2378</v>
      </c>
      <c r="I585" s="156">
        <v>41218</v>
      </c>
      <c r="K585" s="153"/>
      <c r="L585" s="153"/>
      <c r="M585" s="153"/>
      <c r="N585" s="153"/>
      <c r="O585" s="153"/>
      <c r="P585" s="152"/>
      <c r="Q585" s="152"/>
      <c r="R585" s="153"/>
      <c r="S585" s="154"/>
      <c r="T585" s="115"/>
    </row>
    <row r="586" spans="1:20">
      <c r="A586" t="s">
        <v>1230</v>
      </c>
      <c r="B586" t="s">
        <v>72</v>
      </c>
      <c r="C586" t="s">
        <v>62</v>
      </c>
      <c r="D586" t="s">
        <v>242</v>
      </c>
      <c r="E586" t="s">
        <v>2379</v>
      </c>
      <c r="F586" s="121">
        <v>470000</v>
      </c>
      <c r="G586" s="121">
        <v>470000</v>
      </c>
      <c r="H586" t="s">
        <v>2380</v>
      </c>
      <c r="I586" s="156">
        <v>41218</v>
      </c>
      <c r="K586" s="153"/>
      <c r="L586" s="153"/>
      <c r="M586" s="153"/>
      <c r="N586" s="153"/>
      <c r="O586" s="153"/>
      <c r="P586" s="152"/>
      <c r="Q586" s="152"/>
      <c r="R586" s="153"/>
      <c r="S586" s="154"/>
      <c r="T586" s="115"/>
    </row>
    <row r="587" spans="1:20">
      <c r="A587" t="s">
        <v>1230</v>
      </c>
      <c r="B587" t="s">
        <v>72</v>
      </c>
      <c r="C587" t="s">
        <v>62</v>
      </c>
      <c r="D587" t="s">
        <v>242</v>
      </c>
      <c r="E587" t="s">
        <v>2381</v>
      </c>
      <c r="F587" s="121">
        <v>470000</v>
      </c>
      <c r="G587" s="121">
        <v>470000</v>
      </c>
      <c r="H587" t="s">
        <v>2382</v>
      </c>
      <c r="I587" s="156">
        <v>41218</v>
      </c>
      <c r="K587" s="153"/>
      <c r="L587" s="153"/>
      <c r="M587" s="153"/>
      <c r="N587" s="153"/>
      <c r="O587" s="153"/>
      <c r="P587" s="152"/>
      <c r="Q587" s="152"/>
      <c r="R587" s="153"/>
      <c r="S587" s="154"/>
      <c r="T587" s="115"/>
    </row>
    <row r="588" spans="1:20">
      <c r="A588" t="s">
        <v>1230</v>
      </c>
      <c r="B588" t="s">
        <v>72</v>
      </c>
      <c r="C588" t="s">
        <v>62</v>
      </c>
      <c r="D588" t="s">
        <v>242</v>
      </c>
      <c r="E588" t="s">
        <v>2383</v>
      </c>
      <c r="F588" s="121">
        <v>470000</v>
      </c>
      <c r="G588" s="121">
        <v>470000</v>
      </c>
      <c r="H588" t="s">
        <v>2384</v>
      </c>
      <c r="I588" s="156">
        <v>41218</v>
      </c>
      <c r="K588" s="153"/>
      <c r="L588" s="153"/>
      <c r="M588" s="153"/>
      <c r="N588" s="153"/>
      <c r="O588" s="153"/>
      <c r="P588" s="152"/>
      <c r="Q588" s="152"/>
      <c r="R588" s="153"/>
      <c r="S588" s="154"/>
      <c r="T588" s="115"/>
    </row>
    <row r="589" spans="1:20">
      <c r="A589" t="s">
        <v>1230</v>
      </c>
      <c r="B589" t="s">
        <v>72</v>
      </c>
      <c r="C589" t="s">
        <v>59</v>
      </c>
      <c r="D589" t="s">
        <v>227</v>
      </c>
      <c r="E589" t="s">
        <v>2385</v>
      </c>
      <c r="F589" s="121">
        <v>199000</v>
      </c>
      <c r="G589" s="121">
        <v>199000</v>
      </c>
      <c r="H589" t="s">
        <v>2386</v>
      </c>
      <c r="I589" s="156">
        <v>41218</v>
      </c>
      <c r="K589" s="153"/>
      <c r="L589" s="153"/>
      <c r="M589" s="153"/>
      <c r="N589" s="153"/>
      <c r="O589" s="153"/>
      <c r="P589" s="152"/>
      <c r="Q589" s="152"/>
      <c r="R589" s="153"/>
      <c r="S589" s="154"/>
      <c r="T589" s="115"/>
    </row>
    <row r="590" spans="1:20">
      <c r="A590" t="s">
        <v>1230</v>
      </c>
      <c r="B590" t="s">
        <v>72</v>
      </c>
      <c r="C590" t="s">
        <v>59</v>
      </c>
      <c r="D590" t="s">
        <v>227</v>
      </c>
      <c r="E590" t="s">
        <v>2387</v>
      </c>
      <c r="F590" s="121">
        <v>199000</v>
      </c>
      <c r="G590" s="121">
        <v>199000</v>
      </c>
      <c r="H590" t="s">
        <v>2388</v>
      </c>
      <c r="I590" s="156">
        <v>41218</v>
      </c>
      <c r="K590" s="153"/>
      <c r="L590" s="153"/>
      <c r="M590" s="153"/>
      <c r="N590" s="153"/>
      <c r="O590" s="153"/>
      <c r="P590" s="152"/>
      <c r="Q590" s="152"/>
      <c r="R590" s="153"/>
      <c r="S590" s="154"/>
      <c r="T590" s="115"/>
    </row>
    <row r="591" spans="1:20">
      <c r="A591" t="s">
        <v>1230</v>
      </c>
      <c r="B591" t="s">
        <v>72</v>
      </c>
      <c r="C591" t="s">
        <v>59</v>
      </c>
      <c r="D591" t="s">
        <v>227</v>
      </c>
      <c r="E591" t="s">
        <v>2389</v>
      </c>
      <c r="F591" s="121">
        <v>199000</v>
      </c>
      <c r="G591" s="121">
        <v>199000</v>
      </c>
      <c r="H591" t="s">
        <v>2390</v>
      </c>
      <c r="I591" s="156">
        <v>41218</v>
      </c>
      <c r="K591" s="153"/>
      <c r="L591" s="153"/>
      <c r="M591" s="153"/>
      <c r="N591" s="153"/>
      <c r="O591" s="153"/>
      <c r="P591" s="152"/>
      <c r="Q591" s="152"/>
      <c r="R591" s="153"/>
      <c r="S591" s="154"/>
      <c r="T591" s="115"/>
    </row>
    <row r="592" spans="1:20">
      <c r="A592" t="s">
        <v>1230</v>
      </c>
      <c r="B592" t="s">
        <v>72</v>
      </c>
      <c r="C592" t="s">
        <v>59</v>
      </c>
      <c r="D592" t="s">
        <v>227</v>
      </c>
      <c r="E592" t="s">
        <v>2391</v>
      </c>
      <c r="F592" s="121">
        <v>199000</v>
      </c>
      <c r="G592" s="121">
        <v>199000</v>
      </c>
      <c r="H592" t="s">
        <v>2392</v>
      </c>
      <c r="I592" s="156">
        <v>41218</v>
      </c>
      <c r="K592" s="153"/>
      <c r="L592" s="153"/>
      <c r="M592" s="153"/>
      <c r="N592" s="153"/>
      <c r="O592" s="153"/>
      <c r="P592" s="152"/>
      <c r="Q592" s="152"/>
      <c r="R592" s="153"/>
      <c r="S592" s="154"/>
      <c r="T592" s="115"/>
    </row>
    <row r="593" spans="1:20">
      <c r="A593" t="s">
        <v>1230</v>
      </c>
      <c r="B593" t="s">
        <v>73</v>
      </c>
      <c r="C593" t="s">
        <v>59</v>
      </c>
      <c r="D593" t="s">
        <v>227</v>
      </c>
      <c r="E593" t="s">
        <v>2393</v>
      </c>
      <c r="F593" s="121">
        <v>199000</v>
      </c>
      <c r="G593" s="121">
        <v>199000</v>
      </c>
      <c r="H593" t="s">
        <v>2394</v>
      </c>
      <c r="I593" s="156">
        <v>41218</v>
      </c>
      <c r="K593" s="153"/>
      <c r="L593" s="153"/>
      <c r="M593" s="153"/>
      <c r="N593" s="153"/>
      <c r="O593" s="153"/>
      <c r="P593" s="152"/>
      <c r="Q593" s="152"/>
      <c r="R593" s="153"/>
      <c r="S593" s="154"/>
      <c r="T593" s="115"/>
    </row>
    <row r="594" spans="1:20">
      <c r="A594" t="s">
        <v>1230</v>
      </c>
      <c r="B594" t="s">
        <v>73</v>
      </c>
      <c r="C594" t="s">
        <v>59</v>
      </c>
      <c r="D594" t="s">
        <v>227</v>
      </c>
      <c r="E594" t="s">
        <v>2395</v>
      </c>
      <c r="F594" s="121">
        <v>199000</v>
      </c>
      <c r="G594" s="121">
        <v>199000</v>
      </c>
      <c r="H594" t="s">
        <v>2396</v>
      </c>
      <c r="I594" s="156">
        <v>41218</v>
      </c>
      <c r="K594" s="153"/>
      <c r="L594" s="153"/>
      <c r="M594" s="153"/>
      <c r="N594" s="153"/>
      <c r="O594" s="153"/>
      <c r="P594" s="152"/>
      <c r="Q594" s="152"/>
      <c r="R594" s="153"/>
      <c r="S594" s="154"/>
      <c r="T594" s="115"/>
    </row>
    <row r="595" spans="1:20">
      <c r="A595" t="s">
        <v>1230</v>
      </c>
      <c r="B595" t="s">
        <v>72</v>
      </c>
      <c r="C595" t="s">
        <v>69</v>
      </c>
      <c r="D595" t="s">
        <v>314</v>
      </c>
      <c r="E595" t="s">
        <v>2397</v>
      </c>
      <c r="F595" s="121">
        <v>24412</v>
      </c>
      <c r="G595" s="121">
        <v>24412</v>
      </c>
      <c r="H595" t="s">
        <v>2398</v>
      </c>
      <c r="I595" s="156">
        <v>41219</v>
      </c>
      <c r="K595" s="153"/>
      <c r="L595" s="153"/>
      <c r="M595" s="153"/>
      <c r="N595" s="153"/>
      <c r="O595" s="153"/>
      <c r="P595" s="152"/>
      <c r="Q595" s="152"/>
      <c r="R595" s="153"/>
      <c r="S595" s="154"/>
      <c r="T595" s="115"/>
    </row>
    <row r="596" spans="1:20">
      <c r="A596" t="s">
        <v>1230</v>
      </c>
      <c r="B596" t="s">
        <v>72</v>
      </c>
      <c r="C596" t="s">
        <v>59</v>
      </c>
      <c r="D596" t="s">
        <v>227</v>
      </c>
      <c r="E596" t="s">
        <v>2399</v>
      </c>
      <c r="F596" s="121">
        <v>199000</v>
      </c>
      <c r="G596" s="121">
        <v>199000</v>
      </c>
      <c r="H596" t="s">
        <v>2400</v>
      </c>
      <c r="I596" s="156">
        <v>41220</v>
      </c>
      <c r="K596" s="153"/>
      <c r="L596" s="153"/>
      <c r="M596" s="153"/>
      <c r="N596" s="153"/>
      <c r="O596" s="153"/>
      <c r="P596" s="152"/>
      <c r="Q596" s="152"/>
      <c r="R596" s="153"/>
      <c r="S596" s="154"/>
      <c r="T596" s="115"/>
    </row>
    <row r="597" spans="1:20">
      <c r="A597" t="s">
        <v>1230</v>
      </c>
      <c r="B597" t="s">
        <v>72</v>
      </c>
      <c r="C597" t="s">
        <v>42</v>
      </c>
      <c r="D597" t="s">
        <v>167</v>
      </c>
      <c r="E597" t="s">
        <v>2401</v>
      </c>
      <c r="F597" s="121">
        <v>561750</v>
      </c>
      <c r="G597" s="121">
        <v>561750</v>
      </c>
      <c r="H597" t="s">
        <v>2402</v>
      </c>
      <c r="I597" s="156">
        <v>41220</v>
      </c>
      <c r="K597" s="153"/>
      <c r="L597" s="153"/>
      <c r="M597" s="153"/>
      <c r="N597" s="153"/>
      <c r="O597" s="153"/>
      <c r="P597" s="152"/>
      <c r="Q597" s="152"/>
      <c r="R597" s="153"/>
      <c r="S597" s="154"/>
      <c r="T597" s="115"/>
    </row>
    <row r="598" spans="1:20">
      <c r="A598" t="s">
        <v>1230</v>
      </c>
      <c r="B598" t="s">
        <v>72</v>
      </c>
      <c r="C598" t="s">
        <v>59</v>
      </c>
      <c r="D598" t="s">
        <v>227</v>
      </c>
      <c r="E598" t="s">
        <v>2403</v>
      </c>
      <c r="F598" s="121">
        <v>199000</v>
      </c>
      <c r="G598" s="121">
        <v>199000</v>
      </c>
      <c r="H598" t="s">
        <v>2404</v>
      </c>
      <c r="I598" s="156">
        <v>41234</v>
      </c>
      <c r="K598" s="153"/>
      <c r="L598" s="153"/>
      <c r="M598" s="153"/>
      <c r="N598" s="153"/>
      <c r="O598" s="153"/>
      <c r="P598" s="152"/>
      <c r="Q598" s="152"/>
      <c r="R598" s="153"/>
      <c r="S598" s="154"/>
      <c r="T598" s="115"/>
    </row>
    <row r="599" spans="1:20">
      <c r="A599" t="s">
        <v>1230</v>
      </c>
      <c r="B599" t="s">
        <v>72</v>
      </c>
      <c r="C599" t="s">
        <v>51</v>
      </c>
      <c r="D599" t="s">
        <v>478</v>
      </c>
      <c r="E599" t="s">
        <v>2405</v>
      </c>
      <c r="F599" s="121">
        <v>9200</v>
      </c>
      <c r="G599" s="121">
        <v>9200</v>
      </c>
      <c r="H599" t="s">
        <v>396</v>
      </c>
      <c r="I599" s="156">
        <v>41234</v>
      </c>
      <c r="K599" s="153"/>
      <c r="L599" s="153"/>
      <c r="M599" s="153"/>
      <c r="N599" s="153"/>
      <c r="O599" s="153"/>
      <c r="P599" s="152"/>
      <c r="Q599" s="152"/>
      <c r="R599" s="153"/>
      <c r="S599" s="154"/>
      <c r="T599" s="115"/>
    </row>
    <row r="600" spans="1:20">
      <c r="A600" t="s">
        <v>1230</v>
      </c>
      <c r="B600" t="s">
        <v>72</v>
      </c>
      <c r="C600" t="s">
        <v>53</v>
      </c>
      <c r="D600" t="s">
        <v>479</v>
      </c>
      <c r="E600" t="s">
        <v>2406</v>
      </c>
      <c r="F600" s="121">
        <v>8200</v>
      </c>
      <c r="G600" s="121">
        <v>8200</v>
      </c>
      <c r="H600" t="s">
        <v>396</v>
      </c>
      <c r="I600" s="156">
        <v>41234</v>
      </c>
      <c r="K600" s="153"/>
      <c r="L600" s="153"/>
      <c r="M600" s="153"/>
      <c r="N600" s="153"/>
      <c r="O600" s="153"/>
      <c r="P600" s="152"/>
      <c r="Q600" s="152"/>
      <c r="R600" s="153"/>
      <c r="S600" s="154"/>
      <c r="T600" s="115"/>
    </row>
    <row r="601" spans="1:20">
      <c r="A601" t="s">
        <v>1230</v>
      </c>
      <c r="B601" t="s">
        <v>72</v>
      </c>
      <c r="C601" t="s">
        <v>51</v>
      </c>
      <c r="D601" t="s">
        <v>480</v>
      </c>
      <c r="E601" t="s">
        <v>2407</v>
      </c>
      <c r="F601" s="121">
        <v>2240</v>
      </c>
      <c r="G601" s="121">
        <v>2240</v>
      </c>
      <c r="H601" t="s">
        <v>396</v>
      </c>
      <c r="I601" s="156">
        <v>41234</v>
      </c>
      <c r="K601" s="153"/>
      <c r="L601" s="153"/>
      <c r="M601" s="153"/>
      <c r="N601" s="153"/>
      <c r="O601" s="153"/>
      <c r="P601" s="152"/>
      <c r="Q601" s="152"/>
      <c r="R601" s="153"/>
      <c r="S601" s="154"/>
      <c r="T601" s="115"/>
    </row>
    <row r="602" spans="1:20">
      <c r="A602" t="s">
        <v>1230</v>
      </c>
      <c r="B602" t="s">
        <v>72</v>
      </c>
      <c r="C602" t="s">
        <v>52</v>
      </c>
      <c r="D602" t="s">
        <v>196</v>
      </c>
      <c r="E602" t="s">
        <v>2408</v>
      </c>
      <c r="F602" s="121">
        <v>5888</v>
      </c>
      <c r="G602" s="121">
        <v>5888</v>
      </c>
      <c r="H602" t="s">
        <v>396</v>
      </c>
      <c r="I602" s="156">
        <v>41239</v>
      </c>
      <c r="K602" s="153"/>
      <c r="L602" s="153"/>
      <c r="M602" s="153"/>
      <c r="N602" s="153"/>
      <c r="O602" s="153"/>
      <c r="P602" s="152"/>
      <c r="Q602" s="152"/>
      <c r="R602" s="153"/>
      <c r="S602" s="154"/>
      <c r="T602" s="115"/>
    </row>
    <row r="603" spans="1:20">
      <c r="A603" t="s">
        <v>1230</v>
      </c>
      <c r="B603" t="s">
        <v>72</v>
      </c>
      <c r="C603" t="s">
        <v>52</v>
      </c>
      <c r="D603" t="s">
        <v>197</v>
      </c>
      <c r="E603" t="s">
        <v>2409</v>
      </c>
      <c r="F603" s="121">
        <v>9013</v>
      </c>
      <c r="G603" s="121">
        <v>9013</v>
      </c>
      <c r="H603" t="s">
        <v>396</v>
      </c>
      <c r="I603" s="156">
        <v>41239</v>
      </c>
      <c r="K603" s="153"/>
      <c r="L603" s="153"/>
      <c r="M603" s="153"/>
      <c r="N603" s="153"/>
      <c r="O603" s="153"/>
      <c r="P603" s="152"/>
      <c r="Q603" s="152"/>
      <c r="R603" s="153"/>
      <c r="S603" s="154"/>
      <c r="T603" s="115"/>
    </row>
    <row r="604" spans="1:20">
      <c r="A604" t="s">
        <v>1230</v>
      </c>
      <c r="B604" t="s">
        <v>73</v>
      </c>
      <c r="C604" t="s">
        <v>51</v>
      </c>
      <c r="D604" t="s">
        <v>481</v>
      </c>
      <c r="E604" t="s">
        <v>2410</v>
      </c>
      <c r="F604" s="121">
        <v>2400</v>
      </c>
      <c r="G604" s="121">
        <v>2400</v>
      </c>
      <c r="H604" t="s">
        <v>482</v>
      </c>
      <c r="I604" s="156">
        <v>41277</v>
      </c>
      <c r="K604" s="153"/>
      <c r="L604" s="153"/>
      <c r="M604" s="153"/>
      <c r="N604" s="153"/>
      <c r="O604" s="153"/>
      <c r="P604" s="152"/>
      <c r="Q604" s="152"/>
      <c r="R604" s="153"/>
      <c r="S604" s="154"/>
      <c r="T604" s="115"/>
    </row>
    <row r="605" spans="1:20">
      <c r="A605" t="s">
        <v>1230</v>
      </c>
      <c r="B605" t="s">
        <v>72</v>
      </c>
      <c r="C605" t="s">
        <v>59</v>
      </c>
      <c r="D605" t="s">
        <v>228</v>
      </c>
      <c r="E605" t="s">
        <v>2412</v>
      </c>
      <c r="F605" s="121">
        <v>16000</v>
      </c>
      <c r="G605" s="121">
        <v>16000</v>
      </c>
      <c r="H605" t="s">
        <v>447</v>
      </c>
      <c r="I605" s="156">
        <v>41277</v>
      </c>
      <c r="K605" s="153"/>
      <c r="L605" s="153"/>
      <c r="M605" s="153"/>
      <c r="N605" s="153"/>
      <c r="O605" s="153"/>
      <c r="P605" s="152"/>
      <c r="Q605" s="152"/>
      <c r="R605" s="153"/>
      <c r="S605" s="154"/>
      <c r="T605" s="115"/>
    </row>
    <row r="606" spans="1:20">
      <c r="A606" t="s">
        <v>1230</v>
      </c>
      <c r="B606" t="s">
        <v>73</v>
      </c>
      <c r="C606" t="s">
        <v>42</v>
      </c>
      <c r="D606" t="s">
        <v>173</v>
      </c>
      <c r="E606" t="s">
        <v>2413</v>
      </c>
      <c r="F606" s="121">
        <v>561750</v>
      </c>
      <c r="G606" s="121">
        <v>561750</v>
      </c>
      <c r="H606" t="s">
        <v>2414</v>
      </c>
      <c r="I606" s="156">
        <v>41257</v>
      </c>
      <c r="K606" s="153"/>
      <c r="L606" s="153"/>
      <c r="M606" s="153"/>
      <c r="N606" s="153"/>
      <c r="O606" s="153"/>
      <c r="P606" s="152"/>
      <c r="Q606" s="152"/>
      <c r="R606" s="153"/>
      <c r="S606" s="154"/>
      <c r="T606" s="115"/>
    </row>
    <row r="607" spans="1:20">
      <c r="A607" t="s">
        <v>1230</v>
      </c>
      <c r="B607" t="s">
        <v>72</v>
      </c>
      <c r="C607" t="s">
        <v>50</v>
      </c>
      <c r="D607" t="s">
        <v>483</v>
      </c>
      <c r="E607" t="s">
        <v>2415</v>
      </c>
      <c r="F607" s="121">
        <v>3037.38</v>
      </c>
      <c r="G607" s="121">
        <v>3037.38</v>
      </c>
      <c r="H607" t="s">
        <v>474</v>
      </c>
      <c r="I607" s="156">
        <v>41257</v>
      </c>
      <c r="K607" s="153"/>
      <c r="L607" s="153"/>
      <c r="M607" s="153"/>
      <c r="N607" s="153"/>
      <c r="O607" s="153"/>
      <c r="P607" s="152"/>
      <c r="Q607" s="152"/>
      <c r="R607" s="153"/>
      <c r="S607" s="154"/>
      <c r="T607" s="115"/>
    </row>
    <row r="608" spans="1:20">
      <c r="A608" t="s">
        <v>1230</v>
      </c>
      <c r="B608" t="s">
        <v>72</v>
      </c>
      <c r="C608" t="s">
        <v>50</v>
      </c>
      <c r="D608" t="s">
        <v>484</v>
      </c>
      <c r="E608" t="s">
        <v>2416</v>
      </c>
      <c r="F608" s="121">
        <v>5256.01</v>
      </c>
      <c r="G608" s="121">
        <v>5256.01</v>
      </c>
      <c r="H608" t="s">
        <v>474</v>
      </c>
      <c r="I608" s="156">
        <v>41257</v>
      </c>
      <c r="K608" s="153"/>
      <c r="L608" s="153"/>
      <c r="M608" s="153"/>
      <c r="N608" s="153"/>
      <c r="O608" s="153"/>
      <c r="P608" s="152"/>
      <c r="Q608" s="152"/>
      <c r="R608" s="153"/>
      <c r="S608" s="154"/>
      <c r="T608" s="115"/>
    </row>
    <row r="609" spans="1:20">
      <c r="A609" t="s">
        <v>1231</v>
      </c>
      <c r="B609" t="s">
        <v>71</v>
      </c>
      <c r="C609" t="s">
        <v>1018</v>
      </c>
      <c r="D609" t="s">
        <v>109</v>
      </c>
      <c r="E609" t="s">
        <v>2417</v>
      </c>
      <c r="F609" s="121">
        <v>450000</v>
      </c>
      <c r="G609" s="121">
        <v>450000</v>
      </c>
      <c r="H609" t="s">
        <v>485</v>
      </c>
      <c r="I609" s="156">
        <v>41249</v>
      </c>
      <c r="K609" s="153"/>
      <c r="L609" s="153"/>
      <c r="M609" s="153"/>
      <c r="N609" s="153"/>
      <c r="O609" s="153"/>
      <c r="P609" s="152"/>
      <c r="Q609" s="152"/>
      <c r="R609" s="153"/>
      <c r="S609" s="154"/>
      <c r="T609" s="115"/>
    </row>
    <row r="610" spans="1:20">
      <c r="A610" t="s">
        <v>1230</v>
      </c>
      <c r="B610" t="s">
        <v>72</v>
      </c>
      <c r="C610" t="s">
        <v>69</v>
      </c>
      <c r="D610" t="s">
        <v>315</v>
      </c>
      <c r="E610" t="s">
        <v>2418</v>
      </c>
      <c r="F610" s="121">
        <v>31975.200000000001</v>
      </c>
      <c r="G610" s="121">
        <v>31975.200000000001</v>
      </c>
      <c r="H610" t="s">
        <v>2419</v>
      </c>
      <c r="I610" s="156">
        <v>41283</v>
      </c>
      <c r="K610" s="153"/>
      <c r="L610" s="153"/>
      <c r="M610" s="153"/>
      <c r="N610" s="153"/>
      <c r="O610" s="153"/>
      <c r="P610" s="152"/>
      <c r="Q610" s="152"/>
      <c r="R610" s="153"/>
      <c r="S610" s="154"/>
      <c r="T610" s="115"/>
    </row>
    <row r="611" spans="1:20">
      <c r="A611" t="s">
        <v>1230</v>
      </c>
      <c r="B611" t="s">
        <v>73</v>
      </c>
      <c r="C611" t="s">
        <v>42</v>
      </c>
      <c r="D611" t="s">
        <v>173</v>
      </c>
      <c r="E611" t="s">
        <v>2420</v>
      </c>
      <c r="F611" s="121">
        <v>561750</v>
      </c>
      <c r="G611" s="121">
        <v>561750</v>
      </c>
      <c r="H611" t="s">
        <v>2421</v>
      </c>
      <c r="I611" s="156">
        <v>41257</v>
      </c>
      <c r="K611" s="153"/>
      <c r="L611" s="153"/>
      <c r="M611" s="153"/>
      <c r="N611" s="153"/>
      <c r="O611" s="153"/>
      <c r="P611" s="152"/>
      <c r="Q611" s="152"/>
      <c r="R611" s="153"/>
      <c r="S611" s="154"/>
      <c r="T611" s="115"/>
    </row>
    <row r="612" spans="1:20">
      <c r="A612" t="s">
        <v>1230</v>
      </c>
      <c r="B612" t="s">
        <v>72</v>
      </c>
      <c r="C612" t="s">
        <v>39</v>
      </c>
      <c r="D612" t="s">
        <v>152</v>
      </c>
      <c r="E612" t="s">
        <v>2422</v>
      </c>
      <c r="F612" s="121">
        <v>6000</v>
      </c>
      <c r="G612" s="121">
        <v>6000</v>
      </c>
      <c r="H612" t="s">
        <v>396</v>
      </c>
      <c r="I612" s="156">
        <v>41241</v>
      </c>
      <c r="K612" s="153"/>
      <c r="L612" s="153"/>
      <c r="M612" s="153"/>
      <c r="N612" s="153"/>
      <c r="O612" s="153"/>
      <c r="P612" s="152"/>
      <c r="Q612" s="152"/>
      <c r="R612" s="153"/>
      <c r="S612" s="154"/>
      <c r="T612" s="151"/>
    </row>
    <row r="613" spans="1:20">
      <c r="A613" t="s">
        <v>1230</v>
      </c>
      <c r="B613" t="s">
        <v>72</v>
      </c>
      <c r="C613" t="s">
        <v>39</v>
      </c>
      <c r="D613" t="s">
        <v>152</v>
      </c>
      <c r="E613" t="s">
        <v>2423</v>
      </c>
      <c r="F613" s="121">
        <v>6000</v>
      </c>
      <c r="G613" s="121">
        <v>6000</v>
      </c>
      <c r="H613" t="s">
        <v>396</v>
      </c>
      <c r="I613" s="156">
        <v>41270</v>
      </c>
      <c r="K613" s="153"/>
      <c r="L613" s="153"/>
      <c r="M613" s="153"/>
      <c r="N613" s="153"/>
      <c r="O613" s="153"/>
      <c r="P613" s="152"/>
      <c r="Q613" s="152"/>
      <c r="R613" s="153"/>
      <c r="S613" s="154"/>
      <c r="T613" s="115"/>
    </row>
    <row r="614" spans="1:20">
      <c r="A614" t="s">
        <v>1230</v>
      </c>
      <c r="B614" t="s">
        <v>72</v>
      </c>
      <c r="C614" t="s">
        <v>49</v>
      </c>
      <c r="D614" t="s">
        <v>486</v>
      </c>
      <c r="E614" t="s">
        <v>2424</v>
      </c>
      <c r="F614" s="121">
        <v>30000</v>
      </c>
      <c r="G614" s="121">
        <v>30000</v>
      </c>
      <c r="H614" t="s">
        <v>396</v>
      </c>
      <c r="I614" s="156">
        <v>41290</v>
      </c>
      <c r="K614" s="153"/>
      <c r="L614" s="153"/>
      <c r="M614" s="153"/>
      <c r="N614" s="153"/>
      <c r="O614" s="153"/>
      <c r="P614" s="152"/>
      <c r="Q614" s="152"/>
      <c r="R614" s="153"/>
      <c r="S614" s="154"/>
      <c r="T614" s="115"/>
    </row>
    <row r="615" spans="1:20">
      <c r="A615" t="s">
        <v>1230</v>
      </c>
      <c r="B615" t="s">
        <v>72</v>
      </c>
      <c r="C615" t="s">
        <v>59</v>
      </c>
      <c r="D615" t="s">
        <v>226</v>
      </c>
      <c r="E615" t="s">
        <v>2425</v>
      </c>
      <c r="F615" s="121">
        <v>210000</v>
      </c>
      <c r="G615" s="121">
        <v>210000</v>
      </c>
      <c r="H615" t="s">
        <v>2426</v>
      </c>
      <c r="I615" s="156">
        <v>41283</v>
      </c>
      <c r="K615" s="153"/>
      <c r="L615" s="153"/>
      <c r="M615" s="153"/>
      <c r="N615" s="153"/>
      <c r="O615" s="153"/>
      <c r="P615" s="152"/>
      <c r="Q615" s="152"/>
      <c r="R615" s="153"/>
      <c r="S615" s="154"/>
      <c r="T615" s="115"/>
    </row>
    <row r="616" spans="1:20">
      <c r="A616" t="s">
        <v>1230</v>
      </c>
      <c r="B616" t="s">
        <v>72</v>
      </c>
      <c r="C616" t="s">
        <v>59</v>
      </c>
      <c r="D616" t="s">
        <v>226</v>
      </c>
      <c r="E616" t="s">
        <v>2427</v>
      </c>
      <c r="F616" s="121">
        <v>210000</v>
      </c>
      <c r="G616" s="121">
        <v>210000</v>
      </c>
      <c r="H616" t="s">
        <v>2428</v>
      </c>
      <c r="I616" s="156">
        <v>41283</v>
      </c>
      <c r="K616" s="153"/>
      <c r="L616" s="153"/>
      <c r="M616" s="153"/>
      <c r="N616" s="153"/>
      <c r="O616" s="153"/>
      <c r="P616" s="152"/>
      <c r="Q616" s="152"/>
      <c r="R616" s="153"/>
      <c r="S616" s="154"/>
      <c r="T616" s="115"/>
    </row>
    <row r="617" spans="1:20">
      <c r="A617" t="s">
        <v>1230</v>
      </c>
      <c r="B617" t="s">
        <v>72</v>
      </c>
      <c r="C617" t="s">
        <v>59</v>
      </c>
      <c r="D617" t="s">
        <v>226</v>
      </c>
      <c r="E617" t="s">
        <v>2429</v>
      </c>
      <c r="F617" s="121">
        <v>210000</v>
      </c>
      <c r="G617" s="121">
        <v>210000</v>
      </c>
      <c r="H617" t="s">
        <v>2430</v>
      </c>
      <c r="I617" s="156">
        <v>41283</v>
      </c>
      <c r="K617" s="153"/>
      <c r="L617" s="153"/>
      <c r="M617" s="153"/>
      <c r="N617" s="153"/>
      <c r="O617" s="153"/>
      <c r="P617" s="152"/>
      <c r="Q617" s="152"/>
      <c r="R617" s="153"/>
      <c r="S617" s="154"/>
      <c r="T617" s="115"/>
    </row>
    <row r="618" spans="1:20">
      <c r="A618" t="s">
        <v>1230</v>
      </c>
      <c r="B618" t="s">
        <v>72</v>
      </c>
      <c r="C618" t="s">
        <v>59</v>
      </c>
      <c r="D618" t="s">
        <v>226</v>
      </c>
      <c r="E618" t="s">
        <v>2431</v>
      </c>
      <c r="F618" s="121">
        <v>210000</v>
      </c>
      <c r="G618" s="121">
        <v>210000</v>
      </c>
      <c r="H618" t="s">
        <v>2432</v>
      </c>
      <c r="I618" s="156">
        <v>41283</v>
      </c>
      <c r="K618" s="153"/>
      <c r="L618" s="153"/>
      <c r="M618" s="153"/>
      <c r="N618" s="153"/>
      <c r="O618" s="153"/>
      <c r="P618" s="152"/>
      <c r="Q618" s="152"/>
      <c r="R618" s="153"/>
      <c r="S618" s="154"/>
      <c r="T618" s="115"/>
    </row>
    <row r="619" spans="1:20">
      <c r="A619" t="s">
        <v>1230</v>
      </c>
      <c r="B619" t="s">
        <v>72</v>
      </c>
      <c r="C619" t="s">
        <v>59</v>
      </c>
      <c r="D619" t="s">
        <v>226</v>
      </c>
      <c r="E619" t="s">
        <v>2433</v>
      </c>
      <c r="F619" s="121">
        <v>210000</v>
      </c>
      <c r="G619" s="121">
        <v>210000</v>
      </c>
      <c r="H619" t="s">
        <v>2434</v>
      </c>
      <c r="I619" s="156">
        <v>41283</v>
      </c>
      <c r="K619" s="153"/>
      <c r="L619" s="153"/>
      <c r="M619" s="153"/>
      <c r="N619" s="153"/>
      <c r="O619" s="153"/>
      <c r="P619" s="152"/>
      <c r="Q619" s="152"/>
      <c r="R619" s="153"/>
      <c r="S619" s="154"/>
      <c r="T619" s="115"/>
    </row>
    <row r="620" spans="1:20">
      <c r="A620" t="s">
        <v>1230</v>
      </c>
      <c r="B620" t="s">
        <v>72</v>
      </c>
      <c r="C620" t="s">
        <v>42</v>
      </c>
      <c r="D620" t="s">
        <v>168</v>
      </c>
      <c r="E620" t="s">
        <v>2435</v>
      </c>
      <c r="F620" s="121">
        <v>630000</v>
      </c>
      <c r="G620" s="121">
        <v>630000</v>
      </c>
      <c r="H620" t="s">
        <v>2436</v>
      </c>
      <c r="I620" s="156">
        <v>41283</v>
      </c>
      <c r="K620" s="153"/>
      <c r="L620" s="153"/>
      <c r="M620" s="153"/>
      <c r="N620" s="153"/>
      <c r="O620" s="153"/>
      <c r="P620" s="152"/>
      <c r="Q620" s="152"/>
      <c r="R620" s="153"/>
      <c r="S620" s="154"/>
      <c r="T620" s="115"/>
    </row>
    <row r="621" spans="1:20">
      <c r="A621" t="s">
        <v>1230</v>
      </c>
      <c r="B621" t="s">
        <v>72</v>
      </c>
      <c r="C621" t="s">
        <v>42</v>
      </c>
      <c r="D621" t="s">
        <v>168</v>
      </c>
      <c r="E621" t="s">
        <v>2437</v>
      </c>
      <c r="F621" s="121">
        <v>630000</v>
      </c>
      <c r="G621" s="121">
        <v>630000</v>
      </c>
      <c r="H621" t="s">
        <v>2438</v>
      </c>
      <c r="I621" s="156">
        <v>41283</v>
      </c>
      <c r="K621" s="153"/>
      <c r="L621" s="153"/>
      <c r="M621" s="153"/>
      <c r="N621" s="153"/>
      <c r="O621" s="153"/>
      <c r="P621" s="152"/>
      <c r="Q621" s="152"/>
      <c r="R621" s="153"/>
      <c r="S621" s="154"/>
      <c r="T621" s="115"/>
    </row>
    <row r="622" spans="1:20">
      <c r="A622" t="s">
        <v>1230</v>
      </c>
      <c r="B622" t="s">
        <v>72</v>
      </c>
      <c r="C622" t="s">
        <v>42</v>
      </c>
      <c r="D622" t="s">
        <v>168</v>
      </c>
      <c r="E622" t="s">
        <v>2439</v>
      </c>
      <c r="F622" s="121">
        <v>630000</v>
      </c>
      <c r="G622" s="121">
        <v>630000</v>
      </c>
      <c r="H622" t="s">
        <v>2440</v>
      </c>
      <c r="I622" s="156">
        <v>41283</v>
      </c>
      <c r="K622" s="153"/>
      <c r="L622" s="153"/>
      <c r="M622" s="153"/>
      <c r="N622" s="153"/>
      <c r="O622" s="153"/>
      <c r="P622" s="152"/>
      <c r="Q622" s="152"/>
      <c r="R622" s="153"/>
      <c r="S622" s="154"/>
      <c r="T622" s="115"/>
    </row>
    <row r="623" spans="1:20">
      <c r="A623" t="s">
        <v>1230</v>
      </c>
      <c r="B623" t="s">
        <v>72</v>
      </c>
      <c r="C623" t="s">
        <v>42</v>
      </c>
      <c r="D623" t="s">
        <v>168</v>
      </c>
      <c r="E623" t="s">
        <v>2441</v>
      </c>
      <c r="F623" s="121">
        <v>630000</v>
      </c>
      <c r="G623" s="121">
        <v>630000</v>
      </c>
      <c r="H623" t="s">
        <v>2442</v>
      </c>
      <c r="I623" s="156">
        <v>41283</v>
      </c>
      <c r="K623" s="153"/>
      <c r="L623" s="153"/>
      <c r="M623" s="153"/>
      <c r="N623" s="153"/>
      <c r="O623" s="153"/>
      <c r="P623" s="152"/>
      <c r="Q623" s="152"/>
      <c r="R623" s="153"/>
      <c r="S623" s="154"/>
      <c r="T623" s="115"/>
    </row>
    <row r="624" spans="1:20">
      <c r="A624" t="s">
        <v>1230</v>
      </c>
      <c r="B624" t="s">
        <v>72</v>
      </c>
      <c r="C624" t="s">
        <v>42</v>
      </c>
      <c r="D624" t="s">
        <v>168</v>
      </c>
      <c r="E624" t="s">
        <v>2443</v>
      </c>
      <c r="F624" s="121">
        <v>630000</v>
      </c>
      <c r="G624" s="121">
        <v>630000</v>
      </c>
      <c r="H624" t="s">
        <v>2444</v>
      </c>
      <c r="I624" s="156">
        <v>41283</v>
      </c>
      <c r="K624" s="153"/>
      <c r="L624" s="153"/>
      <c r="M624" s="153"/>
      <c r="N624" s="153"/>
      <c r="O624" s="153"/>
      <c r="P624" s="152"/>
      <c r="Q624" s="152"/>
      <c r="R624" s="153"/>
      <c r="S624" s="154"/>
      <c r="T624" s="115"/>
    </row>
    <row r="625" spans="1:20">
      <c r="A625" t="s">
        <v>1230</v>
      </c>
      <c r="B625" t="s">
        <v>72</v>
      </c>
      <c r="C625" t="s">
        <v>69</v>
      </c>
      <c r="D625" t="s">
        <v>316</v>
      </c>
      <c r="E625" t="s">
        <v>2445</v>
      </c>
      <c r="F625" s="121">
        <v>61203.4</v>
      </c>
      <c r="G625" s="121">
        <v>61203.4</v>
      </c>
      <c r="H625" t="s">
        <v>2446</v>
      </c>
      <c r="I625" s="156">
        <v>41257</v>
      </c>
      <c r="K625" s="153"/>
      <c r="L625" s="153"/>
      <c r="M625" s="153"/>
      <c r="N625" s="153"/>
      <c r="O625" s="153"/>
      <c r="P625" s="152"/>
      <c r="Q625" s="152"/>
      <c r="R625" s="153"/>
      <c r="S625" s="154"/>
      <c r="T625" s="115"/>
    </row>
    <row r="626" spans="1:20">
      <c r="A626" t="s">
        <v>1230</v>
      </c>
      <c r="B626" t="s">
        <v>72</v>
      </c>
      <c r="C626" t="s">
        <v>51</v>
      </c>
      <c r="D626" t="s">
        <v>487</v>
      </c>
      <c r="E626" t="s">
        <v>2447</v>
      </c>
      <c r="F626" s="121">
        <v>10000</v>
      </c>
      <c r="G626" s="121">
        <v>10000</v>
      </c>
      <c r="H626" t="s">
        <v>396</v>
      </c>
      <c r="I626" s="156">
        <v>41302</v>
      </c>
      <c r="K626" s="153"/>
      <c r="L626" s="153"/>
      <c r="M626" s="153"/>
      <c r="N626" s="153"/>
      <c r="O626" s="153"/>
      <c r="P626" s="152"/>
      <c r="Q626" s="152"/>
      <c r="R626" s="153"/>
      <c r="S626" s="154"/>
      <c r="T626" s="115"/>
    </row>
    <row r="627" spans="1:20">
      <c r="A627" t="s">
        <v>1230</v>
      </c>
      <c r="B627" t="s">
        <v>72</v>
      </c>
      <c r="C627" t="s">
        <v>51</v>
      </c>
      <c r="D627" t="s">
        <v>487</v>
      </c>
      <c r="E627" t="s">
        <v>2448</v>
      </c>
      <c r="F627" s="121">
        <v>10000</v>
      </c>
      <c r="G627" s="121">
        <v>10000</v>
      </c>
      <c r="H627" t="s">
        <v>396</v>
      </c>
      <c r="I627" s="156">
        <v>41302</v>
      </c>
      <c r="K627" s="153"/>
      <c r="L627" s="153"/>
      <c r="M627" s="153"/>
      <c r="N627" s="153"/>
      <c r="O627" s="153"/>
      <c r="P627" s="152"/>
      <c r="Q627" s="152"/>
      <c r="R627" s="153"/>
      <c r="S627" s="154"/>
      <c r="T627" s="115"/>
    </row>
    <row r="628" spans="1:20">
      <c r="A628" t="s">
        <v>1230</v>
      </c>
      <c r="B628" t="s">
        <v>72</v>
      </c>
      <c r="C628" t="s">
        <v>51</v>
      </c>
      <c r="D628" t="s">
        <v>461</v>
      </c>
      <c r="E628" t="s">
        <v>2449</v>
      </c>
      <c r="F628" s="121">
        <v>1500</v>
      </c>
      <c r="G628" s="121">
        <v>1500</v>
      </c>
      <c r="H628" t="s">
        <v>396</v>
      </c>
      <c r="I628" s="156">
        <v>41330</v>
      </c>
      <c r="K628" s="153"/>
      <c r="L628" s="153"/>
      <c r="M628" s="153"/>
      <c r="N628" s="153"/>
      <c r="O628" s="153"/>
      <c r="P628" s="152"/>
      <c r="Q628" s="152"/>
      <c r="R628" s="153"/>
      <c r="S628" s="154"/>
      <c r="T628" s="115"/>
    </row>
    <row r="629" spans="1:20">
      <c r="A629" t="s">
        <v>1230</v>
      </c>
      <c r="B629" t="s">
        <v>72</v>
      </c>
      <c r="C629" t="s">
        <v>51</v>
      </c>
      <c r="D629" t="s">
        <v>480</v>
      </c>
      <c r="E629" t="s">
        <v>2450</v>
      </c>
      <c r="F629" s="121">
        <v>2150</v>
      </c>
      <c r="G629" s="121">
        <v>2150</v>
      </c>
      <c r="H629" t="s">
        <v>396</v>
      </c>
      <c r="I629" s="156">
        <v>41327</v>
      </c>
      <c r="K629" s="153"/>
      <c r="L629" s="153"/>
      <c r="M629" s="153"/>
      <c r="N629" s="153"/>
      <c r="O629" s="153"/>
      <c r="P629" s="152"/>
      <c r="Q629" s="152"/>
      <c r="R629" s="153"/>
      <c r="S629" s="154"/>
      <c r="T629" s="115"/>
    </row>
    <row r="630" spans="1:20">
      <c r="A630" t="s">
        <v>1230</v>
      </c>
      <c r="B630" t="s">
        <v>1012</v>
      </c>
      <c r="C630" t="s">
        <v>65</v>
      </c>
      <c r="D630" t="s">
        <v>488</v>
      </c>
      <c r="E630" t="s">
        <v>7174</v>
      </c>
      <c r="F630" s="121">
        <v>7920</v>
      </c>
      <c r="G630" s="121">
        <v>7920</v>
      </c>
      <c r="H630" t="s">
        <v>458</v>
      </c>
      <c r="I630" s="156">
        <v>41327</v>
      </c>
      <c r="K630" s="153"/>
      <c r="L630" s="153"/>
      <c r="M630" s="153"/>
      <c r="N630" s="153"/>
      <c r="O630" s="153"/>
      <c r="P630" s="152"/>
      <c r="Q630" s="152"/>
      <c r="R630" s="153"/>
      <c r="S630" s="154"/>
      <c r="T630" s="115"/>
    </row>
    <row r="631" spans="1:20">
      <c r="A631" t="s">
        <v>1230</v>
      </c>
      <c r="B631" t="s">
        <v>75</v>
      </c>
      <c r="C631" t="s">
        <v>65</v>
      </c>
      <c r="D631" t="s">
        <v>488</v>
      </c>
      <c r="E631" t="s">
        <v>7175</v>
      </c>
      <c r="F631" s="121">
        <v>11100</v>
      </c>
      <c r="G631" s="121">
        <v>11100</v>
      </c>
      <c r="H631" t="s">
        <v>460</v>
      </c>
      <c r="I631" s="156">
        <v>41327</v>
      </c>
      <c r="K631" s="153"/>
      <c r="L631" s="153"/>
      <c r="M631" s="153"/>
      <c r="N631" s="153"/>
      <c r="O631" s="153"/>
      <c r="P631" s="152"/>
      <c r="Q631" s="152"/>
      <c r="R631" s="153"/>
      <c r="S631" s="154"/>
      <c r="T631" s="115"/>
    </row>
    <row r="632" spans="1:20">
      <c r="A632" t="s">
        <v>1230</v>
      </c>
      <c r="B632" t="s">
        <v>1012</v>
      </c>
      <c r="C632" t="s">
        <v>51</v>
      </c>
      <c r="D632" t="s">
        <v>489</v>
      </c>
      <c r="E632" t="s">
        <v>2451</v>
      </c>
      <c r="F632" s="121">
        <v>100000</v>
      </c>
      <c r="G632" s="121">
        <v>100000</v>
      </c>
      <c r="H632" t="s">
        <v>458</v>
      </c>
      <c r="I632" s="156">
        <v>41326</v>
      </c>
      <c r="K632" s="153"/>
      <c r="L632" s="153"/>
      <c r="M632" s="153"/>
      <c r="N632" s="153"/>
      <c r="O632" s="153"/>
      <c r="P632" s="152"/>
      <c r="Q632" s="152"/>
      <c r="R632" s="153"/>
      <c r="S632" s="154"/>
      <c r="T632" s="115"/>
    </row>
    <row r="633" spans="1:20">
      <c r="A633" t="s">
        <v>1230</v>
      </c>
      <c r="B633" t="s">
        <v>72</v>
      </c>
      <c r="C633" t="s">
        <v>46</v>
      </c>
      <c r="D633" t="s">
        <v>182</v>
      </c>
      <c r="E633" t="s">
        <v>2452</v>
      </c>
      <c r="F633" s="121">
        <v>62000</v>
      </c>
      <c r="G633" s="121">
        <v>62000</v>
      </c>
      <c r="H633" t="s">
        <v>490</v>
      </c>
      <c r="I633" s="156">
        <v>41333</v>
      </c>
      <c r="K633" s="153"/>
      <c r="L633" s="153"/>
      <c r="M633" s="153"/>
      <c r="N633" s="153"/>
      <c r="O633" s="153"/>
      <c r="P633" s="152"/>
      <c r="Q633" s="152"/>
      <c r="R633" s="153"/>
      <c r="S633" s="154"/>
      <c r="T633" s="115"/>
    </row>
    <row r="634" spans="1:20">
      <c r="A634" t="s">
        <v>1230</v>
      </c>
      <c r="B634" t="s">
        <v>72</v>
      </c>
      <c r="C634" t="s">
        <v>46</v>
      </c>
      <c r="D634" t="s">
        <v>182</v>
      </c>
      <c r="E634" t="s">
        <v>2453</v>
      </c>
      <c r="F634" s="121">
        <v>62000</v>
      </c>
      <c r="G634" s="121">
        <v>62000</v>
      </c>
      <c r="H634" t="s">
        <v>491</v>
      </c>
      <c r="I634" s="156">
        <v>41333</v>
      </c>
      <c r="K634" s="153"/>
      <c r="L634" s="153"/>
      <c r="M634" s="153"/>
      <c r="N634" s="153"/>
      <c r="O634" s="153"/>
      <c r="P634" s="152"/>
      <c r="Q634" s="152"/>
      <c r="R634" s="153"/>
      <c r="S634" s="154"/>
      <c r="T634" s="115"/>
    </row>
    <row r="635" spans="1:20">
      <c r="A635" t="s">
        <v>1230</v>
      </c>
      <c r="B635" t="s">
        <v>72</v>
      </c>
      <c r="C635" t="s">
        <v>51</v>
      </c>
      <c r="D635" t="s">
        <v>492</v>
      </c>
      <c r="E635" t="s">
        <v>2454</v>
      </c>
      <c r="F635" s="121">
        <v>2350</v>
      </c>
      <c r="G635" s="121">
        <v>2350</v>
      </c>
      <c r="H635" t="s">
        <v>493</v>
      </c>
      <c r="I635" s="156">
        <v>41333</v>
      </c>
      <c r="K635" s="153"/>
      <c r="L635" s="153"/>
      <c r="M635" s="153"/>
      <c r="N635" s="153"/>
      <c r="O635" s="153"/>
      <c r="P635" s="152"/>
      <c r="Q635" s="152"/>
      <c r="R635" s="153"/>
      <c r="S635" s="154"/>
      <c r="T635" s="115"/>
    </row>
    <row r="636" spans="1:20">
      <c r="A636" t="s">
        <v>1230</v>
      </c>
      <c r="B636" t="s">
        <v>72</v>
      </c>
      <c r="C636" t="s">
        <v>51</v>
      </c>
      <c r="D636" t="s">
        <v>484</v>
      </c>
      <c r="E636" t="s">
        <v>2455</v>
      </c>
      <c r="F636" s="121">
        <v>5140.3</v>
      </c>
      <c r="G636" s="121">
        <v>5140.3</v>
      </c>
      <c r="H636" t="s">
        <v>396</v>
      </c>
      <c r="I636" s="156">
        <v>41333</v>
      </c>
      <c r="K636" s="153"/>
      <c r="L636" s="153"/>
      <c r="M636" s="153"/>
      <c r="N636" s="153"/>
      <c r="O636" s="153"/>
      <c r="P636" s="152"/>
      <c r="Q636" s="152"/>
      <c r="R636" s="153"/>
      <c r="S636" s="154"/>
      <c r="T636" s="115"/>
    </row>
    <row r="637" spans="1:20">
      <c r="A637" t="s">
        <v>1230</v>
      </c>
      <c r="B637" t="s">
        <v>72</v>
      </c>
      <c r="C637" t="s">
        <v>51</v>
      </c>
      <c r="D637" t="s">
        <v>494</v>
      </c>
      <c r="E637" t="s">
        <v>2456</v>
      </c>
      <c r="F637" s="121">
        <v>3426.86</v>
      </c>
      <c r="G637" s="121">
        <v>3426.86</v>
      </c>
      <c r="H637" t="s">
        <v>396</v>
      </c>
      <c r="I637" s="156">
        <v>41333</v>
      </c>
      <c r="K637" s="153"/>
      <c r="L637" s="153"/>
      <c r="M637" s="153"/>
      <c r="N637" s="153"/>
      <c r="O637" s="153"/>
      <c r="P637" s="152"/>
      <c r="Q637" s="152"/>
      <c r="R637" s="153"/>
      <c r="S637" s="154"/>
      <c r="T637" s="115"/>
    </row>
    <row r="638" spans="1:20">
      <c r="A638" t="s">
        <v>1231</v>
      </c>
      <c r="B638" t="s">
        <v>71</v>
      </c>
      <c r="C638" t="s">
        <v>37</v>
      </c>
      <c r="D638" t="s">
        <v>129</v>
      </c>
      <c r="E638" t="s">
        <v>2457</v>
      </c>
      <c r="F638" s="121">
        <v>400000</v>
      </c>
      <c r="G638" s="121">
        <v>400000</v>
      </c>
      <c r="H638" t="s">
        <v>2458</v>
      </c>
      <c r="I638" s="156">
        <v>41330</v>
      </c>
      <c r="K638" s="153"/>
      <c r="L638" s="153"/>
      <c r="M638" s="153"/>
      <c r="N638" s="153"/>
      <c r="O638" s="153"/>
      <c r="P638" s="152"/>
      <c r="Q638" s="152"/>
      <c r="R638" s="153"/>
      <c r="S638" s="154"/>
      <c r="T638" s="115"/>
    </row>
    <row r="639" spans="1:20">
      <c r="A639" t="s">
        <v>1231</v>
      </c>
      <c r="B639" t="s">
        <v>71</v>
      </c>
      <c r="C639" t="s">
        <v>37</v>
      </c>
      <c r="D639" t="s">
        <v>129</v>
      </c>
      <c r="E639" t="s">
        <v>2459</v>
      </c>
      <c r="F639" s="121">
        <v>400000</v>
      </c>
      <c r="G639" s="121">
        <v>400000</v>
      </c>
      <c r="H639" t="s">
        <v>2460</v>
      </c>
      <c r="I639" s="156">
        <v>41330</v>
      </c>
      <c r="K639" s="153"/>
      <c r="L639" s="153"/>
      <c r="M639" s="153"/>
      <c r="N639" s="153"/>
      <c r="O639" s="153"/>
      <c r="P639" s="152"/>
      <c r="Q639" s="152"/>
      <c r="R639" s="153"/>
      <c r="S639" s="154"/>
      <c r="T639" s="115"/>
    </row>
    <row r="640" spans="1:20">
      <c r="A640" t="s">
        <v>1231</v>
      </c>
      <c r="B640" t="s">
        <v>71</v>
      </c>
      <c r="C640" t="s">
        <v>37</v>
      </c>
      <c r="D640" t="s">
        <v>129</v>
      </c>
      <c r="E640" t="s">
        <v>2461</v>
      </c>
      <c r="F640" s="121">
        <v>400000</v>
      </c>
      <c r="G640" s="121">
        <v>400000</v>
      </c>
      <c r="H640" t="s">
        <v>2462</v>
      </c>
      <c r="I640" s="156">
        <v>41330</v>
      </c>
      <c r="K640" s="153"/>
      <c r="L640" s="153"/>
      <c r="M640" s="153"/>
      <c r="N640" s="153"/>
      <c r="O640" s="153"/>
      <c r="P640" s="152"/>
      <c r="Q640" s="152"/>
      <c r="R640" s="153"/>
      <c r="S640" s="154"/>
      <c r="T640" s="115"/>
    </row>
    <row r="641" spans="1:20">
      <c r="A641" t="s">
        <v>1230</v>
      </c>
      <c r="B641" t="s">
        <v>72</v>
      </c>
      <c r="C641" t="s">
        <v>51</v>
      </c>
      <c r="D641" t="s">
        <v>498</v>
      </c>
      <c r="E641" t="s">
        <v>2463</v>
      </c>
      <c r="F641" s="121">
        <v>500</v>
      </c>
      <c r="G641" s="121">
        <v>500</v>
      </c>
      <c r="H641" t="s">
        <v>396</v>
      </c>
      <c r="I641" s="156">
        <v>41330</v>
      </c>
      <c r="K641" s="153"/>
      <c r="L641" s="153"/>
      <c r="M641" s="153"/>
      <c r="N641" s="153"/>
      <c r="O641" s="153"/>
      <c r="P641" s="152"/>
      <c r="Q641" s="152"/>
      <c r="R641" s="153"/>
      <c r="S641" s="154"/>
      <c r="T641" s="115"/>
    </row>
    <row r="642" spans="1:20">
      <c r="A642" t="s">
        <v>1230</v>
      </c>
      <c r="B642" t="s">
        <v>72</v>
      </c>
      <c r="C642" t="s">
        <v>51</v>
      </c>
      <c r="D642" t="s">
        <v>495</v>
      </c>
      <c r="E642" t="s">
        <v>2463</v>
      </c>
      <c r="F642" s="121">
        <v>3030</v>
      </c>
      <c r="G642" s="121">
        <v>3030</v>
      </c>
      <c r="H642" t="s">
        <v>396</v>
      </c>
      <c r="I642" s="156">
        <v>41330</v>
      </c>
      <c r="K642" s="153"/>
      <c r="L642" s="153"/>
      <c r="M642" s="153"/>
      <c r="N642" s="153"/>
      <c r="O642" s="153"/>
      <c r="P642" s="152"/>
      <c r="Q642" s="152"/>
      <c r="R642" s="153"/>
      <c r="S642" s="154"/>
      <c r="T642" s="115"/>
    </row>
    <row r="643" spans="1:20">
      <c r="A643" t="s">
        <v>1230</v>
      </c>
      <c r="B643" t="s">
        <v>72</v>
      </c>
      <c r="C643" t="s">
        <v>51</v>
      </c>
      <c r="D643" t="s">
        <v>496</v>
      </c>
      <c r="E643" t="s">
        <v>2463</v>
      </c>
      <c r="F643" s="121">
        <v>1515</v>
      </c>
      <c r="G643" s="121">
        <v>1515</v>
      </c>
      <c r="H643" t="s">
        <v>396</v>
      </c>
      <c r="I643" s="156">
        <v>41330</v>
      </c>
      <c r="K643" s="153"/>
      <c r="L643" s="153"/>
      <c r="M643" s="153"/>
      <c r="N643" s="153"/>
      <c r="O643" s="153"/>
      <c r="P643" s="152"/>
      <c r="Q643" s="152"/>
      <c r="R643" s="153"/>
      <c r="S643" s="154"/>
      <c r="T643" s="115"/>
    </row>
    <row r="644" spans="1:20">
      <c r="A644" t="s">
        <v>1230</v>
      </c>
      <c r="B644" t="s">
        <v>72</v>
      </c>
      <c r="C644" t="s">
        <v>51</v>
      </c>
      <c r="D644" t="s">
        <v>499</v>
      </c>
      <c r="E644" t="s">
        <v>2463</v>
      </c>
      <c r="F644" s="121">
        <v>600</v>
      </c>
      <c r="G644" s="121">
        <v>600</v>
      </c>
      <c r="H644" t="s">
        <v>396</v>
      </c>
      <c r="I644" s="156">
        <v>41330</v>
      </c>
      <c r="K644" s="153"/>
      <c r="L644" s="153"/>
      <c r="M644" s="153"/>
      <c r="N644" s="153"/>
      <c r="O644" s="153"/>
      <c r="P644" s="152"/>
      <c r="Q644" s="152"/>
      <c r="R644" s="153"/>
      <c r="S644" s="154"/>
      <c r="T644" s="115"/>
    </row>
    <row r="645" spans="1:20">
      <c r="A645" t="s">
        <v>1230</v>
      </c>
      <c r="B645" t="s">
        <v>72</v>
      </c>
      <c r="C645" t="s">
        <v>51</v>
      </c>
      <c r="D645" t="s">
        <v>497</v>
      </c>
      <c r="E645" t="s">
        <v>2463</v>
      </c>
      <c r="F645" s="121">
        <v>500</v>
      </c>
      <c r="G645" s="121">
        <v>500</v>
      </c>
      <c r="H645" t="s">
        <v>396</v>
      </c>
      <c r="I645" s="156">
        <v>41330</v>
      </c>
      <c r="K645" s="153"/>
      <c r="L645" s="153"/>
      <c r="M645" s="153"/>
      <c r="N645" s="153"/>
      <c r="O645" s="153"/>
      <c r="P645" s="152"/>
      <c r="Q645" s="152"/>
      <c r="R645" s="153"/>
      <c r="S645" s="154"/>
      <c r="T645" s="115"/>
    </row>
    <row r="646" spans="1:20">
      <c r="A646" t="s">
        <v>1230</v>
      </c>
      <c r="B646" t="s">
        <v>72</v>
      </c>
      <c r="C646" t="s">
        <v>51</v>
      </c>
      <c r="D646" t="s">
        <v>500</v>
      </c>
      <c r="E646" t="s">
        <v>2463</v>
      </c>
      <c r="F646" s="121">
        <v>20000</v>
      </c>
      <c r="G646" s="121">
        <v>20000</v>
      </c>
      <c r="H646" t="s">
        <v>396</v>
      </c>
      <c r="I646" s="156">
        <v>41324</v>
      </c>
      <c r="K646" s="153"/>
      <c r="L646" s="153"/>
      <c r="M646" s="153"/>
      <c r="N646" s="153"/>
      <c r="O646" s="153"/>
      <c r="P646" s="152"/>
      <c r="Q646" s="152"/>
      <c r="R646" s="153"/>
      <c r="S646" s="154"/>
      <c r="T646" s="115"/>
    </row>
    <row r="647" spans="1:20">
      <c r="A647" t="s">
        <v>1230</v>
      </c>
      <c r="B647" t="s">
        <v>72</v>
      </c>
      <c r="C647" t="s">
        <v>51</v>
      </c>
      <c r="D647" t="s">
        <v>496</v>
      </c>
      <c r="E647" t="s">
        <v>2463</v>
      </c>
      <c r="F647" s="121">
        <v>103855</v>
      </c>
      <c r="G647" s="121">
        <v>103855</v>
      </c>
      <c r="H647" t="s">
        <v>396</v>
      </c>
      <c r="I647" s="156">
        <v>41703</v>
      </c>
      <c r="K647" s="153"/>
      <c r="L647" s="153"/>
      <c r="M647" s="153"/>
      <c r="N647" s="153"/>
      <c r="O647" s="153"/>
      <c r="P647" s="152"/>
      <c r="Q647" s="152"/>
      <c r="R647" s="153"/>
      <c r="S647" s="154"/>
      <c r="T647" s="115"/>
    </row>
    <row r="648" spans="1:20">
      <c r="A648" t="s">
        <v>1230</v>
      </c>
      <c r="B648" t="s">
        <v>72</v>
      </c>
      <c r="C648" t="s">
        <v>39</v>
      </c>
      <c r="D648" t="s">
        <v>153</v>
      </c>
      <c r="E648" t="s">
        <v>2464</v>
      </c>
      <c r="F648" s="121">
        <v>17200</v>
      </c>
      <c r="G648" s="121">
        <v>17200</v>
      </c>
      <c r="H648" t="s">
        <v>396</v>
      </c>
      <c r="I648" s="156">
        <v>41347</v>
      </c>
      <c r="K648" s="153"/>
      <c r="L648" s="153"/>
      <c r="M648" s="153"/>
      <c r="N648" s="153"/>
      <c r="O648" s="153"/>
      <c r="P648" s="152"/>
      <c r="Q648" s="152"/>
      <c r="R648" s="153"/>
      <c r="S648" s="154"/>
      <c r="T648" s="115"/>
    </row>
    <row r="649" spans="1:20">
      <c r="A649" t="s">
        <v>1230</v>
      </c>
      <c r="B649" t="s">
        <v>72</v>
      </c>
      <c r="C649" t="s">
        <v>51</v>
      </c>
      <c r="D649" t="s">
        <v>501</v>
      </c>
      <c r="E649" t="s">
        <v>2465</v>
      </c>
      <c r="F649" s="121">
        <v>12722.68</v>
      </c>
      <c r="G649" s="121">
        <v>12722.68</v>
      </c>
      <c r="H649" t="s">
        <v>396</v>
      </c>
      <c r="I649" s="156">
        <v>41347</v>
      </c>
      <c r="K649" s="153"/>
      <c r="L649" s="153"/>
      <c r="M649" s="153"/>
      <c r="N649" s="153"/>
      <c r="O649" s="153"/>
      <c r="P649" s="152"/>
      <c r="Q649" s="152"/>
      <c r="R649" s="153"/>
      <c r="S649" s="154"/>
      <c r="T649" s="115"/>
    </row>
    <row r="650" spans="1:20">
      <c r="A650" t="s">
        <v>1230</v>
      </c>
      <c r="B650" t="s">
        <v>73</v>
      </c>
      <c r="C650" t="s">
        <v>46</v>
      </c>
      <c r="D650" t="s">
        <v>182</v>
      </c>
      <c r="E650" t="s">
        <v>2466</v>
      </c>
      <c r="F650" s="121">
        <v>68000</v>
      </c>
      <c r="G650" s="121">
        <v>68000</v>
      </c>
      <c r="H650" t="s">
        <v>2466</v>
      </c>
      <c r="I650" s="156">
        <v>41347</v>
      </c>
      <c r="K650" s="153"/>
      <c r="L650" s="153"/>
      <c r="M650" s="153"/>
      <c r="N650" s="153"/>
      <c r="O650" s="153"/>
      <c r="P650" s="152"/>
      <c r="Q650" s="152"/>
      <c r="R650" s="153"/>
      <c r="S650" s="154"/>
      <c r="T650" s="115"/>
    </row>
    <row r="651" spans="1:20">
      <c r="A651" t="s">
        <v>1230</v>
      </c>
      <c r="B651" t="s">
        <v>73</v>
      </c>
      <c r="C651" t="s">
        <v>46</v>
      </c>
      <c r="D651" t="s">
        <v>182</v>
      </c>
      <c r="E651" t="s">
        <v>2467</v>
      </c>
      <c r="F651" s="121">
        <v>68000</v>
      </c>
      <c r="G651" s="121">
        <v>68000</v>
      </c>
      <c r="H651" t="s">
        <v>2467</v>
      </c>
      <c r="I651" s="156">
        <v>41347</v>
      </c>
      <c r="K651" s="153"/>
      <c r="L651" s="153"/>
      <c r="M651" s="153"/>
      <c r="N651" s="153"/>
      <c r="O651" s="153"/>
      <c r="P651" s="152"/>
      <c r="Q651" s="152"/>
      <c r="R651" s="153"/>
      <c r="S651" s="154"/>
      <c r="T651" s="115"/>
    </row>
    <row r="652" spans="1:20">
      <c r="A652" t="s">
        <v>1230</v>
      </c>
      <c r="B652" t="s">
        <v>73</v>
      </c>
      <c r="C652" t="s">
        <v>46</v>
      </c>
      <c r="D652" t="s">
        <v>182</v>
      </c>
      <c r="E652" t="s">
        <v>2468</v>
      </c>
      <c r="F652" s="121">
        <v>68000</v>
      </c>
      <c r="G652" s="121">
        <v>68000</v>
      </c>
      <c r="H652" t="s">
        <v>2468</v>
      </c>
      <c r="I652" s="156">
        <v>41347</v>
      </c>
      <c r="K652" s="153"/>
      <c r="L652" s="153"/>
      <c r="M652" s="153"/>
      <c r="N652" s="153"/>
      <c r="O652" s="153"/>
      <c r="P652" s="152"/>
      <c r="Q652" s="152"/>
      <c r="R652" s="153"/>
      <c r="S652" s="154"/>
      <c r="T652" s="115"/>
    </row>
    <row r="653" spans="1:20">
      <c r="A653" t="s">
        <v>1230</v>
      </c>
      <c r="B653" t="s">
        <v>73</v>
      </c>
      <c r="C653" t="s">
        <v>46</v>
      </c>
      <c r="D653" t="s">
        <v>182</v>
      </c>
      <c r="E653" t="s">
        <v>2469</v>
      </c>
      <c r="F653" s="121">
        <v>68000</v>
      </c>
      <c r="G653" s="121">
        <v>68000</v>
      </c>
      <c r="H653" t="s">
        <v>2469</v>
      </c>
      <c r="I653" s="156">
        <v>41347</v>
      </c>
      <c r="K653" s="153"/>
      <c r="L653" s="153"/>
      <c r="M653" s="153"/>
      <c r="N653" s="153"/>
      <c r="O653" s="153"/>
      <c r="P653" s="152"/>
      <c r="Q653" s="152"/>
      <c r="R653" s="153"/>
      <c r="S653" s="154"/>
      <c r="T653" s="115"/>
    </row>
    <row r="654" spans="1:20">
      <c r="A654" t="s">
        <v>1230</v>
      </c>
      <c r="B654" t="s">
        <v>73</v>
      </c>
      <c r="C654" t="s">
        <v>46</v>
      </c>
      <c r="D654" t="s">
        <v>182</v>
      </c>
      <c r="E654" t="s">
        <v>2470</v>
      </c>
      <c r="F654" s="121">
        <v>68000</v>
      </c>
      <c r="G654" s="121">
        <v>68000</v>
      </c>
      <c r="H654" t="s">
        <v>2470</v>
      </c>
      <c r="I654" s="156">
        <v>41347</v>
      </c>
      <c r="K654" s="153"/>
      <c r="L654" s="153"/>
      <c r="M654" s="153"/>
      <c r="N654" s="153"/>
      <c r="O654" s="153"/>
      <c r="P654" s="152"/>
      <c r="Q654" s="152"/>
      <c r="R654" s="153"/>
      <c r="S654" s="154"/>
      <c r="T654" s="115"/>
    </row>
    <row r="655" spans="1:20">
      <c r="A655" t="s">
        <v>1230</v>
      </c>
      <c r="B655" t="s">
        <v>72</v>
      </c>
      <c r="C655" t="s">
        <v>51</v>
      </c>
      <c r="D655" t="s">
        <v>456</v>
      </c>
      <c r="E655" t="s">
        <v>2471</v>
      </c>
      <c r="F655" s="121">
        <v>2400</v>
      </c>
      <c r="G655" s="121">
        <v>2400</v>
      </c>
      <c r="H655" t="s">
        <v>396</v>
      </c>
      <c r="I655" s="156">
        <v>41348</v>
      </c>
      <c r="K655" s="153"/>
      <c r="L655" s="153"/>
      <c r="M655" s="153"/>
      <c r="N655" s="153"/>
      <c r="O655" s="153"/>
      <c r="P655" s="152"/>
      <c r="Q655" s="152"/>
      <c r="R655" s="153"/>
      <c r="S655" s="154"/>
      <c r="T655" s="115"/>
    </row>
    <row r="656" spans="1:20">
      <c r="A656" t="s">
        <v>1230</v>
      </c>
      <c r="B656" t="s">
        <v>72</v>
      </c>
      <c r="C656" t="s">
        <v>51</v>
      </c>
      <c r="D656" t="s">
        <v>502</v>
      </c>
      <c r="E656" t="s">
        <v>2472</v>
      </c>
      <c r="F656" s="121">
        <v>13300</v>
      </c>
      <c r="G656" s="121">
        <v>13300</v>
      </c>
      <c r="H656" t="s">
        <v>2473</v>
      </c>
      <c r="I656" s="156">
        <v>41348</v>
      </c>
      <c r="K656" s="153"/>
      <c r="L656" s="153"/>
      <c r="M656" s="153"/>
      <c r="N656" s="153"/>
      <c r="O656" s="153"/>
      <c r="P656" s="152"/>
      <c r="Q656" s="152"/>
      <c r="R656" s="153"/>
      <c r="S656" s="154"/>
      <c r="T656" s="115"/>
    </row>
    <row r="657" spans="1:20">
      <c r="A657" t="s">
        <v>1230</v>
      </c>
      <c r="B657" t="s">
        <v>72</v>
      </c>
      <c r="C657" t="s">
        <v>50</v>
      </c>
      <c r="D657" t="s">
        <v>505</v>
      </c>
      <c r="E657" t="s">
        <v>2474</v>
      </c>
      <c r="F657" s="121">
        <v>76386.37</v>
      </c>
      <c r="G657" s="121">
        <v>76386.37</v>
      </c>
      <c r="H657" t="s">
        <v>504</v>
      </c>
      <c r="I657" s="156">
        <v>41353</v>
      </c>
      <c r="K657" s="153"/>
      <c r="L657" s="153"/>
      <c r="M657" s="153"/>
      <c r="N657" s="153"/>
      <c r="O657" s="153"/>
      <c r="P657" s="152"/>
      <c r="Q657" s="152"/>
      <c r="R657" s="153"/>
      <c r="S657" s="154"/>
      <c r="T657" s="115"/>
    </row>
    <row r="658" spans="1:20">
      <c r="A658" t="s">
        <v>1230</v>
      </c>
      <c r="B658" t="s">
        <v>72</v>
      </c>
      <c r="C658" t="s">
        <v>50</v>
      </c>
      <c r="D658" t="s">
        <v>503</v>
      </c>
      <c r="E658" t="s">
        <v>2474</v>
      </c>
      <c r="F658" s="121">
        <v>13613.63</v>
      </c>
      <c r="G658" s="121">
        <v>13613.63</v>
      </c>
      <c r="H658" t="s">
        <v>504</v>
      </c>
      <c r="I658" s="156">
        <v>41353</v>
      </c>
      <c r="K658" s="153"/>
      <c r="L658" s="153"/>
      <c r="M658" s="153"/>
      <c r="N658" s="153"/>
      <c r="O658" s="153"/>
      <c r="P658" s="152"/>
      <c r="Q658" s="152"/>
      <c r="R658" s="153"/>
      <c r="S658" s="154"/>
      <c r="T658" s="151"/>
    </row>
    <row r="659" spans="1:20">
      <c r="A659" t="s">
        <v>1230</v>
      </c>
      <c r="B659" t="s">
        <v>74</v>
      </c>
      <c r="C659" t="s">
        <v>66</v>
      </c>
      <c r="D659" t="s">
        <v>279</v>
      </c>
      <c r="E659" t="s">
        <v>2475</v>
      </c>
      <c r="F659" s="121">
        <v>193000</v>
      </c>
      <c r="G659" s="121">
        <v>193000</v>
      </c>
      <c r="H659" t="s">
        <v>2476</v>
      </c>
      <c r="I659" s="156">
        <v>41361</v>
      </c>
      <c r="K659" s="153"/>
      <c r="L659" s="153"/>
      <c r="M659" s="153"/>
      <c r="N659" s="153"/>
      <c r="O659" s="153"/>
      <c r="P659" s="152"/>
      <c r="Q659" s="152"/>
      <c r="R659" s="153"/>
      <c r="S659" s="154"/>
      <c r="T659" s="115"/>
    </row>
    <row r="660" spans="1:20">
      <c r="A660" t="s">
        <v>1230</v>
      </c>
      <c r="B660" t="s">
        <v>74</v>
      </c>
      <c r="C660" t="s">
        <v>66</v>
      </c>
      <c r="D660" t="s">
        <v>279</v>
      </c>
      <c r="E660" t="s">
        <v>2475</v>
      </c>
      <c r="F660" s="121">
        <v>270.2</v>
      </c>
      <c r="G660" s="121">
        <v>270.2</v>
      </c>
      <c r="H660" t="s">
        <v>2476</v>
      </c>
      <c r="I660" s="156">
        <v>41360</v>
      </c>
      <c r="K660" s="153"/>
      <c r="L660" s="153"/>
      <c r="M660" s="153"/>
      <c r="N660" s="153"/>
      <c r="O660" s="153"/>
      <c r="P660" s="152"/>
      <c r="Q660" s="152"/>
      <c r="R660" s="153"/>
      <c r="S660" s="154"/>
      <c r="T660" s="115"/>
    </row>
    <row r="661" spans="1:20">
      <c r="A661" t="s">
        <v>1230</v>
      </c>
      <c r="B661" t="s">
        <v>74</v>
      </c>
      <c r="C661" t="s">
        <v>58</v>
      </c>
      <c r="D661" t="s">
        <v>216</v>
      </c>
      <c r="E661" t="s">
        <v>2477</v>
      </c>
      <c r="F661" s="121">
        <v>1390.67</v>
      </c>
      <c r="G661" s="121">
        <v>1390.67</v>
      </c>
      <c r="H661" t="s">
        <v>452</v>
      </c>
      <c r="I661" s="156">
        <v>41367</v>
      </c>
      <c r="K661" s="153"/>
      <c r="L661" s="153"/>
      <c r="M661" s="153"/>
      <c r="N661" s="153"/>
      <c r="O661" s="153"/>
      <c r="P661" s="152"/>
      <c r="Q661" s="152"/>
      <c r="R661" s="153"/>
      <c r="S661" s="154"/>
      <c r="T661" s="115"/>
    </row>
    <row r="662" spans="1:20">
      <c r="A662" t="s">
        <v>1230</v>
      </c>
      <c r="B662" t="s">
        <v>74</v>
      </c>
      <c r="C662" t="s">
        <v>58</v>
      </c>
      <c r="D662" t="s">
        <v>216</v>
      </c>
      <c r="E662" t="s">
        <v>2477</v>
      </c>
      <c r="F662" s="121">
        <v>298000</v>
      </c>
      <c r="G662" s="121">
        <v>298000</v>
      </c>
      <c r="H662" t="s">
        <v>452</v>
      </c>
      <c r="I662" s="156">
        <v>41355</v>
      </c>
      <c r="K662" s="153"/>
      <c r="L662" s="153"/>
      <c r="M662" s="153"/>
      <c r="N662" s="153"/>
      <c r="O662" s="153"/>
      <c r="P662" s="152"/>
      <c r="Q662" s="152"/>
      <c r="R662" s="153"/>
      <c r="S662" s="154"/>
      <c r="T662" s="115"/>
    </row>
    <row r="663" spans="1:20">
      <c r="A663" t="s">
        <v>1230</v>
      </c>
      <c r="B663" t="s">
        <v>74</v>
      </c>
      <c r="C663" t="s">
        <v>58</v>
      </c>
      <c r="D663" t="s">
        <v>217</v>
      </c>
      <c r="E663" t="s">
        <v>2478</v>
      </c>
      <c r="F663" s="121">
        <v>149500</v>
      </c>
      <c r="G663" s="121">
        <v>149500</v>
      </c>
      <c r="H663" t="s">
        <v>2479</v>
      </c>
      <c r="I663" s="156">
        <v>41358</v>
      </c>
      <c r="K663" s="153"/>
      <c r="L663" s="153"/>
      <c r="M663" s="153"/>
      <c r="N663" s="153"/>
      <c r="O663" s="153"/>
      <c r="P663" s="152"/>
      <c r="Q663" s="152"/>
      <c r="R663" s="153"/>
      <c r="S663" s="154"/>
      <c r="T663" s="115"/>
    </row>
    <row r="664" spans="1:20">
      <c r="A664" t="s">
        <v>1230</v>
      </c>
      <c r="B664" t="s">
        <v>74</v>
      </c>
      <c r="C664" t="s">
        <v>58</v>
      </c>
      <c r="D664" t="s">
        <v>217</v>
      </c>
      <c r="E664" t="s">
        <v>2478</v>
      </c>
      <c r="F664" s="121">
        <v>697.67</v>
      </c>
      <c r="G664" s="121">
        <v>697.67</v>
      </c>
      <c r="H664" t="s">
        <v>2479</v>
      </c>
      <c r="I664" s="156">
        <v>41367</v>
      </c>
      <c r="K664" s="153"/>
      <c r="L664" s="153"/>
      <c r="M664" s="153"/>
      <c r="N664" s="153"/>
      <c r="O664" s="153"/>
      <c r="P664" s="152"/>
      <c r="Q664" s="152"/>
      <c r="R664" s="153"/>
      <c r="S664" s="154"/>
      <c r="T664" s="115"/>
    </row>
    <row r="665" spans="1:20">
      <c r="A665" t="s">
        <v>1230</v>
      </c>
      <c r="B665" t="s">
        <v>74</v>
      </c>
      <c r="C665" t="s">
        <v>58</v>
      </c>
      <c r="D665" t="s">
        <v>217</v>
      </c>
      <c r="E665" t="s">
        <v>2480</v>
      </c>
      <c r="F665" s="121">
        <v>697.67</v>
      </c>
      <c r="G665" s="121">
        <v>697.67</v>
      </c>
      <c r="H665" t="s">
        <v>457</v>
      </c>
      <c r="I665" s="156">
        <v>41367</v>
      </c>
      <c r="K665" s="153"/>
      <c r="L665" s="153"/>
      <c r="M665" s="153"/>
      <c r="N665" s="153"/>
      <c r="O665" s="153"/>
      <c r="P665" s="152"/>
      <c r="Q665" s="152"/>
      <c r="R665" s="153"/>
      <c r="S665" s="154"/>
      <c r="T665" s="115"/>
    </row>
    <row r="666" spans="1:20">
      <c r="A666" t="s">
        <v>1230</v>
      </c>
      <c r="B666" t="s">
        <v>74</v>
      </c>
      <c r="C666" t="s">
        <v>58</v>
      </c>
      <c r="D666" t="s">
        <v>217</v>
      </c>
      <c r="E666" t="s">
        <v>2480</v>
      </c>
      <c r="F666" s="121">
        <v>149500</v>
      </c>
      <c r="G666" s="121">
        <v>149500</v>
      </c>
      <c r="H666" t="s">
        <v>2481</v>
      </c>
      <c r="I666" s="156">
        <v>41358</v>
      </c>
      <c r="K666" s="153"/>
      <c r="L666" s="153"/>
      <c r="M666" s="153"/>
      <c r="N666" s="153"/>
      <c r="O666" s="153"/>
      <c r="P666" s="152"/>
      <c r="Q666" s="152"/>
      <c r="R666" s="153"/>
      <c r="S666" s="154"/>
      <c r="T666" s="115"/>
    </row>
    <row r="667" spans="1:20">
      <c r="A667" t="s">
        <v>1230</v>
      </c>
      <c r="B667" t="s">
        <v>74</v>
      </c>
      <c r="C667" t="s">
        <v>62</v>
      </c>
      <c r="D667" t="s">
        <v>242</v>
      </c>
      <c r="E667" t="s">
        <v>2482</v>
      </c>
      <c r="F667" s="121">
        <v>1347.33</v>
      </c>
      <c r="G667" s="121">
        <v>1347.33</v>
      </c>
      <c r="H667" t="s">
        <v>2483</v>
      </c>
      <c r="I667" s="156">
        <v>41367</v>
      </c>
      <c r="K667" s="153"/>
      <c r="L667" s="153"/>
      <c r="M667" s="153"/>
      <c r="N667" s="153"/>
      <c r="O667" s="153"/>
      <c r="P667" s="152"/>
      <c r="Q667" s="152"/>
      <c r="R667" s="153"/>
      <c r="S667" s="154"/>
      <c r="T667" s="115"/>
    </row>
    <row r="668" spans="1:20">
      <c r="A668" t="s">
        <v>1230</v>
      </c>
      <c r="B668" t="s">
        <v>74</v>
      </c>
      <c r="C668" t="s">
        <v>62</v>
      </c>
      <c r="D668" t="s">
        <v>242</v>
      </c>
      <c r="E668" t="s">
        <v>2482</v>
      </c>
      <c r="F668" s="121">
        <v>470000</v>
      </c>
      <c r="G668" s="121">
        <v>470000</v>
      </c>
      <c r="H668" t="s">
        <v>2483</v>
      </c>
      <c r="I668" s="156">
        <v>41358</v>
      </c>
      <c r="K668" s="153"/>
      <c r="L668" s="153"/>
      <c r="M668" s="153"/>
      <c r="N668" s="153"/>
      <c r="O668" s="153"/>
      <c r="P668" s="152"/>
      <c r="Q668" s="152"/>
      <c r="R668" s="153"/>
      <c r="S668" s="154"/>
      <c r="T668" s="115"/>
    </row>
    <row r="669" spans="1:20">
      <c r="A669" t="s">
        <v>1230</v>
      </c>
      <c r="B669" t="s">
        <v>74</v>
      </c>
      <c r="C669" t="s">
        <v>42</v>
      </c>
      <c r="D669" t="s">
        <v>171</v>
      </c>
      <c r="E669" t="s">
        <v>2484</v>
      </c>
      <c r="F669" s="121">
        <v>376321.71</v>
      </c>
      <c r="G669" s="121">
        <v>376321.71</v>
      </c>
      <c r="H669" t="s">
        <v>2485</v>
      </c>
      <c r="I669" s="156">
        <v>41366</v>
      </c>
      <c r="K669" s="153"/>
      <c r="L669" s="153"/>
      <c r="M669" s="153"/>
      <c r="N669" s="153"/>
      <c r="O669" s="153"/>
      <c r="P669" s="150"/>
      <c r="Q669" s="150"/>
      <c r="R669" s="153"/>
      <c r="S669" s="154"/>
      <c r="T669" s="115"/>
    </row>
    <row r="670" spans="1:20">
      <c r="A670" t="s">
        <v>1230</v>
      </c>
      <c r="B670" t="s">
        <v>74</v>
      </c>
      <c r="C670" t="s">
        <v>59</v>
      </c>
      <c r="D670" t="s">
        <v>232</v>
      </c>
      <c r="E670" t="s">
        <v>2486</v>
      </c>
      <c r="F670" s="121">
        <v>56178.29</v>
      </c>
      <c r="G670" s="121">
        <v>56178.29</v>
      </c>
      <c r="H670" t="s">
        <v>2487</v>
      </c>
      <c r="I670" s="156">
        <v>41366</v>
      </c>
      <c r="K670" s="153"/>
      <c r="L670" s="153"/>
      <c r="M670" s="153"/>
      <c r="N670" s="153"/>
      <c r="O670" s="153"/>
      <c r="P670" s="152"/>
      <c r="Q670" s="152"/>
      <c r="R670" s="153"/>
      <c r="S670" s="154"/>
      <c r="T670" s="115"/>
    </row>
    <row r="671" spans="1:20">
      <c r="A671" t="s">
        <v>1230</v>
      </c>
      <c r="B671" t="s">
        <v>74</v>
      </c>
      <c r="C671" t="s">
        <v>42</v>
      </c>
      <c r="D671" t="s">
        <v>171</v>
      </c>
      <c r="E671" t="s">
        <v>2488</v>
      </c>
      <c r="F671" s="121">
        <v>376321.71</v>
      </c>
      <c r="G671" s="121">
        <v>376321.71</v>
      </c>
      <c r="H671" t="s">
        <v>2489</v>
      </c>
      <c r="I671" s="156">
        <v>41366</v>
      </c>
      <c r="K671" s="153"/>
      <c r="L671" s="153"/>
      <c r="M671" s="153"/>
      <c r="N671" s="153"/>
      <c r="O671" s="153"/>
      <c r="P671" s="152"/>
      <c r="Q671" s="152"/>
      <c r="R671" s="153"/>
      <c r="S671" s="154"/>
      <c r="T671" s="115"/>
    </row>
    <row r="672" spans="1:20">
      <c r="A672" t="s">
        <v>1230</v>
      </c>
      <c r="B672" t="s">
        <v>72</v>
      </c>
      <c r="C672" t="s">
        <v>51</v>
      </c>
      <c r="D672" t="s">
        <v>506</v>
      </c>
      <c r="E672" t="s">
        <v>2490</v>
      </c>
      <c r="F672" s="121">
        <v>2300</v>
      </c>
      <c r="G672" s="121">
        <v>2300</v>
      </c>
      <c r="H672" t="s">
        <v>507</v>
      </c>
      <c r="I672" s="156">
        <v>41366</v>
      </c>
      <c r="K672" s="153"/>
      <c r="L672" s="153"/>
      <c r="M672" s="153"/>
      <c r="N672" s="153"/>
      <c r="O672" s="153"/>
      <c r="P672" s="152"/>
      <c r="Q672" s="152"/>
      <c r="R672" s="153"/>
      <c r="S672" s="154"/>
      <c r="T672" s="115"/>
    </row>
    <row r="673" spans="1:20">
      <c r="A673" t="s">
        <v>1230</v>
      </c>
      <c r="B673" t="s">
        <v>74</v>
      </c>
      <c r="C673" t="s">
        <v>58</v>
      </c>
      <c r="D673" t="s">
        <v>217</v>
      </c>
      <c r="E673" t="s">
        <v>2491</v>
      </c>
      <c r="F673" s="121">
        <v>817.27</v>
      </c>
      <c r="G673" s="121">
        <v>817.27</v>
      </c>
      <c r="H673" t="s">
        <v>452</v>
      </c>
      <c r="I673" s="156">
        <v>41367</v>
      </c>
      <c r="K673" s="153"/>
      <c r="L673" s="153"/>
      <c r="M673" s="153"/>
      <c r="N673" s="153"/>
      <c r="O673" s="153"/>
      <c r="P673" s="152"/>
      <c r="Q673" s="152"/>
      <c r="R673" s="153"/>
      <c r="S673" s="154"/>
      <c r="T673" s="115"/>
    </row>
    <row r="674" spans="1:20">
      <c r="A674" t="s">
        <v>1230</v>
      </c>
      <c r="B674" t="s">
        <v>74</v>
      </c>
      <c r="C674" t="s">
        <v>58</v>
      </c>
      <c r="D674" t="s">
        <v>217</v>
      </c>
      <c r="E674" t="s">
        <v>2491</v>
      </c>
      <c r="F674" s="121">
        <v>149500</v>
      </c>
      <c r="G674" s="121">
        <v>149500</v>
      </c>
      <c r="H674" t="s">
        <v>452</v>
      </c>
      <c r="I674" s="156">
        <v>41367</v>
      </c>
      <c r="K674" s="153"/>
      <c r="L674" s="153"/>
      <c r="M674" s="153"/>
      <c r="N674" s="153"/>
      <c r="O674" s="153"/>
      <c r="P674" s="150"/>
      <c r="Q674" s="150"/>
      <c r="R674" s="153"/>
      <c r="S674" s="154"/>
      <c r="T674" s="115"/>
    </row>
    <row r="675" spans="1:20">
      <c r="A675" t="s">
        <v>1230</v>
      </c>
      <c r="B675" t="s">
        <v>74</v>
      </c>
      <c r="C675" t="s">
        <v>58</v>
      </c>
      <c r="D675" t="s">
        <v>217</v>
      </c>
      <c r="E675" t="s">
        <v>2492</v>
      </c>
      <c r="F675" s="121">
        <v>149500</v>
      </c>
      <c r="G675" s="121">
        <v>149500</v>
      </c>
      <c r="H675" t="s">
        <v>452</v>
      </c>
      <c r="I675" s="156">
        <v>41367</v>
      </c>
      <c r="K675" s="153"/>
      <c r="L675" s="153"/>
      <c r="M675" s="153"/>
      <c r="N675" s="153"/>
      <c r="O675" s="153"/>
      <c r="P675" s="150"/>
      <c r="Q675" s="150"/>
      <c r="R675" s="153"/>
      <c r="S675" s="154"/>
      <c r="T675" s="115"/>
    </row>
    <row r="676" spans="1:20">
      <c r="A676" t="s">
        <v>1230</v>
      </c>
      <c r="B676" t="s">
        <v>74</v>
      </c>
      <c r="C676" t="s">
        <v>58</v>
      </c>
      <c r="D676" t="s">
        <v>217</v>
      </c>
      <c r="E676" t="s">
        <v>2492</v>
      </c>
      <c r="F676" s="121">
        <v>817.27</v>
      </c>
      <c r="G676" s="121">
        <v>817.27</v>
      </c>
      <c r="H676" t="s">
        <v>452</v>
      </c>
      <c r="I676" s="156">
        <v>41367</v>
      </c>
      <c r="K676" s="153"/>
      <c r="L676" s="153"/>
      <c r="M676" s="153"/>
      <c r="N676" s="153"/>
      <c r="O676" s="153"/>
      <c r="P676" s="152"/>
      <c r="Q676" s="152"/>
      <c r="R676" s="153"/>
      <c r="S676" s="154"/>
      <c r="T676" s="115"/>
    </row>
    <row r="677" spans="1:20">
      <c r="A677" t="s">
        <v>1230</v>
      </c>
      <c r="B677" t="s">
        <v>72</v>
      </c>
      <c r="C677" t="s">
        <v>35</v>
      </c>
      <c r="D677" t="s">
        <v>511</v>
      </c>
      <c r="E677" t="s">
        <v>2493</v>
      </c>
      <c r="F677" s="121">
        <v>57847.12</v>
      </c>
      <c r="G677" s="121">
        <v>57847.12</v>
      </c>
      <c r="H677" t="s">
        <v>396</v>
      </c>
      <c r="I677" s="156">
        <v>41354</v>
      </c>
      <c r="K677" s="153"/>
      <c r="L677" s="153"/>
      <c r="M677" s="153"/>
      <c r="N677" s="153"/>
      <c r="O677" s="153"/>
      <c r="P677" s="152"/>
      <c r="Q677" s="152"/>
      <c r="R677" s="153"/>
      <c r="S677" s="154"/>
      <c r="T677" s="115"/>
    </row>
    <row r="678" spans="1:20">
      <c r="A678" t="s">
        <v>1230</v>
      </c>
      <c r="B678" t="s">
        <v>72</v>
      </c>
      <c r="C678" t="s">
        <v>35</v>
      </c>
      <c r="D678" t="s">
        <v>508</v>
      </c>
      <c r="E678" t="s">
        <v>2493</v>
      </c>
      <c r="F678" s="121">
        <v>7941.45</v>
      </c>
      <c r="G678" s="121">
        <v>7941.45</v>
      </c>
      <c r="H678" t="s">
        <v>396</v>
      </c>
      <c r="I678" s="156">
        <v>41354</v>
      </c>
      <c r="K678" s="153"/>
      <c r="L678" s="153"/>
      <c r="M678" s="153"/>
      <c r="N678" s="153"/>
      <c r="O678" s="153"/>
      <c r="P678" s="152"/>
      <c r="Q678" s="152"/>
      <c r="R678" s="153"/>
      <c r="S678" s="154"/>
      <c r="T678" s="115"/>
    </row>
    <row r="679" spans="1:20">
      <c r="A679" t="s">
        <v>1230</v>
      </c>
      <c r="B679" t="s">
        <v>72</v>
      </c>
      <c r="C679" t="s">
        <v>35</v>
      </c>
      <c r="D679" t="s">
        <v>509</v>
      </c>
      <c r="E679" t="s">
        <v>2493</v>
      </c>
      <c r="F679" s="121">
        <v>21907.98</v>
      </c>
      <c r="G679" s="121">
        <v>21907.98</v>
      </c>
      <c r="H679" t="s">
        <v>396</v>
      </c>
      <c r="I679" s="156">
        <v>41354</v>
      </c>
      <c r="K679" s="153"/>
      <c r="L679" s="153"/>
      <c r="M679" s="153"/>
      <c r="N679" s="153"/>
      <c r="O679" s="153"/>
      <c r="P679" s="152"/>
      <c r="Q679" s="152"/>
      <c r="R679" s="153"/>
      <c r="S679" s="154"/>
      <c r="T679" s="115"/>
    </row>
    <row r="680" spans="1:20">
      <c r="A680" t="s">
        <v>1230</v>
      </c>
      <c r="B680" t="s">
        <v>72</v>
      </c>
      <c r="C680" t="s">
        <v>35</v>
      </c>
      <c r="D680" t="s">
        <v>508</v>
      </c>
      <c r="E680" t="s">
        <v>2493</v>
      </c>
      <c r="F680" s="121">
        <v>7941.45</v>
      </c>
      <c r="G680" s="121">
        <v>7941.45</v>
      </c>
      <c r="H680" t="s">
        <v>396</v>
      </c>
      <c r="I680" s="156">
        <v>41354</v>
      </c>
      <c r="K680" s="153"/>
      <c r="L680" s="153"/>
      <c r="M680" s="153"/>
      <c r="N680" s="153"/>
      <c r="O680" s="153"/>
      <c r="P680" s="152"/>
      <c r="Q680" s="152"/>
      <c r="R680" s="153"/>
      <c r="S680" s="154"/>
      <c r="T680" s="115"/>
    </row>
    <row r="681" spans="1:20">
      <c r="A681" t="s">
        <v>1230</v>
      </c>
      <c r="B681" t="s">
        <v>72</v>
      </c>
      <c r="C681" t="s">
        <v>35</v>
      </c>
      <c r="D681" t="s">
        <v>509</v>
      </c>
      <c r="E681" t="s">
        <v>2493</v>
      </c>
      <c r="F681" s="121">
        <v>21907.98</v>
      </c>
      <c r="G681" s="121">
        <v>21907.98</v>
      </c>
      <c r="H681" t="s">
        <v>396</v>
      </c>
      <c r="I681" s="156">
        <v>41354</v>
      </c>
      <c r="K681" s="153"/>
      <c r="L681" s="153"/>
      <c r="M681" s="153"/>
      <c r="N681" s="153"/>
      <c r="O681" s="153"/>
      <c r="P681" s="152"/>
      <c r="Q681" s="152"/>
      <c r="R681" s="153"/>
      <c r="S681" s="154"/>
      <c r="T681" s="115"/>
    </row>
    <row r="682" spans="1:20">
      <c r="A682" t="s">
        <v>1230</v>
      </c>
      <c r="B682" t="s">
        <v>72</v>
      </c>
      <c r="C682" t="s">
        <v>35</v>
      </c>
      <c r="D682" t="s">
        <v>508</v>
      </c>
      <c r="E682" t="s">
        <v>2493</v>
      </c>
      <c r="F682" s="121">
        <v>7941.45</v>
      </c>
      <c r="G682" s="121">
        <v>7941.45</v>
      </c>
      <c r="H682" t="s">
        <v>396</v>
      </c>
      <c r="I682" s="156">
        <v>41354</v>
      </c>
      <c r="K682" s="153"/>
      <c r="L682" s="153"/>
      <c r="M682" s="153"/>
      <c r="N682" s="153"/>
      <c r="O682" s="153"/>
      <c r="P682" s="152"/>
      <c r="Q682" s="152"/>
      <c r="R682" s="153"/>
      <c r="S682" s="154"/>
      <c r="T682" s="115"/>
    </row>
    <row r="683" spans="1:20">
      <c r="A683" t="s">
        <v>1230</v>
      </c>
      <c r="B683" t="s">
        <v>72</v>
      </c>
      <c r="C683" t="s">
        <v>35</v>
      </c>
      <c r="D683" t="s">
        <v>508</v>
      </c>
      <c r="E683" t="s">
        <v>2493</v>
      </c>
      <c r="F683" s="121">
        <v>7941.45</v>
      </c>
      <c r="G683" s="121">
        <v>7941.45</v>
      </c>
      <c r="H683" t="s">
        <v>396</v>
      </c>
      <c r="I683" s="156">
        <v>41354</v>
      </c>
      <c r="K683" s="153"/>
      <c r="L683" s="153"/>
      <c r="M683" s="153"/>
      <c r="N683" s="153"/>
      <c r="O683" s="153"/>
      <c r="P683" s="152"/>
      <c r="Q683" s="152"/>
      <c r="R683" s="153"/>
      <c r="S683" s="154"/>
      <c r="T683" s="115"/>
    </row>
    <row r="684" spans="1:20">
      <c r="A684" t="s">
        <v>1230</v>
      </c>
      <c r="B684" t="s">
        <v>72</v>
      </c>
      <c r="C684" t="s">
        <v>35</v>
      </c>
      <c r="D684" t="s">
        <v>509</v>
      </c>
      <c r="E684" t="s">
        <v>2493</v>
      </c>
      <c r="F684" s="121">
        <v>21907.98</v>
      </c>
      <c r="G684" s="121">
        <v>21907.98</v>
      </c>
      <c r="H684" t="s">
        <v>396</v>
      </c>
      <c r="I684" s="156">
        <v>41354</v>
      </c>
      <c r="K684" s="153"/>
      <c r="L684" s="153"/>
      <c r="M684" s="153"/>
      <c r="N684" s="153"/>
      <c r="O684" s="153"/>
      <c r="P684" s="152"/>
      <c r="Q684" s="152"/>
      <c r="R684" s="153"/>
      <c r="S684" s="154"/>
      <c r="T684" s="115"/>
    </row>
    <row r="685" spans="1:20">
      <c r="A685" t="s">
        <v>1230</v>
      </c>
      <c r="B685" t="s">
        <v>72</v>
      </c>
      <c r="C685" t="s">
        <v>35</v>
      </c>
      <c r="D685" t="s">
        <v>510</v>
      </c>
      <c r="E685" t="s">
        <v>2493</v>
      </c>
      <c r="F685" s="121">
        <v>163755.19</v>
      </c>
      <c r="G685" s="121">
        <v>163755.19</v>
      </c>
      <c r="H685" t="s">
        <v>396</v>
      </c>
      <c r="I685" s="156">
        <v>41354</v>
      </c>
      <c r="K685" s="153"/>
      <c r="L685" s="153"/>
      <c r="M685" s="153"/>
      <c r="N685" s="153"/>
      <c r="O685" s="153"/>
      <c r="P685" s="152"/>
      <c r="Q685" s="152"/>
      <c r="R685" s="153"/>
      <c r="S685" s="154"/>
      <c r="T685" s="115"/>
    </row>
    <row r="686" spans="1:20">
      <c r="A686" t="s">
        <v>1230</v>
      </c>
      <c r="B686" t="s">
        <v>72</v>
      </c>
      <c r="C686" t="s">
        <v>35</v>
      </c>
      <c r="D686" t="s">
        <v>509</v>
      </c>
      <c r="E686" t="s">
        <v>2493</v>
      </c>
      <c r="F686" s="121">
        <v>21907.98</v>
      </c>
      <c r="G686" s="121">
        <v>21907.98</v>
      </c>
      <c r="H686" t="s">
        <v>396</v>
      </c>
      <c r="I686" s="156">
        <v>41354</v>
      </c>
      <c r="K686" s="153"/>
      <c r="L686" s="153"/>
      <c r="M686" s="153"/>
      <c r="N686" s="153"/>
      <c r="O686" s="153"/>
      <c r="P686" s="152"/>
      <c r="Q686" s="152"/>
      <c r="R686" s="153"/>
      <c r="S686" s="154"/>
      <c r="T686" s="115"/>
    </row>
    <row r="687" spans="1:20">
      <c r="A687" t="s">
        <v>1230</v>
      </c>
      <c r="B687" t="s">
        <v>72</v>
      </c>
      <c r="C687" t="s">
        <v>52</v>
      </c>
      <c r="D687" t="s">
        <v>197</v>
      </c>
      <c r="E687" t="s">
        <v>2494</v>
      </c>
      <c r="F687" s="121">
        <v>9700</v>
      </c>
      <c r="G687" s="121">
        <v>9700</v>
      </c>
      <c r="H687" t="s">
        <v>512</v>
      </c>
      <c r="I687" s="156">
        <v>41372</v>
      </c>
      <c r="K687" s="153"/>
      <c r="L687" s="153"/>
      <c r="M687" s="153"/>
      <c r="N687" s="153"/>
      <c r="O687" s="153"/>
      <c r="P687" s="152"/>
      <c r="Q687" s="152"/>
      <c r="R687" s="153"/>
      <c r="S687" s="154"/>
      <c r="T687" s="115"/>
    </row>
    <row r="688" spans="1:20">
      <c r="A688" t="s">
        <v>1230</v>
      </c>
      <c r="B688" t="s">
        <v>72</v>
      </c>
      <c r="C688" t="s">
        <v>52</v>
      </c>
      <c r="D688" t="s">
        <v>197</v>
      </c>
      <c r="E688" t="s">
        <v>2495</v>
      </c>
      <c r="F688" s="121">
        <v>9700</v>
      </c>
      <c r="G688" s="121">
        <v>9700</v>
      </c>
      <c r="H688" t="s">
        <v>493</v>
      </c>
      <c r="I688" s="156">
        <v>41372</v>
      </c>
      <c r="K688" s="153"/>
      <c r="L688" s="153"/>
      <c r="M688" s="153"/>
      <c r="N688" s="153"/>
      <c r="O688" s="153"/>
      <c r="P688" s="150"/>
      <c r="Q688" s="150"/>
      <c r="R688" s="153"/>
      <c r="S688" s="154"/>
      <c r="T688" s="115"/>
    </row>
    <row r="689" spans="1:20">
      <c r="A689" t="s">
        <v>1230</v>
      </c>
      <c r="B689" t="s">
        <v>74</v>
      </c>
      <c r="C689" t="s">
        <v>62</v>
      </c>
      <c r="D689" t="s">
        <v>242</v>
      </c>
      <c r="E689" t="s">
        <v>2496</v>
      </c>
      <c r="F689" s="121">
        <v>500000</v>
      </c>
      <c r="G689" s="121">
        <v>500000</v>
      </c>
      <c r="H689" t="s">
        <v>2497</v>
      </c>
      <c r="I689" s="156">
        <v>41373</v>
      </c>
      <c r="K689" s="153"/>
      <c r="L689" s="153"/>
      <c r="M689" s="153"/>
      <c r="N689" s="153"/>
      <c r="O689" s="153"/>
      <c r="P689" s="152"/>
      <c r="Q689" s="152"/>
      <c r="R689" s="153"/>
      <c r="S689" s="154"/>
      <c r="T689" s="115"/>
    </row>
    <row r="690" spans="1:20">
      <c r="A690" t="s">
        <v>1230</v>
      </c>
      <c r="B690" t="s">
        <v>74</v>
      </c>
      <c r="C690" t="s">
        <v>62</v>
      </c>
      <c r="D690" t="s">
        <v>242</v>
      </c>
      <c r="E690" t="s">
        <v>2498</v>
      </c>
      <c r="F690" s="121">
        <v>500000</v>
      </c>
      <c r="G690" s="121">
        <v>500000</v>
      </c>
      <c r="H690" t="s">
        <v>2499</v>
      </c>
      <c r="I690" s="156">
        <v>41373</v>
      </c>
      <c r="K690" s="153"/>
      <c r="L690" s="153"/>
      <c r="M690" s="153"/>
      <c r="N690" s="153"/>
      <c r="O690" s="153"/>
      <c r="P690" s="152"/>
      <c r="Q690" s="152"/>
      <c r="R690" s="153"/>
      <c r="S690" s="154"/>
      <c r="T690" s="115"/>
    </row>
    <row r="691" spans="1:20">
      <c r="A691" t="s">
        <v>1230</v>
      </c>
      <c r="B691" t="s">
        <v>72</v>
      </c>
      <c r="C691" t="s">
        <v>51</v>
      </c>
      <c r="D691" t="s">
        <v>513</v>
      </c>
      <c r="E691" t="s">
        <v>2500</v>
      </c>
      <c r="F691" s="121">
        <v>3070</v>
      </c>
      <c r="G691" s="121">
        <v>3070</v>
      </c>
      <c r="H691" t="s">
        <v>396</v>
      </c>
      <c r="I691" s="156">
        <v>41374</v>
      </c>
      <c r="K691" s="153"/>
      <c r="L691" s="153"/>
      <c r="M691" s="153"/>
      <c r="N691" s="153"/>
      <c r="O691" s="153"/>
      <c r="P691" s="152"/>
      <c r="Q691" s="152"/>
      <c r="R691" s="153"/>
      <c r="S691" s="154"/>
      <c r="T691" s="115"/>
    </row>
    <row r="692" spans="1:20">
      <c r="A692" t="s">
        <v>1230</v>
      </c>
      <c r="B692" t="s">
        <v>72</v>
      </c>
      <c r="C692" t="s">
        <v>68</v>
      </c>
      <c r="D692" t="s">
        <v>300</v>
      </c>
      <c r="E692" t="s">
        <v>2501</v>
      </c>
      <c r="F692" s="121">
        <v>105000</v>
      </c>
      <c r="G692" s="121">
        <v>105000</v>
      </c>
      <c r="H692" t="s">
        <v>2502</v>
      </c>
      <c r="I692" s="156">
        <v>41374</v>
      </c>
      <c r="K692" s="153"/>
      <c r="L692" s="153"/>
      <c r="M692" s="153"/>
      <c r="N692" s="153"/>
      <c r="O692" s="153"/>
      <c r="P692" s="150"/>
      <c r="Q692" s="150"/>
      <c r="R692" s="153"/>
      <c r="S692" s="154"/>
      <c r="T692" s="115"/>
    </row>
    <row r="693" spans="1:20">
      <c r="A693" t="s">
        <v>1230</v>
      </c>
      <c r="B693" t="s">
        <v>72</v>
      </c>
      <c r="C693" t="s">
        <v>68</v>
      </c>
      <c r="D693" t="s">
        <v>301</v>
      </c>
      <c r="E693" t="s">
        <v>2503</v>
      </c>
      <c r="F693" s="121">
        <v>105000</v>
      </c>
      <c r="G693" s="121">
        <v>105000</v>
      </c>
      <c r="H693" t="s">
        <v>2504</v>
      </c>
      <c r="I693" s="156">
        <v>41375</v>
      </c>
      <c r="K693" s="153"/>
      <c r="L693" s="153"/>
      <c r="M693" s="153"/>
      <c r="N693" s="153"/>
      <c r="O693" s="153"/>
      <c r="P693" s="150"/>
      <c r="Q693" s="150"/>
      <c r="R693" s="153"/>
      <c r="S693" s="154"/>
      <c r="T693" s="115"/>
    </row>
    <row r="694" spans="1:20">
      <c r="A694" t="s">
        <v>1230</v>
      </c>
      <c r="B694" t="s">
        <v>72</v>
      </c>
      <c r="C694" t="s">
        <v>68</v>
      </c>
      <c r="D694" t="s">
        <v>302</v>
      </c>
      <c r="E694" t="s">
        <v>2505</v>
      </c>
      <c r="F694" s="121">
        <v>85000</v>
      </c>
      <c r="G694" s="121">
        <v>85000</v>
      </c>
      <c r="H694" t="s">
        <v>2506</v>
      </c>
      <c r="I694" s="156">
        <v>41375</v>
      </c>
      <c r="K694" s="153"/>
      <c r="L694" s="153"/>
      <c r="M694" s="153"/>
      <c r="N694" s="153"/>
      <c r="O694" s="153"/>
      <c r="P694" s="152"/>
      <c r="Q694" s="152"/>
      <c r="R694" s="153"/>
      <c r="S694" s="154"/>
      <c r="T694" s="115"/>
    </row>
    <row r="695" spans="1:20">
      <c r="A695" t="s">
        <v>1230</v>
      </c>
      <c r="B695" t="s">
        <v>73</v>
      </c>
      <c r="C695" t="s">
        <v>51</v>
      </c>
      <c r="D695" t="s">
        <v>514</v>
      </c>
      <c r="E695" t="s">
        <v>2507</v>
      </c>
      <c r="F695" s="121">
        <v>1550</v>
      </c>
      <c r="G695" s="121">
        <v>1550</v>
      </c>
      <c r="H695" t="s">
        <v>457</v>
      </c>
      <c r="I695" s="156">
        <v>41376</v>
      </c>
      <c r="K695" s="153"/>
      <c r="L695" s="153"/>
      <c r="M695" s="153"/>
      <c r="N695" s="153"/>
      <c r="O695" s="153"/>
      <c r="P695" s="152"/>
      <c r="Q695" s="152"/>
      <c r="R695" s="153"/>
      <c r="S695" s="154"/>
      <c r="T695" s="115"/>
    </row>
    <row r="696" spans="1:20">
      <c r="A696" t="s">
        <v>1230</v>
      </c>
      <c r="B696" t="s">
        <v>72</v>
      </c>
      <c r="C696" t="s">
        <v>68</v>
      </c>
      <c r="D696" t="s">
        <v>303</v>
      </c>
      <c r="E696" t="s">
        <v>2508</v>
      </c>
      <c r="F696" s="121">
        <v>85000</v>
      </c>
      <c r="G696" s="121">
        <v>85000</v>
      </c>
      <c r="H696" t="s">
        <v>2509</v>
      </c>
      <c r="I696" s="156">
        <v>41379</v>
      </c>
      <c r="K696" s="153"/>
      <c r="L696" s="153"/>
      <c r="M696" s="153"/>
      <c r="N696" s="153"/>
      <c r="O696" s="153"/>
      <c r="P696" s="152"/>
      <c r="Q696" s="152"/>
      <c r="R696" s="153"/>
      <c r="S696" s="154"/>
      <c r="T696" s="115"/>
    </row>
    <row r="697" spans="1:20">
      <c r="A697" t="s">
        <v>1230</v>
      </c>
      <c r="B697" t="s">
        <v>72</v>
      </c>
      <c r="C697" t="s">
        <v>51</v>
      </c>
      <c r="D697" t="s">
        <v>515</v>
      </c>
      <c r="E697" t="s">
        <v>2510</v>
      </c>
      <c r="F697" s="121">
        <v>10500</v>
      </c>
      <c r="G697" s="121">
        <v>10500</v>
      </c>
      <c r="H697" t="s">
        <v>396</v>
      </c>
      <c r="I697" s="156">
        <v>41379</v>
      </c>
      <c r="K697" s="153"/>
      <c r="L697" s="153"/>
      <c r="M697" s="153"/>
      <c r="N697" s="153"/>
      <c r="O697" s="153"/>
      <c r="P697" s="152"/>
      <c r="Q697" s="152"/>
      <c r="R697" s="153"/>
      <c r="S697" s="154"/>
      <c r="T697" s="115"/>
    </row>
    <row r="698" spans="1:20">
      <c r="A698" t="s">
        <v>1230</v>
      </c>
      <c r="B698" t="s">
        <v>72</v>
      </c>
      <c r="C698" t="s">
        <v>51</v>
      </c>
      <c r="D698" t="s">
        <v>516</v>
      </c>
      <c r="E698" t="s">
        <v>2511</v>
      </c>
      <c r="F698" s="121">
        <v>4770</v>
      </c>
      <c r="G698" s="121">
        <v>4770</v>
      </c>
      <c r="H698" t="s">
        <v>517</v>
      </c>
      <c r="I698" s="156">
        <v>41379</v>
      </c>
      <c r="K698" s="153"/>
      <c r="L698" s="153"/>
      <c r="M698" s="153"/>
      <c r="N698" s="153"/>
      <c r="O698" s="153"/>
      <c r="P698" s="152"/>
      <c r="Q698" s="152"/>
      <c r="R698" s="153"/>
      <c r="S698" s="154"/>
      <c r="T698" s="115"/>
    </row>
    <row r="699" spans="1:20">
      <c r="A699" t="s">
        <v>1230</v>
      </c>
      <c r="B699" t="s">
        <v>73</v>
      </c>
      <c r="C699" t="s">
        <v>52</v>
      </c>
      <c r="D699" t="s">
        <v>197</v>
      </c>
      <c r="E699" t="s">
        <v>2512</v>
      </c>
      <c r="F699" s="121">
        <v>9385</v>
      </c>
      <c r="G699" s="121">
        <v>9385</v>
      </c>
      <c r="H699" t="s">
        <v>460</v>
      </c>
      <c r="I699" s="156">
        <v>41381</v>
      </c>
      <c r="K699" s="153"/>
      <c r="L699" s="153"/>
      <c r="M699" s="153"/>
      <c r="N699" s="153"/>
      <c r="O699" s="153"/>
      <c r="P699" s="152"/>
      <c r="Q699" s="152"/>
      <c r="R699" s="153"/>
      <c r="S699" s="154"/>
      <c r="T699" s="115"/>
    </row>
    <row r="700" spans="1:20">
      <c r="A700" t="s">
        <v>1230</v>
      </c>
      <c r="B700" t="s">
        <v>73</v>
      </c>
      <c r="C700" t="s">
        <v>52</v>
      </c>
      <c r="D700" t="s">
        <v>197</v>
      </c>
      <c r="E700" t="s">
        <v>2513</v>
      </c>
      <c r="F700" s="121">
        <v>10150</v>
      </c>
      <c r="G700" s="121">
        <v>10150</v>
      </c>
      <c r="H700" t="s">
        <v>458</v>
      </c>
      <c r="I700" s="156">
        <v>41381</v>
      </c>
      <c r="K700" s="153"/>
      <c r="L700" s="153"/>
      <c r="M700" s="153"/>
      <c r="N700" s="153"/>
      <c r="O700" s="153"/>
      <c r="P700" s="152"/>
      <c r="Q700" s="152"/>
      <c r="R700" s="153"/>
      <c r="S700" s="154"/>
      <c r="T700" s="115"/>
    </row>
    <row r="701" spans="1:20">
      <c r="A701" t="s">
        <v>1230</v>
      </c>
      <c r="B701" t="s">
        <v>74</v>
      </c>
      <c r="C701" t="s">
        <v>66</v>
      </c>
      <c r="D701" t="s">
        <v>279</v>
      </c>
      <c r="E701" t="s">
        <v>2514</v>
      </c>
      <c r="F701" s="121">
        <v>193000</v>
      </c>
      <c r="G701" s="121">
        <v>193000</v>
      </c>
      <c r="H701" t="s">
        <v>2515</v>
      </c>
      <c r="I701" s="156">
        <v>41382</v>
      </c>
      <c r="K701" s="153"/>
      <c r="L701" s="153"/>
      <c r="M701" s="153"/>
      <c r="N701" s="153"/>
      <c r="O701" s="153"/>
      <c r="P701" s="152"/>
      <c r="Q701" s="152"/>
      <c r="R701" s="153"/>
      <c r="S701" s="154"/>
      <c r="T701" s="115"/>
    </row>
    <row r="702" spans="1:20">
      <c r="A702" t="s">
        <v>1230</v>
      </c>
      <c r="B702" t="s">
        <v>74</v>
      </c>
      <c r="C702" t="s">
        <v>66</v>
      </c>
      <c r="D702" t="s">
        <v>279</v>
      </c>
      <c r="E702" t="s">
        <v>2514</v>
      </c>
      <c r="F702" s="121">
        <v>913.53</v>
      </c>
      <c r="G702" s="121">
        <v>913.53</v>
      </c>
      <c r="H702" t="s">
        <v>2515</v>
      </c>
      <c r="I702" s="156">
        <v>41382</v>
      </c>
      <c r="K702" s="153"/>
      <c r="L702" s="153"/>
      <c r="M702" s="153"/>
      <c r="N702" s="153"/>
      <c r="O702" s="153"/>
      <c r="P702" s="152"/>
      <c r="Q702" s="152"/>
      <c r="R702" s="153"/>
      <c r="S702" s="154"/>
      <c r="T702" s="115"/>
    </row>
    <row r="703" spans="1:20">
      <c r="A703" t="s">
        <v>1230</v>
      </c>
      <c r="B703" t="s">
        <v>74</v>
      </c>
      <c r="C703" t="s">
        <v>66</v>
      </c>
      <c r="D703" t="s">
        <v>279</v>
      </c>
      <c r="E703" t="s">
        <v>2516</v>
      </c>
      <c r="F703" s="121">
        <v>913.53</v>
      </c>
      <c r="G703" s="121">
        <v>913.53</v>
      </c>
      <c r="H703" t="s">
        <v>2517</v>
      </c>
      <c r="I703" s="156">
        <v>41382</v>
      </c>
      <c r="K703" s="153"/>
      <c r="L703" s="153"/>
      <c r="M703" s="153"/>
      <c r="N703" s="153"/>
      <c r="O703" s="153"/>
      <c r="P703" s="150"/>
      <c r="Q703" s="150"/>
      <c r="R703" s="153"/>
      <c r="S703" s="154"/>
      <c r="T703" s="115"/>
    </row>
    <row r="704" spans="1:20">
      <c r="A704" t="s">
        <v>1230</v>
      </c>
      <c r="B704" t="s">
        <v>74</v>
      </c>
      <c r="C704" t="s">
        <v>66</v>
      </c>
      <c r="D704" t="s">
        <v>279</v>
      </c>
      <c r="E704" t="s">
        <v>2516</v>
      </c>
      <c r="F704" s="121">
        <v>193000</v>
      </c>
      <c r="G704" s="121">
        <v>193000</v>
      </c>
      <c r="H704" t="s">
        <v>2517</v>
      </c>
      <c r="I704" s="156">
        <v>41382</v>
      </c>
      <c r="K704" s="153"/>
      <c r="L704" s="153"/>
      <c r="M704" s="153"/>
      <c r="N704" s="153"/>
      <c r="O704" s="153"/>
      <c r="P704" s="152"/>
      <c r="Q704" s="152"/>
      <c r="R704" s="153"/>
      <c r="S704" s="154"/>
      <c r="T704" s="115"/>
    </row>
    <row r="705" spans="1:20">
      <c r="A705" t="s">
        <v>1230</v>
      </c>
      <c r="B705" t="s">
        <v>74</v>
      </c>
      <c r="C705" t="s">
        <v>66</v>
      </c>
      <c r="D705" t="s">
        <v>279</v>
      </c>
      <c r="E705" t="s">
        <v>2518</v>
      </c>
      <c r="F705" s="121">
        <v>913.53</v>
      </c>
      <c r="G705" s="121">
        <v>913.53</v>
      </c>
      <c r="H705" t="s">
        <v>2519</v>
      </c>
      <c r="I705" s="156">
        <v>41383</v>
      </c>
      <c r="K705" s="153"/>
      <c r="L705" s="153"/>
      <c r="M705" s="153"/>
      <c r="N705" s="153"/>
      <c r="O705" s="153"/>
      <c r="P705" s="150"/>
      <c r="Q705" s="150"/>
      <c r="R705" s="153"/>
      <c r="S705" s="154"/>
      <c r="T705" s="115"/>
    </row>
    <row r="706" spans="1:20">
      <c r="A706" t="s">
        <v>1230</v>
      </c>
      <c r="B706" t="s">
        <v>74</v>
      </c>
      <c r="C706" t="s">
        <v>66</v>
      </c>
      <c r="D706" t="s">
        <v>279</v>
      </c>
      <c r="E706" t="s">
        <v>2518</v>
      </c>
      <c r="F706" s="121">
        <v>193000</v>
      </c>
      <c r="G706" s="121">
        <v>193000</v>
      </c>
      <c r="H706" t="s">
        <v>2519</v>
      </c>
      <c r="I706" s="156">
        <v>41383</v>
      </c>
      <c r="K706" s="153"/>
      <c r="L706" s="153"/>
      <c r="M706" s="153"/>
      <c r="N706" s="153"/>
      <c r="O706" s="153"/>
      <c r="P706" s="152"/>
      <c r="Q706" s="152"/>
      <c r="R706" s="153"/>
      <c r="S706" s="154"/>
      <c r="T706" s="115"/>
    </row>
    <row r="707" spans="1:20">
      <c r="A707" t="s">
        <v>1230</v>
      </c>
      <c r="B707" t="s">
        <v>74</v>
      </c>
      <c r="C707" t="s">
        <v>66</v>
      </c>
      <c r="D707" t="s">
        <v>279</v>
      </c>
      <c r="E707" t="s">
        <v>2520</v>
      </c>
      <c r="F707" s="121">
        <v>193000</v>
      </c>
      <c r="G707" s="121">
        <v>193000</v>
      </c>
      <c r="H707" t="s">
        <v>2521</v>
      </c>
      <c r="I707" s="156">
        <v>41383</v>
      </c>
      <c r="K707" s="153"/>
      <c r="L707" s="153"/>
      <c r="M707" s="153"/>
      <c r="N707" s="153"/>
      <c r="O707" s="153"/>
      <c r="P707" s="152"/>
      <c r="Q707" s="152"/>
      <c r="R707" s="153"/>
      <c r="S707" s="154"/>
      <c r="T707" s="115"/>
    </row>
    <row r="708" spans="1:20">
      <c r="A708" t="s">
        <v>1230</v>
      </c>
      <c r="B708" t="s">
        <v>74</v>
      </c>
      <c r="C708" t="s">
        <v>66</v>
      </c>
      <c r="D708" t="s">
        <v>279</v>
      </c>
      <c r="E708" t="s">
        <v>2520</v>
      </c>
      <c r="F708" s="121">
        <v>913.53</v>
      </c>
      <c r="G708" s="121">
        <v>913.53</v>
      </c>
      <c r="H708" t="s">
        <v>2521</v>
      </c>
      <c r="I708" s="156">
        <v>41383</v>
      </c>
      <c r="K708" s="153"/>
      <c r="L708" s="153"/>
      <c r="M708" s="153"/>
      <c r="N708" s="153"/>
      <c r="O708" s="153"/>
      <c r="P708" s="152"/>
      <c r="Q708" s="152"/>
      <c r="R708" s="153"/>
      <c r="S708" s="154"/>
      <c r="T708" s="115"/>
    </row>
    <row r="709" spans="1:20">
      <c r="A709" t="s">
        <v>1230</v>
      </c>
      <c r="B709" t="s">
        <v>72</v>
      </c>
      <c r="C709" t="s">
        <v>51</v>
      </c>
      <c r="D709" t="s">
        <v>513</v>
      </c>
      <c r="E709" t="s">
        <v>2522</v>
      </c>
      <c r="F709" s="121">
        <v>3100</v>
      </c>
      <c r="G709" s="121">
        <v>3100</v>
      </c>
      <c r="H709" t="s">
        <v>507</v>
      </c>
      <c r="I709" s="156">
        <v>41387</v>
      </c>
      <c r="K709" s="153"/>
      <c r="L709" s="153"/>
      <c r="M709" s="153"/>
      <c r="N709" s="153"/>
      <c r="O709" s="153"/>
      <c r="P709" s="152"/>
      <c r="Q709" s="152"/>
      <c r="R709" s="153"/>
      <c r="S709" s="154"/>
      <c r="T709" s="115"/>
    </row>
    <row r="710" spans="1:20">
      <c r="A710" t="s">
        <v>1230</v>
      </c>
      <c r="B710" t="s">
        <v>73</v>
      </c>
      <c r="C710" t="s">
        <v>63</v>
      </c>
      <c r="D710" t="s">
        <v>257</v>
      </c>
      <c r="E710" t="s">
        <v>2523</v>
      </c>
      <c r="F710" s="121">
        <v>380000</v>
      </c>
      <c r="G710" s="121">
        <v>380000</v>
      </c>
      <c r="H710" t="s">
        <v>2523</v>
      </c>
      <c r="I710" s="156">
        <v>41387</v>
      </c>
      <c r="K710" s="153"/>
      <c r="L710" s="153"/>
      <c r="M710" s="153"/>
      <c r="N710" s="153"/>
      <c r="O710" s="153"/>
      <c r="P710" s="152"/>
      <c r="Q710" s="152"/>
      <c r="R710" s="153"/>
      <c r="S710" s="154"/>
      <c r="T710" s="115"/>
    </row>
    <row r="711" spans="1:20">
      <c r="A711" t="s">
        <v>1230</v>
      </c>
      <c r="B711" t="s">
        <v>73</v>
      </c>
      <c r="C711" t="s">
        <v>63</v>
      </c>
      <c r="D711" t="s">
        <v>257</v>
      </c>
      <c r="E711" t="s">
        <v>2524</v>
      </c>
      <c r="F711" s="121">
        <v>380000</v>
      </c>
      <c r="G711" s="121">
        <v>380000</v>
      </c>
      <c r="H711" t="s">
        <v>518</v>
      </c>
      <c r="I711" s="156">
        <v>41387</v>
      </c>
      <c r="K711" s="153"/>
      <c r="L711" s="153"/>
      <c r="M711" s="153"/>
      <c r="N711" s="153"/>
      <c r="O711" s="153"/>
      <c r="P711" s="152"/>
      <c r="Q711" s="152"/>
      <c r="R711" s="153"/>
      <c r="S711" s="154"/>
      <c r="T711" s="115"/>
    </row>
    <row r="712" spans="1:20">
      <c r="A712" t="s">
        <v>1230</v>
      </c>
      <c r="B712" t="s">
        <v>72</v>
      </c>
      <c r="C712" t="s">
        <v>35</v>
      </c>
      <c r="D712" t="s">
        <v>7176</v>
      </c>
      <c r="E712" t="s">
        <v>7177</v>
      </c>
      <c r="F712" s="121">
        <v>210000</v>
      </c>
      <c r="G712" s="121">
        <v>210000</v>
      </c>
      <c r="H712" t="s">
        <v>517</v>
      </c>
      <c r="I712" s="156">
        <v>41368</v>
      </c>
      <c r="K712" s="153"/>
      <c r="L712" s="153"/>
      <c r="M712" s="153"/>
      <c r="N712" s="153"/>
      <c r="O712" s="153"/>
      <c r="P712" s="152"/>
      <c r="Q712" s="152"/>
      <c r="R712" s="153"/>
      <c r="S712" s="154"/>
      <c r="T712" s="115"/>
    </row>
    <row r="713" spans="1:20">
      <c r="A713" t="s">
        <v>1230</v>
      </c>
      <c r="B713" t="s">
        <v>74</v>
      </c>
      <c r="C713" t="s">
        <v>66</v>
      </c>
      <c r="D713" t="s">
        <v>279</v>
      </c>
      <c r="E713" t="s">
        <v>2525</v>
      </c>
      <c r="F713" s="121">
        <v>707.67</v>
      </c>
      <c r="G713" s="121">
        <v>707.67</v>
      </c>
      <c r="H713" t="s">
        <v>2526</v>
      </c>
      <c r="I713" s="156">
        <v>41393</v>
      </c>
      <c r="K713" s="153"/>
      <c r="L713" s="153"/>
      <c r="M713" s="153"/>
      <c r="N713" s="153"/>
      <c r="O713" s="153"/>
      <c r="P713" s="152"/>
      <c r="Q713" s="152"/>
      <c r="R713" s="153"/>
      <c r="S713" s="154"/>
      <c r="T713" s="115"/>
    </row>
    <row r="714" spans="1:20">
      <c r="A714" t="s">
        <v>1230</v>
      </c>
      <c r="B714" t="s">
        <v>74</v>
      </c>
      <c r="C714" t="s">
        <v>66</v>
      </c>
      <c r="D714" t="s">
        <v>279</v>
      </c>
      <c r="E714" t="s">
        <v>2525</v>
      </c>
      <c r="F714" s="121">
        <v>193000</v>
      </c>
      <c r="G714" s="121">
        <v>193000</v>
      </c>
      <c r="H714" t="s">
        <v>2526</v>
      </c>
      <c r="I714" s="156">
        <v>41393</v>
      </c>
      <c r="K714" s="153"/>
      <c r="L714" s="153"/>
      <c r="M714" s="153"/>
      <c r="N714" s="153"/>
      <c r="O714" s="153"/>
      <c r="P714" s="152"/>
      <c r="Q714" s="152"/>
      <c r="R714" s="153"/>
      <c r="S714" s="154"/>
      <c r="T714" s="115"/>
    </row>
    <row r="715" spans="1:20">
      <c r="A715" t="s">
        <v>1230</v>
      </c>
      <c r="B715" t="s">
        <v>74</v>
      </c>
      <c r="C715" t="s">
        <v>66</v>
      </c>
      <c r="D715" t="s">
        <v>279</v>
      </c>
      <c r="E715" t="s">
        <v>2527</v>
      </c>
      <c r="F715" s="121">
        <v>913.53</v>
      </c>
      <c r="G715" s="121">
        <v>913.53</v>
      </c>
      <c r="H715" t="s">
        <v>2528</v>
      </c>
      <c r="I715" s="156">
        <v>41393</v>
      </c>
      <c r="K715" s="153"/>
      <c r="L715" s="153"/>
      <c r="M715" s="153"/>
      <c r="N715" s="153"/>
      <c r="O715" s="153"/>
      <c r="P715" s="152"/>
      <c r="Q715" s="152"/>
      <c r="R715" s="153"/>
      <c r="S715" s="154"/>
      <c r="T715" s="115"/>
    </row>
    <row r="716" spans="1:20">
      <c r="A716" t="s">
        <v>1230</v>
      </c>
      <c r="B716" t="s">
        <v>74</v>
      </c>
      <c r="C716" t="s">
        <v>66</v>
      </c>
      <c r="D716" t="s">
        <v>279</v>
      </c>
      <c r="E716" t="s">
        <v>2527</v>
      </c>
      <c r="F716" s="121">
        <v>193000</v>
      </c>
      <c r="G716" s="121">
        <v>193000</v>
      </c>
      <c r="H716" t="s">
        <v>2528</v>
      </c>
      <c r="I716" s="156">
        <v>41393</v>
      </c>
      <c r="K716" s="153"/>
      <c r="L716" s="153"/>
      <c r="M716" s="153"/>
      <c r="N716" s="153"/>
      <c r="O716" s="153"/>
      <c r="P716" s="152"/>
      <c r="Q716" s="152"/>
      <c r="R716" s="153"/>
      <c r="S716" s="154"/>
      <c r="T716" s="115"/>
    </row>
    <row r="717" spans="1:20">
      <c r="A717" t="s">
        <v>1230</v>
      </c>
      <c r="B717" t="s">
        <v>73</v>
      </c>
      <c r="C717" t="s">
        <v>69</v>
      </c>
      <c r="D717" t="s">
        <v>315</v>
      </c>
      <c r="E717" t="s">
        <v>2529</v>
      </c>
      <c r="F717" s="121">
        <v>40000</v>
      </c>
      <c r="G717" s="121">
        <v>40000</v>
      </c>
      <c r="H717" t="s">
        <v>2530</v>
      </c>
      <c r="I717" s="156">
        <v>41396</v>
      </c>
      <c r="K717" s="153"/>
      <c r="L717" s="153"/>
      <c r="M717" s="153"/>
      <c r="N717" s="153"/>
      <c r="O717" s="153"/>
      <c r="P717" s="152"/>
      <c r="Q717" s="152"/>
      <c r="R717" s="153"/>
      <c r="S717" s="154"/>
      <c r="T717" s="115"/>
    </row>
    <row r="718" spans="1:20">
      <c r="A718" t="s">
        <v>1230</v>
      </c>
      <c r="B718" t="s">
        <v>73</v>
      </c>
      <c r="C718" t="s">
        <v>46</v>
      </c>
      <c r="D718" t="s">
        <v>184</v>
      </c>
      <c r="E718" t="s">
        <v>2531</v>
      </c>
      <c r="F718" s="121">
        <v>59800</v>
      </c>
      <c r="G718" s="121">
        <v>59800</v>
      </c>
      <c r="H718" t="s">
        <v>520</v>
      </c>
      <c r="I718" s="156">
        <v>41396</v>
      </c>
      <c r="K718" s="153"/>
      <c r="L718" s="153"/>
      <c r="M718" s="153"/>
      <c r="N718" s="153"/>
      <c r="O718" s="153"/>
      <c r="P718" s="152"/>
      <c r="Q718" s="152"/>
      <c r="R718" s="153"/>
      <c r="S718" s="154"/>
      <c r="T718" s="115"/>
    </row>
    <row r="719" spans="1:20">
      <c r="A719" t="s">
        <v>1230</v>
      </c>
      <c r="B719" t="s">
        <v>73</v>
      </c>
      <c r="C719" t="s">
        <v>46</v>
      </c>
      <c r="D719" t="s">
        <v>184</v>
      </c>
      <c r="E719" t="s">
        <v>2532</v>
      </c>
      <c r="F719" s="121">
        <v>59800</v>
      </c>
      <c r="G719" s="121">
        <v>59800</v>
      </c>
      <c r="H719" t="s">
        <v>521</v>
      </c>
      <c r="I719" s="156">
        <v>41396</v>
      </c>
      <c r="K719" s="153"/>
      <c r="L719" s="153"/>
      <c r="M719" s="153"/>
      <c r="N719" s="153"/>
      <c r="O719" s="153"/>
      <c r="P719" s="152"/>
      <c r="Q719" s="152"/>
      <c r="R719" s="153"/>
      <c r="S719" s="154"/>
      <c r="T719" s="115"/>
    </row>
    <row r="720" spans="1:20">
      <c r="A720" t="s">
        <v>1230</v>
      </c>
      <c r="B720" t="s">
        <v>73</v>
      </c>
      <c r="C720" t="s">
        <v>46</v>
      </c>
      <c r="D720" t="s">
        <v>184</v>
      </c>
      <c r="E720" t="s">
        <v>2533</v>
      </c>
      <c r="F720" s="121">
        <v>59800</v>
      </c>
      <c r="G720" s="121">
        <v>59800</v>
      </c>
      <c r="H720" t="s">
        <v>522</v>
      </c>
      <c r="I720" s="156">
        <v>41396</v>
      </c>
      <c r="K720" s="153"/>
      <c r="L720" s="153"/>
      <c r="M720" s="153"/>
      <c r="N720" s="153"/>
      <c r="O720" s="153"/>
      <c r="P720" s="152"/>
      <c r="Q720" s="152"/>
      <c r="R720" s="153"/>
      <c r="S720" s="154"/>
      <c r="T720" s="115"/>
    </row>
    <row r="721" spans="1:20">
      <c r="A721" t="s">
        <v>1230</v>
      </c>
      <c r="B721" t="s">
        <v>74</v>
      </c>
      <c r="C721" t="s">
        <v>66</v>
      </c>
      <c r="D721" t="s">
        <v>279</v>
      </c>
      <c r="E721" t="s">
        <v>2534</v>
      </c>
      <c r="F721" s="121">
        <v>193000</v>
      </c>
      <c r="G721" s="121">
        <v>193000</v>
      </c>
      <c r="H721" t="s">
        <v>2535</v>
      </c>
      <c r="I721" s="156">
        <v>41400</v>
      </c>
      <c r="K721" s="153"/>
      <c r="L721" s="153"/>
      <c r="M721" s="153"/>
      <c r="N721" s="153"/>
      <c r="O721" s="153"/>
      <c r="P721" s="152"/>
      <c r="Q721" s="152"/>
      <c r="R721" s="153"/>
      <c r="S721" s="154"/>
      <c r="T721" s="115"/>
    </row>
    <row r="722" spans="1:20">
      <c r="A722" t="s">
        <v>1230</v>
      </c>
      <c r="B722" t="s">
        <v>74</v>
      </c>
      <c r="C722" t="s">
        <v>66</v>
      </c>
      <c r="D722" t="s">
        <v>279</v>
      </c>
      <c r="E722" t="s">
        <v>2534</v>
      </c>
      <c r="F722" s="121">
        <v>913.53</v>
      </c>
      <c r="G722" s="121">
        <v>913.53</v>
      </c>
      <c r="H722" t="s">
        <v>2535</v>
      </c>
      <c r="I722" s="156">
        <v>41400</v>
      </c>
      <c r="K722" s="153"/>
      <c r="L722" s="153"/>
      <c r="M722" s="153"/>
      <c r="N722" s="153"/>
      <c r="O722" s="153"/>
      <c r="P722" s="152"/>
      <c r="Q722" s="152"/>
      <c r="R722" s="153"/>
      <c r="S722" s="154"/>
      <c r="T722" s="115"/>
    </row>
    <row r="723" spans="1:20">
      <c r="A723" t="s">
        <v>1230</v>
      </c>
      <c r="B723" t="s">
        <v>74</v>
      </c>
      <c r="C723" t="s">
        <v>66</v>
      </c>
      <c r="D723" t="s">
        <v>279</v>
      </c>
      <c r="E723" t="s">
        <v>2536</v>
      </c>
      <c r="F723" s="121">
        <v>193000</v>
      </c>
      <c r="G723" s="121">
        <v>193000</v>
      </c>
      <c r="H723" t="s">
        <v>2537</v>
      </c>
      <c r="I723" s="156">
        <v>41400</v>
      </c>
      <c r="K723" s="153"/>
      <c r="L723" s="153"/>
      <c r="M723" s="153"/>
      <c r="N723" s="153"/>
      <c r="O723" s="153"/>
      <c r="P723" s="152"/>
      <c r="Q723" s="152"/>
      <c r="R723" s="153"/>
      <c r="S723" s="154"/>
      <c r="T723" s="115"/>
    </row>
    <row r="724" spans="1:20">
      <c r="A724" t="s">
        <v>1230</v>
      </c>
      <c r="B724" t="s">
        <v>74</v>
      </c>
      <c r="C724" t="s">
        <v>66</v>
      </c>
      <c r="D724" t="s">
        <v>279</v>
      </c>
      <c r="E724" t="s">
        <v>2536</v>
      </c>
      <c r="F724" s="121">
        <v>913.53</v>
      </c>
      <c r="G724" s="121">
        <v>913.53</v>
      </c>
      <c r="H724" t="s">
        <v>2537</v>
      </c>
      <c r="I724" s="156">
        <v>41400</v>
      </c>
      <c r="K724" s="153"/>
      <c r="L724" s="153"/>
      <c r="M724" s="153"/>
      <c r="N724" s="153"/>
      <c r="O724" s="153"/>
      <c r="P724" s="152"/>
      <c r="Q724" s="152"/>
      <c r="R724" s="153"/>
      <c r="S724" s="154"/>
      <c r="T724" s="115"/>
    </row>
    <row r="725" spans="1:20">
      <c r="A725" t="s">
        <v>1230</v>
      </c>
      <c r="B725" t="s">
        <v>72</v>
      </c>
      <c r="C725" t="s">
        <v>45</v>
      </c>
      <c r="D725" t="s">
        <v>523</v>
      </c>
      <c r="E725" t="s">
        <v>2538</v>
      </c>
      <c r="F725" s="121">
        <v>13900</v>
      </c>
      <c r="G725" s="121">
        <v>13900</v>
      </c>
      <c r="H725" t="s">
        <v>396</v>
      </c>
      <c r="I725" s="156">
        <v>41400</v>
      </c>
      <c r="K725" s="153"/>
      <c r="L725" s="153"/>
      <c r="M725" s="153"/>
      <c r="N725" s="153"/>
      <c r="O725" s="153"/>
      <c r="P725" s="152"/>
      <c r="Q725" s="152"/>
      <c r="R725" s="153"/>
      <c r="S725" s="154"/>
      <c r="T725" s="115"/>
    </row>
    <row r="726" spans="1:20">
      <c r="A726" t="s">
        <v>1230</v>
      </c>
      <c r="B726" t="s">
        <v>74</v>
      </c>
      <c r="C726" t="s">
        <v>66</v>
      </c>
      <c r="D726" t="s">
        <v>279</v>
      </c>
      <c r="E726" t="s">
        <v>2539</v>
      </c>
      <c r="F726" s="121">
        <v>913.53</v>
      </c>
      <c r="G726" s="121">
        <v>913.53</v>
      </c>
      <c r="H726" t="s">
        <v>2540</v>
      </c>
      <c r="I726" s="156">
        <v>41407</v>
      </c>
      <c r="K726" s="153"/>
      <c r="L726" s="153"/>
      <c r="M726" s="153"/>
      <c r="N726" s="153"/>
      <c r="O726" s="153"/>
      <c r="P726" s="152"/>
      <c r="Q726" s="152"/>
      <c r="R726" s="153"/>
      <c r="S726" s="154"/>
      <c r="T726" s="115"/>
    </row>
    <row r="727" spans="1:20">
      <c r="A727" t="s">
        <v>1230</v>
      </c>
      <c r="B727" t="s">
        <v>74</v>
      </c>
      <c r="C727" t="s">
        <v>66</v>
      </c>
      <c r="D727" t="s">
        <v>279</v>
      </c>
      <c r="E727" t="s">
        <v>2539</v>
      </c>
      <c r="F727" s="121">
        <v>193000</v>
      </c>
      <c r="G727" s="121">
        <v>193000</v>
      </c>
      <c r="H727" t="s">
        <v>2540</v>
      </c>
      <c r="I727" s="156">
        <v>41407</v>
      </c>
      <c r="K727" s="153"/>
      <c r="L727" s="153"/>
      <c r="M727" s="153"/>
      <c r="N727" s="153"/>
      <c r="O727" s="153"/>
      <c r="P727" s="152"/>
      <c r="Q727" s="152"/>
      <c r="R727" s="153"/>
      <c r="S727" s="154"/>
      <c r="T727" s="115"/>
    </row>
    <row r="728" spans="1:20">
      <c r="A728" t="s">
        <v>1230</v>
      </c>
      <c r="B728" t="s">
        <v>73</v>
      </c>
      <c r="C728" t="s">
        <v>63</v>
      </c>
      <c r="D728" t="s">
        <v>258</v>
      </c>
      <c r="E728" t="s">
        <v>2541</v>
      </c>
      <c r="F728" s="121">
        <v>140000</v>
      </c>
      <c r="G728" s="121">
        <v>140000</v>
      </c>
      <c r="H728" t="s">
        <v>396</v>
      </c>
      <c r="I728" s="156">
        <v>41407</v>
      </c>
      <c r="K728" s="153"/>
      <c r="L728" s="153"/>
      <c r="M728" s="153"/>
      <c r="N728" s="153"/>
      <c r="O728" s="153"/>
      <c r="P728" s="152"/>
      <c r="Q728" s="152"/>
      <c r="R728" s="153"/>
      <c r="S728" s="154"/>
      <c r="T728" s="115"/>
    </row>
    <row r="729" spans="1:20">
      <c r="A729" t="s">
        <v>1231</v>
      </c>
      <c r="B729" t="s">
        <v>71</v>
      </c>
      <c r="C729" t="s">
        <v>37</v>
      </c>
      <c r="D729" t="s">
        <v>130</v>
      </c>
      <c r="E729" t="s">
        <v>2542</v>
      </c>
      <c r="F729" s="121">
        <v>240000</v>
      </c>
      <c r="G729" s="121">
        <v>240000</v>
      </c>
      <c r="H729" t="s">
        <v>2543</v>
      </c>
      <c r="I729" s="156">
        <v>41379</v>
      </c>
      <c r="K729" s="153"/>
      <c r="L729" s="153"/>
      <c r="M729" s="153"/>
      <c r="N729" s="153"/>
      <c r="O729" s="153"/>
      <c r="P729" s="152"/>
      <c r="Q729" s="152"/>
      <c r="R729" s="153"/>
      <c r="S729" s="154"/>
      <c r="T729" s="115"/>
    </row>
    <row r="730" spans="1:20">
      <c r="A730" t="s">
        <v>1230</v>
      </c>
      <c r="B730" t="s">
        <v>72</v>
      </c>
      <c r="C730" t="s">
        <v>51</v>
      </c>
      <c r="D730" t="s">
        <v>524</v>
      </c>
      <c r="E730" t="s">
        <v>2544</v>
      </c>
      <c r="F730" s="121">
        <v>532000</v>
      </c>
      <c r="G730" s="121">
        <v>532000</v>
      </c>
      <c r="H730" t="s">
        <v>517</v>
      </c>
      <c r="I730" s="156">
        <v>41407</v>
      </c>
      <c r="K730" s="153"/>
      <c r="L730" s="153"/>
      <c r="M730" s="153"/>
      <c r="N730" s="153"/>
      <c r="O730" s="153"/>
      <c r="P730" s="150"/>
      <c r="Q730" s="150"/>
      <c r="R730" s="153"/>
      <c r="S730" s="154"/>
      <c r="T730" s="115"/>
    </row>
    <row r="731" spans="1:20">
      <c r="A731" t="s">
        <v>1230</v>
      </c>
      <c r="B731" t="s">
        <v>72</v>
      </c>
      <c r="C731" t="s">
        <v>51</v>
      </c>
      <c r="D731" t="s">
        <v>525</v>
      </c>
      <c r="E731" t="s">
        <v>2545</v>
      </c>
      <c r="F731" s="121">
        <v>78000</v>
      </c>
      <c r="G731" s="121">
        <v>78000</v>
      </c>
      <c r="H731" t="s">
        <v>517</v>
      </c>
      <c r="I731" s="156">
        <v>41407</v>
      </c>
      <c r="K731" s="153"/>
      <c r="L731" s="153"/>
      <c r="M731" s="153"/>
      <c r="N731" s="153"/>
      <c r="O731" s="153"/>
      <c r="P731" s="152"/>
      <c r="Q731" s="152"/>
      <c r="R731" s="153"/>
      <c r="S731" s="154"/>
      <c r="T731" s="115"/>
    </row>
    <row r="732" spans="1:20">
      <c r="A732" t="s">
        <v>1230</v>
      </c>
      <c r="B732" t="s">
        <v>73</v>
      </c>
      <c r="C732" t="s">
        <v>69</v>
      </c>
      <c r="D732" t="s">
        <v>314</v>
      </c>
      <c r="E732" t="s">
        <v>2546</v>
      </c>
      <c r="F732" s="121">
        <v>27640.25</v>
      </c>
      <c r="G732" s="121">
        <v>27640.25</v>
      </c>
      <c r="H732" t="s">
        <v>2547</v>
      </c>
      <c r="I732" s="156">
        <v>41407</v>
      </c>
      <c r="K732" s="153"/>
      <c r="L732" s="153"/>
      <c r="M732" s="153"/>
      <c r="N732" s="153"/>
      <c r="O732" s="153"/>
      <c r="P732" s="152"/>
      <c r="Q732" s="152"/>
      <c r="R732" s="153"/>
      <c r="S732" s="154"/>
      <c r="T732" s="115"/>
    </row>
    <row r="733" spans="1:20">
      <c r="A733" t="s">
        <v>1230</v>
      </c>
      <c r="B733" t="s">
        <v>75</v>
      </c>
      <c r="C733" t="s">
        <v>69</v>
      </c>
      <c r="D733" t="s">
        <v>315</v>
      </c>
      <c r="E733" t="s">
        <v>2548</v>
      </c>
      <c r="F733" s="121">
        <v>32846.400000000001</v>
      </c>
      <c r="G733" s="121">
        <v>32846.400000000001</v>
      </c>
      <c r="H733" t="s">
        <v>2549</v>
      </c>
      <c r="I733" s="156">
        <v>41407</v>
      </c>
      <c r="K733" s="153"/>
      <c r="L733" s="153"/>
      <c r="M733" s="153"/>
      <c r="N733" s="153"/>
      <c r="O733" s="153"/>
      <c r="P733" s="150"/>
      <c r="Q733" s="150"/>
      <c r="R733" s="153"/>
      <c r="S733" s="154"/>
      <c r="T733" s="115"/>
    </row>
    <row r="734" spans="1:20">
      <c r="A734" t="s">
        <v>1231</v>
      </c>
      <c r="B734" t="s">
        <v>71</v>
      </c>
      <c r="C734" t="s">
        <v>37</v>
      </c>
      <c r="D734" t="s">
        <v>130</v>
      </c>
      <c r="E734" t="s">
        <v>2550</v>
      </c>
      <c r="F734" s="121">
        <v>240000</v>
      </c>
      <c r="G734" s="121">
        <v>240000</v>
      </c>
      <c r="H734" t="s">
        <v>2551</v>
      </c>
      <c r="I734" s="156">
        <v>41379</v>
      </c>
      <c r="K734" s="153"/>
      <c r="L734" s="153"/>
      <c r="M734" s="153"/>
      <c r="N734" s="153"/>
      <c r="O734" s="153"/>
      <c r="P734" s="150"/>
      <c r="Q734" s="150"/>
      <c r="R734" s="153"/>
      <c r="S734" s="154"/>
      <c r="T734" s="115"/>
    </row>
    <row r="735" spans="1:20">
      <c r="A735" t="s">
        <v>1231</v>
      </c>
      <c r="B735" t="s">
        <v>71</v>
      </c>
      <c r="C735" t="s">
        <v>37</v>
      </c>
      <c r="D735" t="s">
        <v>131</v>
      </c>
      <c r="E735" t="s">
        <v>2552</v>
      </c>
      <c r="F735" s="121">
        <v>170000</v>
      </c>
      <c r="G735" s="121">
        <v>170000</v>
      </c>
      <c r="H735" t="s">
        <v>2553</v>
      </c>
      <c r="I735" s="156">
        <v>41379</v>
      </c>
      <c r="K735" s="153"/>
      <c r="L735" s="153"/>
      <c r="M735" s="153"/>
      <c r="N735" s="153"/>
      <c r="O735" s="153"/>
      <c r="P735" s="152"/>
      <c r="Q735" s="152"/>
      <c r="R735" s="153"/>
      <c r="S735" s="154"/>
      <c r="T735" s="115"/>
    </row>
    <row r="736" spans="1:20">
      <c r="A736" t="s">
        <v>1230</v>
      </c>
      <c r="B736" t="s">
        <v>72</v>
      </c>
      <c r="C736" t="s">
        <v>51</v>
      </c>
      <c r="D736" t="s">
        <v>526</v>
      </c>
      <c r="E736" t="s">
        <v>2554</v>
      </c>
      <c r="F736" s="121">
        <v>15000</v>
      </c>
      <c r="G736" s="121">
        <v>15000</v>
      </c>
      <c r="H736" t="s">
        <v>2555</v>
      </c>
      <c r="I736" s="156">
        <v>41417</v>
      </c>
      <c r="K736" s="153"/>
      <c r="L736" s="153"/>
      <c r="M736" s="153"/>
      <c r="N736" s="153"/>
      <c r="O736" s="153"/>
      <c r="P736" s="150"/>
      <c r="Q736" s="150"/>
      <c r="R736" s="153"/>
      <c r="S736" s="154"/>
      <c r="T736" s="115"/>
    </row>
    <row r="737" spans="1:20">
      <c r="A737" t="s">
        <v>1231</v>
      </c>
      <c r="B737" t="s">
        <v>71</v>
      </c>
      <c r="C737" t="s">
        <v>56</v>
      </c>
      <c r="D737" t="s">
        <v>209</v>
      </c>
      <c r="E737" t="s">
        <v>2556</v>
      </c>
      <c r="F737" s="121">
        <v>490000</v>
      </c>
      <c r="G737" s="121">
        <v>490000</v>
      </c>
      <c r="H737" t="s">
        <v>2557</v>
      </c>
      <c r="I737" s="156">
        <v>41423</v>
      </c>
      <c r="K737" s="153"/>
      <c r="L737" s="153"/>
      <c r="M737" s="153"/>
      <c r="N737" s="153"/>
      <c r="O737" s="153"/>
      <c r="P737" s="152"/>
      <c r="Q737" s="152"/>
      <c r="R737" s="153"/>
      <c r="S737" s="154"/>
      <c r="T737" s="115"/>
    </row>
    <row r="738" spans="1:20">
      <c r="A738" t="s">
        <v>1230</v>
      </c>
      <c r="B738" t="s">
        <v>72</v>
      </c>
      <c r="C738" t="s">
        <v>45</v>
      </c>
      <c r="D738" t="s">
        <v>527</v>
      </c>
      <c r="E738" t="s">
        <v>2558</v>
      </c>
      <c r="F738" s="121">
        <v>3500</v>
      </c>
      <c r="G738" s="121">
        <v>3500</v>
      </c>
      <c r="H738" t="s">
        <v>528</v>
      </c>
      <c r="I738" s="156">
        <v>41430</v>
      </c>
      <c r="K738" s="153"/>
      <c r="L738" s="153"/>
      <c r="M738" s="153"/>
      <c r="N738" s="153"/>
      <c r="O738" s="153"/>
      <c r="P738" s="152"/>
      <c r="Q738" s="152"/>
      <c r="R738" s="153"/>
      <c r="S738" s="154"/>
      <c r="T738" s="115"/>
    </row>
    <row r="739" spans="1:20">
      <c r="A739" t="s">
        <v>1230</v>
      </c>
      <c r="B739" t="s">
        <v>73</v>
      </c>
      <c r="C739" t="s">
        <v>69</v>
      </c>
      <c r="D739" t="s">
        <v>321</v>
      </c>
      <c r="E739" t="s">
        <v>2559</v>
      </c>
      <c r="F739" s="121">
        <v>55920.6</v>
      </c>
      <c r="G739" s="121">
        <v>55920.6</v>
      </c>
      <c r="H739" t="s">
        <v>2560</v>
      </c>
      <c r="I739" s="156">
        <v>41431</v>
      </c>
      <c r="K739" s="153"/>
      <c r="L739" s="153"/>
      <c r="M739" s="153"/>
      <c r="N739" s="153"/>
      <c r="O739" s="153"/>
      <c r="P739" s="152"/>
      <c r="Q739" s="152"/>
      <c r="R739" s="153"/>
      <c r="S739" s="154"/>
      <c r="T739" s="115"/>
    </row>
    <row r="740" spans="1:20">
      <c r="A740" t="s">
        <v>1230</v>
      </c>
      <c r="B740" t="s">
        <v>73</v>
      </c>
      <c r="C740" t="s">
        <v>51</v>
      </c>
      <c r="D740" t="s">
        <v>258</v>
      </c>
      <c r="E740" t="s">
        <v>2561</v>
      </c>
      <c r="F740" s="121">
        <v>140000</v>
      </c>
      <c r="G740" s="121">
        <v>140000</v>
      </c>
      <c r="H740" t="s">
        <v>396</v>
      </c>
      <c r="I740" s="156">
        <v>41432</v>
      </c>
      <c r="K740" s="153"/>
      <c r="L740" s="153"/>
      <c r="M740" s="153"/>
      <c r="N740" s="153"/>
      <c r="O740" s="153"/>
      <c r="P740" s="152"/>
      <c r="Q740" s="152"/>
      <c r="R740" s="153"/>
      <c r="S740" s="154"/>
      <c r="T740" s="115"/>
    </row>
    <row r="741" spans="1:20">
      <c r="A741" t="s">
        <v>1230</v>
      </c>
      <c r="B741" t="s">
        <v>72</v>
      </c>
      <c r="C741" t="s">
        <v>51</v>
      </c>
      <c r="D741" t="s">
        <v>529</v>
      </c>
      <c r="E741" t="s">
        <v>2562</v>
      </c>
      <c r="F741" s="121">
        <v>81000</v>
      </c>
      <c r="G741" s="121">
        <v>81000</v>
      </c>
      <c r="H741" t="s">
        <v>396</v>
      </c>
      <c r="I741" s="156">
        <v>41438</v>
      </c>
      <c r="K741" s="153"/>
      <c r="L741" s="153"/>
      <c r="M741" s="153"/>
      <c r="N741" s="153"/>
      <c r="O741" s="153"/>
      <c r="P741" s="152"/>
      <c r="Q741" s="152"/>
      <c r="R741" s="153"/>
      <c r="S741" s="154"/>
      <c r="T741" s="115"/>
    </row>
    <row r="742" spans="1:20">
      <c r="A742" t="s">
        <v>1230</v>
      </c>
      <c r="B742" t="s">
        <v>72</v>
      </c>
      <c r="C742" t="s">
        <v>66</v>
      </c>
      <c r="D742" t="s">
        <v>280</v>
      </c>
      <c r="E742" t="s">
        <v>2563</v>
      </c>
      <c r="F742" s="121">
        <v>474387.20000000001</v>
      </c>
      <c r="G742" s="121">
        <v>474387.20000000001</v>
      </c>
      <c r="H742" t="s">
        <v>2564</v>
      </c>
      <c r="I742" s="156">
        <v>41439</v>
      </c>
      <c r="K742" s="153"/>
      <c r="L742" s="153"/>
      <c r="M742" s="153"/>
      <c r="N742" s="153"/>
      <c r="O742" s="153"/>
      <c r="P742" s="150"/>
      <c r="Q742" s="150"/>
      <c r="R742" s="153"/>
      <c r="S742" s="154"/>
      <c r="T742" s="115"/>
    </row>
    <row r="743" spans="1:20">
      <c r="A743" t="s">
        <v>1230</v>
      </c>
      <c r="B743" t="s">
        <v>72</v>
      </c>
      <c r="C743" t="s">
        <v>66</v>
      </c>
      <c r="D743" t="s">
        <v>280</v>
      </c>
      <c r="E743" t="s">
        <v>2565</v>
      </c>
      <c r="F743" s="121">
        <v>474387.20000000001</v>
      </c>
      <c r="G743" s="121">
        <v>474387.20000000001</v>
      </c>
      <c r="H743" t="s">
        <v>2566</v>
      </c>
      <c r="I743" s="156">
        <v>41439</v>
      </c>
      <c r="K743" s="153"/>
      <c r="L743" s="153"/>
      <c r="M743" s="153"/>
      <c r="N743" s="153"/>
      <c r="O743" s="153"/>
      <c r="P743" s="152"/>
      <c r="Q743" s="152"/>
      <c r="R743" s="153"/>
      <c r="S743" s="154"/>
      <c r="T743" s="115"/>
    </row>
    <row r="744" spans="1:20">
      <c r="A744" t="s">
        <v>1230</v>
      </c>
      <c r="B744" t="s">
        <v>72</v>
      </c>
      <c r="C744" t="s">
        <v>66</v>
      </c>
      <c r="D744" t="s">
        <v>280</v>
      </c>
      <c r="E744" t="s">
        <v>2567</v>
      </c>
      <c r="F744" s="121">
        <v>474387.20000000001</v>
      </c>
      <c r="G744" s="121">
        <v>474387.20000000001</v>
      </c>
      <c r="H744" t="s">
        <v>2568</v>
      </c>
      <c r="I744" s="156">
        <v>41439</v>
      </c>
      <c r="K744" s="153"/>
      <c r="L744" s="153"/>
      <c r="M744" s="153"/>
      <c r="N744" s="153"/>
      <c r="O744" s="153"/>
      <c r="P744" s="152"/>
      <c r="Q744" s="152"/>
      <c r="R744" s="153"/>
      <c r="S744" s="154"/>
      <c r="T744" s="115"/>
    </row>
    <row r="745" spans="1:20">
      <c r="A745" t="s">
        <v>1230</v>
      </c>
      <c r="B745" t="s">
        <v>73</v>
      </c>
      <c r="C745" t="s">
        <v>66</v>
      </c>
      <c r="D745" t="s">
        <v>280</v>
      </c>
      <c r="E745" t="s">
        <v>2569</v>
      </c>
      <c r="F745" s="121">
        <v>474387.20000000001</v>
      </c>
      <c r="G745" s="121">
        <v>474387.20000000001</v>
      </c>
      <c r="H745" t="s">
        <v>2570</v>
      </c>
      <c r="I745" s="156">
        <v>41446</v>
      </c>
      <c r="K745" s="153"/>
      <c r="L745" s="153"/>
      <c r="M745" s="153"/>
      <c r="N745" s="153"/>
      <c r="O745" s="153"/>
      <c r="P745" s="150"/>
      <c r="Q745" s="150"/>
      <c r="R745" s="153"/>
      <c r="S745" s="154"/>
      <c r="T745" s="115"/>
    </row>
    <row r="746" spans="1:20">
      <c r="A746" t="s">
        <v>1230</v>
      </c>
      <c r="B746" t="s">
        <v>76</v>
      </c>
      <c r="C746" t="s">
        <v>66</v>
      </c>
      <c r="D746" t="s">
        <v>280</v>
      </c>
      <c r="E746" t="s">
        <v>2571</v>
      </c>
      <c r="F746" s="121">
        <v>474387.20000000001</v>
      </c>
      <c r="G746" s="121">
        <v>474387.20000000001</v>
      </c>
      <c r="H746" t="s">
        <v>2572</v>
      </c>
      <c r="I746" s="156">
        <v>41446</v>
      </c>
      <c r="K746" s="153"/>
      <c r="L746" s="153"/>
      <c r="M746" s="153"/>
      <c r="N746" s="153"/>
      <c r="O746" s="153"/>
      <c r="P746" s="152"/>
      <c r="Q746" s="152"/>
      <c r="R746" s="153"/>
      <c r="S746" s="154"/>
      <c r="T746" s="115"/>
    </row>
    <row r="747" spans="1:20">
      <c r="A747" t="s">
        <v>1230</v>
      </c>
      <c r="B747" t="s">
        <v>72</v>
      </c>
      <c r="C747" t="s">
        <v>59</v>
      </c>
      <c r="D747" t="s">
        <v>229</v>
      </c>
      <c r="E747" t="s">
        <v>2573</v>
      </c>
      <c r="F747" s="121">
        <v>230000</v>
      </c>
      <c r="G747" s="121">
        <v>230000</v>
      </c>
      <c r="H747" t="s">
        <v>2574</v>
      </c>
      <c r="I747" s="156">
        <v>41445</v>
      </c>
      <c r="K747" s="153"/>
      <c r="L747" s="153"/>
      <c r="M747" s="153"/>
      <c r="N747" s="153"/>
      <c r="O747" s="153"/>
      <c r="P747" s="152"/>
      <c r="Q747" s="152"/>
      <c r="R747" s="153"/>
      <c r="S747" s="154"/>
      <c r="T747" s="115"/>
    </row>
    <row r="748" spans="1:20">
      <c r="A748" t="s">
        <v>1230</v>
      </c>
      <c r="B748" t="s">
        <v>72</v>
      </c>
      <c r="C748" t="s">
        <v>59</v>
      </c>
      <c r="D748" t="s">
        <v>229</v>
      </c>
      <c r="E748" t="s">
        <v>2575</v>
      </c>
      <c r="F748" s="121">
        <v>230000</v>
      </c>
      <c r="G748" s="121">
        <v>230000</v>
      </c>
      <c r="H748" t="s">
        <v>2576</v>
      </c>
      <c r="I748" s="156">
        <v>41445</v>
      </c>
      <c r="K748" s="153"/>
      <c r="L748" s="153"/>
      <c r="M748" s="153"/>
      <c r="N748" s="153"/>
      <c r="O748" s="153"/>
      <c r="P748" s="152"/>
      <c r="Q748" s="152"/>
      <c r="R748" s="153"/>
      <c r="S748" s="154"/>
      <c r="T748" s="115"/>
    </row>
    <row r="749" spans="1:20">
      <c r="A749" t="s">
        <v>1230</v>
      </c>
      <c r="B749" t="s">
        <v>72</v>
      </c>
      <c r="C749" t="s">
        <v>51</v>
      </c>
      <c r="D749" t="s">
        <v>453</v>
      </c>
      <c r="E749" t="s">
        <v>2577</v>
      </c>
      <c r="F749" s="121">
        <v>1980</v>
      </c>
      <c r="G749" s="121">
        <v>1980</v>
      </c>
      <c r="H749" t="s">
        <v>396</v>
      </c>
      <c r="I749" s="156">
        <v>41449</v>
      </c>
      <c r="K749" s="153"/>
      <c r="L749" s="153"/>
      <c r="M749" s="153"/>
      <c r="N749" s="153"/>
      <c r="O749" s="153"/>
      <c r="P749" s="152"/>
      <c r="Q749" s="152"/>
      <c r="R749" s="153"/>
      <c r="S749" s="154"/>
      <c r="T749" s="115"/>
    </row>
    <row r="750" spans="1:20">
      <c r="A750" t="s">
        <v>1230</v>
      </c>
      <c r="B750" t="s">
        <v>73</v>
      </c>
      <c r="C750" t="s">
        <v>39</v>
      </c>
      <c r="D750" t="s">
        <v>158</v>
      </c>
      <c r="E750" t="s">
        <v>2578</v>
      </c>
      <c r="F750" s="121">
        <v>145000</v>
      </c>
      <c r="G750" s="121">
        <v>145000</v>
      </c>
      <c r="H750" t="s">
        <v>2579</v>
      </c>
      <c r="I750" s="156">
        <v>41464</v>
      </c>
      <c r="K750" s="153"/>
      <c r="L750" s="153"/>
      <c r="M750" s="153"/>
      <c r="N750" s="153"/>
      <c r="O750" s="153"/>
      <c r="P750" s="150"/>
      <c r="Q750" s="150"/>
      <c r="R750" s="153"/>
      <c r="S750" s="154"/>
      <c r="T750" s="115"/>
    </row>
    <row r="751" spans="1:20">
      <c r="A751" t="s">
        <v>1230</v>
      </c>
      <c r="B751" t="s">
        <v>72</v>
      </c>
      <c r="C751" t="s">
        <v>51</v>
      </c>
      <c r="D751" t="s">
        <v>530</v>
      </c>
      <c r="E751" t="s">
        <v>2580</v>
      </c>
      <c r="F751" s="121">
        <v>118000</v>
      </c>
      <c r="G751" s="121">
        <v>118000</v>
      </c>
      <c r="H751" t="s">
        <v>396</v>
      </c>
      <c r="I751" s="156">
        <v>41473</v>
      </c>
      <c r="K751" s="153"/>
      <c r="L751" s="153"/>
      <c r="M751" s="153"/>
      <c r="N751" s="153"/>
      <c r="O751" s="153"/>
      <c r="P751" s="152"/>
      <c r="Q751" s="152"/>
      <c r="R751" s="153"/>
      <c r="S751" s="154"/>
      <c r="T751" s="115"/>
    </row>
    <row r="752" spans="1:20">
      <c r="A752" t="s">
        <v>1230</v>
      </c>
      <c r="B752" t="s">
        <v>73</v>
      </c>
      <c r="C752" t="s">
        <v>51</v>
      </c>
      <c r="D752" t="s">
        <v>453</v>
      </c>
      <c r="E752" t="s">
        <v>2581</v>
      </c>
      <c r="F752" s="121">
        <v>1900</v>
      </c>
      <c r="G752" s="121">
        <v>1900</v>
      </c>
      <c r="H752" t="s">
        <v>396</v>
      </c>
      <c r="I752" s="156">
        <v>41477</v>
      </c>
      <c r="K752" s="153"/>
      <c r="L752" s="153"/>
      <c r="M752" s="153"/>
      <c r="N752" s="153"/>
      <c r="O752" s="153"/>
      <c r="P752" s="150"/>
      <c r="Q752" s="150"/>
      <c r="R752" s="153"/>
      <c r="S752" s="154"/>
      <c r="T752" s="115"/>
    </row>
    <row r="753" spans="1:20">
      <c r="A753" t="s">
        <v>1230</v>
      </c>
      <c r="B753" t="s">
        <v>73</v>
      </c>
      <c r="C753" t="s">
        <v>51</v>
      </c>
      <c r="D753" t="s">
        <v>453</v>
      </c>
      <c r="E753" t="s">
        <v>2582</v>
      </c>
      <c r="F753" s="121">
        <v>1900</v>
      </c>
      <c r="G753" s="121">
        <v>1900</v>
      </c>
      <c r="H753" t="s">
        <v>396</v>
      </c>
      <c r="I753" s="156">
        <v>41477</v>
      </c>
      <c r="K753" s="153"/>
      <c r="L753" s="153"/>
      <c r="M753" s="153"/>
      <c r="N753" s="153"/>
      <c r="O753" s="153"/>
      <c r="P753" s="152"/>
      <c r="Q753" s="152"/>
      <c r="R753" s="153"/>
      <c r="S753" s="154"/>
      <c r="T753" s="115"/>
    </row>
    <row r="754" spans="1:20">
      <c r="A754" t="s">
        <v>1230</v>
      </c>
      <c r="B754" t="s">
        <v>72</v>
      </c>
      <c r="C754" t="s">
        <v>56</v>
      </c>
      <c r="D754" t="s">
        <v>205</v>
      </c>
      <c r="E754" t="s">
        <v>2583</v>
      </c>
      <c r="F754" s="121">
        <v>190000</v>
      </c>
      <c r="G754" s="121">
        <v>190000</v>
      </c>
      <c r="H754" t="s">
        <v>2584</v>
      </c>
      <c r="I754" s="156">
        <v>41479</v>
      </c>
      <c r="K754" s="153"/>
      <c r="L754" s="153"/>
      <c r="M754" s="153"/>
      <c r="N754" s="153"/>
      <c r="O754" s="153"/>
      <c r="P754" s="152"/>
      <c r="Q754" s="152"/>
      <c r="R754" s="153"/>
      <c r="S754" s="154"/>
      <c r="T754" s="115"/>
    </row>
    <row r="755" spans="1:20">
      <c r="A755" t="s">
        <v>1230</v>
      </c>
      <c r="B755" t="s">
        <v>72</v>
      </c>
      <c r="C755" t="s">
        <v>68</v>
      </c>
      <c r="D755" t="s">
        <v>304</v>
      </c>
      <c r="E755" t="s">
        <v>2585</v>
      </c>
      <c r="F755" s="121">
        <v>83000</v>
      </c>
      <c r="G755" s="121">
        <v>83000</v>
      </c>
      <c r="H755" t="s">
        <v>2586</v>
      </c>
      <c r="I755" s="156">
        <v>41470</v>
      </c>
      <c r="K755" s="153"/>
      <c r="L755" s="153"/>
      <c r="M755" s="153"/>
      <c r="N755" s="153"/>
      <c r="O755" s="153"/>
      <c r="P755" s="150"/>
      <c r="Q755" s="150"/>
      <c r="R755" s="153"/>
      <c r="S755" s="154"/>
      <c r="T755" s="115"/>
    </row>
    <row r="756" spans="1:20">
      <c r="A756" t="s">
        <v>1230</v>
      </c>
      <c r="B756" t="s">
        <v>73</v>
      </c>
      <c r="C756" t="s">
        <v>69</v>
      </c>
      <c r="D756" t="s">
        <v>322</v>
      </c>
      <c r="E756" t="s">
        <v>2587</v>
      </c>
      <c r="F756" s="121">
        <v>142260</v>
      </c>
      <c r="G756" s="121">
        <v>142260</v>
      </c>
      <c r="H756" t="s">
        <v>2588</v>
      </c>
      <c r="I756" s="156">
        <v>41486</v>
      </c>
      <c r="K756" s="153"/>
      <c r="L756" s="153"/>
      <c r="M756" s="153"/>
      <c r="N756" s="153"/>
      <c r="O756" s="153"/>
      <c r="P756" s="152"/>
      <c r="Q756" s="152"/>
      <c r="R756" s="153"/>
      <c r="S756" s="154"/>
      <c r="T756" s="115"/>
    </row>
    <row r="757" spans="1:20">
      <c r="A757" t="s">
        <v>1230</v>
      </c>
      <c r="B757" t="s">
        <v>1012</v>
      </c>
      <c r="C757" t="s">
        <v>51</v>
      </c>
      <c r="D757" t="s">
        <v>531</v>
      </c>
      <c r="E757" t="s">
        <v>2589</v>
      </c>
      <c r="F757" s="121">
        <v>2315.6999999999998</v>
      </c>
      <c r="G757" s="121">
        <v>2315.6999999999998</v>
      </c>
      <c r="H757" t="s">
        <v>458</v>
      </c>
      <c r="I757" s="156">
        <v>41493</v>
      </c>
      <c r="K757" s="153"/>
      <c r="L757" s="153"/>
      <c r="M757" s="153"/>
      <c r="N757" s="153"/>
      <c r="O757" s="153"/>
      <c r="P757" s="152"/>
      <c r="Q757" s="152"/>
      <c r="R757" s="153"/>
      <c r="S757" s="154"/>
      <c r="T757" s="115"/>
    </row>
    <row r="758" spans="1:20">
      <c r="A758" t="s">
        <v>1230</v>
      </c>
      <c r="B758" t="s">
        <v>1012</v>
      </c>
      <c r="C758" t="s">
        <v>51</v>
      </c>
      <c r="D758" t="s">
        <v>532</v>
      </c>
      <c r="E758" t="s">
        <v>2590</v>
      </c>
      <c r="F758" s="121">
        <v>1541</v>
      </c>
      <c r="G758" s="121">
        <v>1541</v>
      </c>
      <c r="H758" t="s">
        <v>458</v>
      </c>
      <c r="I758" s="156">
        <v>41493</v>
      </c>
      <c r="K758" s="153"/>
      <c r="L758" s="153"/>
      <c r="M758" s="153"/>
      <c r="N758" s="153"/>
      <c r="O758" s="153"/>
      <c r="P758" s="152"/>
      <c r="Q758" s="152"/>
      <c r="R758" s="153"/>
      <c r="S758" s="154"/>
      <c r="T758" s="115"/>
    </row>
    <row r="759" spans="1:20">
      <c r="A759" t="s">
        <v>1230</v>
      </c>
      <c r="B759" t="s">
        <v>73</v>
      </c>
      <c r="C759" t="s">
        <v>51</v>
      </c>
      <c r="D759" t="s">
        <v>454</v>
      </c>
      <c r="E759" t="s">
        <v>2591</v>
      </c>
      <c r="F759" s="121">
        <v>2240</v>
      </c>
      <c r="G759" s="121">
        <v>2240</v>
      </c>
      <c r="H759" t="s">
        <v>533</v>
      </c>
      <c r="I759" s="156">
        <v>41494</v>
      </c>
      <c r="K759" s="153"/>
      <c r="L759" s="153"/>
      <c r="M759" s="153"/>
      <c r="N759" s="153"/>
      <c r="O759" s="153"/>
      <c r="P759" s="152"/>
      <c r="Q759" s="152"/>
      <c r="R759" s="153"/>
      <c r="S759" s="154"/>
      <c r="T759" s="115"/>
    </row>
    <row r="760" spans="1:20">
      <c r="A760" t="s">
        <v>1230</v>
      </c>
      <c r="B760" t="s">
        <v>73</v>
      </c>
      <c r="C760" t="s">
        <v>69</v>
      </c>
      <c r="D760" t="s">
        <v>314</v>
      </c>
      <c r="E760" t="s">
        <v>2592</v>
      </c>
      <c r="F760" s="121">
        <v>25302.3</v>
      </c>
      <c r="G760" s="121">
        <v>25302.3</v>
      </c>
      <c r="H760" t="s">
        <v>2593</v>
      </c>
      <c r="I760" s="156">
        <v>41500</v>
      </c>
      <c r="K760" s="153"/>
      <c r="L760" s="153"/>
      <c r="M760" s="153"/>
      <c r="N760" s="153"/>
      <c r="O760" s="153"/>
      <c r="P760" s="152"/>
      <c r="Q760" s="152"/>
      <c r="R760" s="153"/>
      <c r="S760" s="154"/>
      <c r="T760" s="115"/>
    </row>
    <row r="761" spans="1:20">
      <c r="A761" t="s">
        <v>1230</v>
      </c>
      <c r="B761" t="s">
        <v>73</v>
      </c>
      <c r="C761" t="s">
        <v>69</v>
      </c>
      <c r="D761" t="s">
        <v>314</v>
      </c>
      <c r="E761" t="s">
        <v>2594</v>
      </c>
      <c r="F761" s="121">
        <v>25302.3</v>
      </c>
      <c r="G761" s="121">
        <v>25302.3</v>
      </c>
      <c r="H761" t="s">
        <v>2595</v>
      </c>
      <c r="I761" s="156">
        <v>41500</v>
      </c>
      <c r="K761" s="153"/>
      <c r="L761" s="153"/>
      <c r="M761" s="153"/>
      <c r="N761" s="153"/>
      <c r="O761" s="153"/>
      <c r="P761" s="152"/>
      <c r="Q761" s="152"/>
      <c r="R761" s="153"/>
      <c r="S761" s="154"/>
      <c r="T761" s="115"/>
    </row>
    <row r="762" spans="1:20">
      <c r="A762" t="s">
        <v>1230</v>
      </c>
      <c r="B762" t="s">
        <v>73</v>
      </c>
      <c r="C762" t="s">
        <v>69</v>
      </c>
      <c r="D762" t="s">
        <v>314</v>
      </c>
      <c r="E762" t="s">
        <v>2596</v>
      </c>
      <c r="F762" s="121">
        <v>25302.3</v>
      </c>
      <c r="G762" s="121">
        <v>25302.3</v>
      </c>
      <c r="H762" t="s">
        <v>2597</v>
      </c>
      <c r="I762" s="156">
        <v>41500</v>
      </c>
      <c r="K762" s="153"/>
      <c r="L762" s="153"/>
      <c r="M762" s="153"/>
      <c r="N762" s="153"/>
      <c r="O762" s="153"/>
      <c r="P762" s="152"/>
      <c r="Q762" s="152"/>
      <c r="R762" s="153"/>
      <c r="S762" s="154"/>
      <c r="T762" s="115"/>
    </row>
    <row r="763" spans="1:20">
      <c r="A763" t="s">
        <v>1230</v>
      </c>
      <c r="B763" t="s">
        <v>73</v>
      </c>
      <c r="C763" t="s">
        <v>69</v>
      </c>
      <c r="D763" t="s">
        <v>314</v>
      </c>
      <c r="E763" t="s">
        <v>2598</v>
      </c>
      <c r="F763" s="121">
        <v>25302.3</v>
      </c>
      <c r="G763" s="121">
        <v>25302.3</v>
      </c>
      <c r="H763" t="s">
        <v>2599</v>
      </c>
      <c r="I763" s="156">
        <v>41500</v>
      </c>
      <c r="K763" s="153"/>
      <c r="L763" s="153"/>
      <c r="M763" s="153"/>
      <c r="N763" s="153"/>
      <c r="O763" s="153"/>
      <c r="P763" s="152"/>
      <c r="Q763" s="152"/>
      <c r="R763" s="153"/>
      <c r="S763" s="154"/>
      <c r="T763" s="115"/>
    </row>
    <row r="764" spans="1:20">
      <c r="A764" t="s">
        <v>1230</v>
      </c>
      <c r="B764" t="s">
        <v>74</v>
      </c>
      <c r="C764" t="s">
        <v>51</v>
      </c>
      <c r="D764" t="s">
        <v>534</v>
      </c>
      <c r="E764" t="s">
        <v>2600</v>
      </c>
      <c r="F764" s="121">
        <v>3000</v>
      </c>
      <c r="G764" s="121">
        <v>3000</v>
      </c>
      <c r="H764" t="s">
        <v>535</v>
      </c>
      <c r="I764" s="156">
        <v>41501</v>
      </c>
      <c r="K764" s="153"/>
      <c r="L764" s="153"/>
      <c r="M764" s="153"/>
      <c r="N764" s="153"/>
      <c r="O764" s="153"/>
      <c r="P764" s="152"/>
      <c r="Q764" s="152"/>
      <c r="R764" s="153"/>
      <c r="S764" s="154"/>
      <c r="T764" s="115"/>
    </row>
    <row r="765" spans="1:20">
      <c r="A765" t="s">
        <v>1230</v>
      </c>
      <c r="B765" t="s">
        <v>72</v>
      </c>
      <c r="C765" t="s">
        <v>51</v>
      </c>
      <c r="D765" t="s">
        <v>529</v>
      </c>
      <c r="E765" t="s">
        <v>2601</v>
      </c>
      <c r="F765" s="121">
        <v>82000</v>
      </c>
      <c r="G765" s="121">
        <v>82000</v>
      </c>
      <c r="H765" t="s">
        <v>396</v>
      </c>
      <c r="I765" s="156">
        <v>41508</v>
      </c>
      <c r="K765" s="153"/>
      <c r="L765" s="153"/>
      <c r="M765" s="153"/>
      <c r="N765" s="153"/>
      <c r="O765" s="153"/>
      <c r="P765" s="152"/>
      <c r="Q765" s="152"/>
      <c r="R765" s="153"/>
      <c r="S765" s="154"/>
      <c r="T765" s="115"/>
    </row>
    <row r="766" spans="1:20">
      <c r="A766" t="s">
        <v>1230</v>
      </c>
      <c r="B766" t="s">
        <v>72</v>
      </c>
      <c r="C766" t="s">
        <v>66</v>
      </c>
      <c r="D766" t="s">
        <v>281</v>
      </c>
      <c r="E766" t="s">
        <v>2602</v>
      </c>
      <c r="F766" s="121">
        <v>46800</v>
      </c>
      <c r="G766" s="121">
        <v>46800</v>
      </c>
      <c r="H766" t="s">
        <v>2603</v>
      </c>
      <c r="I766" s="156">
        <v>39447</v>
      </c>
      <c r="K766" s="153"/>
      <c r="L766" s="153"/>
      <c r="M766" s="153"/>
      <c r="N766" s="153"/>
      <c r="O766" s="153"/>
      <c r="P766" s="152"/>
      <c r="Q766" s="152"/>
      <c r="R766" s="153"/>
      <c r="S766" s="154"/>
      <c r="T766" s="115"/>
    </row>
    <row r="767" spans="1:20">
      <c r="A767" t="s">
        <v>1230</v>
      </c>
      <c r="B767" t="s">
        <v>72</v>
      </c>
      <c r="C767" t="s">
        <v>39</v>
      </c>
      <c r="D767" t="s">
        <v>872</v>
      </c>
      <c r="E767" t="s">
        <v>2604</v>
      </c>
      <c r="F767" s="121">
        <v>6000</v>
      </c>
      <c r="G767" s="121">
        <v>6000</v>
      </c>
      <c r="H767" t="s">
        <v>396</v>
      </c>
      <c r="I767" s="156">
        <v>41522</v>
      </c>
      <c r="K767" s="153"/>
      <c r="L767" s="153"/>
      <c r="M767" s="153"/>
      <c r="N767" s="153"/>
      <c r="O767" s="153"/>
      <c r="P767" s="152"/>
      <c r="Q767" s="152"/>
      <c r="R767" s="153"/>
      <c r="S767" s="154"/>
      <c r="T767" s="115"/>
    </row>
    <row r="768" spans="1:20">
      <c r="A768" t="s">
        <v>1230</v>
      </c>
      <c r="B768" t="s">
        <v>72</v>
      </c>
      <c r="C768" t="s">
        <v>57</v>
      </c>
      <c r="D768" t="s">
        <v>873</v>
      </c>
      <c r="E768" t="s">
        <v>2605</v>
      </c>
      <c r="F768" s="121">
        <v>400000</v>
      </c>
      <c r="G768" s="121">
        <v>400000</v>
      </c>
      <c r="H768" t="s">
        <v>6816</v>
      </c>
      <c r="I768" s="156">
        <v>41526</v>
      </c>
      <c r="K768" s="153"/>
      <c r="L768" s="153"/>
      <c r="M768" s="153"/>
      <c r="N768" s="153"/>
      <c r="O768" s="153"/>
      <c r="P768" s="152"/>
      <c r="Q768" s="152"/>
      <c r="R768" s="153"/>
      <c r="S768" s="154"/>
      <c r="T768" s="115"/>
    </row>
    <row r="769" spans="1:20">
      <c r="A769" t="s">
        <v>1230</v>
      </c>
      <c r="B769" t="s">
        <v>72</v>
      </c>
      <c r="C769" t="s">
        <v>56</v>
      </c>
      <c r="D769" t="s">
        <v>874</v>
      </c>
      <c r="E769" t="s">
        <v>2606</v>
      </c>
      <c r="F769" s="121">
        <v>200000</v>
      </c>
      <c r="G769" s="121">
        <v>200000</v>
      </c>
      <c r="H769" t="s">
        <v>2607</v>
      </c>
      <c r="I769" s="156">
        <v>41526</v>
      </c>
      <c r="K769" s="153"/>
      <c r="L769" s="153"/>
      <c r="M769" s="153"/>
      <c r="N769" s="153"/>
      <c r="O769" s="153"/>
      <c r="P769" s="152"/>
      <c r="Q769" s="152"/>
      <c r="R769" s="153"/>
      <c r="S769" s="154"/>
      <c r="T769" s="115"/>
    </row>
    <row r="770" spans="1:20">
      <c r="A770" t="s">
        <v>1230</v>
      </c>
      <c r="B770" t="s">
        <v>76</v>
      </c>
      <c r="C770" t="s">
        <v>52</v>
      </c>
      <c r="D770" t="s">
        <v>197</v>
      </c>
      <c r="E770" t="s">
        <v>2608</v>
      </c>
      <c r="F770" s="121">
        <v>9700</v>
      </c>
      <c r="G770" s="121">
        <v>9700</v>
      </c>
      <c r="H770" t="s">
        <v>875</v>
      </c>
      <c r="I770" s="156">
        <v>41529</v>
      </c>
      <c r="K770" s="153"/>
      <c r="L770" s="153"/>
      <c r="M770" s="153"/>
      <c r="N770" s="153"/>
      <c r="O770" s="153"/>
      <c r="P770" s="152"/>
      <c r="Q770" s="152"/>
      <c r="R770" s="153"/>
      <c r="S770" s="154"/>
      <c r="T770" s="115"/>
    </row>
    <row r="771" spans="1:20">
      <c r="A771" t="s">
        <v>1230</v>
      </c>
      <c r="B771" t="s">
        <v>76</v>
      </c>
      <c r="C771" t="s">
        <v>39</v>
      </c>
      <c r="D771" t="s">
        <v>876</v>
      </c>
      <c r="E771" t="s">
        <v>2609</v>
      </c>
      <c r="F771" s="121">
        <v>4700</v>
      </c>
      <c r="G771" s="121">
        <v>4700</v>
      </c>
      <c r="H771" t="s">
        <v>875</v>
      </c>
      <c r="I771" s="156">
        <v>41533</v>
      </c>
      <c r="K771" s="153"/>
      <c r="L771" s="153"/>
      <c r="M771" s="153"/>
      <c r="N771" s="153"/>
      <c r="O771" s="153"/>
      <c r="P771" s="152"/>
      <c r="Q771" s="152"/>
      <c r="R771" s="153"/>
      <c r="S771" s="154"/>
      <c r="T771" s="115"/>
    </row>
    <row r="772" spans="1:20">
      <c r="A772" t="s">
        <v>1230</v>
      </c>
      <c r="B772" t="s">
        <v>72</v>
      </c>
      <c r="C772" t="s">
        <v>39</v>
      </c>
      <c r="D772" t="s">
        <v>877</v>
      </c>
      <c r="E772" t="s">
        <v>2610</v>
      </c>
      <c r="F772" s="121">
        <v>97000</v>
      </c>
      <c r="G772" s="121">
        <v>97000</v>
      </c>
      <c r="H772" t="s">
        <v>2611</v>
      </c>
      <c r="I772" s="156">
        <v>41536</v>
      </c>
      <c r="K772" s="153"/>
      <c r="L772" s="153"/>
      <c r="M772" s="153"/>
      <c r="N772" s="153"/>
      <c r="O772" s="153"/>
      <c r="P772" s="152"/>
      <c r="Q772" s="152"/>
      <c r="R772" s="153"/>
      <c r="S772" s="154"/>
      <c r="T772" s="115"/>
    </row>
    <row r="773" spans="1:20">
      <c r="A773" t="s">
        <v>1230</v>
      </c>
      <c r="B773" t="s">
        <v>72</v>
      </c>
      <c r="C773" t="s">
        <v>39</v>
      </c>
      <c r="D773" t="s">
        <v>878</v>
      </c>
      <c r="E773" t="s">
        <v>2612</v>
      </c>
      <c r="F773" s="121">
        <v>45000</v>
      </c>
      <c r="G773" s="121">
        <v>45000</v>
      </c>
      <c r="H773" t="s">
        <v>2613</v>
      </c>
      <c r="I773" s="156">
        <v>41536</v>
      </c>
      <c r="K773" s="153"/>
      <c r="L773" s="153"/>
      <c r="M773" s="153"/>
      <c r="N773" s="153"/>
      <c r="O773" s="153"/>
      <c r="P773" s="152"/>
      <c r="Q773" s="152"/>
      <c r="R773" s="153"/>
      <c r="S773" s="154"/>
      <c r="T773" s="115"/>
    </row>
    <row r="774" spans="1:20">
      <c r="A774" t="s">
        <v>1230</v>
      </c>
      <c r="B774" t="s">
        <v>72</v>
      </c>
      <c r="C774" t="s">
        <v>39</v>
      </c>
      <c r="D774" t="s">
        <v>879</v>
      </c>
      <c r="E774" t="s">
        <v>2614</v>
      </c>
      <c r="F774" s="121">
        <v>78000</v>
      </c>
      <c r="G774" s="121">
        <v>78000</v>
      </c>
      <c r="H774" t="s">
        <v>2615</v>
      </c>
      <c r="I774" s="156">
        <v>41536</v>
      </c>
      <c r="K774" s="153"/>
      <c r="L774" s="153"/>
      <c r="M774" s="153"/>
      <c r="N774" s="153"/>
      <c r="O774" s="153"/>
      <c r="P774" s="152"/>
      <c r="Q774" s="152"/>
      <c r="R774" s="153"/>
      <c r="S774" s="154"/>
      <c r="T774" s="115"/>
    </row>
    <row r="775" spans="1:20">
      <c r="A775" t="s">
        <v>1230</v>
      </c>
      <c r="B775" t="s">
        <v>72</v>
      </c>
      <c r="C775" t="s">
        <v>39</v>
      </c>
      <c r="D775" t="s">
        <v>879</v>
      </c>
      <c r="E775" t="s">
        <v>2614</v>
      </c>
      <c r="F775" s="121">
        <v>11000</v>
      </c>
      <c r="G775" s="121">
        <v>11000</v>
      </c>
      <c r="H775" t="s">
        <v>2615</v>
      </c>
      <c r="I775" s="156">
        <v>41584</v>
      </c>
      <c r="K775" s="153"/>
      <c r="L775" s="153"/>
      <c r="M775" s="153"/>
      <c r="N775" s="153"/>
      <c r="O775" s="153"/>
      <c r="P775" s="152"/>
      <c r="Q775" s="152"/>
      <c r="R775" s="153"/>
      <c r="S775" s="154"/>
      <c r="T775" s="115"/>
    </row>
    <row r="776" spans="1:20">
      <c r="A776" t="s">
        <v>1230</v>
      </c>
      <c r="B776" t="s">
        <v>74</v>
      </c>
      <c r="C776" t="s">
        <v>51</v>
      </c>
      <c r="D776" t="s">
        <v>880</v>
      </c>
      <c r="E776" t="s">
        <v>2616</v>
      </c>
      <c r="F776" s="121">
        <v>17200</v>
      </c>
      <c r="G776" s="121">
        <v>17200</v>
      </c>
      <c r="H776" t="s">
        <v>396</v>
      </c>
      <c r="I776" s="156">
        <v>41547</v>
      </c>
      <c r="K776" s="153"/>
      <c r="L776" s="153"/>
      <c r="M776" s="153"/>
      <c r="N776" s="153"/>
      <c r="O776" s="153"/>
      <c r="P776" s="152"/>
      <c r="Q776" s="152"/>
      <c r="R776" s="153"/>
      <c r="S776" s="154"/>
      <c r="T776" s="115"/>
    </row>
    <row r="777" spans="1:20">
      <c r="A777" t="s">
        <v>1230</v>
      </c>
      <c r="B777" t="s">
        <v>73</v>
      </c>
      <c r="C777" t="s">
        <v>69</v>
      </c>
      <c r="D777" t="s">
        <v>881</v>
      </c>
      <c r="E777" t="s">
        <v>2617</v>
      </c>
      <c r="F777" s="121">
        <v>175000</v>
      </c>
      <c r="G777" s="121">
        <v>175000</v>
      </c>
      <c r="H777" t="s">
        <v>2618</v>
      </c>
      <c r="I777" s="156">
        <v>41544</v>
      </c>
      <c r="K777" s="153"/>
      <c r="L777" s="153"/>
      <c r="M777" s="153"/>
      <c r="N777" s="153"/>
      <c r="O777" s="153"/>
      <c r="P777" s="152"/>
      <c r="Q777" s="152"/>
      <c r="R777" s="153"/>
      <c r="S777" s="154"/>
      <c r="T777" s="115"/>
    </row>
    <row r="778" spans="1:20">
      <c r="A778" t="s">
        <v>1230</v>
      </c>
      <c r="B778" t="s">
        <v>73</v>
      </c>
      <c r="C778" t="s">
        <v>51</v>
      </c>
      <c r="D778" t="s">
        <v>882</v>
      </c>
      <c r="E778" t="s">
        <v>2619</v>
      </c>
      <c r="F778" s="121">
        <v>2060</v>
      </c>
      <c r="G778" s="121">
        <v>2060</v>
      </c>
      <c r="H778" t="s">
        <v>396</v>
      </c>
      <c r="I778" s="156">
        <v>41554</v>
      </c>
      <c r="K778" s="153"/>
      <c r="L778" s="153"/>
      <c r="M778" s="153"/>
      <c r="N778" s="153"/>
      <c r="O778" s="153"/>
      <c r="P778" s="152"/>
      <c r="Q778" s="152"/>
      <c r="R778" s="153"/>
      <c r="S778" s="154"/>
      <c r="T778" s="115"/>
    </row>
    <row r="779" spans="1:20">
      <c r="A779" t="s">
        <v>1230</v>
      </c>
      <c r="B779" t="s">
        <v>72</v>
      </c>
      <c r="C779" t="s">
        <v>39</v>
      </c>
      <c r="D779" t="s">
        <v>877</v>
      </c>
      <c r="E779" t="s">
        <v>2620</v>
      </c>
      <c r="F779" s="121">
        <v>97000</v>
      </c>
      <c r="G779" s="121">
        <v>97000</v>
      </c>
      <c r="H779" t="s">
        <v>2621</v>
      </c>
      <c r="I779" s="156">
        <v>41568</v>
      </c>
      <c r="K779" s="153"/>
      <c r="L779" s="153"/>
      <c r="M779" s="153"/>
      <c r="N779" s="153"/>
      <c r="O779" s="153"/>
      <c r="P779" s="152"/>
      <c r="Q779" s="152"/>
      <c r="R779" s="153"/>
      <c r="S779" s="154"/>
      <c r="T779" s="151"/>
    </row>
    <row r="780" spans="1:20">
      <c r="A780" t="s">
        <v>1230</v>
      </c>
      <c r="B780" t="s">
        <v>72</v>
      </c>
      <c r="C780" t="s">
        <v>39</v>
      </c>
      <c r="D780" t="s">
        <v>878</v>
      </c>
      <c r="E780" t="s">
        <v>2622</v>
      </c>
      <c r="F780" s="121">
        <v>45000</v>
      </c>
      <c r="G780" s="121">
        <v>45000</v>
      </c>
      <c r="H780" t="s">
        <v>2623</v>
      </c>
      <c r="I780" s="156">
        <v>41568</v>
      </c>
      <c r="K780" s="153"/>
      <c r="L780" s="153"/>
      <c r="M780" s="153"/>
      <c r="N780" s="153"/>
      <c r="O780" s="153"/>
      <c r="P780" s="152"/>
      <c r="Q780" s="152"/>
      <c r="R780" s="153"/>
      <c r="S780" s="154"/>
      <c r="T780" s="115"/>
    </row>
    <row r="781" spans="1:20">
      <c r="A781" t="s">
        <v>1230</v>
      </c>
      <c r="B781" t="s">
        <v>72</v>
      </c>
      <c r="C781" t="s">
        <v>39</v>
      </c>
      <c r="D781" t="s">
        <v>879</v>
      </c>
      <c r="E781" t="s">
        <v>2624</v>
      </c>
      <c r="F781" s="121">
        <v>11000</v>
      </c>
      <c r="G781" s="121">
        <v>11000</v>
      </c>
      <c r="H781" t="s">
        <v>2625</v>
      </c>
      <c r="I781" s="156">
        <v>41584</v>
      </c>
      <c r="K781" s="153"/>
      <c r="L781" s="153"/>
      <c r="M781" s="153"/>
      <c r="N781" s="153"/>
      <c r="O781" s="153"/>
      <c r="P781" s="152"/>
      <c r="Q781" s="152"/>
      <c r="R781" s="153"/>
      <c r="S781" s="154"/>
      <c r="T781" s="115"/>
    </row>
    <row r="782" spans="1:20">
      <c r="A782" t="s">
        <v>1230</v>
      </c>
      <c r="B782" t="s">
        <v>72</v>
      </c>
      <c r="C782" t="s">
        <v>39</v>
      </c>
      <c r="D782" t="s">
        <v>879</v>
      </c>
      <c r="E782" t="s">
        <v>2624</v>
      </c>
      <c r="F782" s="121">
        <v>78000</v>
      </c>
      <c r="G782" s="121">
        <v>78000</v>
      </c>
      <c r="H782" t="s">
        <v>2625</v>
      </c>
      <c r="I782" s="156">
        <v>41568</v>
      </c>
      <c r="K782" s="153"/>
      <c r="L782" s="153"/>
      <c r="M782" s="153"/>
      <c r="N782" s="153"/>
      <c r="O782" s="153"/>
      <c r="P782" s="152"/>
      <c r="Q782" s="152"/>
      <c r="R782" s="153"/>
      <c r="S782" s="154"/>
      <c r="T782" s="115"/>
    </row>
    <row r="783" spans="1:20">
      <c r="A783" t="s">
        <v>1230</v>
      </c>
      <c r="B783" t="s">
        <v>72</v>
      </c>
      <c r="C783" t="s">
        <v>39</v>
      </c>
      <c r="D783" t="s">
        <v>877</v>
      </c>
      <c r="E783" t="s">
        <v>2626</v>
      </c>
      <c r="F783" s="121">
        <v>97000</v>
      </c>
      <c r="G783" s="121">
        <v>97000</v>
      </c>
      <c r="H783" t="s">
        <v>2627</v>
      </c>
      <c r="I783" s="156">
        <v>41569</v>
      </c>
      <c r="K783" s="153"/>
      <c r="L783" s="153"/>
      <c r="M783" s="153"/>
      <c r="N783" s="153"/>
      <c r="O783" s="153"/>
      <c r="P783" s="152"/>
      <c r="Q783" s="152"/>
      <c r="R783" s="153"/>
      <c r="S783" s="154"/>
      <c r="T783" s="115"/>
    </row>
    <row r="784" spans="1:20">
      <c r="A784" t="s">
        <v>1230</v>
      </c>
      <c r="B784" t="s">
        <v>72</v>
      </c>
      <c r="C784" t="s">
        <v>39</v>
      </c>
      <c r="D784" t="s">
        <v>878</v>
      </c>
      <c r="E784" t="s">
        <v>2628</v>
      </c>
      <c r="F784" s="121">
        <v>45000</v>
      </c>
      <c r="G784" s="121">
        <v>45000</v>
      </c>
      <c r="H784" t="s">
        <v>396</v>
      </c>
      <c r="I784" s="156">
        <v>41569</v>
      </c>
      <c r="K784" s="153"/>
      <c r="L784" s="153"/>
      <c r="M784" s="153"/>
      <c r="N784" s="153"/>
      <c r="O784" s="153"/>
      <c r="P784" s="152"/>
      <c r="Q784" s="152"/>
      <c r="R784" s="153"/>
      <c r="S784" s="154"/>
      <c r="T784" s="115"/>
    </row>
    <row r="785" spans="1:20">
      <c r="A785" t="s">
        <v>1230</v>
      </c>
      <c r="B785" t="s">
        <v>72</v>
      </c>
      <c r="C785" t="s">
        <v>39</v>
      </c>
      <c r="D785" t="s">
        <v>879</v>
      </c>
      <c r="E785" t="s">
        <v>2629</v>
      </c>
      <c r="F785" s="121">
        <v>78000</v>
      </c>
      <c r="G785" s="121">
        <v>78000</v>
      </c>
      <c r="H785" t="s">
        <v>2630</v>
      </c>
      <c r="I785" s="156">
        <v>41569</v>
      </c>
      <c r="K785" s="153"/>
      <c r="L785" s="153"/>
      <c r="M785" s="153"/>
      <c r="N785" s="153"/>
      <c r="O785" s="153"/>
      <c r="P785" s="152"/>
      <c r="Q785" s="152"/>
      <c r="R785" s="153"/>
      <c r="S785" s="154"/>
      <c r="T785" s="115"/>
    </row>
    <row r="786" spans="1:20">
      <c r="A786" t="s">
        <v>1230</v>
      </c>
      <c r="B786" t="s">
        <v>72</v>
      </c>
      <c r="C786" t="s">
        <v>39</v>
      </c>
      <c r="D786" t="s">
        <v>879</v>
      </c>
      <c r="E786" t="s">
        <v>2629</v>
      </c>
      <c r="F786" s="121">
        <v>11000</v>
      </c>
      <c r="G786" s="121">
        <v>11000</v>
      </c>
      <c r="H786" t="s">
        <v>2630</v>
      </c>
      <c r="I786" s="156">
        <v>41584</v>
      </c>
      <c r="K786" s="153"/>
      <c r="L786" s="153"/>
      <c r="M786" s="153"/>
      <c r="N786" s="153"/>
      <c r="O786" s="153"/>
      <c r="P786" s="152"/>
      <c r="Q786" s="152"/>
      <c r="R786" s="153"/>
      <c r="S786" s="154"/>
      <c r="T786" s="115"/>
    </row>
    <row r="787" spans="1:20">
      <c r="A787" t="s">
        <v>1230</v>
      </c>
      <c r="B787" t="s">
        <v>76</v>
      </c>
      <c r="C787" t="s">
        <v>51</v>
      </c>
      <c r="D787" t="s">
        <v>883</v>
      </c>
      <c r="E787" t="s">
        <v>2631</v>
      </c>
      <c r="F787" s="121">
        <v>8000</v>
      </c>
      <c r="G787" s="121">
        <v>8000</v>
      </c>
      <c r="H787" t="s">
        <v>875</v>
      </c>
      <c r="I787" s="156">
        <v>41576</v>
      </c>
      <c r="K787" s="153"/>
      <c r="L787" s="153"/>
      <c r="M787" s="153"/>
      <c r="N787" s="153"/>
      <c r="O787" s="153"/>
      <c r="P787" s="152"/>
      <c r="Q787" s="152"/>
      <c r="R787" s="153"/>
      <c r="S787" s="154"/>
      <c r="T787" s="115"/>
    </row>
    <row r="788" spans="1:20">
      <c r="A788" t="s">
        <v>1230</v>
      </c>
      <c r="B788" t="s">
        <v>72</v>
      </c>
      <c r="C788" t="s">
        <v>39</v>
      </c>
      <c r="D788" t="s">
        <v>884</v>
      </c>
      <c r="E788" t="s">
        <v>2632</v>
      </c>
      <c r="F788" s="121">
        <v>95000</v>
      </c>
      <c r="G788" s="121">
        <v>95000</v>
      </c>
      <c r="H788" t="s">
        <v>2633</v>
      </c>
      <c r="I788" s="156">
        <v>41592</v>
      </c>
      <c r="K788" s="153"/>
      <c r="L788" s="153"/>
      <c r="M788" s="153"/>
      <c r="N788" s="153"/>
      <c r="O788" s="153"/>
      <c r="P788" s="152"/>
      <c r="Q788" s="152"/>
      <c r="R788" s="153"/>
      <c r="S788" s="154"/>
      <c r="T788" s="115"/>
    </row>
    <row r="789" spans="1:20">
      <c r="A789" t="s">
        <v>1230</v>
      </c>
      <c r="B789" t="s">
        <v>72</v>
      </c>
      <c r="C789" t="s">
        <v>37</v>
      </c>
      <c r="D789" t="s">
        <v>885</v>
      </c>
      <c r="E789" t="s">
        <v>2634</v>
      </c>
      <c r="F789" s="121">
        <v>170000</v>
      </c>
      <c r="G789" s="121">
        <v>170000</v>
      </c>
      <c r="H789" t="s">
        <v>2635</v>
      </c>
      <c r="I789" s="156">
        <v>37621</v>
      </c>
      <c r="K789" s="153"/>
      <c r="L789" s="153"/>
      <c r="M789" s="153"/>
      <c r="N789" s="153"/>
      <c r="O789" s="153"/>
      <c r="P789" s="152"/>
      <c r="Q789" s="152"/>
      <c r="R789" s="153"/>
      <c r="S789" s="154"/>
      <c r="T789" s="115"/>
    </row>
    <row r="790" spans="1:20">
      <c r="A790" t="s">
        <v>1230</v>
      </c>
      <c r="B790" t="s">
        <v>73</v>
      </c>
      <c r="C790" t="s">
        <v>37</v>
      </c>
      <c r="D790" t="s">
        <v>886</v>
      </c>
      <c r="E790" t="s">
        <v>2636</v>
      </c>
      <c r="F790" s="121">
        <v>30000</v>
      </c>
      <c r="G790" s="121">
        <v>30000</v>
      </c>
      <c r="H790" t="s">
        <v>2637</v>
      </c>
      <c r="I790" s="156">
        <v>30681</v>
      </c>
      <c r="K790" s="153"/>
      <c r="L790" s="153"/>
      <c r="M790" s="153"/>
      <c r="N790" s="153"/>
      <c r="O790" s="153"/>
      <c r="P790" s="152"/>
      <c r="Q790" s="152"/>
      <c r="R790" s="153"/>
      <c r="S790" s="154"/>
      <c r="T790" s="115"/>
    </row>
    <row r="791" spans="1:20">
      <c r="A791" t="s">
        <v>1230</v>
      </c>
      <c r="B791" t="s">
        <v>73</v>
      </c>
      <c r="C791" t="s">
        <v>42</v>
      </c>
      <c r="D791" t="s">
        <v>172</v>
      </c>
      <c r="E791" t="s">
        <v>2638</v>
      </c>
      <c r="F791" s="121">
        <v>1</v>
      </c>
      <c r="G791" s="121">
        <v>1</v>
      </c>
      <c r="H791" t="s">
        <v>2411</v>
      </c>
      <c r="I791" s="156">
        <v>41603</v>
      </c>
      <c r="K791" s="153"/>
      <c r="L791" s="153"/>
      <c r="M791" s="153"/>
      <c r="N791" s="153"/>
      <c r="O791" s="153"/>
      <c r="P791" s="152"/>
      <c r="Q791" s="152"/>
      <c r="R791" s="153"/>
      <c r="S791" s="154"/>
      <c r="T791" s="115"/>
    </row>
    <row r="792" spans="1:20">
      <c r="A792" t="s">
        <v>1230</v>
      </c>
      <c r="B792" t="s">
        <v>1012</v>
      </c>
      <c r="C792" t="s">
        <v>51</v>
      </c>
      <c r="D792" t="s">
        <v>887</v>
      </c>
      <c r="E792" t="s">
        <v>2639</v>
      </c>
      <c r="F792" s="121">
        <v>165282.81</v>
      </c>
      <c r="G792" s="121">
        <v>165282.81</v>
      </c>
      <c r="H792" t="s">
        <v>458</v>
      </c>
      <c r="I792" s="156">
        <v>41585</v>
      </c>
      <c r="K792" s="153"/>
      <c r="L792" s="153"/>
      <c r="M792" s="153"/>
      <c r="N792" s="153"/>
      <c r="O792" s="153"/>
      <c r="P792" s="152"/>
      <c r="Q792" s="152"/>
      <c r="R792" s="153"/>
      <c r="S792" s="154"/>
      <c r="T792" s="115"/>
    </row>
    <row r="793" spans="1:20">
      <c r="A793" t="s">
        <v>1230</v>
      </c>
      <c r="B793" t="s">
        <v>1012</v>
      </c>
      <c r="C793" t="s">
        <v>51</v>
      </c>
      <c r="D793" t="s">
        <v>887</v>
      </c>
      <c r="E793" t="s">
        <v>2640</v>
      </c>
      <c r="F793" s="121">
        <v>165282.81</v>
      </c>
      <c r="G793" s="121">
        <v>165282.81</v>
      </c>
      <c r="H793" t="s">
        <v>458</v>
      </c>
      <c r="I793" s="156">
        <v>41585</v>
      </c>
      <c r="K793" s="153"/>
      <c r="L793" s="153"/>
      <c r="M793" s="153"/>
      <c r="N793" s="153"/>
      <c r="O793" s="153"/>
      <c r="P793" s="152"/>
      <c r="Q793" s="152"/>
      <c r="R793" s="153"/>
      <c r="S793" s="154"/>
      <c r="T793" s="115"/>
    </row>
    <row r="794" spans="1:20">
      <c r="A794" t="s">
        <v>1230</v>
      </c>
      <c r="B794" t="s">
        <v>72</v>
      </c>
      <c r="C794" t="s">
        <v>51</v>
      </c>
      <c r="D794" t="s">
        <v>888</v>
      </c>
      <c r="E794" t="s">
        <v>2641</v>
      </c>
      <c r="F794" s="121">
        <v>3049.96</v>
      </c>
      <c r="G794" s="121">
        <v>3049.96</v>
      </c>
      <c r="H794" t="s">
        <v>396</v>
      </c>
      <c r="I794" s="156">
        <v>41603</v>
      </c>
      <c r="K794" s="153"/>
      <c r="L794" s="153"/>
      <c r="M794" s="153"/>
      <c r="N794" s="153"/>
      <c r="O794" s="153"/>
      <c r="P794" s="152"/>
      <c r="Q794" s="152"/>
      <c r="R794" s="153"/>
      <c r="S794" s="154"/>
      <c r="T794" s="115"/>
    </row>
    <row r="795" spans="1:20">
      <c r="A795" t="s">
        <v>1230</v>
      </c>
      <c r="B795" t="s">
        <v>72</v>
      </c>
      <c r="C795" t="s">
        <v>65</v>
      </c>
      <c r="D795" t="s">
        <v>7178</v>
      </c>
      <c r="E795" t="s">
        <v>7179</v>
      </c>
      <c r="F795" s="121">
        <v>44000</v>
      </c>
      <c r="G795" s="121">
        <v>44000</v>
      </c>
      <c r="H795" t="s">
        <v>396</v>
      </c>
      <c r="I795" s="156">
        <v>41591</v>
      </c>
      <c r="K795" s="153"/>
      <c r="L795" s="153"/>
      <c r="M795" s="153"/>
      <c r="N795" s="153"/>
      <c r="O795" s="153"/>
      <c r="P795" s="152"/>
      <c r="Q795" s="152"/>
      <c r="R795" s="153"/>
      <c r="S795" s="154"/>
      <c r="T795" s="115"/>
    </row>
    <row r="796" spans="1:20">
      <c r="A796" t="s">
        <v>1230</v>
      </c>
      <c r="B796" t="s">
        <v>76</v>
      </c>
      <c r="C796" t="s">
        <v>51</v>
      </c>
      <c r="D796" t="s">
        <v>889</v>
      </c>
      <c r="E796" t="s">
        <v>2642</v>
      </c>
      <c r="F796" s="121">
        <v>3126</v>
      </c>
      <c r="G796" s="121">
        <v>3126</v>
      </c>
      <c r="H796" t="s">
        <v>890</v>
      </c>
      <c r="I796" s="156">
        <v>41603</v>
      </c>
      <c r="K796" s="153"/>
      <c r="L796" s="153"/>
      <c r="M796" s="153"/>
      <c r="N796" s="153"/>
      <c r="O796" s="153"/>
      <c r="P796" s="152"/>
      <c r="Q796" s="152"/>
      <c r="R796" s="153"/>
      <c r="S796" s="154"/>
      <c r="T796" s="115"/>
    </row>
    <row r="797" spans="1:20">
      <c r="A797" t="s">
        <v>1230</v>
      </c>
      <c r="B797" t="s">
        <v>76</v>
      </c>
      <c r="C797" t="s">
        <v>51</v>
      </c>
      <c r="D797" t="s">
        <v>891</v>
      </c>
      <c r="E797" t="s">
        <v>2643</v>
      </c>
      <c r="F797" s="121">
        <v>4555</v>
      </c>
      <c r="G797" s="121">
        <v>4555</v>
      </c>
      <c r="H797" t="s">
        <v>875</v>
      </c>
      <c r="I797" s="156">
        <v>41596</v>
      </c>
      <c r="K797" s="153"/>
      <c r="L797" s="153"/>
      <c r="M797" s="153"/>
      <c r="N797" s="153"/>
      <c r="O797" s="153"/>
      <c r="P797" s="152"/>
      <c r="Q797" s="152"/>
      <c r="R797" s="153"/>
      <c r="S797" s="154"/>
      <c r="T797" s="115"/>
    </row>
    <row r="798" spans="1:20">
      <c r="A798" t="s">
        <v>1230</v>
      </c>
      <c r="B798" t="s">
        <v>76</v>
      </c>
      <c r="C798" t="s">
        <v>49</v>
      </c>
      <c r="D798" t="s">
        <v>892</v>
      </c>
      <c r="E798" t="s">
        <v>2644</v>
      </c>
      <c r="F798" s="121">
        <v>110000</v>
      </c>
      <c r="G798" s="121">
        <v>110000</v>
      </c>
      <c r="H798" t="s">
        <v>875</v>
      </c>
      <c r="I798" s="156">
        <v>41579</v>
      </c>
      <c r="K798" s="153"/>
      <c r="L798" s="153"/>
      <c r="M798" s="153"/>
      <c r="N798" s="153"/>
      <c r="O798" s="153"/>
      <c r="P798" s="152"/>
      <c r="Q798" s="152"/>
      <c r="R798" s="153"/>
      <c r="S798" s="154"/>
      <c r="T798" s="115"/>
    </row>
    <row r="799" spans="1:20">
      <c r="A799" t="s">
        <v>1230</v>
      </c>
      <c r="B799" t="s">
        <v>73</v>
      </c>
      <c r="C799" t="s">
        <v>51</v>
      </c>
      <c r="D799" t="s">
        <v>893</v>
      </c>
      <c r="E799" t="s">
        <v>2645</v>
      </c>
      <c r="F799" s="121">
        <v>20500</v>
      </c>
      <c r="G799" s="121">
        <v>20500</v>
      </c>
      <c r="H799" t="s">
        <v>457</v>
      </c>
      <c r="I799" s="156">
        <v>41585</v>
      </c>
      <c r="K799" s="153"/>
      <c r="L799" s="153"/>
      <c r="M799" s="153"/>
      <c r="N799" s="153"/>
      <c r="O799" s="153"/>
      <c r="P799" s="152"/>
      <c r="Q799" s="152"/>
      <c r="R799" s="153"/>
      <c r="S799" s="154"/>
      <c r="T799" s="115"/>
    </row>
    <row r="800" spans="1:20">
      <c r="A800" t="s">
        <v>1230</v>
      </c>
      <c r="B800" t="s">
        <v>73</v>
      </c>
      <c r="C800" t="s">
        <v>56</v>
      </c>
      <c r="D800" t="s">
        <v>894</v>
      </c>
      <c r="E800" t="s">
        <v>2646</v>
      </c>
      <c r="F800" s="121">
        <v>130000</v>
      </c>
      <c r="G800" s="121">
        <v>130000</v>
      </c>
      <c r="H800" t="s">
        <v>2647</v>
      </c>
      <c r="I800" s="156">
        <v>41592</v>
      </c>
      <c r="K800" s="153"/>
      <c r="L800" s="153"/>
      <c r="M800" s="153"/>
      <c r="N800" s="153"/>
      <c r="O800" s="153"/>
      <c r="P800" s="152"/>
      <c r="Q800" s="152"/>
      <c r="R800" s="153"/>
      <c r="S800" s="154"/>
      <c r="T800" s="115"/>
    </row>
    <row r="801" spans="1:20">
      <c r="A801" t="s">
        <v>1230</v>
      </c>
      <c r="B801" t="s">
        <v>74</v>
      </c>
      <c r="C801" t="s">
        <v>42</v>
      </c>
      <c r="D801" t="s">
        <v>171</v>
      </c>
      <c r="E801" t="s">
        <v>2648</v>
      </c>
      <c r="F801" s="121">
        <v>396259.73</v>
      </c>
      <c r="G801" s="121">
        <v>396259.73</v>
      </c>
      <c r="H801" t="s">
        <v>2649</v>
      </c>
      <c r="I801" s="156">
        <v>41591</v>
      </c>
      <c r="K801" s="153"/>
      <c r="L801" s="153"/>
      <c r="M801" s="153"/>
      <c r="N801" s="153"/>
      <c r="O801" s="153"/>
      <c r="P801" s="152"/>
      <c r="Q801" s="152"/>
      <c r="R801" s="153"/>
      <c r="S801" s="154"/>
      <c r="T801" s="115"/>
    </row>
    <row r="802" spans="1:20">
      <c r="A802" t="s">
        <v>1230</v>
      </c>
      <c r="B802" t="s">
        <v>74</v>
      </c>
      <c r="C802" t="s">
        <v>59</v>
      </c>
      <c r="D802" t="s">
        <v>895</v>
      </c>
      <c r="E802" t="s">
        <v>2650</v>
      </c>
      <c r="F802" s="121">
        <v>53740.27</v>
      </c>
      <c r="G802" s="121">
        <v>53740.27</v>
      </c>
      <c r="H802" t="s">
        <v>2651</v>
      </c>
      <c r="I802" s="156">
        <v>41591</v>
      </c>
      <c r="K802" s="153"/>
      <c r="L802" s="153"/>
      <c r="M802" s="153"/>
      <c r="N802" s="153"/>
      <c r="O802" s="153"/>
      <c r="P802" s="152"/>
      <c r="Q802" s="152"/>
      <c r="R802" s="153"/>
      <c r="S802" s="154"/>
      <c r="T802" s="115"/>
    </row>
    <row r="803" spans="1:20">
      <c r="A803" t="s">
        <v>1230</v>
      </c>
      <c r="B803" t="s">
        <v>74</v>
      </c>
      <c r="C803" t="s">
        <v>42</v>
      </c>
      <c r="D803" t="s">
        <v>171</v>
      </c>
      <c r="E803" t="s">
        <v>2652</v>
      </c>
      <c r="F803" s="121">
        <v>396259.73</v>
      </c>
      <c r="G803" s="121">
        <v>396259.73</v>
      </c>
      <c r="H803" t="s">
        <v>2653</v>
      </c>
      <c r="I803" s="156">
        <v>41585</v>
      </c>
      <c r="K803" s="153"/>
      <c r="L803" s="153"/>
      <c r="M803" s="153"/>
      <c r="N803" s="153"/>
      <c r="O803" s="153"/>
      <c r="P803" s="152"/>
      <c r="Q803" s="152"/>
      <c r="R803" s="153"/>
      <c r="S803" s="154"/>
      <c r="T803" s="115"/>
    </row>
    <row r="804" spans="1:20">
      <c r="A804" t="s">
        <v>1230</v>
      </c>
      <c r="B804" t="s">
        <v>74</v>
      </c>
      <c r="C804" t="s">
        <v>59</v>
      </c>
      <c r="D804" t="s">
        <v>895</v>
      </c>
      <c r="E804" t="s">
        <v>2654</v>
      </c>
      <c r="F804" s="121">
        <v>53740.27</v>
      </c>
      <c r="G804" s="121">
        <v>53740.27</v>
      </c>
      <c r="H804" t="s">
        <v>2655</v>
      </c>
      <c r="I804" s="156">
        <v>41585</v>
      </c>
      <c r="K804" s="153"/>
      <c r="L804" s="153"/>
      <c r="M804" s="153"/>
      <c r="N804" s="153"/>
      <c r="O804" s="153"/>
      <c r="P804" s="152"/>
      <c r="Q804" s="152"/>
      <c r="R804" s="153"/>
      <c r="S804" s="154"/>
      <c r="T804" s="115"/>
    </row>
    <row r="805" spans="1:20">
      <c r="A805" t="s">
        <v>1230</v>
      </c>
      <c r="B805" t="s">
        <v>74</v>
      </c>
      <c r="C805" t="s">
        <v>42</v>
      </c>
      <c r="D805" t="s">
        <v>171</v>
      </c>
      <c r="E805" t="s">
        <v>2656</v>
      </c>
      <c r="F805" s="121">
        <v>396259.73</v>
      </c>
      <c r="G805" s="121">
        <v>396259.73</v>
      </c>
      <c r="H805" t="s">
        <v>2657</v>
      </c>
      <c r="I805" s="156">
        <v>41585</v>
      </c>
      <c r="K805" s="153"/>
      <c r="L805" s="153"/>
      <c r="M805" s="153"/>
      <c r="N805" s="153"/>
      <c r="O805" s="153"/>
      <c r="P805" s="152"/>
      <c r="Q805" s="152"/>
      <c r="R805" s="153"/>
      <c r="S805" s="154"/>
      <c r="T805" s="115"/>
    </row>
    <row r="806" spans="1:20">
      <c r="A806" t="s">
        <v>1230</v>
      </c>
      <c r="B806" t="s">
        <v>74</v>
      </c>
      <c r="C806" t="s">
        <v>59</v>
      </c>
      <c r="D806" t="s">
        <v>895</v>
      </c>
      <c r="E806" t="s">
        <v>2658</v>
      </c>
      <c r="F806" s="121">
        <v>53740.27</v>
      </c>
      <c r="G806" s="121">
        <v>53740.27</v>
      </c>
      <c r="H806" t="s">
        <v>2659</v>
      </c>
      <c r="I806" s="156">
        <v>41585</v>
      </c>
      <c r="K806" s="153"/>
      <c r="L806" s="153"/>
      <c r="M806" s="153"/>
      <c r="N806" s="153"/>
      <c r="O806" s="153"/>
      <c r="P806" s="152"/>
      <c r="Q806" s="152"/>
      <c r="R806" s="153"/>
      <c r="S806" s="154"/>
      <c r="T806" s="115"/>
    </row>
    <row r="807" spans="1:20">
      <c r="A807" t="s">
        <v>1230</v>
      </c>
      <c r="B807" t="s">
        <v>74</v>
      </c>
      <c r="C807" t="s">
        <v>42</v>
      </c>
      <c r="D807" t="s">
        <v>171</v>
      </c>
      <c r="E807" t="s">
        <v>2660</v>
      </c>
      <c r="F807" s="121">
        <v>396259.73</v>
      </c>
      <c r="G807" s="121">
        <v>396259.73</v>
      </c>
      <c r="H807" t="s">
        <v>2661</v>
      </c>
      <c r="I807" s="156">
        <v>41591</v>
      </c>
      <c r="K807" s="153"/>
      <c r="L807" s="153"/>
      <c r="M807" s="153"/>
      <c r="N807" s="153"/>
      <c r="O807" s="153"/>
      <c r="P807" s="152"/>
      <c r="Q807" s="152"/>
      <c r="R807" s="153"/>
      <c r="S807" s="154"/>
      <c r="T807" s="115"/>
    </row>
    <row r="808" spans="1:20">
      <c r="A808" t="s">
        <v>1230</v>
      </c>
      <c r="B808" t="s">
        <v>74</v>
      </c>
      <c r="C808" t="s">
        <v>59</v>
      </c>
      <c r="D808" t="s">
        <v>895</v>
      </c>
      <c r="E808" t="s">
        <v>2662</v>
      </c>
      <c r="F808" s="121">
        <v>53740.27</v>
      </c>
      <c r="G808" s="121">
        <v>53740.27</v>
      </c>
      <c r="H808" t="s">
        <v>2663</v>
      </c>
      <c r="I808" s="156">
        <v>41591</v>
      </c>
      <c r="K808" s="153"/>
      <c r="L808" s="153"/>
      <c r="M808" s="153"/>
      <c r="N808" s="153"/>
      <c r="O808" s="153"/>
      <c r="P808" s="152"/>
      <c r="Q808" s="152"/>
      <c r="R808" s="153"/>
      <c r="S808" s="154"/>
      <c r="T808" s="115"/>
    </row>
    <row r="809" spans="1:20">
      <c r="A809" t="s">
        <v>1230</v>
      </c>
      <c r="B809" t="s">
        <v>72</v>
      </c>
      <c r="C809" t="s">
        <v>1016</v>
      </c>
      <c r="D809" t="s">
        <v>1020</v>
      </c>
      <c r="E809" t="s">
        <v>2664</v>
      </c>
      <c r="F809" s="121">
        <v>20170.84</v>
      </c>
      <c r="G809" s="121">
        <v>20170.84</v>
      </c>
      <c r="H809" t="s">
        <v>1233</v>
      </c>
      <c r="I809" s="156">
        <v>41614</v>
      </c>
      <c r="K809" s="153"/>
      <c r="L809" s="153"/>
      <c r="M809" s="153"/>
      <c r="N809" s="153"/>
      <c r="O809" s="153"/>
      <c r="P809" s="152"/>
      <c r="Q809" s="152"/>
      <c r="R809" s="153"/>
      <c r="S809" s="154"/>
      <c r="T809" s="115"/>
    </row>
    <row r="810" spans="1:20">
      <c r="A810" t="s">
        <v>1230</v>
      </c>
      <c r="B810" t="s">
        <v>72</v>
      </c>
      <c r="C810" t="s">
        <v>1016</v>
      </c>
      <c r="D810" t="s">
        <v>1019</v>
      </c>
      <c r="E810" t="s">
        <v>2664</v>
      </c>
      <c r="F810" s="121">
        <v>7745.18</v>
      </c>
      <c r="G810" s="121">
        <v>7995.18</v>
      </c>
      <c r="H810" t="s">
        <v>1233</v>
      </c>
      <c r="I810" s="156">
        <v>41614</v>
      </c>
      <c r="K810" s="153"/>
      <c r="L810" s="153"/>
      <c r="M810" s="153"/>
      <c r="N810" s="153"/>
      <c r="O810" s="153"/>
      <c r="P810" s="152"/>
      <c r="Q810" s="152"/>
      <c r="R810" s="153"/>
      <c r="S810" s="154"/>
      <c r="T810" s="115"/>
    </row>
    <row r="811" spans="1:20">
      <c r="A811" t="s">
        <v>1230</v>
      </c>
      <c r="B811" t="s">
        <v>72</v>
      </c>
      <c r="C811" t="s">
        <v>1016</v>
      </c>
      <c r="D811" t="s">
        <v>896</v>
      </c>
      <c r="E811" t="s">
        <v>2664</v>
      </c>
      <c r="F811" s="121">
        <v>2037469.08</v>
      </c>
      <c r="G811" s="121">
        <v>2037469.08</v>
      </c>
      <c r="H811" t="s">
        <v>1233</v>
      </c>
      <c r="I811" s="156">
        <v>41613</v>
      </c>
      <c r="K811" s="153"/>
      <c r="L811" s="153"/>
      <c r="M811" s="153"/>
      <c r="N811" s="153"/>
      <c r="O811" s="153"/>
      <c r="P811" s="152"/>
      <c r="Q811" s="152"/>
      <c r="R811" s="153"/>
      <c r="S811" s="154"/>
      <c r="T811" s="115"/>
    </row>
    <row r="812" spans="1:20">
      <c r="A812" t="s">
        <v>1230</v>
      </c>
      <c r="B812" t="s">
        <v>72</v>
      </c>
      <c r="C812" t="s">
        <v>39</v>
      </c>
      <c r="D812" t="s">
        <v>897</v>
      </c>
      <c r="E812" t="s">
        <v>2665</v>
      </c>
      <c r="F812" s="121">
        <v>95000</v>
      </c>
      <c r="G812" s="121">
        <v>95000</v>
      </c>
      <c r="H812" t="s">
        <v>2666</v>
      </c>
      <c r="I812" s="156">
        <v>41610</v>
      </c>
      <c r="K812" s="153"/>
      <c r="L812" s="153"/>
      <c r="M812" s="153"/>
      <c r="N812" s="153"/>
      <c r="O812" s="153"/>
      <c r="P812" s="152"/>
      <c r="Q812" s="152"/>
      <c r="R812" s="153"/>
      <c r="S812" s="154"/>
      <c r="T812" s="115"/>
    </row>
    <row r="813" spans="1:20">
      <c r="A813" t="s">
        <v>1230</v>
      </c>
      <c r="B813" t="s">
        <v>74</v>
      </c>
      <c r="C813" t="s">
        <v>66</v>
      </c>
      <c r="D813" t="s">
        <v>898</v>
      </c>
      <c r="E813" t="s">
        <v>2667</v>
      </c>
      <c r="F813" s="121">
        <v>200000</v>
      </c>
      <c r="G813" s="121">
        <v>200000</v>
      </c>
      <c r="H813" t="s">
        <v>2668</v>
      </c>
      <c r="I813" s="156">
        <v>41627</v>
      </c>
      <c r="K813" s="153"/>
      <c r="L813" s="153"/>
      <c r="M813" s="153"/>
      <c r="N813" s="153"/>
      <c r="O813" s="153"/>
      <c r="P813" s="152"/>
      <c r="Q813" s="152"/>
      <c r="R813" s="153"/>
      <c r="S813" s="154"/>
      <c r="T813" s="115"/>
    </row>
    <row r="814" spans="1:20">
      <c r="A814" t="s">
        <v>1230</v>
      </c>
      <c r="B814" t="s">
        <v>74</v>
      </c>
      <c r="C814" t="s">
        <v>66</v>
      </c>
      <c r="D814" t="s">
        <v>898</v>
      </c>
      <c r="E814" t="s">
        <v>2669</v>
      </c>
      <c r="F814" s="121">
        <v>200000</v>
      </c>
      <c r="G814" s="121">
        <v>200000</v>
      </c>
      <c r="H814" t="s">
        <v>2670</v>
      </c>
      <c r="I814" s="156">
        <v>41627</v>
      </c>
      <c r="K814" s="153"/>
      <c r="L814" s="153"/>
      <c r="M814" s="153"/>
      <c r="N814" s="153"/>
      <c r="O814" s="153"/>
      <c r="P814" s="152"/>
      <c r="Q814" s="152"/>
      <c r="R814" s="153"/>
      <c r="S814" s="154"/>
      <c r="T814" s="115"/>
    </row>
    <row r="815" spans="1:20">
      <c r="A815" t="s">
        <v>1230</v>
      </c>
      <c r="B815" t="s">
        <v>72</v>
      </c>
      <c r="C815" t="s">
        <v>59</v>
      </c>
      <c r="D815" t="s">
        <v>899</v>
      </c>
      <c r="E815" t="s">
        <v>2671</v>
      </c>
      <c r="F815" s="121">
        <v>215000</v>
      </c>
      <c r="G815" s="121">
        <v>215000</v>
      </c>
      <c r="H815" t="s">
        <v>2672</v>
      </c>
      <c r="I815" s="156">
        <v>41627</v>
      </c>
      <c r="K815" s="153"/>
      <c r="L815" s="153"/>
      <c r="M815" s="153"/>
      <c r="N815" s="153"/>
      <c r="O815" s="153"/>
      <c r="P815" s="152"/>
      <c r="Q815" s="152"/>
      <c r="R815" s="153"/>
      <c r="S815" s="154"/>
      <c r="T815" s="115"/>
    </row>
    <row r="816" spans="1:20">
      <c r="A816" t="s">
        <v>1230</v>
      </c>
      <c r="B816" t="s">
        <v>72</v>
      </c>
      <c r="C816" t="s">
        <v>51</v>
      </c>
      <c r="D816" t="s">
        <v>880</v>
      </c>
      <c r="E816" t="s">
        <v>2673</v>
      </c>
      <c r="F816" s="121">
        <v>17000</v>
      </c>
      <c r="G816" s="121">
        <v>17000</v>
      </c>
      <c r="H816" t="s">
        <v>396</v>
      </c>
      <c r="I816" s="156">
        <v>41611</v>
      </c>
      <c r="K816" s="153"/>
      <c r="L816" s="153"/>
      <c r="M816" s="153"/>
      <c r="N816" s="153"/>
      <c r="O816" s="153"/>
      <c r="P816" s="152"/>
      <c r="Q816" s="152"/>
      <c r="R816" s="153"/>
      <c r="S816" s="154"/>
      <c r="T816" s="115"/>
    </row>
    <row r="817" spans="1:20">
      <c r="A817" t="s">
        <v>1230</v>
      </c>
      <c r="B817" t="s">
        <v>72</v>
      </c>
      <c r="C817" t="s">
        <v>51</v>
      </c>
      <c r="D817" t="s">
        <v>880</v>
      </c>
      <c r="E817" t="s">
        <v>2674</v>
      </c>
      <c r="F817" s="121">
        <v>17000</v>
      </c>
      <c r="G817" s="121">
        <v>17000</v>
      </c>
      <c r="H817" t="s">
        <v>396</v>
      </c>
      <c r="I817" s="156">
        <v>41611</v>
      </c>
      <c r="K817" s="153"/>
      <c r="L817" s="153"/>
      <c r="M817" s="153"/>
      <c r="N817" s="153"/>
      <c r="O817" s="153"/>
      <c r="P817" s="152"/>
      <c r="Q817" s="152"/>
      <c r="R817" s="153"/>
      <c r="S817" s="154"/>
      <c r="T817" s="115"/>
    </row>
    <row r="818" spans="1:20">
      <c r="A818" t="s">
        <v>1230</v>
      </c>
      <c r="B818" t="s">
        <v>72</v>
      </c>
      <c r="C818" t="s">
        <v>51</v>
      </c>
      <c r="D818" t="s">
        <v>900</v>
      </c>
      <c r="E818" t="s">
        <v>2675</v>
      </c>
      <c r="F818" s="121">
        <v>4300</v>
      </c>
      <c r="G818" s="121">
        <v>4300</v>
      </c>
      <c r="H818" t="s">
        <v>396</v>
      </c>
      <c r="I818" s="156">
        <v>41612</v>
      </c>
      <c r="K818" s="153"/>
      <c r="L818" s="153"/>
      <c r="M818" s="153"/>
      <c r="N818" s="153"/>
      <c r="O818" s="153"/>
      <c r="P818" s="152"/>
      <c r="Q818" s="152"/>
      <c r="R818" s="153"/>
      <c r="S818" s="154"/>
      <c r="T818" s="115"/>
    </row>
    <row r="819" spans="1:20">
      <c r="A819" t="s">
        <v>1230</v>
      </c>
      <c r="B819" t="s">
        <v>73</v>
      </c>
      <c r="C819" t="s">
        <v>69</v>
      </c>
      <c r="D819" t="s">
        <v>314</v>
      </c>
      <c r="E819" t="s">
        <v>2676</v>
      </c>
      <c r="F819" s="121">
        <v>25189.98</v>
      </c>
      <c r="G819" s="121">
        <v>25189.98</v>
      </c>
      <c r="H819" t="s">
        <v>2677</v>
      </c>
      <c r="I819" s="156">
        <v>41619</v>
      </c>
      <c r="K819" s="153"/>
      <c r="L819" s="153"/>
      <c r="M819" s="153"/>
      <c r="N819" s="153"/>
      <c r="O819" s="153"/>
      <c r="P819" s="152"/>
      <c r="Q819" s="152"/>
      <c r="R819" s="153"/>
      <c r="S819" s="154"/>
      <c r="T819" s="115"/>
    </row>
    <row r="820" spans="1:20">
      <c r="A820" t="s">
        <v>1230</v>
      </c>
      <c r="B820" t="s">
        <v>73</v>
      </c>
      <c r="C820" t="s">
        <v>37</v>
      </c>
      <c r="D820" t="s">
        <v>901</v>
      </c>
      <c r="E820" t="s">
        <v>2678</v>
      </c>
      <c r="F820" s="121">
        <v>142000</v>
      </c>
      <c r="G820" s="121">
        <v>142000</v>
      </c>
      <c r="H820" t="s">
        <v>396</v>
      </c>
      <c r="I820" s="156">
        <v>41613</v>
      </c>
      <c r="K820" s="153"/>
      <c r="L820" s="153"/>
      <c r="M820" s="153"/>
      <c r="N820" s="153"/>
      <c r="O820" s="153"/>
      <c r="P820" s="152"/>
      <c r="Q820" s="152"/>
      <c r="R820" s="153"/>
      <c r="S820" s="154"/>
      <c r="T820" s="115"/>
    </row>
    <row r="821" spans="1:20">
      <c r="A821" t="s">
        <v>1230</v>
      </c>
      <c r="B821" t="s">
        <v>72</v>
      </c>
      <c r="C821" t="s">
        <v>51</v>
      </c>
      <c r="D821" t="s">
        <v>902</v>
      </c>
      <c r="E821" t="s">
        <v>2679</v>
      </c>
      <c r="F821" s="121">
        <v>17000</v>
      </c>
      <c r="G821" s="121">
        <v>17000</v>
      </c>
      <c r="H821" t="s">
        <v>396</v>
      </c>
      <c r="I821" s="156">
        <v>41634</v>
      </c>
      <c r="K821" s="153"/>
      <c r="L821" s="153"/>
      <c r="M821" s="153"/>
      <c r="N821" s="153"/>
      <c r="O821" s="153"/>
      <c r="P821" s="152"/>
      <c r="Q821" s="152"/>
      <c r="R821" s="153"/>
      <c r="S821" s="154"/>
      <c r="T821" s="115"/>
    </row>
    <row r="822" spans="1:20">
      <c r="A822" t="s">
        <v>1230</v>
      </c>
      <c r="B822" t="s">
        <v>72</v>
      </c>
      <c r="C822" t="s">
        <v>51</v>
      </c>
      <c r="D822" t="s">
        <v>903</v>
      </c>
      <c r="E822" t="s">
        <v>2680</v>
      </c>
      <c r="F822" s="121">
        <v>10000</v>
      </c>
      <c r="G822" s="121">
        <v>10000</v>
      </c>
      <c r="H822" t="s">
        <v>396</v>
      </c>
      <c r="I822" s="156">
        <v>41634</v>
      </c>
      <c r="K822" s="153"/>
      <c r="L822" s="153"/>
      <c r="M822" s="153"/>
      <c r="N822" s="153"/>
      <c r="O822" s="153"/>
      <c r="P822" s="150"/>
      <c r="Q822" s="150"/>
      <c r="R822" s="153"/>
      <c r="S822" s="154"/>
      <c r="T822" s="115"/>
    </row>
    <row r="823" spans="1:20">
      <c r="A823" t="s">
        <v>1230</v>
      </c>
      <c r="B823" t="s">
        <v>74</v>
      </c>
      <c r="C823" t="s">
        <v>51</v>
      </c>
      <c r="D823" t="s">
        <v>904</v>
      </c>
      <c r="E823" t="s">
        <v>2681</v>
      </c>
      <c r="F823" s="121">
        <v>10000</v>
      </c>
      <c r="G823" s="121">
        <v>10000</v>
      </c>
      <c r="H823" t="s">
        <v>452</v>
      </c>
      <c r="I823" s="156">
        <v>41634</v>
      </c>
      <c r="K823" s="153"/>
      <c r="L823" s="153"/>
      <c r="M823" s="153"/>
      <c r="N823" s="153"/>
      <c r="O823" s="153"/>
      <c r="P823" s="152"/>
      <c r="Q823" s="152"/>
      <c r="R823" s="153"/>
      <c r="S823" s="154"/>
      <c r="T823" s="115"/>
    </row>
    <row r="824" spans="1:20">
      <c r="A824" t="s">
        <v>1230</v>
      </c>
      <c r="B824" t="s">
        <v>73</v>
      </c>
      <c r="C824" t="s">
        <v>51</v>
      </c>
      <c r="D824" t="s">
        <v>903</v>
      </c>
      <c r="E824" t="s">
        <v>2682</v>
      </c>
      <c r="F824" s="121">
        <v>10000</v>
      </c>
      <c r="G824" s="121">
        <v>10000</v>
      </c>
      <c r="H824" t="s">
        <v>457</v>
      </c>
      <c r="I824" s="156">
        <v>41634</v>
      </c>
      <c r="K824" s="153"/>
      <c r="L824" s="153"/>
      <c r="M824" s="153"/>
      <c r="N824" s="153"/>
      <c r="O824" s="153"/>
      <c r="P824" s="152"/>
      <c r="Q824" s="152"/>
      <c r="R824" s="153"/>
      <c r="S824" s="154"/>
      <c r="T824" s="115"/>
    </row>
    <row r="825" spans="1:20">
      <c r="A825" t="s">
        <v>1230</v>
      </c>
      <c r="B825" t="s">
        <v>73</v>
      </c>
      <c r="C825" t="s">
        <v>51</v>
      </c>
      <c r="D825" t="s">
        <v>903</v>
      </c>
      <c r="E825" t="s">
        <v>2683</v>
      </c>
      <c r="F825" s="121">
        <v>10000</v>
      </c>
      <c r="G825" s="121">
        <v>10000</v>
      </c>
      <c r="H825" t="s">
        <v>457</v>
      </c>
      <c r="I825" s="156">
        <v>41634</v>
      </c>
      <c r="K825" s="153"/>
      <c r="L825" s="153"/>
      <c r="M825" s="153"/>
      <c r="N825" s="153"/>
      <c r="O825" s="153"/>
      <c r="P825" s="152"/>
      <c r="Q825" s="152"/>
      <c r="R825" s="153"/>
      <c r="S825" s="154"/>
      <c r="T825" s="115"/>
    </row>
    <row r="826" spans="1:20">
      <c r="A826" t="s">
        <v>1230</v>
      </c>
      <c r="B826" t="s">
        <v>76</v>
      </c>
      <c r="C826" t="s">
        <v>69</v>
      </c>
      <c r="D826" t="s">
        <v>314</v>
      </c>
      <c r="E826" t="s">
        <v>2684</v>
      </c>
      <c r="F826" s="121">
        <v>25189.98</v>
      </c>
      <c r="G826" s="121">
        <v>25189.98</v>
      </c>
      <c r="H826" t="s">
        <v>2685</v>
      </c>
      <c r="I826" s="156">
        <v>41647</v>
      </c>
      <c r="K826" s="153"/>
      <c r="L826" s="153"/>
      <c r="M826" s="153"/>
      <c r="N826" s="153"/>
      <c r="O826" s="153"/>
      <c r="P826" s="152"/>
      <c r="Q826" s="152"/>
      <c r="R826" s="153"/>
      <c r="S826" s="154"/>
      <c r="T826" s="115"/>
    </row>
    <row r="827" spans="1:20">
      <c r="A827" t="s">
        <v>1230</v>
      </c>
      <c r="B827" t="s">
        <v>73</v>
      </c>
      <c r="C827" t="s">
        <v>69</v>
      </c>
      <c r="D827" t="s">
        <v>320</v>
      </c>
      <c r="E827" t="s">
        <v>2686</v>
      </c>
      <c r="F827" s="121">
        <v>100367.33</v>
      </c>
      <c r="G827" s="121">
        <v>100367.33</v>
      </c>
      <c r="H827" t="s">
        <v>2687</v>
      </c>
      <c r="I827" s="156">
        <v>41647</v>
      </c>
      <c r="K827" s="153"/>
      <c r="L827" s="153"/>
      <c r="M827" s="153"/>
      <c r="N827" s="153"/>
      <c r="O827" s="153"/>
      <c r="P827" s="152"/>
      <c r="Q827" s="152"/>
      <c r="R827" s="153"/>
      <c r="S827" s="154"/>
      <c r="T827" s="115"/>
    </row>
    <row r="828" spans="1:20">
      <c r="A828" t="s">
        <v>1230</v>
      </c>
      <c r="B828" t="s">
        <v>73</v>
      </c>
      <c r="C828" t="s">
        <v>51</v>
      </c>
      <c r="D828" t="s">
        <v>1028</v>
      </c>
      <c r="E828" t="s">
        <v>2688</v>
      </c>
      <c r="F828" s="121">
        <v>6500</v>
      </c>
      <c r="G828" s="121">
        <v>6500</v>
      </c>
      <c r="H828" t="s">
        <v>457</v>
      </c>
      <c r="I828" s="156">
        <v>41660</v>
      </c>
      <c r="K828" s="153"/>
      <c r="L828" s="153"/>
      <c r="M828" s="153"/>
      <c r="N828" s="153"/>
      <c r="O828" s="153"/>
      <c r="P828" s="152"/>
      <c r="Q828" s="152"/>
      <c r="R828" s="153"/>
      <c r="S828" s="154"/>
      <c r="T828" s="115"/>
    </row>
    <row r="829" spans="1:20">
      <c r="A829" t="s">
        <v>1230</v>
      </c>
      <c r="B829" t="s">
        <v>76</v>
      </c>
      <c r="C829" t="s">
        <v>60</v>
      </c>
      <c r="D829" t="s">
        <v>1029</v>
      </c>
      <c r="E829" t="s">
        <v>2689</v>
      </c>
      <c r="F829" s="121">
        <v>22000</v>
      </c>
      <c r="G829" s="121">
        <v>22000</v>
      </c>
      <c r="H829" t="s">
        <v>875</v>
      </c>
      <c r="I829" s="156">
        <v>41670</v>
      </c>
      <c r="K829" s="153"/>
      <c r="L829" s="153"/>
      <c r="M829" s="153"/>
      <c r="N829" s="153"/>
      <c r="O829" s="153"/>
      <c r="P829" s="152"/>
      <c r="Q829" s="152"/>
      <c r="R829" s="153"/>
      <c r="S829" s="154"/>
      <c r="T829" s="115"/>
    </row>
    <row r="830" spans="1:20">
      <c r="A830" t="s">
        <v>1230</v>
      </c>
      <c r="B830" t="s">
        <v>74</v>
      </c>
      <c r="C830" t="s">
        <v>42</v>
      </c>
      <c r="D830" t="s">
        <v>167</v>
      </c>
      <c r="E830" t="s">
        <v>2690</v>
      </c>
      <c r="F830" s="121">
        <v>618787.43999999994</v>
      </c>
      <c r="G830" s="121">
        <v>618787.43999999994</v>
      </c>
      <c r="H830" t="s">
        <v>2691</v>
      </c>
      <c r="I830" s="156">
        <v>41670</v>
      </c>
      <c r="K830" s="153"/>
      <c r="L830" s="153"/>
      <c r="M830" s="153"/>
      <c r="N830" s="153"/>
      <c r="O830" s="153"/>
      <c r="P830" s="152"/>
      <c r="Q830" s="152"/>
      <c r="R830" s="153"/>
      <c r="S830" s="154"/>
      <c r="T830" s="115"/>
    </row>
    <row r="831" spans="1:20">
      <c r="A831" t="s">
        <v>1230</v>
      </c>
      <c r="B831" t="s">
        <v>74</v>
      </c>
      <c r="C831" t="s">
        <v>59</v>
      </c>
      <c r="D831" t="s">
        <v>227</v>
      </c>
      <c r="E831" t="s">
        <v>2692</v>
      </c>
      <c r="F831" s="121">
        <v>201212.56</v>
      </c>
      <c r="G831" s="121">
        <v>201212.56</v>
      </c>
      <c r="H831" t="s">
        <v>2692</v>
      </c>
      <c r="I831" s="156">
        <v>41670</v>
      </c>
      <c r="K831" s="153"/>
      <c r="L831" s="153"/>
      <c r="M831" s="153"/>
      <c r="N831" s="153"/>
      <c r="O831" s="153"/>
      <c r="P831" s="152"/>
      <c r="Q831" s="152"/>
      <c r="R831" s="153"/>
      <c r="S831" s="154"/>
      <c r="T831" s="115"/>
    </row>
    <row r="832" spans="1:20">
      <c r="A832" t="s">
        <v>1230</v>
      </c>
      <c r="B832" t="s">
        <v>74</v>
      </c>
      <c r="C832" t="s">
        <v>42</v>
      </c>
      <c r="D832" t="s">
        <v>167</v>
      </c>
      <c r="E832" t="s">
        <v>2693</v>
      </c>
      <c r="F832" s="121">
        <v>633930.18000000005</v>
      </c>
      <c r="G832" s="121">
        <v>633930.18000000005</v>
      </c>
      <c r="H832" t="s">
        <v>2694</v>
      </c>
      <c r="I832" s="156">
        <v>41670</v>
      </c>
      <c r="K832" s="153"/>
      <c r="L832" s="153"/>
      <c r="M832" s="153"/>
      <c r="N832" s="153"/>
      <c r="O832" s="153"/>
      <c r="P832" s="152"/>
      <c r="Q832" s="152"/>
      <c r="R832" s="153"/>
      <c r="S832" s="154"/>
      <c r="T832" s="115"/>
    </row>
    <row r="833" spans="1:20">
      <c r="A833" t="s">
        <v>1230</v>
      </c>
      <c r="B833" t="s">
        <v>74</v>
      </c>
      <c r="C833" t="s">
        <v>59</v>
      </c>
      <c r="D833" t="s">
        <v>1030</v>
      </c>
      <c r="E833" t="s">
        <v>2695</v>
      </c>
      <c r="F833" s="121">
        <v>86069.82</v>
      </c>
      <c r="G833" s="121">
        <v>86069.82</v>
      </c>
      <c r="H833" t="s">
        <v>452</v>
      </c>
      <c r="I833" s="156">
        <v>41670</v>
      </c>
      <c r="K833" s="153"/>
      <c r="L833" s="153"/>
      <c r="M833" s="153"/>
      <c r="N833" s="153"/>
      <c r="O833" s="153"/>
      <c r="P833" s="152"/>
      <c r="Q833" s="152"/>
      <c r="R833" s="153"/>
      <c r="S833" s="154"/>
      <c r="T833" s="115"/>
    </row>
    <row r="834" spans="1:20">
      <c r="A834" t="s">
        <v>1231</v>
      </c>
      <c r="B834" t="s">
        <v>72</v>
      </c>
      <c r="C834" t="s">
        <v>56</v>
      </c>
      <c r="D834" t="s">
        <v>209</v>
      </c>
      <c r="E834" t="s">
        <v>2696</v>
      </c>
      <c r="F834" s="121">
        <v>490000</v>
      </c>
      <c r="G834" s="121">
        <v>490000</v>
      </c>
      <c r="H834" t="s">
        <v>7037</v>
      </c>
      <c r="I834" s="156">
        <v>41675</v>
      </c>
      <c r="K834" s="153"/>
      <c r="L834" s="153"/>
      <c r="M834" s="153"/>
      <c r="N834" s="153"/>
      <c r="O834" s="153"/>
      <c r="P834" s="152"/>
      <c r="Q834" s="152"/>
      <c r="R834" s="153"/>
      <c r="S834" s="154"/>
      <c r="T834" s="115"/>
    </row>
    <row r="835" spans="1:20">
      <c r="A835" t="s">
        <v>1231</v>
      </c>
      <c r="B835" t="s">
        <v>72</v>
      </c>
      <c r="C835" t="s">
        <v>56</v>
      </c>
      <c r="D835" t="s">
        <v>1046</v>
      </c>
      <c r="E835" t="s">
        <v>2697</v>
      </c>
      <c r="F835" s="121">
        <v>305000</v>
      </c>
      <c r="G835" s="121">
        <v>305000</v>
      </c>
      <c r="H835" t="s">
        <v>2697</v>
      </c>
      <c r="I835" s="156">
        <v>41675</v>
      </c>
      <c r="K835" s="153"/>
      <c r="L835" s="153"/>
      <c r="M835" s="153"/>
      <c r="N835" s="153"/>
      <c r="O835" s="153"/>
      <c r="P835" s="152"/>
      <c r="Q835" s="152"/>
      <c r="R835" s="153"/>
      <c r="S835" s="154"/>
      <c r="T835" s="115"/>
    </row>
    <row r="836" spans="1:20">
      <c r="A836" t="s">
        <v>1230</v>
      </c>
      <c r="B836" t="s">
        <v>74</v>
      </c>
      <c r="C836" t="s">
        <v>58</v>
      </c>
      <c r="D836" t="s">
        <v>217</v>
      </c>
      <c r="E836" t="s">
        <v>2698</v>
      </c>
      <c r="F836" s="121">
        <v>167700</v>
      </c>
      <c r="G836" s="121">
        <v>167700</v>
      </c>
      <c r="H836" t="s">
        <v>2699</v>
      </c>
      <c r="I836" s="156">
        <v>41694</v>
      </c>
      <c r="K836" s="153"/>
      <c r="L836" s="153"/>
      <c r="M836" s="153"/>
      <c r="N836" s="153"/>
      <c r="O836" s="153"/>
      <c r="P836" s="152"/>
      <c r="Q836" s="152"/>
      <c r="R836" s="153"/>
      <c r="S836" s="154"/>
      <c r="T836" s="115"/>
    </row>
    <row r="837" spans="1:20">
      <c r="A837" t="s">
        <v>1230</v>
      </c>
      <c r="B837" t="s">
        <v>74</v>
      </c>
      <c r="C837" t="s">
        <v>58</v>
      </c>
      <c r="D837" t="s">
        <v>217</v>
      </c>
      <c r="E837" t="s">
        <v>2700</v>
      </c>
      <c r="F837" s="121">
        <v>167700</v>
      </c>
      <c r="G837" s="121">
        <v>167700</v>
      </c>
      <c r="H837" t="s">
        <v>2700</v>
      </c>
      <c r="I837" s="156">
        <v>41694</v>
      </c>
      <c r="K837" s="153"/>
      <c r="L837" s="153"/>
      <c r="M837" s="153"/>
      <c r="N837" s="153"/>
      <c r="O837" s="153"/>
      <c r="P837" s="152"/>
      <c r="Q837" s="152"/>
      <c r="R837" s="153"/>
      <c r="S837" s="154"/>
      <c r="T837" s="115"/>
    </row>
    <row r="838" spans="1:20">
      <c r="A838" t="s">
        <v>1230</v>
      </c>
      <c r="B838" t="s">
        <v>72</v>
      </c>
      <c r="C838" t="s">
        <v>51</v>
      </c>
      <c r="D838" t="s">
        <v>478</v>
      </c>
      <c r="E838" t="s">
        <v>2701</v>
      </c>
      <c r="F838" s="121">
        <v>7000</v>
      </c>
      <c r="G838" s="121">
        <v>7000</v>
      </c>
      <c r="H838" t="s">
        <v>1233</v>
      </c>
      <c r="I838" s="156">
        <v>41684</v>
      </c>
      <c r="K838" s="153"/>
      <c r="L838" s="153"/>
      <c r="M838" s="153"/>
      <c r="N838" s="153"/>
      <c r="O838" s="153"/>
      <c r="P838" s="152"/>
      <c r="Q838" s="152"/>
      <c r="R838" s="153"/>
      <c r="S838" s="154"/>
      <c r="T838" s="115"/>
    </row>
    <row r="839" spans="1:20">
      <c r="A839" t="s">
        <v>1230</v>
      </c>
      <c r="B839" t="s">
        <v>74</v>
      </c>
      <c r="C839" t="s">
        <v>58</v>
      </c>
      <c r="D839" t="s">
        <v>217</v>
      </c>
      <c r="E839" t="s">
        <v>2702</v>
      </c>
      <c r="F839" s="121">
        <v>167700</v>
      </c>
      <c r="G839" s="121">
        <v>167700</v>
      </c>
      <c r="H839" t="s">
        <v>2702</v>
      </c>
      <c r="I839" s="156">
        <v>41696</v>
      </c>
      <c r="K839" s="153"/>
      <c r="L839" s="153"/>
      <c r="M839" s="153"/>
      <c r="N839" s="153"/>
      <c r="O839" s="153"/>
      <c r="P839" s="152"/>
      <c r="Q839" s="152"/>
      <c r="R839" s="153"/>
      <c r="S839" s="154"/>
      <c r="T839" s="115"/>
    </row>
    <row r="840" spans="1:20">
      <c r="A840" t="s">
        <v>1230</v>
      </c>
      <c r="B840" t="s">
        <v>74</v>
      </c>
      <c r="C840" t="s">
        <v>58</v>
      </c>
      <c r="D840" t="s">
        <v>217</v>
      </c>
      <c r="E840" t="s">
        <v>2703</v>
      </c>
      <c r="F840" s="121">
        <v>167700</v>
      </c>
      <c r="G840" s="121">
        <v>167700</v>
      </c>
      <c r="H840" t="s">
        <v>2703</v>
      </c>
      <c r="I840" s="156">
        <v>41696</v>
      </c>
      <c r="K840" s="153"/>
      <c r="L840" s="153"/>
      <c r="M840" s="153"/>
      <c r="N840" s="153"/>
      <c r="O840" s="153"/>
      <c r="P840" s="152"/>
      <c r="Q840" s="152"/>
      <c r="R840" s="153"/>
      <c r="S840" s="154"/>
      <c r="T840" s="115"/>
    </row>
    <row r="841" spans="1:20">
      <c r="A841" t="s">
        <v>1230</v>
      </c>
      <c r="B841" t="s">
        <v>72</v>
      </c>
      <c r="C841" t="s">
        <v>49</v>
      </c>
      <c r="D841" t="s">
        <v>1047</v>
      </c>
      <c r="E841" t="s">
        <v>2704</v>
      </c>
      <c r="F841" s="121">
        <v>5700</v>
      </c>
      <c r="G841" s="121">
        <v>5700</v>
      </c>
      <c r="H841" t="s">
        <v>452</v>
      </c>
      <c r="I841" s="156">
        <v>41697</v>
      </c>
      <c r="K841" s="153"/>
      <c r="L841" s="153"/>
      <c r="M841" s="153"/>
      <c r="N841" s="153"/>
      <c r="O841" s="153"/>
      <c r="P841" s="152"/>
      <c r="Q841" s="152"/>
      <c r="R841" s="153"/>
      <c r="S841" s="154"/>
      <c r="T841" s="115"/>
    </row>
    <row r="842" spans="1:20">
      <c r="A842" t="s">
        <v>1230</v>
      </c>
      <c r="B842" t="s">
        <v>74</v>
      </c>
      <c r="C842" t="s">
        <v>62</v>
      </c>
      <c r="D842" t="s">
        <v>242</v>
      </c>
      <c r="E842" t="s">
        <v>2705</v>
      </c>
      <c r="F842" s="121">
        <v>520000</v>
      </c>
      <c r="G842" s="121">
        <v>520000</v>
      </c>
      <c r="H842" t="s">
        <v>2706</v>
      </c>
      <c r="I842" s="156">
        <v>41708</v>
      </c>
      <c r="K842" s="153"/>
      <c r="L842" s="153"/>
      <c r="M842" s="153"/>
      <c r="N842" s="153"/>
      <c r="O842" s="153"/>
      <c r="P842" s="152"/>
      <c r="Q842" s="152"/>
      <c r="R842" s="153"/>
      <c r="S842" s="154"/>
      <c r="T842" s="115"/>
    </row>
    <row r="843" spans="1:20">
      <c r="A843" t="s">
        <v>1230</v>
      </c>
      <c r="B843" t="s">
        <v>74</v>
      </c>
      <c r="C843" t="s">
        <v>63</v>
      </c>
      <c r="D843" t="s">
        <v>1048</v>
      </c>
      <c r="E843" t="s">
        <v>2707</v>
      </c>
      <c r="F843" s="121">
        <v>96000</v>
      </c>
      <c r="G843" s="121">
        <v>96000</v>
      </c>
      <c r="H843" t="s">
        <v>452</v>
      </c>
      <c r="I843" s="156">
        <v>41712</v>
      </c>
      <c r="K843" s="153"/>
      <c r="L843" s="153"/>
      <c r="M843" s="153"/>
      <c r="N843" s="153"/>
      <c r="O843" s="153"/>
      <c r="P843" s="152"/>
      <c r="Q843" s="152"/>
      <c r="R843" s="153"/>
      <c r="S843" s="154"/>
      <c r="T843" s="115"/>
    </row>
    <row r="844" spans="1:20">
      <c r="A844" t="s">
        <v>1230</v>
      </c>
      <c r="B844" t="s">
        <v>73</v>
      </c>
      <c r="C844" t="s">
        <v>51</v>
      </c>
      <c r="D844" t="s">
        <v>1049</v>
      </c>
      <c r="E844" t="s">
        <v>2708</v>
      </c>
      <c r="F844" s="121">
        <v>3300</v>
      </c>
      <c r="G844" s="121">
        <v>3300</v>
      </c>
      <c r="H844" t="s">
        <v>452</v>
      </c>
      <c r="I844" s="156">
        <v>41712</v>
      </c>
      <c r="K844" s="153"/>
      <c r="L844" s="153"/>
      <c r="M844" s="153"/>
      <c r="N844" s="153"/>
      <c r="O844" s="153"/>
      <c r="P844" s="152"/>
      <c r="Q844" s="152"/>
      <c r="R844" s="153"/>
      <c r="S844" s="154"/>
      <c r="T844" s="115"/>
    </row>
    <row r="845" spans="1:20">
      <c r="A845" t="s">
        <v>1230</v>
      </c>
      <c r="B845" t="s">
        <v>72</v>
      </c>
      <c r="C845" t="s">
        <v>51</v>
      </c>
      <c r="D845" t="s">
        <v>1050</v>
      </c>
      <c r="E845" t="s">
        <v>2709</v>
      </c>
      <c r="F845" s="121">
        <v>20870</v>
      </c>
      <c r="G845" s="121">
        <v>20870</v>
      </c>
      <c r="H845" t="s">
        <v>396</v>
      </c>
      <c r="I845" s="156">
        <v>41687</v>
      </c>
      <c r="K845" s="153"/>
      <c r="L845" s="153"/>
      <c r="M845" s="153"/>
      <c r="N845" s="153"/>
      <c r="O845" s="153"/>
      <c r="P845" s="152"/>
      <c r="Q845" s="152"/>
      <c r="R845" s="153"/>
      <c r="S845" s="154"/>
      <c r="T845" s="115"/>
    </row>
    <row r="846" spans="1:20">
      <c r="A846" t="s">
        <v>1230</v>
      </c>
      <c r="B846" t="s">
        <v>72</v>
      </c>
      <c r="C846" t="s">
        <v>51</v>
      </c>
      <c r="D846" t="s">
        <v>481</v>
      </c>
      <c r="E846" t="s">
        <v>2710</v>
      </c>
      <c r="F846" s="121">
        <v>2900</v>
      </c>
      <c r="G846" s="121">
        <v>2900</v>
      </c>
      <c r="H846" t="s">
        <v>396</v>
      </c>
      <c r="I846" s="156">
        <v>41715</v>
      </c>
      <c r="K846" s="153"/>
      <c r="L846" s="153"/>
      <c r="M846" s="153"/>
      <c r="N846" s="153"/>
      <c r="O846" s="153"/>
      <c r="P846" s="152"/>
      <c r="Q846" s="152"/>
      <c r="R846" s="153"/>
      <c r="S846" s="154"/>
      <c r="T846" s="115"/>
    </row>
    <row r="847" spans="1:20">
      <c r="A847" t="s">
        <v>1230</v>
      </c>
      <c r="B847" t="s">
        <v>72</v>
      </c>
      <c r="C847" t="s">
        <v>51</v>
      </c>
      <c r="D847" t="s">
        <v>1051</v>
      </c>
      <c r="E847" t="s">
        <v>2711</v>
      </c>
      <c r="F847" s="121">
        <v>7000</v>
      </c>
      <c r="G847" s="121">
        <v>7000</v>
      </c>
      <c r="H847" t="s">
        <v>517</v>
      </c>
      <c r="I847" s="156">
        <v>41715</v>
      </c>
      <c r="K847" s="153"/>
      <c r="L847" s="153"/>
      <c r="M847" s="153"/>
      <c r="N847" s="153"/>
      <c r="O847" s="153"/>
      <c r="P847" s="152"/>
      <c r="Q847" s="152"/>
      <c r="R847" s="153"/>
      <c r="S847" s="154"/>
      <c r="T847" s="151"/>
    </row>
    <row r="848" spans="1:20">
      <c r="A848" t="s">
        <v>1230</v>
      </c>
      <c r="B848" t="s">
        <v>75</v>
      </c>
      <c r="C848" t="s">
        <v>51</v>
      </c>
      <c r="D848" t="s">
        <v>1052</v>
      </c>
      <c r="E848" t="s">
        <v>2712</v>
      </c>
      <c r="F848" s="121">
        <v>4700</v>
      </c>
      <c r="G848" s="121">
        <v>4700</v>
      </c>
      <c r="H848" t="s">
        <v>460</v>
      </c>
      <c r="I848" s="156">
        <v>41725</v>
      </c>
      <c r="K848" s="153"/>
      <c r="L848" s="153"/>
      <c r="M848" s="153"/>
      <c r="N848" s="153"/>
      <c r="O848" s="153"/>
      <c r="P848" s="152"/>
      <c r="Q848" s="152"/>
      <c r="R848" s="153"/>
      <c r="S848" s="154"/>
      <c r="T848" s="151"/>
    </row>
    <row r="849" spans="1:20">
      <c r="A849" t="s">
        <v>1230</v>
      </c>
      <c r="B849" t="s">
        <v>73</v>
      </c>
      <c r="C849" t="s">
        <v>51</v>
      </c>
      <c r="D849" t="s">
        <v>1053</v>
      </c>
      <c r="E849" t="s">
        <v>2713</v>
      </c>
      <c r="F849" s="121">
        <v>5400</v>
      </c>
      <c r="G849" s="121">
        <v>5400</v>
      </c>
      <c r="H849" t="s">
        <v>460</v>
      </c>
      <c r="I849" s="156">
        <v>41725</v>
      </c>
      <c r="K849" s="153"/>
      <c r="L849" s="153"/>
      <c r="M849" s="153"/>
      <c r="N849" s="153"/>
      <c r="O849" s="153"/>
      <c r="P849" s="152"/>
      <c r="Q849" s="152"/>
      <c r="R849" s="153"/>
      <c r="S849" s="154"/>
      <c r="T849" s="151"/>
    </row>
    <row r="850" spans="1:20">
      <c r="A850" t="s">
        <v>1230</v>
      </c>
      <c r="B850" t="s">
        <v>72</v>
      </c>
      <c r="C850" t="s">
        <v>51</v>
      </c>
      <c r="D850" t="s">
        <v>502</v>
      </c>
      <c r="E850" t="s">
        <v>2714</v>
      </c>
      <c r="F850" s="121">
        <v>17000</v>
      </c>
      <c r="G850" s="121">
        <v>17000</v>
      </c>
      <c r="H850" t="s">
        <v>2715</v>
      </c>
      <c r="I850" s="156">
        <v>41726</v>
      </c>
      <c r="K850" s="153"/>
      <c r="L850" s="153"/>
      <c r="M850" s="153"/>
      <c r="N850" s="153"/>
      <c r="O850" s="153"/>
      <c r="P850" s="152"/>
      <c r="Q850" s="152"/>
      <c r="R850" s="153"/>
      <c r="S850" s="154"/>
      <c r="T850" s="115"/>
    </row>
    <row r="851" spans="1:20">
      <c r="A851" t="s">
        <v>1230</v>
      </c>
      <c r="B851" t="s">
        <v>72</v>
      </c>
      <c r="C851" t="s">
        <v>51</v>
      </c>
      <c r="D851" t="s">
        <v>502</v>
      </c>
      <c r="E851" t="s">
        <v>2716</v>
      </c>
      <c r="F851" s="121">
        <v>17000</v>
      </c>
      <c r="G851" s="121">
        <v>17000</v>
      </c>
      <c r="H851" t="s">
        <v>2717</v>
      </c>
      <c r="I851" s="156">
        <v>41726</v>
      </c>
      <c r="K851" s="153"/>
      <c r="L851" s="153"/>
      <c r="M851" s="153"/>
      <c r="N851" s="153"/>
      <c r="O851" s="153"/>
      <c r="P851" s="152"/>
      <c r="Q851" s="152"/>
      <c r="R851" s="153"/>
      <c r="S851" s="154"/>
      <c r="T851" s="115"/>
    </row>
    <row r="852" spans="1:20">
      <c r="A852" t="s">
        <v>1230</v>
      </c>
      <c r="B852" t="s">
        <v>72</v>
      </c>
      <c r="C852" t="s">
        <v>51</v>
      </c>
      <c r="D852" t="s">
        <v>1054</v>
      </c>
      <c r="E852" t="s">
        <v>2718</v>
      </c>
      <c r="F852" s="121">
        <v>21000</v>
      </c>
      <c r="G852" s="121">
        <v>21000</v>
      </c>
      <c r="H852" t="s">
        <v>517</v>
      </c>
      <c r="I852" s="156">
        <v>41729</v>
      </c>
      <c r="K852" s="153"/>
      <c r="L852" s="153"/>
      <c r="M852" s="153"/>
      <c r="N852" s="153"/>
      <c r="O852" s="153"/>
      <c r="P852" s="152"/>
      <c r="Q852" s="152"/>
      <c r="R852" s="153"/>
      <c r="S852" s="154"/>
      <c r="T852" s="115"/>
    </row>
    <row r="853" spans="1:20">
      <c r="A853" t="s">
        <v>1230</v>
      </c>
      <c r="B853" t="s">
        <v>970</v>
      </c>
      <c r="C853" t="s">
        <v>51</v>
      </c>
      <c r="D853" t="s">
        <v>1113</v>
      </c>
      <c r="E853" t="s">
        <v>2719</v>
      </c>
      <c r="F853" s="121">
        <v>18500</v>
      </c>
      <c r="G853" s="121">
        <v>18500</v>
      </c>
      <c r="H853" t="s">
        <v>1181</v>
      </c>
      <c r="I853" s="156">
        <v>41745</v>
      </c>
      <c r="K853" s="153"/>
      <c r="L853" s="153"/>
      <c r="M853" s="153"/>
      <c r="N853" s="153"/>
      <c r="O853" s="153"/>
      <c r="P853" s="152"/>
      <c r="Q853" s="152"/>
      <c r="R853" s="153"/>
      <c r="S853" s="154"/>
      <c r="T853" s="115"/>
    </row>
    <row r="854" spans="1:20">
      <c r="A854" t="s">
        <v>1230</v>
      </c>
      <c r="B854" t="s">
        <v>71</v>
      </c>
      <c r="C854" t="s">
        <v>69</v>
      </c>
      <c r="D854" t="s">
        <v>322</v>
      </c>
      <c r="E854" t="s">
        <v>2720</v>
      </c>
      <c r="F854" s="121">
        <v>144000</v>
      </c>
      <c r="G854" s="121">
        <v>144000</v>
      </c>
      <c r="H854" t="s">
        <v>2721</v>
      </c>
      <c r="I854" s="156">
        <v>41746</v>
      </c>
      <c r="K854" s="153"/>
      <c r="L854" s="153"/>
      <c r="M854" s="153"/>
      <c r="N854" s="153"/>
      <c r="O854" s="153"/>
      <c r="P854" s="152"/>
      <c r="Q854" s="152"/>
      <c r="R854" s="153"/>
      <c r="S854" s="154"/>
      <c r="T854" s="115"/>
    </row>
    <row r="855" spans="1:20">
      <c r="A855" t="s">
        <v>1230</v>
      </c>
      <c r="B855" t="s">
        <v>75</v>
      </c>
      <c r="C855" t="s">
        <v>51</v>
      </c>
      <c r="D855" t="s">
        <v>1113</v>
      </c>
      <c r="E855" t="s">
        <v>2722</v>
      </c>
      <c r="F855" s="121">
        <v>18500</v>
      </c>
      <c r="G855" s="121">
        <v>18500</v>
      </c>
      <c r="H855" t="s">
        <v>460</v>
      </c>
      <c r="I855" s="156">
        <v>41751</v>
      </c>
      <c r="K855" s="153"/>
      <c r="L855" s="153"/>
      <c r="M855" s="153"/>
      <c r="N855" s="153"/>
      <c r="O855" s="153"/>
      <c r="P855" s="152"/>
      <c r="Q855" s="152"/>
      <c r="R855" s="153"/>
      <c r="S855" s="154"/>
      <c r="T855" s="115"/>
    </row>
    <row r="856" spans="1:20">
      <c r="A856" t="s">
        <v>1230</v>
      </c>
      <c r="B856" t="s">
        <v>72</v>
      </c>
      <c r="C856" t="s">
        <v>51</v>
      </c>
      <c r="D856" t="s">
        <v>1114</v>
      </c>
      <c r="E856" t="s">
        <v>2723</v>
      </c>
      <c r="F856" s="121">
        <v>1300</v>
      </c>
      <c r="G856" s="121">
        <v>1300</v>
      </c>
      <c r="H856" t="s">
        <v>528</v>
      </c>
      <c r="I856" s="156">
        <v>41737</v>
      </c>
      <c r="K856" s="153"/>
      <c r="L856" s="153"/>
      <c r="M856" s="153"/>
      <c r="N856" s="153"/>
      <c r="O856" s="153"/>
      <c r="P856" s="152"/>
      <c r="Q856" s="152"/>
      <c r="R856" s="153"/>
      <c r="S856" s="154"/>
      <c r="T856" s="115"/>
    </row>
    <row r="857" spans="1:20">
      <c r="A857" t="s">
        <v>1230</v>
      </c>
      <c r="B857" t="s">
        <v>72</v>
      </c>
      <c r="C857" t="s">
        <v>51</v>
      </c>
      <c r="D857" t="s">
        <v>1114</v>
      </c>
      <c r="E857" t="s">
        <v>2724</v>
      </c>
      <c r="F857" s="121">
        <v>1300</v>
      </c>
      <c r="G857" s="121">
        <v>1300</v>
      </c>
      <c r="H857" t="s">
        <v>528</v>
      </c>
      <c r="I857" s="156">
        <v>41737</v>
      </c>
      <c r="K857" s="153"/>
      <c r="L857" s="153"/>
      <c r="M857" s="153"/>
      <c r="N857" s="153"/>
      <c r="O857" s="153"/>
      <c r="P857" s="152"/>
      <c r="Q857" s="152"/>
      <c r="R857" s="153"/>
      <c r="S857" s="154"/>
      <c r="T857" s="115"/>
    </row>
    <row r="858" spans="1:20">
      <c r="A858" t="s">
        <v>1230</v>
      </c>
      <c r="B858" t="s">
        <v>72</v>
      </c>
      <c r="C858" t="s">
        <v>51</v>
      </c>
      <c r="D858" t="s">
        <v>1114</v>
      </c>
      <c r="E858" t="s">
        <v>2725</v>
      </c>
      <c r="F858" s="121">
        <v>1300</v>
      </c>
      <c r="G858" s="121">
        <v>1300</v>
      </c>
      <c r="H858" t="s">
        <v>528</v>
      </c>
      <c r="I858" s="156">
        <v>41737</v>
      </c>
      <c r="K858" s="153"/>
      <c r="L858" s="153"/>
      <c r="M858" s="153"/>
      <c r="N858" s="153"/>
      <c r="O858" s="153"/>
      <c r="P858" s="152"/>
      <c r="Q858" s="152"/>
      <c r="R858" s="153"/>
      <c r="S858" s="154"/>
      <c r="T858" s="115"/>
    </row>
    <row r="859" spans="1:20">
      <c r="A859" t="s">
        <v>1230</v>
      </c>
      <c r="B859" t="s">
        <v>72</v>
      </c>
      <c r="C859" t="s">
        <v>51</v>
      </c>
      <c r="D859" t="s">
        <v>1114</v>
      </c>
      <c r="E859" t="s">
        <v>2726</v>
      </c>
      <c r="F859" s="121">
        <v>1300</v>
      </c>
      <c r="G859" s="121">
        <v>1300</v>
      </c>
      <c r="H859" t="s">
        <v>528</v>
      </c>
      <c r="I859" s="156">
        <v>41737</v>
      </c>
      <c r="K859" s="153"/>
      <c r="L859" s="153"/>
      <c r="M859" s="153"/>
      <c r="N859" s="153"/>
      <c r="O859" s="153"/>
      <c r="P859" s="152"/>
      <c r="Q859" s="152"/>
      <c r="R859" s="153"/>
      <c r="S859" s="154"/>
      <c r="T859" s="115"/>
    </row>
    <row r="860" spans="1:20">
      <c r="A860" t="s">
        <v>1230</v>
      </c>
      <c r="B860" t="s">
        <v>73</v>
      </c>
      <c r="C860" t="s">
        <v>51</v>
      </c>
      <c r="D860" t="s">
        <v>1115</v>
      </c>
      <c r="E860" t="s">
        <v>2727</v>
      </c>
      <c r="F860" s="121">
        <v>5899</v>
      </c>
      <c r="G860" s="121">
        <v>5898.99</v>
      </c>
      <c r="H860" t="s">
        <v>1116</v>
      </c>
      <c r="I860" s="156">
        <v>41751</v>
      </c>
      <c r="K860" s="153"/>
      <c r="L860" s="153"/>
      <c r="M860" s="153"/>
      <c r="N860" s="153"/>
      <c r="O860" s="153"/>
      <c r="P860" s="152"/>
      <c r="Q860" s="152"/>
      <c r="R860" s="153"/>
      <c r="S860" s="154"/>
      <c r="T860" s="115"/>
    </row>
    <row r="861" spans="1:20">
      <c r="A861" t="s">
        <v>1230</v>
      </c>
      <c r="B861" t="s">
        <v>72</v>
      </c>
      <c r="C861" t="s">
        <v>39</v>
      </c>
      <c r="D861" t="s">
        <v>1117</v>
      </c>
      <c r="E861" t="s">
        <v>2728</v>
      </c>
      <c r="F861" s="121">
        <v>85000</v>
      </c>
      <c r="G861" s="121">
        <v>85000</v>
      </c>
      <c r="H861" t="s">
        <v>2729</v>
      </c>
      <c r="I861" s="156">
        <v>41810</v>
      </c>
      <c r="K861" s="153"/>
      <c r="L861" s="153"/>
      <c r="M861" s="153"/>
      <c r="N861" s="153"/>
      <c r="O861" s="153"/>
      <c r="P861" s="152"/>
      <c r="Q861" s="152"/>
      <c r="R861" s="153"/>
      <c r="S861" s="154"/>
      <c r="T861" s="115"/>
    </row>
    <row r="862" spans="1:20">
      <c r="A862" t="s">
        <v>1230</v>
      </c>
      <c r="B862" t="s">
        <v>72</v>
      </c>
      <c r="C862" t="s">
        <v>39</v>
      </c>
      <c r="D862" t="s">
        <v>1118</v>
      </c>
      <c r="E862" t="s">
        <v>2730</v>
      </c>
      <c r="F862" s="121">
        <v>85000</v>
      </c>
      <c r="G862" s="121">
        <v>85000</v>
      </c>
      <c r="H862" t="s">
        <v>2731</v>
      </c>
      <c r="I862" s="156">
        <v>41810</v>
      </c>
      <c r="K862" s="153"/>
      <c r="L862" s="153"/>
      <c r="M862" s="153"/>
      <c r="N862" s="153"/>
      <c r="O862" s="153"/>
      <c r="P862" s="152"/>
      <c r="Q862" s="152"/>
      <c r="R862" s="153"/>
      <c r="S862" s="154"/>
      <c r="T862" s="115"/>
    </row>
    <row r="863" spans="1:20">
      <c r="A863" t="s">
        <v>1230</v>
      </c>
      <c r="B863" t="s">
        <v>72</v>
      </c>
      <c r="C863" t="s">
        <v>39</v>
      </c>
      <c r="D863" t="s">
        <v>1117</v>
      </c>
      <c r="E863" t="s">
        <v>2732</v>
      </c>
      <c r="F863" s="121">
        <v>85000</v>
      </c>
      <c r="G863" s="121">
        <v>85000</v>
      </c>
      <c r="H863" t="s">
        <v>2733</v>
      </c>
      <c r="I863" s="156">
        <v>41810</v>
      </c>
      <c r="K863" s="153"/>
      <c r="L863" s="153"/>
      <c r="M863" s="153"/>
      <c r="N863" s="153"/>
      <c r="O863" s="153"/>
      <c r="P863" s="152"/>
      <c r="Q863" s="152"/>
      <c r="R863" s="153"/>
      <c r="S863" s="154"/>
      <c r="T863" s="115"/>
    </row>
    <row r="864" spans="1:20">
      <c r="A864" t="s">
        <v>1230</v>
      </c>
      <c r="B864" t="s">
        <v>72</v>
      </c>
      <c r="C864" t="s">
        <v>39</v>
      </c>
      <c r="D864" t="s">
        <v>1118</v>
      </c>
      <c r="E864" t="s">
        <v>2734</v>
      </c>
      <c r="F864" s="121">
        <v>85000</v>
      </c>
      <c r="G864" s="121">
        <v>85000</v>
      </c>
      <c r="H864" t="s">
        <v>2735</v>
      </c>
      <c r="I864" s="156">
        <v>41810</v>
      </c>
      <c r="K864" s="153"/>
      <c r="L864" s="153"/>
      <c r="M864" s="153"/>
      <c r="N864" s="153"/>
      <c r="O864" s="153"/>
      <c r="P864" s="152"/>
      <c r="Q864" s="152"/>
      <c r="R864" s="153"/>
      <c r="S864" s="154"/>
      <c r="T864" s="115"/>
    </row>
    <row r="865" spans="1:20">
      <c r="A865" t="s">
        <v>1230</v>
      </c>
      <c r="B865" t="s">
        <v>74</v>
      </c>
      <c r="C865" t="s">
        <v>51</v>
      </c>
      <c r="D865" t="s">
        <v>5341</v>
      </c>
      <c r="E865" t="s">
        <v>2736</v>
      </c>
      <c r="F865" s="121">
        <v>100000</v>
      </c>
      <c r="G865" s="121">
        <v>100000</v>
      </c>
      <c r="H865" t="s">
        <v>398</v>
      </c>
      <c r="I865" s="156">
        <v>41771</v>
      </c>
      <c r="K865" s="153"/>
      <c r="L865" s="153"/>
      <c r="M865" s="153"/>
      <c r="N865" s="153"/>
      <c r="O865" s="153"/>
      <c r="P865" s="152"/>
      <c r="Q865" s="152"/>
      <c r="R865" s="153"/>
      <c r="S865" s="154"/>
      <c r="T865" s="115"/>
    </row>
    <row r="866" spans="1:20">
      <c r="A866" t="s">
        <v>1230</v>
      </c>
      <c r="B866" t="s">
        <v>72</v>
      </c>
      <c r="C866" t="s">
        <v>69</v>
      </c>
      <c r="D866" t="s">
        <v>320</v>
      </c>
      <c r="E866" t="s">
        <v>2737</v>
      </c>
      <c r="F866" s="121">
        <v>68000</v>
      </c>
      <c r="G866" s="121">
        <v>68000</v>
      </c>
      <c r="H866" t="s">
        <v>2738</v>
      </c>
      <c r="I866" s="156">
        <v>41806</v>
      </c>
      <c r="K866" s="153"/>
      <c r="L866" s="153"/>
      <c r="M866" s="153"/>
      <c r="N866" s="153"/>
      <c r="O866" s="153"/>
      <c r="P866" s="152"/>
      <c r="Q866" s="152"/>
      <c r="R866" s="153"/>
      <c r="S866" s="154"/>
      <c r="T866" s="115"/>
    </row>
    <row r="867" spans="1:20">
      <c r="A867" t="s">
        <v>1230</v>
      </c>
      <c r="B867" t="s">
        <v>74</v>
      </c>
      <c r="C867" t="s">
        <v>41</v>
      </c>
      <c r="D867" t="s">
        <v>159</v>
      </c>
      <c r="E867" t="s">
        <v>2739</v>
      </c>
      <c r="F867" s="121">
        <v>1642521.53</v>
      </c>
      <c r="G867" s="121">
        <v>1642521.53</v>
      </c>
      <c r="H867" t="s">
        <v>2570</v>
      </c>
      <c r="I867" s="156">
        <v>41775</v>
      </c>
      <c r="K867" s="153"/>
      <c r="L867" s="153"/>
      <c r="M867" s="153"/>
      <c r="N867" s="153"/>
      <c r="O867" s="153"/>
      <c r="P867" s="152"/>
      <c r="Q867" s="152"/>
      <c r="R867" s="153"/>
      <c r="S867" s="154"/>
      <c r="T867" s="115"/>
    </row>
    <row r="868" spans="1:20">
      <c r="A868" t="s">
        <v>1230</v>
      </c>
      <c r="B868" t="s">
        <v>74</v>
      </c>
      <c r="C868" t="s">
        <v>51</v>
      </c>
      <c r="D868" t="s">
        <v>1120</v>
      </c>
      <c r="E868" t="s">
        <v>2740</v>
      </c>
      <c r="F868" s="121">
        <v>13500</v>
      </c>
      <c r="G868" s="121">
        <v>13500</v>
      </c>
      <c r="H868" t="s">
        <v>1121</v>
      </c>
      <c r="I868" s="156">
        <v>41792</v>
      </c>
      <c r="K868" s="153"/>
      <c r="L868" s="153"/>
      <c r="M868" s="153"/>
      <c r="N868" s="153"/>
      <c r="O868" s="153"/>
      <c r="P868" s="152"/>
      <c r="Q868" s="152"/>
      <c r="R868" s="153"/>
      <c r="S868" s="154"/>
      <c r="T868" s="115"/>
    </row>
    <row r="869" spans="1:20">
      <c r="A869" t="s">
        <v>1230</v>
      </c>
      <c r="B869" t="s">
        <v>74</v>
      </c>
      <c r="C869" t="s">
        <v>51</v>
      </c>
      <c r="D869" t="s">
        <v>1120</v>
      </c>
      <c r="E869" t="s">
        <v>2741</v>
      </c>
      <c r="F869" s="121">
        <v>13500</v>
      </c>
      <c r="G869" s="121">
        <v>13500</v>
      </c>
      <c r="H869" t="s">
        <v>1121</v>
      </c>
      <c r="I869" s="156">
        <v>41792</v>
      </c>
      <c r="K869" s="153"/>
      <c r="L869" s="153"/>
      <c r="M869" s="153"/>
      <c r="N869" s="153"/>
      <c r="O869" s="153"/>
      <c r="P869" s="152"/>
      <c r="Q869" s="152"/>
      <c r="R869" s="153"/>
      <c r="S869" s="154"/>
      <c r="T869" s="115"/>
    </row>
    <row r="870" spans="1:20">
      <c r="A870" t="s">
        <v>1230</v>
      </c>
      <c r="B870" t="s">
        <v>74</v>
      </c>
      <c r="C870" t="s">
        <v>51</v>
      </c>
      <c r="D870" t="s">
        <v>1120</v>
      </c>
      <c r="E870" t="s">
        <v>2742</v>
      </c>
      <c r="F870" s="121">
        <v>13500</v>
      </c>
      <c r="G870" s="121">
        <v>13500</v>
      </c>
      <c r="H870" t="s">
        <v>1121</v>
      </c>
      <c r="I870" s="156">
        <v>41792</v>
      </c>
      <c r="K870" s="153"/>
      <c r="L870" s="153"/>
      <c r="M870" s="153"/>
      <c r="N870" s="153"/>
      <c r="O870" s="153"/>
      <c r="P870" s="152"/>
      <c r="Q870" s="152"/>
      <c r="R870" s="153"/>
      <c r="S870" s="154"/>
      <c r="T870" s="115"/>
    </row>
    <row r="871" spans="1:20">
      <c r="A871" t="s">
        <v>1230</v>
      </c>
      <c r="B871" t="s">
        <v>74</v>
      </c>
      <c r="C871" t="s">
        <v>51</v>
      </c>
      <c r="D871" t="s">
        <v>1120</v>
      </c>
      <c r="E871" t="s">
        <v>2743</v>
      </c>
      <c r="F871" s="121">
        <v>13500</v>
      </c>
      <c r="G871" s="121">
        <v>13500</v>
      </c>
      <c r="H871" t="s">
        <v>1121</v>
      </c>
      <c r="I871" s="156">
        <v>41792</v>
      </c>
      <c r="K871" s="153"/>
      <c r="L871" s="153"/>
      <c r="M871" s="153"/>
      <c r="N871" s="153"/>
      <c r="O871" s="153"/>
      <c r="P871" s="152"/>
      <c r="Q871" s="152"/>
      <c r="R871" s="153"/>
      <c r="S871" s="154"/>
      <c r="T871" s="115"/>
    </row>
    <row r="872" spans="1:20">
      <c r="A872" t="s">
        <v>1230</v>
      </c>
      <c r="B872" t="s">
        <v>72</v>
      </c>
      <c r="C872" t="s">
        <v>51</v>
      </c>
      <c r="D872" t="s">
        <v>1122</v>
      </c>
      <c r="E872" t="s">
        <v>2744</v>
      </c>
      <c r="F872" s="121">
        <v>28500</v>
      </c>
      <c r="G872" s="121">
        <v>28500</v>
      </c>
      <c r="H872" t="s">
        <v>1123</v>
      </c>
      <c r="I872" s="156">
        <v>41764</v>
      </c>
      <c r="K872" s="153"/>
      <c r="L872" s="153"/>
      <c r="M872" s="153"/>
      <c r="N872" s="153"/>
      <c r="O872" s="153"/>
      <c r="P872" s="152"/>
      <c r="Q872" s="152"/>
      <c r="R872" s="153"/>
      <c r="S872" s="154"/>
      <c r="T872" s="115"/>
    </row>
    <row r="873" spans="1:20">
      <c r="A873" t="s">
        <v>1230</v>
      </c>
      <c r="B873" t="s">
        <v>73</v>
      </c>
      <c r="C873" t="s">
        <v>51</v>
      </c>
      <c r="D873" t="s">
        <v>1124</v>
      </c>
      <c r="E873" t="s">
        <v>2745</v>
      </c>
      <c r="F873" s="121">
        <v>43320</v>
      </c>
      <c r="G873" s="121">
        <v>43320</v>
      </c>
      <c r="H873" t="s">
        <v>1125</v>
      </c>
      <c r="I873" s="156">
        <v>41789</v>
      </c>
      <c r="K873" s="153"/>
      <c r="L873" s="153"/>
      <c r="M873" s="153"/>
      <c r="N873" s="153"/>
      <c r="O873" s="153"/>
      <c r="P873" s="152"/>
      <c r="Q873" s="152"/>
      <c r="R873" s="153"/>
      <c r="S873" s="154"/>
      <c r="T873" s="115"/>
    </row>
    <row r="874" spans="1:20">
      <c r="A874" t="s">
        <v>1230</v>
      </c>
      <c r="B874" t="s">
        <v>76</v>
      </c>
      <c r="C874" t="s">
        <v>51</v>
      </c>
      <c r="D874" t="s">
        <v>1126</v>
      </c>
      <c r="E874" t="s">
        <v>2746</v>
      </c>
      <c r="F874" s="121">
        <v>3334.2</v>
      </c>
      <c r="G874" s="121">
        <v>3334.2</v>
      </c>
      <c r="H874" t="s">
        <v>875</v>
      </c>
      <c r="I874" s="156">
        <v>41780</v>
      </c>
      <c r="K874" s="153"/>
      <c r="L874" s="153"/>
      <c r="M874" s="153"/>
      <c r="N874" s="153"/>
      <c r="O874" s="153"/>
      <c r="P874" s="152"/>
      <c r="Q874" s="152"/>
      <c r="R874" s="153"/>
      <c r="S874" s="154"/>
      <c r="T874" s="115"/>
    </row>
    <row r="875" spans="1:20">
      <c r="A875" t="s">
        <v>1230</v>
      </c>
      <c r="B875" t="s">
        <v>76</v>
      </c>
      <c r="C875" t="s">
        <v>51</v>
      </c>
      <c r="D875" t="s">
        <v>1127</v>
      </c>
      <c r="E875" t="s">
        <v>2747</v>
      </c>
      <c r="F875" s="121">
        <v>1086.75</v>
      </c>
      <c r="G875" s="121">
        <v>1086.75</v>
      </c>
      <c r="H875" t="s">
        <v>875</v>
      </c>
      <c r="I875" s="156">
        <v>41780</v>
      </c>
      <c r="K875" s="153"/>
      <c r="L875" s="153"/>
      <c r="M875" s="153"/>
      <c r="N875" s="153"/>
      <c r="O875" s="153"/>
      <c r="P875" s="152"/>
      <c r="Q875" s="152"/>
      <c r="R875" s="153"/>
      <c r="S875" s="154"/>
      <c r="T875" s="115"/>
    </row>
    <row r="876" spans="1:20">
      <c r="A876" t="s">
        <v>1231</v>
      </c>
      <c r="B876" t="s">
        <v>72</v>
      </c>
      <c r="C876" t="s">
        <v>51</v>
      </c>
      <c r="D876" t="s">
        <v>1128</v>
      </c>
      <c r="E876" t="s">
        <v>2748</v>
      </c>
      <c r="F876" s="121">
        <v>91000</v>
      </c>
      <c r="G876" s="121">
        <v>91000</v>
      </c>
      <c r="H876" t="s">
        <v>528</v>
      </c>
      <c r="I876" s="156">
        <v>41800</v>
      </c>
      <c r="K876" s="153"/>
      <c r="L876" s="153"/>
      <c r="M876" s="153"/>
      <c r="N876" s="153"/>
      <c r="O876" s="153"/>
      <c r="P876" s="152"/>
      <c r="Q876" s="152"/>
      <c r="R876" s="153"/>
      <c r="S876" s="154"/>
      <c r="T876" s="115"/>
    </row>
    <row r="877" spans="1:20">
      <c r="A877" t="s">
        <v>1231</v>
      </c>
      <c r="B877" t="s">
        <v>72</v>
      </c>
      <c r="C877" t="s">
        <v>51</v>
      </c>
      <c r="D877" t="s">
        <v>1128</v>
      </c>
      <c r="E877" t="s">
        <v>2749</v>
      </c>
      <c r="F877" s="121">
        <v>91000</v>
      </c>
      <c r="G877" s="121">
        <v>91000</v>
      </c>
      <c r="H877" t="s">
        <v>528</v>
      </c>
      <c r="I877" s="156">
        <v>41800</v>
      </c>
      <c r="K877" s="153"/>
      <c r="L877" s="153"/>
      <c r="M877" s="153"/>
      <c r="N877" s="153"/>
      <c r="O877" s="153"/>
      <c r="P877" s="152"/>
      <c r="Q877" s="152"/>
      <c r="R877" s="153"/>
      <c r="S877" s="154"/>
      <c r="T877" s="115"/>
    </row>
    <row r="878" spans="1:20">
      <c r="A878" t="s">
        <v>1230</v>
      </c>
      <c r="B878" t="s">
        <v>74</v>
      </c>
      <c r="C878" t="s">
        <v>51</v>
      </c>
      <c r="D878" t="s">
        <v>1129</v>
      </c>
      <c r="E878" t="s">
        <v>2750</v>
      </c>
      <c r="F878" s="121">
        <v>27900</v>
      </c>
      <c r="G878" s="121">
        <v>27900</v>
      </c>
      <c r="H878" t="s">
        <v>1130</v>
      </c>
      <c r="I878" s="156">
        <v>41788</v>
      </c>
      <c r="K878" s="153"/>
      <c r="L878" s="153"/>
      <c r="M878" s="153"/>
      <c r="N878" s="153"/>
      <c r="O878" s="153"/>
      <c r="P878" s="152"/>
      <c r="Q878" s="152"/>
      <c r="R878" s="153"/>
      <c r="S878" s="154"/>
      <c r="T878" s="115"/>
    </row>
    <row r="879" spans="1:20">
      <c r="A879" t="s">
        <v>1230</v>
      </c>
      <c r="B879" t="s">
        <v>72</v>
      </c>
      <c r="C879" t="s">
        <v>51</v>
      </c>
      <c r="D879" t="s">
        <v>1131</v>
      </c>
      <c r="E879" t="s">
        <v>2751</v>
      </c>
      <c r="F879" s="121">
        <v>28000</v>
      </c>
      <c r="G879" s="121">
        <v>28000</v>
      </c>
      <c r="H879" t="s">
        <v>517</v>
      </c>
      <c r="I879" s="156">
        <v>41786</v>
      </c>
      <c r="K879" s="153"/>
      <c r="L879" s="153"/>
      <c r="M879" s="153"/>
      <c r="N879" s="153"/>
      <c r="O879" s="153"/>
      <c r="P879" s="152"/>
      <c r="Q879" s="152"/>
      <c r="R879" s="153"/>
      <c r="S879" s="154"/>
      <c r="T879" s="115"/>
    </row>
    <row r="880" spans="1:20">
      <c r="A880" t="s">
        <v>1230</v>
      </c>
      <c r="B880" t="s">
        <v>73</v>
      </c>
      <c r="C880" t="s">
        <v>51</v>
      </c>
      <c r="D880" t="s">
        <v>1132</v>
      </c>
      <c r="E880" t="s">
        <v>2752</v>
      </c>
      <c r="F880" s="121">
        <v>1400</v>
      </c>
      <c r="G880" s="121">
        <v>1400</v>
      </c>
      <c r="H880" t="s">
        <v>1133</v>
      </c>
      <c r="I880" s="156">
        <v>41772</v>
      </c>
      <c r="K880" s="153"/>
      <c r="L880" s="153"/>
      <c r="M880" s="153"/>
      <c r="N880" s="153"/>
      <c r="O880" s="153"/>
      <c r="P880" s="152"/>
      <c r="Q880" s="152"/>
      <c r="R880" s="153"/>
      <c r="S880" s="154"/>
      <c r="T880" s="115"/>
    </row>
    <row r="881" spans="1:20">
      <c r="A881" t="s">
        <v>1230</v>
      </c>
      <c r="B881" t="s">
        <v>76</v>
      </c>
      <c r="C881" t="s">
        <v>65</v>
      </c>
      <c r="D881" t="s">
        <v>488</v>
      </c>
      <c r="E881" t="s">
        <v>2753</v>
      </c>
      <c r="F881" s="121">
        <v>11900</v>
      </c>
      <c r="G881" s="121">
        <v>11900</v>
      </c>
      <c r="H881" t="s">
        <v>875</v>
      </c>
      <c r="I881" s="156">
        <v>41827</v>
      </c>
      <c r="K881" s="153"/>
      <c r="L881" s="153"/>
      <c r="M881" s="153"/>
      <c r="N881" s="153"/>
      <c r="O881" s="153"/>
      <c r="P881" s="152"/>
      <c r="Q881" s="152"/>
      <c r="R881" s="153"/>
      <c r="S881" s="154"/>
      <c r="T881" s="115"/>
    </row>
    <row r="882" spans="1:20">
      <c r="A882" t="s">
        <v>1230</v>
      </c>
      <c r="B882" t="s">
        <v>76</v>
      </c>
      <c r="C882" t="s">
        <v>65</v>
      </c>
      <c r="D882" t="s">
        <v>488</v>
      </c>
      <c r="E882" t="s">
        <v>2754</v>
      </c>
      <c r="F882" s="121">
        <v>15600</v>
      </c>
      <c r="G882" s="121">
        <v>15600</v>
      </c>
      <c r="H882" t="s">
        <v>875</v>
      </c>
      <c r="I882" s="156">
        <v>41827</v>
      </c>
      <c r="K882" s="153"/>
      <c r="L882" s="153"/>
      <c r="M882" s="153"/>
      <c r="N882" s="153"/>
      <c r="O882" s="153"/>
      <c r="P882" s="152"/>
      <c r="Q882" s="152"/>
      <c r="R882" s="153"/>
      <c r="S882" s="154"/>
      <c r="T882" s="115"/>
    </row>
    <row r="883" spans="1:20">
      <c r="A883" t="s">
        <v>1231</v>
      </c>
      <c r="B883" t="s">
        <v>72</v>
      </c>
      <c r="C883" t="s">
        <v>56</v>
      </c>
      <c r="D883" t="s">
        <v>1134</v>
      </c>
      <c r="E883" t="s">
        <v>2755</v>
      </c>
      <c r="F883" s="121">
        <v>300000</v>
      </c>
      <c r="G883" s="121">
        <v>300000</v>
      </c>
      <c r="H883" t="s">
        <v>2756</v>
      </c>
      <c r="I883" s="156">
        <v>41820</v>
      </c>
      <c r="K883" s="153"/>
      <c r="L883" s="153"/>
      <c r="M883" s="153"/>
      <c r="N883" s="153"/>
      <c r="O883" s="153"/>
      <c r="P883" s="152"/>
      <c r="Q883" s="152"/>
      <c r="R883" s="153"/>
      <c r="S883" s="154"/>
      <c r="T883" s="115"/>
    </row>
    <row r="884" spans="1:20">
      <c r="A884" t="s">
        <v>1231</v>
      </c>
      <c r="B884" t="s">
        <v>72</v>
      </c>
      <c r="C884" t="s">
        <v>56</v>
      </c>
      <c r="D884" t="s">
        <v>1134</v>
      </c>
      <c r="E884" t="s">
        <v>2757</v>
      </c>
      <c r="F884" s="121">
        <v>300000</v>
      </c>
      <c r="G884" s="121">
        <v>300000</v>
      </c>
      <c r="H884" t="s">
        <v>2758</v>
      </c>
      <c r="I884" s="156">
        <v>41820</v>
      </c>
      <c r="K884" s="153"/>
      <c r="L884" s="153"/>
      <c r="M884" s="153"/>
      <c r="N884" s="153"/>
      <c r="O884" s="153"/>
      <c r="P884" s="152"/>
      <c r="Q884" s="152"/>
      <c r="R884" s="153"/>
      <c r="S884" s="154"/>
      <c r="T884" s="115"/>
    </row>
    <row r="885" spans="1:20">
      <c r="A885" t="s">
        <v>1231</v>
      </c>
      <c r="B885" t="s">
        <v>72</v>
      </c>
      <c r="C885" t="s">
        <v>56</v>
      </c>
      <c r="D885" t="s">
        <v>1134</v>
      </c>
      <c r="E885" t="s">
        <v>2759</v>
      </c>
      <c r="F885" s="121">
        <v>300000</v>
      </c>
      <c r="G885" s="121">
        <v>300000</v>
      </c>
      <c r="H885" t="s">
        <v>2760</v>
      </c>
      <c r="I885" s="156">
        <v>41820</v>
      </c>
      <c r="K885" s="153"/>
      <c r="L885" s="153"/>
      <c r="M885" s="153"/>
      <c r="N885" s="153"/>
      <c r="O885" s="153"/>
      <c r="P885" s="152"/>
      <c r="Q885" s="152"/>
      <c r="R885" s="153"/>
      <c r="S885" s="154"/>
      <c r="T885" s="115"/>
    </row>
    <row r="886" spans="1:20">
      <c r="A886" t="s">
        <v>1230</v>
      </c>
      <c r="B886" t="s">
        <v>73</v>
      </c>
      <c r="C886" t="s">
        <v>1267</v>
      </c>
      <c r="D886" t="s">
        <v>1268</v>
      </c>
      <c r="E886" t="s">
        <v>2761</v>
      </c>
      <c r="F886" s="121">
        <v>500000</v>
      </c>
      <c r="G886" s="121">
        <v>500000</v>
      </c>
      <c r="H886" t="s">
        <v>457</v>
      </c>
      <c r="I886" s="156">
        <v>41829</v>
      </c>
      <c r="K886" s="153"/>
      <c r="L886" s="153"/>
      <c r="M886" s="153"/>
      <c r="N886" s="153"/>
      <c r="O886" s="153"/>
      <c r="P886" s="152"/>
      <c r="Q886" s="152"/>
      <c r="R886" s="153"/>
      <c r="S886" s="154"/>
      <c r="T886" s="115"/>
    </row>
    <row r="887" spans="1:20">
      <c r="A887" t="s">
        <v>1230</v>
      </c>
      <c r="B887" t="s">
        <v>73</v>
      </c>
      <c r="C887" t="s">
        <v>1267</v>
      </c>
      <c r="D887" t="s">
        <v>1268</v>
      </c>
      <c r="E887" t="s">
        <v>2762</v>
      </c>
      <c r="F887" s="121">
        <v>685000</v>
      </c>
      <c r="G887" s="121">
        <v>685000</v>
      </c>
      <c r="H887" t="s">
        <v>457</v>
      </c>
      <c r="I887" s="156">
        <v>41829</v>
      </c>
      <c r="K887" s="153"/>
      <c r="L887" s="153"/>
      <c r="M887" s="153"/>
      <c r="N887" s="153"/>
      <c r="O887" s="153"/>
      <c r="P887" s="152"/>
      <c r="Q887" s="152"/>
      <c r="R887" s="153"/>
      <c r="S887" s="154"/>
      <c r="T887" s="115"/>
    </row>
    <row r="888" spans="1:20">
      <c r="A888" t="s">
        <v>1230</v>
      </c>
      <c r="B888" t="s">
        <v>76</v>
      </c>
      <c r="C888" t="s">
        <v>51</v>
      </c>
      <c r="D888" t="s">
        <v>393</v>
      </c>
      <c r="E888" t="s">
        <v>2763</v>
      </c>
      <c r="F888" s="121">
        <v>4950</v>
      </c>
      <c r="G888" s="121">
        <v>4950</v>
      </c>
      <c r="H888" t="s">
        <v>875</v>
      </c>
      <c r="I888" s="156">
        <v>41838</v>
      </c>
      <c r="K888" s="153"/>
      <c r="L888" s="153"/>
      <c r="M888" s="153"/>
      <c r="N888" s="153"/>
      <c r="O888" s="153"/>
      <c r="P888" s="152"/>
      <c r="Q888" s="152"/>
      <c r="R888" s="153"/>
      <c r="S888" s="154"/>
      <c r="T888" s="115"/>
    </row>
    <row r="889" spans="1:20">
      <c r="A889" t="s">
        <v>1230</v>
      </c>
      <c r="B889" t="s">
        <v>72</v>
      </c>
      <c r="C889" t="s">
        <v>51</v>
      </c>
      <c r="D889" t="s">
        <v>891</v>
      </c>
      <c r="E889" t="s">
        <v>2764</v>
      </c>
      <c r="F889" s="121">
        <v>2250</v>
      </c>
      <c r="G889" s="121">
        <v>2250</v>
      </c>
      <c r="H889" t="s">
        <v>528</v>
      </c>
      <c r="I889" s="156">
        <v>41849</v>
      </c>
      <c r="K889" s="153"/>
      <c r="L889" s="153"/>
      <c r="M889" s="153"/>
      <c r="N889" s="153"/>
      <c r="O889" s="153"/>
      <c r="P889" s="152"/>
      <c r="Q889" s="152"/>
      <c r="R889" s="153"/>
      <c r="S889" s="154"/>
      <c r="T889" s="115"/>
    </row>
    <row r="890" spans="1:20">
      <c r="A890" t="s">
        <v>1230</v>
      </c>
      <c r="B890" t="s">
        <v>970</v>
      </c>
      <c r="C890" t="s">
        <v>51</v>
      </c>
      <c r="D890" t="s">
        <v>1272</v>
      </c>
      <c r="E890" t="s">
        <v>2765</v>
      </c>
      <c r="F890" s="121">
        <v>11000</v>
      </c>
      <c r="G890" s="121">
        <v>11000</v>
      </c>
      <c r="H890" t="s">
        <v>1181</v>
      </c>
      <c r="I890" s="156">
        <v>41849</v>
      </c>
      <c r="K890" s="153"/>
      <c r="L890" s="153"/>
      <c r="M890" s="153"/>
      <c r="N890" s="153"/>
      <c r="O890" s="153"/>
      <c r="P890" s="152"/>
      <c r="Q890" s="152"/>
      <c r="R890" s="153"/>
      <c r="S890" s="154"/>
      <c r="T890" s="115"/>
    </row>
    <row r="891" spans="1:20">
      <c r="A891" t="s">
        <v>1230</v>
      </c>
      <c r="B891" t="s">
        <v>72</v>
      </c>
      <c r="C891" t="s">
        <v>45</v>
      </c>
      <c r="D891" t="s">
        <v>1273</v>
      </c>
      <c r="E891" t="s">
        <v>2766</v>
      </c>
      <c r="F891" s="121">
        <v>9707</v>
      </c>
      <c r="G891" s="121">
        <v>9707</v>
      </c>
      <c r="H891" t="s">
        <v>528</v>
      </c>
      <c r="I891" s="156">
        <v>41849</v>
      </c>
      <c r="K891" s="153"/>
      <c r="L891" s="153"/>
      <c r="M891" s="153"/>
      <c r="N891" s="153"/>
      <c r="O891" s="153"/>
      <c r="P891" s="152"/>
      <c r="Q891" s="152"/>
      <c r="R891" s="153"/>
      <c r="S891" s="154"/>
      <c r="T891" s="115"/>
    </row>
    <row r="892" spans="1:20">
      <c r="A892" t="s">
        <v>1230</v>
      </c>
      <c r="B892" t="s">
        <v>72</v>
      </c>
      <c r="C892" t="s">
        <v>45</v>
      </c>
      <c r="D892" t="s">
        <v>1273</v>
      </c>
      <c r="E892" t="s">
        <v>2767</v>
      </c>
      <c r="F892" s="121">
        <v>9707</v>
      </c>
      <c r="G892" s="121">
        <v>9707</v>
      </c>
      <c r="H892" t="s">
        <v>528</v>
      </c>
      <c r="I892" s="156">
        <v>41849</v>
      </c>
      <c r="K892" s="153"/>
      <c r="L892" s="153"/>
      <c r="M892" s="153"/>
      <c r="N892" s="153"/>
      <c r="O892" s="153"/>
      <c r="P892" s="152"/>
      <c r="Q892" s="152"/>
      <c r="R892" s="153"/>
      <c r="S892" s="154"/>
      <c r="T892" s="115"/>
    </row>
    <row r="893" spans="1:20">
      <c r="A893" t="s">
        <v>1230</v>
      </c>
      <c r="B893" t="s">
        <v>74</v>
      </c>
      <c r="C893" t="s">
        <v>51</v>
      </c>
      <c r="D893" t="s">
        <v>1113</v>
      </c>
      <c r="E893" t="s">
        <v>2768</v>
      </c>
      <c r="F893" s="121">
        <v>18500</v>
      </c>
      <c r="G893" s="121">
        <v>18500</v>
      </c>
      <c r="H893" t="s">
        <v>452</v>
      </c>
      <c r="I893" s="156">
        <v>41850</v>
      </c>
      <c r="K893" s="153"/>
      <c r="L893" s="153"/>
      <c r="M893" s="153"/>
      <c r="N893" s="153"/>
      <c r="O893" s="153"/>
      <c r="P893" s="152"/>
      <c r="Q893" s="152"/>
      <c r="R893" s="153"/>
      <c r="S893" s="154"/>
      <c r="T893" s="115"/>
    </row>
    <row r="894" spans="1:20">
      <c r="A894" t="s">
        <v>1230</v>
      </c>
      <c r="B894" t="s">
        <v>72</v>
      </c>
      <c r="C894" t="s">
        <v>63</v>
      </c>
      <c r="D894" t="s">
        <v>1048</v>
      </c>
      <c r="E894" t="s">
        <v>2769</v>
      </c>
      <c r="F894" s="121">
        <v>85000</v>
      </c>
      <c r="G894" s="121">
        <v>85000</v>
      </c>
      <c r="H894" t="s">
        <v>396</v>
      </c>
      <c r="I894" s="156">
        <v>41849</v>
      </c>
      <c r="K894" s="153"/>
      <c r="L894" s="153"/>
      <c r="M894" s="153"/>
      <c r="N894" s="153"/>
      <c r="O894" s="153"/>
      <c r="P894" s="152"/>
      <c r="Q894" s="152"/>
      <c r="R894" s="153"/>
      <c r="S894" s="154"/>
      <c r="T894" s="115"/>
    </row>
    <row r="895" spans="1:20">
      <c r="A895" t="s">
        <v>1230</v>
      </c>
      <c r="B895" t="s">
        <v>76</v>
      </c>
      <c r="C895" t="s">
        <v>69</v>
      </c>
      <c r="D895" t="s">
        <v>315</v>
      </c>
      <c r="E895" t="s">
        <v>2770</v>
      </c>
      <c r="F895" s="121">
        <v>37164.620000000003</v>
      </c>
      <c r="G895" s="121">
        <v>37164.620000000003</v>
      </c>
      <c r="H895" t="s">
        <v>2771</v>
      </c>
      <c r="I895" s="156">
        <v>41841</v>
      </c>
      <c r="K895" s="153"/>
      <c r="L895" s="153"/>
      <c r="M895" s="153"/>
      <c r="N895" s="153"/>
      <c r="O895" s="153"/>
      <c r="P895" s="152"/>
      <c r="Q895" s="152"/>
      <c r="R895" s="153"/>
      <c r="S895" s="154"/>
      <c r="T895" s="115"/>
    </row>
    <row r="896" spans="1:20">
      <c r="A896" t="s">
        <v>1230</v>
      </c>
      <c r="B896" t="s">
        <v>76</v>
      </c>
      <c r="C896" t="s">
        <v>69</v>
      </c>
      <c r="D896" t="s">
        <v>315</v>
      </c>
      <c r="E896" t="s">
        <v>2772</v>
      </c>
      <c r="F896" s="121">
        <v>37164.620000000003</v>
      </c>
      <c r="G896" s="121">
        <v>37164.620000000003</v>
      </c>
      <c r="H896" t="s">
        <v>2773</v>
      </c>
      <c r="I896" s="156">
        <v>41841</v>
      </c>
      <c r="K896" s="153"/>
      <c r="L896" s="153"/>
      <c r="M896" s="153"/>
      <c r="N896" s="153"/>
      <c r="O896" s="153"/>
      <c r="P896" s="152"/>
      <c r="Q896" s="152"/>
      <c r="R896" s="153"/>
      <c r="S896" s="154"/>
      <c r="T896" s="115"/>
    </row>
    <row r="897" spans="1:20">
      <c r="A897" t="s">
        <v>1230</v>
      </c>
      <c r="B897" t="s">
        <v>76</v>
      </c>
      <c r="C897" t="s">
        <v>69</v>
      </c>
      <c r="D897" t="s">
        <v>315</v>
      </c>
      <c r="E897" t="s">
        <v>2774</v>
      </c>
      <c r="F897" s="121">
        <v>37164.620000000003</v>
      </c>
      <c r="G897" s="121">
        <v>37164.620000000003</v>
      </c>
      <c r="H897" t="s">
        <v>2775</v>
      </c>
      <c r="I897" s="156">
        <v>41837</v>
      </c>
      <c r="K897" s="153"/>
      <c r="L897" s="153"/>
      <c r="M897" s="153"/>
      <c r="N897" s="153"/>
      <c r="O897" s="153"/>
      <c r="P897" s="152"/>
      <c r="Q897" s="152"/>
      <c r="R897" s="153"/>
      <c r="S897" s="154"/>
      <c r="T897" s="115"/>
    </row>
    <row r="898" spans="1:20">
      <c r="A898" t="s">
        <v>1230</v>
      </c>
      <c r="B898" t="s">
        <v>76</v>
      </c>
      <c r="C898" t="s">
        <v>69</v>
      </c>
      <c r="D898" t="s">
        <v>315</v>
      </c>
      <c r="E898" t="s">
        <v>2776</v>
      </c>
      <c r="F898" s="121">
        <v>37164.620000000003</v>
      </c>
      <c r="G898" s="121">
        <v>37164.620000000003</v>
      </c>
      <c r="H898" t="s">
        <v>2777</v>
      </c>
      <c r="I898" s="156">
        <v>41837</v>
      </c>
      <c r="K898" s="153"/>
      <c r="L898" s="153"/>
      <c r="M898" s="153"/>
      <c r="N898" s="153"/>
      <c r="O898" s="153"/>
      <c r="P898" s="152"/>
      <c r="Q898" s="152"/>
      <c r="R898" s="153"/>
      <c r="S898" s="154"/>
      <c r="T898" s="115"/>
    </row>
    <row r="899" spans="1:20">
      <c r="A899" t="s">
        <v>1230</v>
      </c>
      <c r="B899" t="s">
        <v>76</v>
      </c>
      <c r="C899" t="s">
        <v>69</v>
      </c>
      <c r="D899" t="s">
        <v>315</v>
      </c>
      <c r="E899" t="s">
        <v>2778</v>
      </c>
      <c r="F899" s="121">
        <v>37164.620000000003</v>
      </c>
      <c r="G899" s="121">
        <v>37164.620000000003</v>
      </c>
      <c r="H899" t="s">
        <v>2779</v>
      </c>
      <c r="I899" s="156">
        <v>41837</v>
      </c>
      <c r="K899" s="153"/>
      <c r="L899" s="153"/>
      <c r="M899" s="153"/>
      <c r="N899" s="153"/>
      <c r="O899" s="153"/>
      <c r="P899" s="152"/>
      <c r="Q899" s="152"/>
      <c r="R899" s="153"/>
      <c r="S899" s="154"/>
      <c r="T899" s="151"/>
    </row>
    <row r="900" spans="1:20">
      <c r="A900" t="s">
        <v>1230</v>
      </c>
      <c r="B900" t="s">
        <v>1012</v>
      </c>
      <c r="C900" t="s">
        <v>52</v>
      </c>
      <c r="D900" t="s">
        <v>197</v>
      </c>
      <c r="E900" t="s">
        <v>2780</v>
      </c>
      <c r="F900" s="121">
        <v>8890</v>
      </c>
      <c r="G900" s="121">
        <v>8890</v>
      </c>
      <c r="H900" t="s">
        <v>2781</v>
      </c>
      <c r="I900" s="156">
        <v>41836</v>
      </c>
      <c r="K900" s="153"/>
      <c r="L900" s="153"/>
      <c r="M900" s="153"/>
      <c r="N900" s="153"/>
      <c r="O900" s="153"/>
      <c r="P900" s="152"/>
      <c r="Q900" s="152"/>
      <c r="R900" s="153"/>
      <c r="S900" s="154"/>
      <c r="T900" s="151"/>
    </row>
    <row r="901" spans="1:20">
      <c r="A901" t="s">
        <v>1230</v>
      </c>
      <c r="B901" t="s">
        <v>72</v>
      </c>
      <c r="C901" t="s">
        <v>42</v>
      </c>
      <c r="D901" t="s">
        <v>1278</v>
      </c>
      <c r="E901" t="s">
        <v>2785</v>
      </c>
      <c r="F901" s="121">
        <v>492175.95</v>
      </c>
      <c r="G901" s="121">
        <v>492175.95</v>
      </c>
      <c r="H901" t="s">
        <v>2786</v>
      </c>
      <c r="I901" s="156">
        <v>41855</v>
      </c>
      <c r="K901" s="153"/>
      <c r="L901" s="153"/>
      <c r="M901" s="153"/>
      <c r="N901" s="153"/>
      <c r="O901" s="153"/>
      <c r="P901" s="152"/>
      <c r="Q901" s="152"/>
      <c r="R901" s="153"/>
      <c r="S901" s="154"/>
      <c r="T901" s="115"/>
    </row>
    <row r="902" spans="1:20">
      <c r="A902" t="s">
        <v>1230</v>
      </c>
      <c r="B902" t="s">
        <v>72</v>
      </c>
      <c r="C902" t="s">
        <v>42</v>
      </c>
      <c r="D902" t="s">
        <v>1278</v>
      </c>
      <c r="E902" t="s">
        <v>2787</v>
      </c>
      <c r="F902" s="121">
        <v>492175.95</v>
      </c>
      <c r="G902" s="121">
        <v>492175.95</v>
      </c>
      <c r="H902" t="s">
        <v>2788</v>
      </c>
      <c r="I902" s="156">
        <v>41855</v>
      </c>
      <c r="K902" s="153"/>
      <c r="L902" s="153"/>
      <c r="M902" s="153"/>
      <c r="N902" s="153"/>
      <c r="O902" s="153"/>
      <c r="P902" s="152"/>
      <c r="Q902" s="152"/>
      <c r="R902" s="153"/>
      <c r="S902" s="154"/>
      <c r="T902" s="115"/>
    </row>
    <row r="903" spans="1:20">
      <c r="A903" t="s">
        <v>1230</v>
      </c>
      <c r="B903" t="s">
        <v>72</v>
      </c>
      <c r="C903" t="s">
        <v>66</v>
      </c>
      <c r="D903" t="s">
        <v>280</v>
      </c>
      <c r="E903" t="s">
        <v>2789</v>
      </c>
      <c r="F903" s="121">
        <v>531229.66</v>
      </c>
      <c r="G903" s="121">
        <v>531229.66</v>
      </c>
      <c r="H903" t="s">
        <v>2790</v>
      </c>
      <c r="I903" s="156">
        <v>41864</v>
      </c>
      <c r="K903" s="153"/>
      <c r="L903" s="153"/>
      <c r="M903" s="153"/>
      <c r="N903" s="153"/>
      <c r="O903" s="153"/>
      <c r="P903" s="152"/>
      <c r="Q903" s="152"/>
      <c r="R903" s="153"/>
      <c r="S903" s="154"/>
      <c r="T903" s="115"/>
    </row>
    <row r="904" spans="1:20">
      <c r="A904" t="s">
        <v>1230</v>
      </c>
      <c r="B904" t="s">
        <v>72</v>
      </c>
      <c r="C904" t="s">
        <v>62</v>
      </c>
      <c r="D904" t="s">
        <v>242</v>
      </c>
      <c r="E904" t="s">
        <v>2792</v>
      </c>
      <c r="F904" s="121">
        <v>507400</v>
      </c>
      <c r="G904" s="121">
        <v>507400</v>
      </c>
      <c r="H904" t="s">
        <v>2793</v>
      </c>
      <c r="I904" s="156">
        <v>41863</v>
      </c>
      <c r="K904" s="153"/>
      <c r="L904" s="153"/>
      <c r="M904" s="153"/>
      <c r="N904" s="153"/>
      <c r="O904" s="153"/>
      <c r="P904" s="152"/>
      <c r="Q904" s="152"/>
      <c r="R904" s="153"/>
      <c r="S904" s="154"/>
      <c r="T904" s="115"/>
    </row>
    <row r="905" spans="1:20">
      <c r="A905" t="s">
        <v>1230</v>
      </c>
      <c r="B905" t="s">
        <v>72</v>
      </c>
      <c r="C905" t="s">
        <v>62</v>
      </c>
      <c r="D905" t="s">
        <v>1283</v>
      </c>
      <c r="E905" t="s">
        <v>2792</v>
      </c>
      <c r="F905" s="121">
        <v>12600</v>
      </c>
      <c r="G905" s="121">
        <v>12600</v>
      </c>
      <c r="H905" t="s">
        <v>2793</v>
      </c>
      <c r="I905" s="156">
        <v>41864</v>
      </c>
      <c r="K905" s="153"/>
      <c r="L905" s="153"/>
      <c r="M905" s="153"/>
      <c r="N905" s="153"/>
      <c r="O905" s="153"/>
      <c r="P905" s="152"/>
      <c r="Q905" s="152"/>
      <c r="R905" s="153"/>
      <c r="S905" s="154"/>
      <c r="T905" s="115"/>
    </row>
    <row r="906" spans="1:20">
      <c r="A906" t="s">
        <v>1230</v>
      </c>
      <c r="B906" t="s">
        <v>72</v>
      </c>
      <c r="C906" t="s">
        <v>59</v>
      </c>
      <c r="D906" t="s">
        <v>232</v>
      </c>
      <c r="E906" t="s">
        <v>2797</v>
      </c>
      <c r="F906" s="121">
        <v>62824.05</v>
      </c>
      <c r="G906" s="121">
        <v>62824.05</v>
      </c>
      <c r="H906" t="s">
        <v>2798</v>
      </c>
      <c r="I906" s="156">
        <v>41855</v>
      </c>
      <c r="K906" s="153"/>
      <c r="L906" s="153"/>
      <c r="M906" s="153"/>
      <c r="N906" s="153"/>
      <c r="O906" s="153"/>
      <c r="P906" s="152"/>
      <c r="Q906" s="152"/>
      <c r="R906" s="153"/>
      <c r="S906" s="154"/>
      <c r="T906" s="115"/>
    </row>
    <row r="907" spans="1:20">
      <c r="A907" t="s">
        <v>1230</v>
      </c>
      <c r="B907" t="s">
        <v>72</v>
      </c>
      <c r="C907" t="s">
        <v>59</v>
      </c>
      <c r="D907" t="s">
        <v>232</v>
      </c>
      <c r="E907" t="s">
        <v>2799</v>
      </c>
      <c r="F907" s="121">
        <v>62824.05</v>
      </c>
      <c r="G907" s="121">
        <v>62824.05</v>
      </c>
      <c r="H907" t="s">
        <v>396</v>
      </c>
      <c r="I907" s="156">
        <v>41855</v>
      </c>
      <c r="K907" s="153"/>
      <c r="L907" s="153"/>
      <c r="M907" s="153"/>
      <c r="N907" s="153"/>
      <c r="O907" s="153"/>
      <c r="P907" s="152"/>
      <c r="Q907" s="152"/>
      <c r="R907" s="153"/>
      <c r="S907" s="154"/>
      <c r="T907" s="115"/>
    </row>
    <row r="908" spans="1:20">
      <c r="A908" t="s">
        <v>1230</v>
      </c>
      <c r="B908" t="s">
        <v>72</v>
      </c>
      <c r="C908" t="s">
        <v>51</v>
      </c>
      <c r="D908" t="s">
        <v>527</v>
      </c>
      <c r="E908" t="s">
        <v>2800</v>
      </c>
      <c r="F908" s="121">
        <v>2380</v>
      </c>
      <c r="G908" s="121">
        <v>2380</v>
      </c>
      <c r="H908" t="s">
        <v>396</v>
      </c>
      <c r="I908" s="156">
        <v>41855</v>
      </c>
      <c r="K908" s="153"/>
      <c r="L908" s="153"/>
      <c r="M908" s="153"/>
      <c r="N908" s="153"/>
      <c r="O908" s="153"/>
      <c r="P908" s="152"/>
      <c r="Q908" s="152"/>
      <c r="R908" s="153"/>
      <c r="S908" s="154"/>
      <c r="T908" s="115"/>
    </row>
    <row r="909" spans="1:20">
      <c r="A909" t="s">
        <v>1230</v>
      </c>
      <c r="B909" t="s">
        <v>72</v>
      </c>
      <c r="C909" t="s">
        <v>51</v>
      </c>
      <c r="D909" t="s">
        <v>527</v>
      </c>
      <c r="E909" t="s">
        <v>2801</v>
      </c>
      <c r="F909" s="121">
        <v>2380</v>
      </c>
      <c r="G909" s="121">
        <v>2380</v>
      </c>
      <c r="H909" t="s">
        <v>396</v>
      </c>
      <c r="I909" s="156">
        <v>41855</v>
      </c>
      <c r="K909" s="153"/>
      <c r="L909" s="153"/>
      <c r="M909" s="153"/>
      <c r="N909" s="153"/>
      <c r="O909" s="153"/>
      <c r="P909" s="152"/>
      <c r="Q909" s="152"/>
      <c r="R909" s="153"/>
      <c r="S909" s="154"/>
      <c r="T909" s="115"/>
    </row>
    <row r="910" spans="1:20">
      <c r="A910" t="s">
        <v>1230</v>
      </c>
      <c r="B910" t="s">
        <v>72</v>
      </c>
      <c r="C910" t="s">
        <v>51</v>
      </c>
      <c r="D910" t="s">
        <v>527</v>
      </c>
      <c r="E910" t="s">
        <v>2802</v>
      </c>
      <c r="F910" s="121">
        <v>2380</v>
      </c>
      <c r="G910" s="121">
        <v>2380</v>
      </c>
      <c r="H910" t="s">
        <v>396</v>
      </c>
      <c r="I910" s="156">
        <v>41855</v>
      </c>
      <c r="K910" s="153"/>
      <c r="L910" s="153"/>
      <c r="M910" s="153"/>
      <c r="N910" s="153"/>
      <c r="O910" s="153"/>
      <c r="P910" s="152"/>
      <c r="Q910" s="152"/>
      <c r="R910" s="153"/>
      <c r="S910" s="154"/>
      <c r="T910" s="115"/>
    </row>
    <row r="911" spans="1:20">
      <c r="A911" t="s">
        <v>1230</v>
      </c>
      <c r="B911" t="s">
        <v>72</v>
      </c>
      <c r="C911" t="s">
        <v>63</v>
      </c>
      <c r="D911" t="s">
        <v>1048</v>
      </c>
      <c r="E911" t="s">
        <v>2803</v>
      </c>
      <c r="F911" s="121">
        <v>85000</v>
      </c>
      <c r="G911" s="121">
        <v>85000</v>
      </c>
      <c r="H911" t="s">
        <v>396</v>
      </c>
      <c r="I911" s="156">
        <v>41855</v>
      </c>
      <c r="K911" s="153"/>
      <c r="L911" s="153"/>
      <c r="M911" s="153"/>
      <c r="N911" s="153"/>
      <c r="O911" s="153"/>
      <c r="P911" s="152"/>
      <c r="Q911" s="152"/>
      <c r="R911" s="153"/>
      <c r="S911" s="154"/>
      <c r="T911" s="115"/>
    </row>
    <row r="912" spans="1:20">
      <c r="A912" t="s">
        <v>1230</v>
      </c>
      <c r="B912" t="s">
        <v>76</v>
      </c>
      <c r="C912" t="s">
        <v>69</v>
      </c>
      <c r="D912" t="s">
        <v>1284</v>
      </c>
      <c r="E912" t="s">
        <v>2804</v>
      </c>
      <c r="F912" s="121">
        <v>31491.84</v>
      </c>
      <c r="G912" s="121">
        <v>31491.84</v>
      </c>
      <c r="H912" t="s">
        <v>2805</v>
      </c>
      <c r="I912" s="156">
        <v>41863</v>
      </c>
      <c r="K912" s="153"/>
      <c r="L912" s="153"/>
      <c r="M912" s="153"/>
      <c r="N912" s="153"/>
      <c r="O912" s="153"/>
      <c r="P912" s="152"/>
      <c r="Q912" s="152"/>
      <c r="R912" s="153"/>
      <c r="S912" s="154"/>
      <c r="T912" s="115"/>
    </row>
    <row r="913" spans="1:20">
      <c r="A913" t="s">
        <v>1230</v>
      </c>
      <c r="B913" t="s">
        <v>73</v>
      </c>
      <c r="C913" t="s">
        <v>51</v>
      </c>
      <c r="D913" t="s">
        <v>1285</v>
      </c>
      <c r="E913" t="s">
        <v>2806</v>
      </c>
      <c r="F913" s="121">
        <v>529.01</v>
      </c>
      <c r="G913" s="121">
        <v>529.01</v>
      </c>
      <c r="H913" t="s">
        <v>452</v>
      </c>
      <c r="I913" s="156">
        <v>41863</v>
      </c>
      <c r="K913" s="153"/>
      <c r="L913" s="153"/>
      <c r="M913" s="153"/>
      <c r="N913" s="153"/>
      <c r="O913" s="153"/>
      <c r="P913" s="152"/>
      <c r="Q913" s="152"/>
      <c r="R913" s="153"/>
      <c r="S913" s="154"/>
      <c r="T913" s="115"/>
    </row>
    <row r="914" spans="1:20">
      <c r="A914" t="s">
        <v>1230</v>
      </c>
      <c r="B914" t="s">
        <v>72</v>
      </c>
      <c r="C914" t="s">
        <v>51</v>
      </c>
      <c r="D914" t="s">
        <v>1286</v>
      </c>
      <c r="E914" t="s">
        <v>2807</v>
      </c>
      <c r="F914" s="121">
        <v>19404.21</v>
      </c>
      <c r="G914" s="121">
        <v>19404.21</v>
      </c>
      <c r="H914" t="s">
        <v>834</v>
      </c>
      <c r="I914" s="156">
        <v>41878</v>
      </c>
      <c r="K914" s="153"/>
      <c r="L914" s="153"/>
      <c r="M914" s="153"/>
      <c r="N914" s="153"/>
      <c r="O914" s="153"/>
      <c r="P914" s="152"/>
      <c r="Q914" s="152"/>
      <c r="R914" s="153"/>
      <c r="S914" s="154"/>
      <c r="T914" s="115"/>
    </row>
    <row r="915" spans="1:20">
      <c r="A915" t="s">
        <v>1230</v>
      </c>
      <c r="B915" t="s">
        <v>72</v>
      </c>
      <c r="C915" t="s">
        <v>42</v>
      </c>
      <c r="D915" t="s">
        <v>1278</v>
      </c>
      <c r="E915" t="s">
        <v>2808</v>
      </c>
      <c r="F915" s="121">
        <v>492175.95</v>
      </c>
      <c r="G915" s="121">
        <v>492175.95</v>
      </c>
      <c r="H915" t="s">
        <v>2809</v>
      </c>
      <c r="I915" s="156">
        <v>41870</v>
      </c>
      <c r="K915" s="153"/>
      <c r="L915" s="153"/>
      <c r="M915" s="153"/>
      <c r="N915" s="153"/>
      <c r="O915" s="153"/>
      <c r="P915" s="152"/>
      <c r="Q915" s="152"/>
      <c r="R915" s="153"/>
      <c r="S915" s="154"/>
      <c r="T915" s="115"/>
    </row>
    <row r="916" spans="1:20">
      <c r="A916" t="s">
        <v>1230</v>
      </c>
      <c r="B916" t="s">
        <v>72</v>
      </c>
      <c r="C916" t="s">
        <v>59</v>
      </c>
      <c r="D916" t="s">
        <v>232</v>
      </c>
      <c r="E916" t="s">
        <v>2810</v>
      </c>
      <c r="F916" s="121">
        <v>62824.05</v>
      </c>
      <c r="G916" s="121">
        <v>62824.05</v>
      </c>
      <c r="H916" t="s">
        <v>2811</v>
      </c>
      <c r="I916" s="156">
        <v>41870</v>
      </c>
      <c r="K916" s="153"/>
      <c r="L916" s="153"/>
      <c r="M916" s="153"/>
      <c r="N916" s="153"/>
      <c r="O916" s="153"/>
      <c r="P916" s="152"/>
      <c r="Q916" s="152"/>
      <c r="R916" s="153"/>
      <c r="S916" s="154"/>
      <c r="T916" s="115"/>
    </row>
    <row r="917" spans="1:20">
      <c r="A917" t="s">
        <v>1230</v>
      </c>
      <c r="B917" t="s">
        <v>72</v>
      </c>
      <c r="C917" t="s">
        <v>42</v>
      </c>
      <c r="D917" t="s">
        <v>1278</v>
      </c>
      <c r="E917" t="s">
        <v>2812</v>
      </c>
      <c r="F917" s="121">
        <v>492386.46</v>
      </c>
      <c r="G917" s="121">
        <v>492386.46</v>
      </c>
      <c r="H917" t="s">
        <v>2813</v>
      </c>
      <c r="I917" s="156">
        <v>41870</v>
      </c>
      <c r="K917" s="153"/>
      <c r="L917" s="153"/>
      <c r="M917" s="153"/>
      <c r="N917" s="153"/>
      <c r="O917" s="153"/>
      <c r="P917" s="152"/>
      <c r="Q917" s="152"/>
      <c r="R917" s="153"/>
      <c r="S917" s="154"/>
      <c r="T917" s="115"/>
    </row>
    <row r="918" spans="1:20">
      <c r="A918" t="s">
        <v>1230</v>
      </c>
      <c r="B918" t="s">
        <v>72</v>
      </c>
      <c r="C918" t="s">
        <v>59</v>
      </c>
      <c r="D918" t="s">
        <v>232</v>
      </c>
      <c r="E918" t="s">
        <v>2814</v>
      </c>
      <c r="F918" s="121">
        <v>62613.54</v>
      </c>
      <c r="G918" s="121">
        <v>62613.54</v>
      </c>
      <c r="H918" t="s">
        <v>2815</v>
      </c>
      <c r="I918" s="156">
        <v>41870</v>
      </c>
      <c r="K918" s="153"/>
      <c r="L918" s="153"/>
      <c r="M918" s="153"/>
      <c r="N918" s="153"/>
      <c r="O918" s="153"/>
      <c r="P918" s="152"/>
      <c r="Q918" s="152"/>
      <c r="R918" s="153"/>
      <c r="S918" s="154"/>
      <c r="T918" s="115"/>
    </row>
    <row r="919" spans="1:20">
      <c r="A919" t="s">
        <v>1230</v>
      </c>
      <c r="B919" t="s">
        <v>72</v>
      </c>
      <c r="C919" t="s">
        <v>42</v>
      </c>
      <c r="D919" t="s">
        <v>1278</v>
      </c>
      <c r="E919" t="s">
        <v>2816</v>
      </c>
      <c r="F919" s="121">
        <v>492175.95</v>
      </c>
      <c r="G919" s="121">
        <v>492175.95</v>
      </c>
      <c r="H919" t="s">
        <v>2817</v>
      </c>
      <c r="I919" s="156">
        <v>41877</v>
      </c>
      <c r="K919" s="153"/>
      <c r="L919" s="153"/>
      <c r="M919" s="153"/>
      <c r="N919" s="153"/>
      <c r="O919" s="153"/>
      <c r="P919" s="152"/>
      <c r="Q919" s="152"/>
      <c r="R919" s="153"/>
      <c r="S919" s="154"/>
      <c r="T919" s="115"/>
    </row>
    <row r="920" spans="1:20">
      <c r="A920" t="s">
        <v>1230</v>
      </c>
      <c r="B920" t="s">
        <v>72</v>
      </c>
      <c r="C920" t="s">
        <v>59</v>
      </c>
      <c r="D920" t="s">
        <v>232</v>
      </c>
      <c r="E920" t="s">
        <v>2818</v>
      </c>
      <c r="F920" s="121">
        <v>62824.05</v>
      </c>
      <c r="G920" s="121">
        <v>62824.05</v>
      </c>
      <c r="H920" t="s">
        <v>2819</v>
      </c>
      <c r="I920" s="156">
        <v>41877</v>
      </c>
      <c r="K920" s="153"/>
      <c r="L920" s="153"/>
      <c r="M920" s="153"/>
      <c r="N920" s="153"/>
      <c r="O920" s="153"/>
      <c r="P920" s="152"/>
      <c r="Q920" s="152"/>
      <c r="R920" s="153"/>
      <c r="S920" s="154"/>
      <c r="T920" s="115"/>
    </row>
    <row r="921" spans="1:20">
      <c r="A921" t="s">
        <v>1230</v>
      </c>
      <c r="B921" t="s">
        <v>72</v>
      </c>
      <c r="C921" t="s">
        <v>42</v>
      </c>
      <c r="D921" t="s">
        <v>1278</v>
      </c>
      <c r="E921" t="s">
        <v>2820</v>
      </c>
      <c r="F921" s="121">
        <v>492386.46</v>
      </c>
      <c r="G921" s="121">
        <v>492386.46</v>
      </c>
      <c r="H921" t="s">
        <v>2821</v>
      </c>
      <c r="I921" s="156">
        <v>41877</v>
      </c>
      <c r="K921" s="153"/>
      <c r="L921" s="153"/>
      <c r="M921" s="153"/>
      <c r="N921" s="153"/>
      <c r="O921" s="153"/>
      <c r="P921" s="152"/>
      <c r="Q921" s="152"/>
      <c r="R921" s="153"/>
      <c r="S921" s="154"/>
      <c r="T921" s="115"/>
    </row>
    <row r="922" spans="1:20">
      <c r="A922" t="s">
        <v>1230</v>
      </c>
      <c r="B922" t="s">
        <v>72</v>
      </c>
      <c r="C922" t="s">
        <v>59</v>
      </c>
      <c r="D922" t="s">
        <v>232</v>
      </c>
      <c r="E922" t="s">
        <v>2822</v>
      </c>
      <c r="F922" s="121">
        <v>62613.54</v>
      </c>
      <c r="G922" s="121">
        <v>62613.54</v>
      </c>
      <c r="H922" t="s">
        <v>2823</v>
      </c>
      <c r="I922" s="156">
        <v>41877</v>
      </c>
      <c r="K922" s="153"/>
      <c r="L922" s="153"/>
      <c r="M922" s="153"/>
      <c r="N922" s="153"/>
      <c r="O922" s="153"/>
      <c r="P922" s="152"/>
      <c r="Q922" s="152"/>
      <c r="R922" s="153"/>
      <c r="S922" s="154"/>
      <c r="T922" s="115"/>
    </row>
    <row r="923" spans="1:20">
      <c r="A923" t="s">
        <v>1230</v>
      </c>
      <c r="B923" t="s">
        <v>72</v>
      </c>
      <c r="C923" t="s">
        <v>42</v>
      </c>
      <c r="D923" t="s">
        <v>1278</v>
      </c>
      <c r="E923" t="s">
        <v>2824</v>
      </c>
      <c r="F923" s="121">
        <v>492175.95</v>
      </c>
      <c r="G923" s="121">
        <v>492175.95</v>
      </c>
      <c r="H923" t="s">
        <v>2825</v>
      </c>
      <c r="I923" s="156">
        <v>41877</v>
      </c>
      <c r="K923" s="153"/>
      <c r="L923" s="153"/>
      <c r="M923" s="153"/>
      <c r="N923" s="153"/>
      <c r="O923" s="153"/>
      <c r="P923" s="152"/>
      <c r="Q923" s="152"/>
      <c r="R923" s="153"/>
      <c r="S923" s="154"/>
      <c r="T923" s="115"/>
    </row>
    <row r="924" spans="1:20">
      <c r="A924" t="s">
        <v>1230</v>
      </c>
      <c r="B924" t="s">
        <v>72</v>
      </c>
      <c r="C924" t="s">
        <v>59</v>
      </c>
      <c r="D924" t="s">
        <v>232</v>
      </c>
      <c r="E924" t="s">
        <v>2826</v>
      </c>
      <c r="F924" s="121">
        <v>62824.05</v>
      </c>
      <c r="G924" s="121">
        <v>62824.05</v>
      </c>
      <c r="H924" t="s">
        <v>2827</v>
      </c>
      <c r="I924" s="156">
        <v>41877</v>
      </c>
      <c r="K924" s="153"/>
      <c r="L924" s="153"/>
      <c r="M924" s="153"/>
      <c r="N924" s="153"/>
      <c r="O924" s="153"/>
      <c r="P924" s="152"/>
      <c r="Q924" s="152"/>
      <c r="R924" s="153"/>
      <c r="S924" s="154"/>
      <c r="T924" s="115"/>
    </row>
    <row r="925" spans="1:20">
      <c r="A925" t="s">
        <v>1230</v>
      </c>
      <c r="B925" t="s">
        <v>72</v>
      </c>
      <c r="C925" t="s">
        <v>63</v>
      </c>
      <c r="D925" t="s">
        <v>1048</v>
      </c>
      <c r="E925" t="s">
        <v>2828</v>
      </c>
      <c r="F925" s="121">
        <v>85000</v>
      </c>
      <c r="G925" s="121">
        <v>85000</v>
      </c>
      <c r="H925" t="s">
        <v>458</v>
      </c>
      <c r="I925" s="156">
        <v>41877</v>
      </c>
      <c r="K925" s="153"/>
      <c r="L925" s="153"/>
      <c r="M925" s="153"/>
      <c r="N925" s="153"/>
      <c r="O925" s="153"/>
      <c r="P925" s="152"/>
      <c r="Q925" s="152"/>
      <c r="R925" s="153"/>
      <c r="S925" s="154"/>
      <c r="T925" s="115"/>
    </row>
    <row r="926" spans="1:20">
      <c r="A926" t="s">
        <v>1230</v>
      </c>
      <c r="B926" t="s">
        <v>72</v>
      </c>
      <c r="C926" t="s">
        <v>63</v>
      </c>
      <c r="D926" t="s">
        <v>1048</v>
      </c>
      <c r="E926" t="s">
        <v>2829</v>
      </c>
      <c r="F926" s="121">
        <v>85000</v>
      </c>
      <c r="G926" s="121">
        <v>85000</v>
      </c>
      <c r="H926" t="s">
        <v>875</v>
      </c>
      <c r="I926" s="156">
        <v>41877</v>
      </c>
      <c r="K926" s="153"/>
      <c r="L926" s="153"/>
      <c r="M926" s="153"/>
      <c r="N926" s="153"/>
      <c r="O926" s="153"/>
      <c r="P926" s="152"/>
      <c r="Q926" s="152"/>
      <c r="R926" s="153"/>
      <c r="S926" s="154"/>
      <c r="T926" s="115"/>
    </row>
    <row r="927" spans="1:20">
      <c r="A927" t="s">
        <v>1230</v>
      </c>
      <c r="B927" t="s">
        <v>72</v>
      </c>
      <c r="C927" t="s">
        <v>63</v>
      </c>
      <c r="D927" t="s">
        <v>1048</v>
      </c>
      <c r="E927" t="s">
        <v>2830</v>
      </c>
      <c r="F927" s="121">
        <v>85000</v>
      </c>
      <c r="G927" s="121">
        <v>85000</v>
      </c>
      <c r="H927" t="s">
        <v>460</v>
      </c>
      <c r="I927" s="156">
        <v>41877</v>
      </c>
      <c r="K927" s="153"/>
      <c r="L927" s="153"/>
      <c r="M927" s="153"/>
      <c r="N927" s="153"/>
      <c r="O927" s="153"/>
      <c r="P927" s="152"/>
      <c r="Q927" s="152"/>
      <c r="R927" s="153"/>
      <c r="S927" s="154"/>
      <c r="T927" s="115"/>
    </row>
    <row r="928" spans="1:20">
      <c r="A928" t="s">
        <v>1230</v>
      </c>
      <c r="B928" t="s">
        <v>72</v>
      </c>
      <c r="C928" t="s">
        <v>51</v>
      </c>
      <c r="D928" t="s">
        <v>1290</v>
      </c>
      <c r="E928" t="s">
        <v>2831</v>
      </c>
      <c r="F928" s="121">
        <v>3411.28</v>
      </c>
      <c r="G928" s="121">
        <v>3411.28</v>
      </c>
      <c r="H928" t="s">
        <v>396</v>
      </c>
      <c r="I928" s="156">
        <v>41877</v>
      </c>
      <c r="K928" s="153"/>
      <c r="L928" s="153"/>
      <c r="M928" s="153"/>
      <c r="N928" s="153"/>
      <c r="O928" s="153"/>
      <c r="P928" s="152"/>
      <c r="Q928" s="152"/>
      <c r="R928" s="153"/>
      <c r="S928" s="154"/>
      <c r="T928" s="115"/>
    </row>
    <row r="929" spans="1:20">
      <c r="A929" t="s">
        <v>1230</v>
      </c>
      <c r="B929" t="s">
        <v>72</v>
      </c>
      <c r="C929" t="s">
        <v>51</v>
      </c>
      <c r="D929" t="s">
        <v>456</v>
      </c>
      <c r="E929" t="s">
        <v>2832</v>
      </c>
      <c r="F929" s="121">
        <v>2700</v>
      </c>
      <c r="G929" s="121">
        <v>2700</v>
      </c>
      <c r="H929" t="s">
        <v>396</v>
      </c>
      <c r="I929" s="156">
        <v>41870</v>
      </c>
      <c r="K929" s="153"/>
      <c r="L929" s="153"/>
      <c r="M929" s="153"/>
      <c r="N929" s="153"/>
      <c r="O929" s="153"/>
      <c r="P929" s="152"/>
      <c r="Q929" s="152"/>
      <c r="R929" s="153"/>
      <c r="S929" s="154"/>
      <c r="T929" s="115"/>
    </row>
    <row r="930" spans="1:20">
      <c r="A930" t="s">
        <v>1230</v>
      </c>
      <c r="B930" t="s">
        <v>72</v>
      </c>
      <c r="C930" t="s">
        <v>51</v>
      </c>
      <c r="D930" t="s">
        <v>456</v>
      </c>
      <c r="E930" t="s">
        <v>2833</v>
      </c>
      <c r="F930" s="121">
        <v>1500.08</v>
      </c>
      <c r="G930" s="121">
        <v>1500.08</v>
      </c>
      <c r="H930" t="s">
        <v>396</v>
      </c>
      <c r="I930" s="156">
        <v>41879</v>
      </c>
      <c r="K930" s="153"/>
      <c r="L930" s="153"/>
      <c r="M930" s="153"/>
      <c r="N930" s="153"/>
      <c r="O930" s="153"/>
      <c r="P930" s="152"/>
      <c r="Q930" s="152"/>
      <c r="R930" s="153"/>
      <c r="S930" s="154"/>
      <c r="T930" s="115"/>
    </row>
    <row r="931" spans="1:20">
      <c r="A931" t="s">
        <v>1230</v>
      </c>
      <c r="B931" t="s">
        <v>1012</v>
      </c>
      <c r="C931" t="s">
        <v>51</v>
      </c>
      <c r="D931" t="s">
        <v>1113</v>
      </c>
      <c r="E931" t="s">
        <v>2834</v>
      </c>
      <c r="F931" s="121">
        <v>20000</v>
      </c>
      <c r="G931" s="121">
        <v>20000</v>
      </c>
      <c r="H931" t="s">
        <v>1292</v>
      </c>
      <c r="I931" s="156">
        <v>41879</v>
      </c>
      <c r="K931" s="153"/>
      <c r="L931" s="153"/>
      <c r="M931" s="153"/>
      <c r="N931" s="153"/>
      <c r="O931" s="153"/>
      <c r="P931" s="152"/>
      <c r="Q931" s="152"/>
      <c r="R931" s="153"/>
      <c r="S931" s="154"/>
      <c r="T931" s="115"/>
    </row>
    <row r="932" spans="1:20">
      <c r="A932" t="s">
        <v>1230</v>
      </c>
      <c r="B932" t="s">
        <v>73</v>
      </c>
      <c r="C932" t="s">
        <v>1267</v>
      </c>
      <c r="D932" t="s">
        <v>1293</v>
      </c>
      <c r="E932" t="s">
        <v>2835</v>
      </c>
      <c r="F932" s="121">
        <v>215000</v>
      </c>
      <c r="G932" s="121">
        <v>215000</v>
      </c>
      <c r="H932" t="s">
        <v>457</v>
      </c>
      <c r="I932" s="156">
        <v>41886</v>
      </c>
      <c r="K932" s="153"/>
      <c r="L932" s="153"/>
      <c r="M932" s="153"/>
      <c r="N932" s="153"/>
      <c r="O932" s="153"/>
      <c r="P932" s="152"/>
      <c r="Q932" s="152"/>
      <c r="R932" s="153"/>
      <c r="S932" s="154"/>
      <c r="T932" s="151"/>
    </row>
    <row r="933" spans="1:20">
      <c r="A933" t="s">
        <v>1230</v>
      </c>
      <c r="B933" t="s">
        <v>72</v>
      </c>
      <c r="C933" t="s">
        <v>45</v>
      </c>
      <c r="D933" t="s">
        <v>1295</v>
      </c>
      <c r="E933" t="s">
        <v>2836</v>
      </c>
      <c r="F933" s="121">
        <v>3045</v>
      </c>
      <c r="G933" s="121">
        <v>3045</v>
      </c>
      <c r="H933" t="s">
        <v>528</v>
      </c>
      <c r="I933" s="156">
        <v>41897</v>
      </c>
      <c r="K933" s="153"/>
      <c r="L933" s="153"/>
      <c r="M933" s="153"/>
      <c r="N933" s="153"/>
      <c r="O933" s="153"/>
      <c r="P933" s="152"/>
      <c r="Q933" s="152"/>
      <c r="R933" s="153"/>
      <c r="S933" s="154"/>
      <c r="T933" s="115"/>
    </row>
    <row r="934" spans="1:20">
      <c r="A934" t="s">
        <v>1230</v>
      </c>
      <c r="B934" t="s">
        <v>72</v>
      </c>
      <c r="C934" t="s">
        <v>45</v>
      </c>
      <c r="D934" t="s">
        <v>1297</v>
      </c>
      <c r="E934" t="s">
        <v>2837</v>
      </c>
      <c r="F934" s="121">
        <v>4900</v>
      </c>
      <c r="G934" s="121">
        <v>4900</v>
      </c>
      <c r="H934" t="s">
        <v>528</v>
      </c>
      <c r="I934" s="156">
        <v>41905</v>
      </c>
      <c r="K934" s="153"/>
      <c r="L934" s="153"/>
      <c r="M934" s="153"/>
      <c r="N934" s="153"/>
      <c r="O934" s="153"/>
      <c r="P934" s="152"/>
      <c r="Q934" s="152"/>
      <c r="R934" s="153"/>
      <c r="S934" s="154"/>
      <c r="T934" s="115"/>
    </row>
    <row r="935" spans="1:20">
      <c r="A935" t="s">
        <v>1230</v>
      </c>
      <c r="B935" t="s">
        <v>72</v>
      </c>
      <c r="C935" t="s">
        <v>51</v>
      </c>
      <c r="D935" t="s">
        <v>1299</v>
      </c>
      <c r="E935" t="s">
        <v>2838</v>
      </c>
      <c r="F935" s="121">
        <v>13595.3</v>
      </c>
      <c r="G935" s="121">
        <v>13595.3</v>
      </c>
      <c r="H935" t="s">
        <v>474</v>
      </c>
      <c r="I935" s="156">
        <v>41905</v>
      </c>
      <c r="K935" s="153"/>
      <c r="L935" s="153"/>
      <c r="M935" s="153"/>
      <c r="N935" s="153"/>
      <c r="O935" s="153"/>
      <c r="P935" s="152"/>
      <c r="Q935" s="152"/>
      <c r="R935" s="153"/>
      <c r="S935" s="154"/>
      <c r="T935" s="115"/>
    </row>
    <row r="936" spans="1:20">
      <c r="A936" t="s">
        <v>1230</v>
      </c>
      <c r="B936" t="s">
        <v>75</v>
      </c>
      <c r="C936" t="s">
        <v>39</v>
      </c>
      <c r="D936" t="s">
        <v>1300</v>
      </c>
      <c r="E936" t="s">
        <v>2839</v>
      </c>
      <c r="F936" s="121">
        <v>702</v>
      </c>
      <c r="G936" s="121">
        <v>702</v>
      </c>
      <c r="H936" t="s">
        <v>460</v>
      </c>
      <c r="I936" s="156">
        <v>41893</v>
      </c>
      <c r="K936" s="153"/>
      <c r="L936" s="153"/>
      <c r="M936" s="153"/>
      <c r="N936" s="153"/>
      <c r="O936" s="153"/>
      <c r="P936" s="152"/>
      <c r="Q936" s="152"/>
      <c r="R936" s="153"/>
      <c r="S936" s="154"/>
      <c r="T936" s="115"/>
    </row>
    <row r="937" spans="1:20">
      <c r="A937" t="s">
        <v>1230</v>
      </c>
      <c r="B937" t="s">
        <v>72</v>
      </c>
      <c r="C937" t="s">
        <v>51</v>
      </c>
      <c r="D937" t="s">
        <v>1302</v>
      </c>
      <c r="E937" t="s">
        <v>2840</v>
      </c>
      <c r="F937" s="121">
        <v>45000</v>
      </c>
      <c r="G937" s="121">
        <v>45000</v>
      </c>
      <c r="H937" t="s">
        <v>396</v>
      </c>
      <c r="I937" s="156">
        <v>41892</v>
      </c>
      <c r="K937" s="153"/>
      <c r="L937" s="153"/>
      <c r="M937" s="153"/>
      <c r="N937" s="153"/>
      <c r="O937" s="153"/>
      <c r="P937" s="152"/>
      <c r="Q937" s="152"/>
      <c r="R937" s="153"/>
      <c r="S937" s="154"/>
      <c r="T937" s="115"/>
    </row>
    <row r="938" spans="1:20">
      <c r="A938" t="s">
        <v>1230</v>
      </c>
      <c r="B938" t="s">
        <v>72</v>
      </c>
      <c r="C938" t="s">
        <v>45</v>
      </c>
      <c r="D938" t="s">
        <v>1295</v>
      </c>
      <c r="E938" t="s">
        <v>2841</v>
      </c>
      <c r="F938" s="121">
        <v>3045</v>
      </c>
      <c r="G938" s="121">
        <v>3045</v>
      </c>
      <c r="H938" t="s">
        <v>528</v>
      </c>
      <c r="I938" s="156">
        <v>41897</v>
      </c>
      <c r="K938" s="153"/>
      <c r="L938" s="153"/>
      <c r="M938" s="153"/>
      <c r="N938" s="153"/>
      <c r="O938" s="153"/>
      <c r="P938" s="152"/>
      <c r="Q938" s="152"/>
      <c r="R938" s="153"/>
      <c r="S938" s="154"/>
      <c r="T938" s="115"/>
    </row>
    <row r="939" spans="1:20">
      <c r="A939" t="s">
        <v>1230</v>
      </c>
      <c r="B939" t="s">
        <v>72</v>
      </c>
      <c r="C939" t="s">
        <v>45</v>
      </c>
      <c r="D939" t="s">
        <v>1295</v>
      </c>
      <c r="E939" t="s">
        <v>2842</v>
      </c>
      <c r="F939" s="121">
        <v>3045</v>
      </c>
      <c r="G939" s="121">
        <v>3045</v>
      </c>
      <c r="H939" t="s">
        <v>528</v>
      </c>
      <c r="I939" s="156">
        <v>41897</v>
      </c>
      <c r="K939" s="153"/>
      <c r="L939" s="153"/>
      <c r="M939" s="153"/>
      <c r="N939" s="153"/>
      <c r="O939" s="153"/>
      <c r="P939" s="152"/>
      <c r="Q939" s="152"/>
      <c r="R939" s="153"/>
      <c r="S939" s="154"/>
      <c r="T939" s="115"/>
    </row>
    <row r="940" spans="1:20">
      <c r="A940" t="s">
        <v>1230</v>
      </c>
      <c r="B940" t="s">
        <v>72</v>
      </c>
      <c r="C940" t="s">
        <v>35</v>
      </c>
      <c r="D940" t="s">
        <v>1304</v>
      </c>
      <c r="E940" t="s">
        <v>7180</v>
      </c>
      <c r="F940" s="121">
        <v>350000</v>
      </c>
      <c r="G940" s="121">
        <v>350000</v>
      </c>
      <c r="H940" t="s">
        <v>1305</v>
      </c>
      <c r="I940" s="156">
        <v>41821</v>
      </c>
      <c r="K940" s="153"/>
      <c r="L940" s="153"/>
      <c r="M940" s="153"/>
      <c r="N940" s="153"/>
      <c r="O940" s="153"/>
      <c r="P940" s="152"/>
      <c r="Q940" s="152"/>
      <c r="R940" s="153"/>
      <c r="S940" s="154"/>
      <c r="T940" s="151"/>
    </row>
    <row r="941" spans="1:20">
      <c r="A941" t="s">
        <v>1230</v>
      </c>
      <c r="B941" t="s">
        <v>72</v>
      </c>
      <c r="C941" t="s">
        <v>51</v>
      </c>
      <c r="D941" t="s">
        <v>1307</v>
      </c>
      <c r="E941" t="s">
        <v>2843</v>
      </c>
      <c r="F941" s="121">
        <v>52965.15</v>
      </c>
      <c r="G941" s="121">
        <v>53346.47</v>
      </c>
      <c r="H941" t="s">
        <v>396</v>
      </c>
      <c r="I941" s="156">
        <v>41904</v>
      </c>
      <c r="K941" s="153"/>
      <c r="L941" s="153"/>
      <c r="M941" s="153"/>
      <c r="N941" s="153"/>
      <c r="O941" s="153"/>
      <c r="P941" s="152"/>
      <c r="Q941" s="152"/>
      <c r="R941" s="153"/>
      <c r="S941" s="154"/>
      <c r="T941" s="115"/>
    </row>
    <row r="942" spans="1:20">
      <c r="A942" t="s">
        <v>1230</v>
      </c>
      <c r="B942" t="s">
        <v>72</v>
      </c>
      <c r="C942" t="s">
        <v>51</v>
      </c>
      <c r="D942" t="s">
        <v>1307</v>
      </c>
      <c r="E942" t="s">
        <v>2844</v>
      </c>
      <c r="F942" s="121">
        <v>52965.16</v>
      </c>
      <c r="G942" s="121">
        <v>53346.47</v>
      </c>
      <c r="H942" t="s">
        <v>396</v>
      </c>
      <c r="I942" s="156">
        <v>41904</v>
      </c>
      <c r="K942" s="153"/>
      <c r="L942" s="153"/>
      <c r="M942" s="153"/>
      <c r="N942" s="153"/>
      <c r="O942" s="153"/>
      <c r="P942" s="152"/>
      <c r="Q942" s="152"/>
      <c r="R942" s="153"/>
      <c r="S942" s="154"/>
      <c r="T942" s="115"/>
    </row>
    <row r="943" spans="1:20">
      <c r="A943" t="s">
        <v>1230</v>
      </c>
      <c r="B943" t="s">
        <v>74</v>
      </c>
      <c r="C943" t="s">
        <v>69</v>
      </c>
      <c r="D943" t="s">
        <v>317</v>
      </c>
      <c r="E943" t="s">
        <v>7181</v>
      </c>
      <c r="F943" s="121">
        <v>38944</v>
      </c>
      <c r="G943" s="121">
        <v>38944</v>
      </c>
      <c r="H943" t="s">
        <v>7182</v>
      </c>
      <c r="I943" s="156">
        <v>41883</v>
      </c>
      <c r="K943" s="153"/>
      <c r="L943" s="153"/>
      <c r="M943" s="153"/>
      <c r="N943" s="153"/>
      <c r="O943" s="153"/>
      <c r="P943" s="152"/>
      <c r="Q943" s="152"/>
      <c r="R943" s="153"/>
      <c r="S943" s="154"/>
      <c r="T943" s="115"/>
    </row>
    <row r="944" spans="1:20">
      <c r="A944" t="s">
        <v>1230</v>
      </c>
      <c r="B944" t="s">
        <v>76</v>
      </c>
      <c r="C944" t="s">
        <v>51</v>
      </c>
      <c r="D944" t="s">
        <v>1310</v>
      </c>
      <c r="E944" t="s">
        <v>2845</v>
      </c>
      <c r="F944" s="121">
        <v>48750</v>
      </c>
      <c r="G944" s="121">
        <v>48750</v>
      </c>
      <c r="H944" t="s">
        <v>875</v>
      </c>
      <c r="I944" s="156">
        <v>41894</v>
      </c>
      <c r="K944" s="153"/>
      <c r="L944" s="153"/>
      <c r="M944" s="153"/>
      <c r="N944" s="153"/>
      <c r="O944" s="153"/>
      <c r="P944" s="152"/>
      <c r="Q944" s="152"/>
      <c r="R944" s="153"/>
      <c r="S944" s="154"/>
      <c r="T944" s="115"/>
    </row>
    <row r="945" spans="1:20">
      <c r="A945" t="s">
        <v>1230</v>
      </c>
      <c r="B945" t="s">
        <v>1012</v>
      </c>
      <c r="C945" t="s">
        <v>51</v>
      </c>
      <c r="D945" t="s">
        <v>1312</v>
      </c>
      <c r="E945" t="s">
        <v>2846</v>
      </c>
      <c r="F945" s="121">
        <v>20500</v>
      </c>
      <c r="G945" s="121">
        <v>20500</v>
      </c>
      <c r="H945" t="s">
        <v>458</v>
      </c>
      <c r="I945" s="156">
        <v>41894</v>
      </c>
      <c r="K945" s="153"/>
      <c r="L945" s="153"/>
      <c r="M945" s="153"/>
      <c r="N945" s="153"/>
      <c r="O945" s="153"/>
      <c r="P945" s="152"/>
      <c r="Q945" s="152"/>
      <c r="R945" s="153"/>
      <c r="S945" s="154"/>
      <c r="T945" s="115"/>
    </row>
    <row r="946" spans="1:20">
      <c r="A946" t="s">
        <v>1230</v>
      </c>
      <c r="B946" t="s">
        <v>72</v>
      </c>
      <c r="C946" t="s">
        <v>51</v>
      </c>
      <c r="D946" t="s">
        <v>1313</v>
      </c>
      <c r="E946" t="s">
        <v>2847</v>
      </c>
      <c r="F946" s="121">
        <v>2250</v>
      </c>
      <c r="G946" s="121">
        <v>2250</v>
      </c>
      <c r="H946" t="s">
        <v>396</v>
      </c>
      <c r="I946" s="156">
        <v>41936</v>
      </c>
      <c r="K946" s="153"/>
      <c r="L946" s="153"/>
      <c r="M946" s="153"/>
      <c r="N946" s="153"/>
      <c r="O946" s="153"/>
      <c r="P946" s="152"/>
      <c r="Q946" s="152"/>
      <c r="R946" s="153"/>
      <c r="S946" s="154"/>
      <c r="T946" s="115"/>
    </row>
    <row r="947" spans="1:20">
      <c r="A947" t="s">
        <v>1230</v>
      </c>
      <c r="B947" t="s">
        <v>72</v>
      </c>
      <c r="C947" t="s">
        <v>51</v>
      </c>
      <c r="D947" t="s">
        <v>1315</v>
      </c>
      <c r="E947" t="s">
        <v>2848</v>
      </c>
      <c r="F947" s="121">
        <v>11980</v>
      </c>
      <c r="G947" s="121">
        <v>11980</v>
      </c>
      <c r="H947" t="s">
        <v>517</v>
      </c>
      <c r="I947" s="156">
        <v>41935</v>
      </c>
      <c r="K947" s="153"/>
      <c r="L947" s="153"/>
      <c r="M947" s="153"/>
      <c r="N947" s="153"/>
      <c r="O947" s="153"/>
      <c r="P947" s="152"/>
      <c r="Q947" s="152"/>
      <c r="R947" s="153"/>
      <c r="S947" s="154"/>
      <c r="T947" s="115"/>
    </row>
    <row r="948" spans="1:20">
      <c r="A948" t="s">
        <v>1230</v>
      </c>
      <c r="B948" t="s">
        <v>72</v>
      </c>
      <c r="C948" t="s">
        <v>52</v>
      </c>
      <c r="D948" t="s">
        <v>1317</v>
      </c>
      <c r="E948" t="s">
        <v>2849</v>
      </c>
      <c r="F948" s="121">
        <v>7900</v>
      </c>
      <c r="G948" s="121">
        <v>7900</v>
      </c>
      <c r="H948" t="s">
        <v>2850</v>
      </c>
      <c r="I948" s="156">
        <v>41932</v>
      </c>
      <c r="K948" s="153"/>
      <c r="L948" s="153"/>
      <c r="M948" s="153"/>
      <c r="N948" s="153"/>
      <c r="O948" s="153"/>
      <c r="P948" s="152"/>
      <c r="Q948" s="152"/>
      <c r="R948" s="153"/>
      <c r="S948" s="154"/>
      <c r="T948" s="115"/>
    </row>
    <row r="949" spans="1:20">
      <c r="A949" t="s">
        <v>1230</v>
      </c>
      <c r="B949" t="s">
        <v>73</v>
      </c>
      <c r="C949" t="s">
        <v>51</v>
      </c>
      <c r="D949" t="s">
        <v>1319</v>
      </c>
      <c r="E949" t="s">
        <v>2851</v>
      </c>
      <c r="F949" s="121">
        <v>1750</v>
      </c>
      <c r="G949" s="121">
        <v>1750</v>
      </c>
      <c r="H949" t="s">
        <v>452</v>
      </c>
      <c r="I949" s="156">
        <v>41926</v>
      </c>
      <c r="K949" s="153"/>
      <c r="L949" s="153"/>
      <c r="M949" s="153"/>
      <c r="N949" s="153"/>
      <c r="O949" s="153"/>
      <c r="P949" s="152"/>
      <c r="Q949" s="152"/>
      <c r="R949" s="153"/>
      <c r="S949" s="154"/>
      <c r="T949" s="115"/>
    </row>
    <row r="950" spans="1:20">
      <c r="A950" t="s">
        <v>1230</v>
      </c>
      <c r="B950" t="s">
        <v>72</v>
      </c>
      <c r="C950" t="s">
        <v>51</v>
      </c>
      <c r="D950" t="s">
        <v>1321</v>
      </c>
      <c r="E950" t="s">
        <v>2852</v>
      </c>
      <c r="F950" s="121">
        <v>3543.44</v>
      </c>
      <c r="G950" s="121">
        <v>3543.44</v>
      </c>
      <c r="H950" t="s">
        <v>1322</v>
      </c>
      <c r="I950" s="156">
        <v>41925</v>
      </c>
      <c r="K950" s="153"/>
      <c r="L950" s="153"/>
      <c r="M950" s="153"/>
      <c r="N950" s="153"/>
      <c r="O950" s="153"/>
      <c r="P950" s="152"/>
      <c r="Q950" s="152"/>
      <c r="R950" s="153"/>
      <c r="S950" s="154"/>
      <c r="T950" s="115"/>
    </row>
    <row r="951" spans="1:20">
      <c r="A951" t="s">
        <v>1230</v>
      </c>
      <c r="B951" t="s">
        <v>1012</v>
      </c>
      <c r="C951" t="s">
        <v>51</v>
      </c>
      <c r="D951" t="s">
        <v>887</v>
      </c>
      <c r="E951" t="s">
        <v>2853</v>
      </c>
      <c r="F951" s="121">
        <v>189434.4</v>
      </c>
      <c r="G951" s="121">
        <v>189434.4</v>
      </c>
      <c r="H951" t="s">
        <v>875</v>
      </c>
      <c r="I951" s="156">
        <v>41925</v>
      </c>
      <c r="K951" s="153"/>
      <c r="L951" s="153"/>
      <c r="M951" s="153"/>
      <c r="N951" s="153"/>
      <c r="O951" s="153"/>
      <c r="P951" s="152"/>
      <c r="Q951" s="152"/>
      <c r="R951" s="153"/>
      <c r="S951" s="154"/>
      <c r="T951" s="115"/>
    </row>
    <row r="952" spans="1:20">
      <c r="A952" t="s">
        <v>1230</v>
      </c>
      <c r="B952" t="s">
        <v>73</v>
      </c>
      <c r="C952" t="s">
        <v>63</v>
      </c>
      <c r="D952" t="s">
        <v>1324</v>
      </c>
      <c r="E952" t="s">
        <v>2854</v>
      </c>
      <c r="F952" s="121">
        <v>105000</v>
      </c>
      <c r="G952" s="121">
        <v>105000</v>
      </c>
      <c r="H952" t="s">
        <v>457</v>
      </c>
      <c r="I952" s="156">
        <v>41919</v>
      </c>
      <c r="K952" s="153"/>
      <c r="L952" s="153"/>
      <c r="M952" s="153"/>
      <c r="N952" s="153"/>
      <c r="O952" s="153"/>
      <c r="P952" s="150"/>
      <c r="Q952" s="150"/>
      <c r="R952" s="153"/>
      <c r="S952" s="154"/>
      <c r="T952" s="115"/>
    </row>
    <row r="953" spans="1:20">
      <c r="A953" t="s">
        <v>1230</v>
      </c>
      <c r="B953" t="s">
        <v>76</v>
      </c>
      <c r="C953" t="s">
        <v>51</v>
      </c>
      <c r="D953" t="s">
        <v>1326</v>
      </c>
      <c r="E953" t="s">
        <v>2855</v>
      </c>
      <c r="F953" s="121">
        <v>3700</v>
      </c>
      <c r="G953" s="121">
        <v>3700</v>
      </c>
      <c r="H953" t="s">
        <v>875</v>
      </c>
      <c r="I953" s="156">
        <v>41920</v>
      </c>
      <c r="K953" s="153"/>
      <c r="L953" s="153"/>
      <c r="M953" s="153"/>
      <c r="N953" s="153"/>
      <c r="O953" s="153"/>
      <c r="P953" s="152"/>
      <c r="Q953" s="152"/>
      <c r="R953" s="153"/>
      <c r="S953" s="154"/>
      <c r="T953" s="115"/>
    </row>
    <row r="954" spans="1:20">
      <c r="A954" t="s">
        <v>1230</v>
      </c>
      <c r="B954" t="s">
        <v>76</v>
      </c>
      <c r="C954" t="s">
        <v>60</v>
      </c>
      <c r="D954" t="s">
        <v>1113</v>
      </c>
      <c r="E954" t="s">
        <v>2856</v>
      </c>
      <c r="F954" s="121">
        <v>20000</v>
      </c>
      <c r="G954" s="121">
        <v>20000</v>
      </c>
      <c r="H954" t="s">
        <v>875</v>
      </c>
      <c r="I954" s="156">
        <v>41913</v>
      </c>
      <c r="K954" s="153"/>
      <c r="L954" s="153"/>
      <c r="M954" s="153"/>
      <c r="N954" s="153"/>
      <c r="O954" s="153"/>
      <c r="P954" s="152"/>
      <c r="Q954" s="152"/>
      <c r="R954" s="153"/>
      <c r="S954" s="154"/>
      <c r="T954" s="115"/>
    </row>
    <row r="955" spans="1:20">
      <c r="A955" t="s">
        <v>1230</v>
      </c>
      <c r="B955" t="s">
        <v>74</v>
      </c>
      <c r="C955" t="s">
        <v>51</v>
      </c>
      <c r="D955" t="s">
        <v>1329</v>
      </c>
      <c r="E955" t="s">
        <v>2857</v>
      </c>
      <c r="F955" s="121">
        <v>6370</v>
      </c>
      <c r="G955" s="121">
        <v>6370</v>
      </c>
      <c r="H955" t="s">
        <v>452</v>
      </c>
      <c r="I955" s="156">
        <v>41921</v>
      </c>
      <c r="K955" s="153"/>
      <c r="L955" s="153"/>
      <c r="M955" s="153"/>
      <c r="N955" s="153"/>
      <c r="O955" s="153"/>
      <c r="P955" s="152"/>
      <c r="Q955" s="152"/>
      <c r="R955" s="153"/>
      <c r="S955" s="154"/>
      <c r="T955" s="115"/>
    </row>
    <row r="956" spans="1:20">
      <c r="A956" t="s">
        <v>1230</v>
      </c>
      <c r="B956" t="s">
        <v>74</v>
      </c>
      <c r="C956" t="s">
        <v>51</v>
      </c>
      <c r="D956" t="s">
        <v>1329</v>
      </c>
      <c r="E956" t="s">
        <v>2858</v>
      </c>
      <c r="F956" s="121">
        <v>6370</v>
      </c>
      <c r="G956" s="121">
        <v>6370</v>
      </c>
      <c r="H956" t="s">
        <v>457</v>
      </c>
      <c r="I956" s="156">
        <v>41921</v>
      </c>
      <c r="K956" s="153"/>
      <c r="L956" s="153"/>
      <c r="M956" s="153"/>
      <c r="N956" s="153"/>
      <c r="O956" s="153"/>
      <c r="P956" s="152"/>
      <c r="Q956" s="152"/>
      <c r="R956" s="153"/>
      <c r="S956" s="154"/>
      <c r="T956" s="115"/>
    </row>
    <row r="957" spans="1:20">
      <c r="A957" t="s">
        <v>1230</v>
      </c>
      <c r="B957" t="s">
        <v>72</v>
      </c>
      <c r="C957" t="s">
        <v>51</v>
      </c>
      <c r="D957" t="s">
        <v>475</v>
      </c>
      <c r="E957" t="s">
        <v>2859</v>
      </c>
      <c r="F957" s="121">
        <v>1586.67</v>
      </c>
      <c r="G957" s="121">
        <v>1586.67</v>
      </c>
      <c r="H957" t="s">
        <v>396</v>
      </c>
      <c r="I957" s="156">
        <v>41913</v>
      </c>
      <c r="K957" s="153"/>
      <c r="L957" s="153"/>
      <c r="M957" s="153"/>
      <c r="N957" s="153"/>
      <c r="O957" s="153"/>
      <c r="P957" s="152"/>
      <c r="Q957" s="152"/>
      <c r="R957" s="153"/>
      <c r="S957" s="154"/>
      <c r="T957" s="115"/>
    </row>
    <row r="958" spans="1:20">
      <c r="A958" t="s">
        <v>1230</v>
      </c>
      <c r="B958" t="s">
        <v>72</v>
      </c>
      <c r="C958" t="s">
        <v>51</v>
      </c>
      <c r="D958" t="s">
        <v>472</v>
      </c>
      <c r="E958" t="s">
        <v>2860</v>
      </c>
      <c r="F958" s="121">
        <v>1901.85</v>
      </c>
      <c r="G958" s="121">
        <v>1901.85</v>
      </c>
      <c r="H958" t="s">
        <v>396</v>
      </c>
      <c r="I958" s="156">
        <v>41913</v>
      </c>
      <c r="K958" s="153"/>
      <c r="L958" s="153"/>
      <c r="M958" s="153"/>
      <c r="N958" s="153"/>
      <c r="O958" s="153"/>
      <c r="P958" s="152"/>
      <c r="Q958" s="152"/>
      <c r="R958" s="153"/>
      <c r="S958" s="154"/>
      <c r="T958" s="115"/>
    </row>
    <row r="959" spans="1:20">
      <c r="A959" t="s">
        <v>1230</v>
      </c>
      <c r="B959" t="s">
        <v>72</v>
      </c>
      <c r="C959" t="s">
        <v>51</v>
      </c>
      <c r="D959" t="s">
        <v>472</v>
      </c>
      <c r="E959" t="s">
        <v>2861</v>
      </c>
      <c r="F959" s="121">
        <v>1901.85</v>
      </c>
      <c r="G959" s="121">
        <v>1901.85</v>
      </c>
      <c r="H959" t="s">
        <v>396</v>
      </c>
      <c r="I959" s="156">
        <v>41913</v>
      </c>
      <c r="K959" s="153"/>
      <c r="L959" s="153"/>
      <c r="M959" s="153"/>
      <c r="N959" s="153"/>
      <c r="O959" s="153"/>
      <c r="P959" s="152"/>
      <c r="Q959" s="152"/>
      <c r="R959" s="153"/>
      <c r="S959" s="154"/>
      <c r="T959" s="115"/>
    </row>
    <row r="960" spans="1:20">
      <c r="A960" t="s">
        <v>1230</v>
      </c>
      <c r="B960" t="s">
        <v>72</v>
      </c>
      <c r="C960" t="s">
        <v>51</v>
      </c>
      <c r="D960" t="s">
        <v>1331</v>
      </c>
      <c r="E960" t="s">
        <v>2862</v>
      </c>
      <c r="F960" s="121">
        <v>1173.44</v>
      </c>
      <c r="G960" s="121">
        <v>1173.44</v>
      </c>
      <c r="H960" t="s">
        <v>396</v>
      </c>
      <c r="I960" s="156">
        <v>41967</v>
      </c>
      <c r="K960" s="153"/>
      <c r="L960" s="153"/>
      <c r="M960" s="153"/>
      <c r="N960" s="153"/>
      <c r="O960" s="153"/>
      <c r="P960" s="152"/>
      <c r="Q960" s="152"/>
      <c r="R960" s="153"/>
      <c r="S960" s="154"/>
      <c r="T960" s="115"/>
    </row>
    <row r="961" spans="1:20">
      <c r="A961" t="s">
        <v>1230</v>
      </c>
      <c r="B961" t="s">
        <v>72</v>
      </c>
      <c r="C961" t="s">
        <v>51</v>
      </c>
      <c r="D961" t="s">
        <v>1333</v>
      </c>
      <c r="E961" t="s">
        <v>2863</v>
      </c>
      <c r="F961" s="121">
        <v>5500</v>
      </c>
      <c r="G961" s="121">
        <v>5500</v>
      </c>
      <c r="H961" t="s">
        <v>396</v>
      </c>
      <c r="I961" s="156">
        <v>41955</v>
      </c>
      <c r="K961" s="153"/>
      <c r="L961" s="153"/>
      <c r="M961" s="153"/>
      <c r="N961" s="153"/>
      <c r="O961" s="153"/>
      <c r="P961" s="152"/>
      <c r="Q961" s="152"/>
      <c r="R961" s="153"/>
      <c r="S961" s="154"/>
      <c r="T961" s="115"/>
    </row>
    <row r="962" spans="1:20">
      <c r="A962" t="s">
        <v>1230</v>
      </c>
      <c r="B962" t="s">
        <v>72</v>
      </c>
      <c r="C962" t="s">
        <v>51</v>
      </c>
      <c r="D962" t="s">
        <v>451</v>
      </c>
      <c r="E962" t="s">
        <v>2864</v>
      </c>
      <c r="F962" s="121">
        <v>4850</v>
      </c>
      <c r="G962" s="121">
        <v>4850</v>
      </c>
      <c r="H962" t="s">
        <v>396</v>
      </c>
      <c r="I962" s="156">
        <v>41955</v>
      </c>
      <c r="K962" s="153"/>
      <c r="L962" s="153"/>
      <c r="M962" s="153"/>
      <c r="N962" s="153"/>
      <c r="O962" s="153"/>
      <c r="P962" s="152"/>
      <c r="Q962" s="152"/>
      <c r="R962" s="153"/>
      <c r="S962" s="154"/>
      <c r="T962" s="115"/>
    </row>
    <row r="963" spans="1:20">
      <c r="A963" t="s">
        <v>1230</v>
      </c>
      <c r="B963" t="s">
        <v>72</v>
      </c>
      <c r="C963" t="s">
        <v>49</v>
      </c>
      <c r="D963" t="s">
        <v>1335</v>
      </c>
      <c r="E963" t="s">
        <v>2865</v>
      </c>
      <c r="F963" s="121">
        <v>6000</v>
      </c>
      <c r="G963" s="121">
        <v>6000</v>
      </c>
      <c r="H963" t="s">
        <v>925</v>
      </c>
      <c r="I963" s="156">
        <v>41946</v>
      </c>
      <c r="K963" s="153"/>
      <c r="L963" s="153"/>
      <c r="M963" s="153"/>
      <c r="N963" s="153"/>
      <c r="O963" s="153"/>
      <c r="P963" s="152"/>
      <c r="Q963" s="152"/>
      <c r="R963" s="153"/>
      <c r="S963" s="154"/>
      <c r="T963" s="115"/>
    </row>
    <row r="964" spans="1:20">
      <c r="A964" t="s">
        <v>1230</v>
      </c>
      <c r="B964" t="s">
        <v>1012</v>
      </c>
      <c r="C964" t="s">
        <v>51</v>
      </c>
      <c r="D964" t="s">
        <v>1337</v>
      </c>
      <c r="E964" t="s">
        <v>2866</v>
      </c>
      <c r="F964" s="121">
        <v>75000</v>
      </c>
      <c r="G964" s="121">
        <v>75000</v>
      </c>
      <c r="H964" t="s">
        <v>1338</v>
      </c>
      <c r="I964" s="156">
        <v>41992</v>
      </c>
      <c r="K964" s="153"/>
      <c r="L964" s="153"/>
      <c r="M964" s="153"/>
      <c r="N964" s="153"/>
      <c r="O964" s="153"/>
      <c r="P964" s="152"/>
      <c r="Q964" s="152"/>
      <c r="R964" s="153"/>
      <c r="S964" s="154"/>
      <c r="T964" s="115"/>
    </row>
    <row r="965" spans="1:20">
      <c r="A965" t="s">
        <v>1230</v>
      </c>
      <c r="B965" t="s">
        <v>1012</v>
      </c>
      <c r="C965" t="s">
        <v>51</v>
      </c>
      <c r="D965" t="s">
        <v>1319</v>
      </c>
      <c r="E965" t="s">
        <v>2867</v>
      </c>
      <c r="F965" s="121">
        <v>2476</v>
      </c>
      <c r="G965" s="121">
        <v>2476</v>
      </c>
      <c r="H965" t="s">
        <v>458</v>
      </c>
      <c r="I965" s="156">
        <v>41992</v>
      </c>
      <c r="K965" s="153"/>
      <c r="L965" s="153"/>
      <c r="M965" s="153"/>
      <c r="N965" s="153"/>
      <c r="O965" s="153"/>
      <c r="P965" s="152"/>
      <c r="Q965" s="152"/>
      <c r="R965" s="153"/>
      <c r="S965" s="154"/>
      <c r="T965" s="115"/>
    </row>
    <row r="966" spans="1:20">
      <c r="A966" t="s">
        <v>1230</v>
      </c>
      <c r="B966" t="s">
        <v>76</v>
      </c>
      <c r="C966" t="s">
        <v>69</v>
      </c>
      <c r="D966" t="s">
        <v>322</v>
      </c>
      <c r="E966" t="s">
        <v>2868</v>
      </c>
      <c r="F966" s="121">
        <v>145000</v>
      </c>
      <c r="G966" s="121">
        <v>145000</v>
      </c>
      <c r="H966" t="s">
        <v>875</v>
      </c>
      <c r="I966" s="156">
        <v>42023</v>
      </c>
      <c r="K966" s="153"/>
      <c r="L966" s="153"/>
      <c r="M966" s="153"/>
      <c r="N966" s="153"/>
      <c r="O966" s="153"/>
      <c r="P966" s="152"/>
      <c r="Q966" s="152"/>
      <c r="R966" s="153"/>
      <c r="S966" s="154"/>
      <c r="T966" s="115"/>
    </row>
    <row r="967" spans="1:20">
      <c r="A967" t="s">
        <v>1230</v>
      </c>
      <c r="B967" t="s">
        <v>76</v>
      </c>
      <c r="C967" t="s">
        <v>69</v>
      </c>
      <c r="D967" t="s">
        <v>318</v>
      </c>
      <c r="E967" t="s">
        <v>2869</v>
      </c>
      <c r="F967" s="121">
        <v>125000</v>
      </c>
      <c r="G967" s="121">
        <v>125000</v>
      </c>
      <c r="H967" t="s">
        <v>875</v>
      </c>
      <c r="I967" s="156">
        <v>42045.662326388891</v>
      </c>
      <c r="K967" s="153"/>
      <c r="L967" s="153"/>
      <c r="M967" s="153"/>
      <c r="N967" s="153"/>
      <c r="O967" s="153"/>
      <c r="P967" s="152"/>
      <c r="Q967" s="152"/>
      <c r="R967" s="153"/>
      <c r="S967" s="154"/>
      <c r="T967" s="115"/>
    </row>
    <row r="968" spans="1:20">
      <c r="A968" t="s">
        <v>1230</v>
      </c>
      <c r="B968" t="s">
        <v>72</v>
      </c>
      <c r="C968" t="s">
        <v>51</v>
      </c>
      <c r="D968" t="s">
        <v>2870</v>
      </c>
      <c r="E968" t="s">
        <v>2871</v>
      </c>
      <c r="F968" s="121">
        <v>12800</v>
      </c>
      <c r="G968" s="121">
        <v>12800</v>
      </c>
      <c r="H968" t="s">
        <v>396</v>
      </c>
      <c r="I968" s="156">
        <v>42023</v>
      </c>
      <c r="K968" s="153"/>
      <c r="L968" s="153"/>
      <c r="M968" s="153"/>
      <c r="N968" s="153"/>
      <c r="O968" s="153"/>
      <c r="P968" s="152"/>
      <c r="Q968" s="152"/>
      <c r="R968" s="153"/>
      <c r="S968" s="154"/>
      <c r="T968" s="115"/>
    </row>
    <row r="969" spans="1:20">
      <c r="A969" t="s">
        <v>1230</v>
      </c>
      <c r="B969" t="s">
        <v>76</v>
      </c>
      <c r="C969" t="s">
        <v>51</v>
      </c>
      <c r="D969" t="s">
        <v>2872</v>
      </c>
      <c r="E969" t="s">
        <v>2873</v>
      </c>
      <c r="F969" s="121">
        <v>1450</v>
      </c>
      <c r="G969" s="121">
        <v>1450</v>
      </c>
      <c r="H969" t="s">
        <v>875</v>
      </c>
      <c r="I969" s="156">
        <v>42061.371562499997</v>
      </c>
      <c r="K969" s="153"/>
      <c r="L969" s="153"/>
      <c r="M969" s="153"/>
      <c r="N969" s="153"/>
      <c r="O969" s="153"/>
      <c r="P969" s="152"/>
      <c r="Q969" s="152"/>
      <c r="R969" s="153"/>
      <c r="S969" s="154"/>
      <c r="T969" s="115"/>
    </row>
    <row r="970" spans="1:20">
      <c r="A970" t="s">
        <v>1230</v>
      </c>
      <c r="B970" t="s">
        <v>1012</v>
      </c>
      <c r="C970" t="s">
        <v>51</v>
      </c>
      <c r="D970" t="s">
        <v>2874</v>
      </c>
      <c r="E970" t="s">
        <v>2875</v>
      </c>
      <c r="F970" s="121">
        <v>250000</v>
      </c>
      <c r="G970" s="121">
        <v>250000</v>
      </c>
      <c r="H970" t="s">
        <v>2876</v>
      </c>
      <c r="I970" s="156">
        <v>42065.488368055558</v>
      </c>
      <c r="K970" s="153"/>
      <c r="L970" s="153"/>
      <c r="M970" s="153"/>
      <c r="N970" s="153"/>
      <c r="O970" s="153"/>
      <c r="P970" s="152"/>
      <c r="Q970" s="152"/>
      <c r="R970" s="153"/>
      <c r="S970" s="154"/>
      <c r="T970" s="115"/>
    </row>
    <row r="971" spans="1:20">
      <c r="A971" t="s">
        <v>1230</v>
      </c>
      <c r="B971" t="s">
        <v>73</v>
      </c>
      <c r="C971" t="s">
        <v>66</v>
      </c>
      <c r="D971" t="s">
        <v>2877</v>
      </c>
      <c r="E971" t="s">
        <v>2878</v>
      </c>
      <c r="F971" s="121">
        <v>165000</v>
      </c>
      <c r="G971" s="121">
        <v>165000</v>
      </c>
      <c r="H971" t="s">
        <v>7038</v>
      </c>
      <c r="I971" s="156">
        <v>42065.468402777777</v>
      </c>
      <c r="K971" s="153"/>
      <c r="L971" s="153"/>
      <c r="M971" s="153"/>
      <c r="N971" s="153"/>
      <c r="O971" s="153"/>
      <c r="P971" s="152"/>
      <c r="Q971" s="152"/>
      <c r="R971" s="153"/>
      <c r="S971" s="154"/>
      <c r="T971" s="115"/>
    </row>
    <row r="972" spans="1:20">
      <c r="A972" t="s">
        <v>1230</v>
      </c>
      <c r="B972" t="s">
        <v>73</v>
      </c>
      <c r="C972" t="s">
        <v>66</v>
      </c>
      <c r="D972" t="s">
        <v>2877</v>
      </c>
      <c r="E972" t="s">
        <v>2879</v>
      </c>
      <c r="F972" s="121">
        <v>165000</v>
      </c>
      <c r="G972" s="121">
        <v>165000</v>
      </c>
      <c r="H972" t="s">
        <v>7039</v>
      </c>
      <c r="I972" s="156">
        <v>42065.453425925924</v>
      </c>
      <c r="K972" s="153"/>
      <c r="L972" s="153"/>
      <c r="M972" s="153"/>
      <c r="N972" s="153"/>
      <c r="O972" s="153"/>
      <c r="P972" s="152"/>
      <c r="Q972" s="152"/>
      <c r="R972" s="153"/>
      <c r="S972" s="154"/>
      <c r="T972" s="115"/>
    </row>
    <row r="973" spans="1:20">
      <c r="A973" t="s">
        <v>1230</v>
      </c>
      <c r="B973" t="s">
        <v>73</v>
      </c>
      <c r="C973" t="s">
        <v>69</v>
      </c>
      <c r="D973" t="s">
        <v>2880</v>
      </c>
      <c r="E973" t="s">
        <v>2881</v>
      </c>
      <c r="F973" s="121">
        <v>93000</v>
      </c>
      <c r="G973" s="121">
        <v>93000</v>
      </c>
      <c r="H973" t="s">
        <v>4471</v>
      </c>
      <c r="I973" s="156">
        <v>42041.623483796298</v>
      </c>
      <c r="K973" s="153"/>
      <c r="L973" s="153"/>
      <c r="M973" s="153"/>
      <c r="N973" s="153"/>
      <c r="O973" s="153"/>
      <c r="P973" s="152"/>
      <c r="Q973" s="152"/>
      <c r="R973" s="153"/>
      <c r="S973" s="154"/>
      <c r="T973" s="115"/>
    </row>
    <row r="974" spans="1:20">
      <c r="A974" t="s">
        <v>1230</v>
      </c>
      <c r="B974" t="s">
        <v>74</v>
      </c>
      <c r="C974" t="s">
        <v>51</v>
      </c>
      <c r="D974" t="s">
        <v>2870</v>
      </c>
      <c r="E974" t="s">
        <v>2882</v>
      </c>
      <c r="F974" s="121">
        <v>12800</v>
      </c>
      <c r="G974" s="121">
        <v>12800</v>
      </c>
      <c r="H974" t="s">
        <v>452</v>
      </c>
      <c r="I974" s="156">
        <v>42044.676030092596</v>
      </c>
      <c r="K974" s="153"/>
      <c r="L974" s="153"/>
      <c r="M974" s="153"/>
      <c r="N974" s="153"/>
      <c r="O974" s="153"/>
      <c r="P974" s="152"/>
      <c r="Q974" s="152"/>
      <c r="R974" s="153"/>
      <c r="S974" s="154"/>
      <c r="T974" s="115"/>
    </row>
    <row r="975" spans="1:20">
      <c r="A975" t="s">
        <v>1230</v>
      </c>
      <c r="B975" t="s">
        <v>73</v>
      </c>
      <c r="C975" t="s">
        <v>69</v>
      </c>
      <c r="D975" t="s">
        <v>4506</v>
      </c>
      <c r="E975" t="s">
        <v>4507</v>
      </c>
      <c r="F975" s="121">
        <v>62512.45</v>
      </c>
      <c r="G975" s="121">
        <v>62512.45</v>
      </c>
      <c r="H975" t="s">
        <v>6817</v>
      </c>
      <c r="I975" s="156">
        <v>42094.608622685184</v>
      </c>
      <c r="K975" s="153"/>
      <c r="L975" s="153"/>
      <c r="M975" s="153"/>
      <c r="N975" s="153"/>
      <c r="O975" s="153"/>
      <c r="P975" s="150"/>
      <c r="Q975" s="150"/>
      <c r="R975" s="153"/>
      <c r="S975" s="154"/>
      <c r="T975" s="115"/>
    </row>
    <row r="976" spans="1:20">
      <c r="A976" t="s">
        <v>1230</v>
      </c>
      <c r="B976" t="s">
        <v>73</v>
      </c>
      <c r="C976" t="s">
        <v>69</v>
      </c>
      <c r="D976" t="s">
        <v>4472</v>
      </c>
      <c r="E976" t="s">
        <v>4473</v>
      </c>
      <c r="F976" s="121">
        <v>70643.3</v>
      </c>
      <c r="G976" s="121">
        <v>70643.3</v>
      </c>
      <c r="H976" t="s">
        <v>6818</v>
      </c>
      <c r="I976" s="156">
        <v>42094.472256944442</v>
      </c>
      <c r="K976" s="153"/>
      <c r="L976" s="153"/>
      <c r="M976" s="153"/>
      <c r="N976" s="153"/>
      <c r="O976" s="153"/>
      <c r="P976" s="152"/>
      <c r="Q976" s="152"/>
      <c r="R976" s="153"/>
      <c r="S976" s="154"/>
      <c r="T976" s="115"/>
    </row>
    <row r="977" spans="1:20">
      <c r="A977" t="s">
        <v>1230</v>
      </c>
      <c r="B977" t="s">
        <v>1012</v>
      </c>
      <c r="C977" t="s">
        <v>51</v>
      </c>
      <c r="D977" t="s">
        <v>4474</v>
      </c>
      <c r="E977" t="s">
        <v>4475</v>
      </c>
      <c r="F977" s="121">
        <v>17000</v>
      </c>
      <c r="G977" s="121">
        <v>17000</v>
      </c>
      <c r="H977" t="s">
        <v>4476</v>
      </c>
      <c r="I977" s="156">
        <v>42067.592650462961</v>
      </c>
      <c r="K977" s="153"/>
      <c r="L977" s="153"/>
      <c r="M977" s="153"/>
      <c r="N977" s="153"/>
      <c r="O977" s="153"/>
      <c r="P977" s="152"/>
      <c r="Q977" s="152"/>
      <c r="R977" s="153"/>
      <c r="S977" s="154"/>
      <c r="T977" s="115"/>
    </row>
    <row r="978" spans="1:20">
      <c r="A978" t="s">
        <v>1230</v>
      </c>
      <c r="B978" t="s">
        <v>76</v>
      </c>
      <c r="C978" t="s">
        <v>39</v>
      </c>
      <c r="D978" t="s">
        <v>4477</v>
      </c>
      <c r="E978" t="s">
        <v>4478</v>
      </c>
      <c r="F978" s="121">
        <v>6500</v>
      </c>
      <c r="G978" s="121">
        <v>6500</v>
      </c>
      <c r="H978" t="s">
        <v>4479</v>
      </c>
      <c r="I978" s="156">
        <v>42068.441180555557</v>
      </c>
      <c r="K978" s="153"/>
      <c r="L978" s="153"/>
      <c r="M978" s="153"/>
      <c r="N978" s="153"/>
      <c r="O978" s="153"/>
      <c r="P978" s="152"/>
      <c r="Q978" s="152"/>
      <c r="R978" s="153"/>
      <c r="S978" s="154"/>
      <c r="T978" s="115"/>
    </row>
    <row r="979" spans="1:20">
      <c r="A979" t="s">
        <v>1230</v>
      </c>
      <c r="B979" t="s">
        <v>72</v>
      </c>
      <c r="C979" t="s">
        <v>51</v>
      </c>
      <c r="D979" t="s">
        <v>5039</v>
      </c>
      <c r="E979" t="s">
        <v>5040</v>
      </c>
      <c r="F979" s="121">
        <v>2400</v>
      </c>
      <c r="G979" s="121">
        <v>2400</v>
      </c>
      <c r="H979" t="s">
        <v>396</v>
      </c>
      <c r="I979" s="156">
        <v>42046.481574074074</v>
      </c>
      <c r="K979" s="153"/>
      <c r="L979" s="153"/>
      <c r="M979" s="153"/>
      <c r="N979" s="153"/>
      <c r="O979" s="153"/>
      <c r="P979" s="152"/>
      <c r="Q979" s="152"/>
      <c r="R979" s="153"/>
      <c r="S979" s="154"/>
      <c r="T979" s="115"/>
    </row>
    <row r="980" spans="1:20">
      <c r="A980" t="s">
        <v>1230</v>
      </c>
      <c r="B980" t="s">
        <v>74</v>
      </c>
      <c r="C980" t="s">
        <v>51</v>
      </c>
      <c r="D980" t="s">
        <v>468</v>
      </c>
      <c r="E980" t="s">
        <v>5041</v>
      </c>
      <c r="F980" s="121">
        <v>9000</v>
      </c>
      <c r="G980" s="121">
        <v>9000</v>
      </c>
      <c r="H980" t="s">
        <v>452</v>
      </c>
      <c r="I980" s="156">
        <v>42019</v>
      </c>
      <c r="K980" s="153"/>
      <c r="L980" s="153"/>
      <c r="M980" s="153"/>
      <c r="N980" s="153"/>
      <c r="O980" s="153"/>
      <c r="P980" s="152"/>
      <c r="Q980" s="152"/>
      <c r="R980" s="153"/>
      <c r="S980" s="154"/>
      <c r="T980" s="115"/>
    </row>
    <row r="981" spans="1:20">
      <c r="A981" t="s">
        <v>1230</v>
      </c>
      <c r="B981" t="s">
        <v>72</v>
      </c>
      <c r="C981" t="s">
        <v>58</v>
      </c>
      <c r="D981" t="s">
        <v>5342</v>
      </c>
      <c r="E981" t="s">
        <v>5343</v>
      </c>
      <c r="F981" s="121">
        <v>345000</v>
      </c>
      <c r="G981" s="121">
        <v>345000</v>
      </c>
      <c r="H981" t="s">
        <v>2791</v>
      </c>
      <c r="I981" s="156">
        <v>42152.595509259256</v>
      </c>
      <c r="K981" s="153"/>
      <c r="L981" s="153"/>
      <c r="M981" s="153"/>
      <c r="N981" s="153"/>
      <c r="O981" s="153"/>
      <c r="P981" s="152"/>
      <c r="Q981" s="152"/>
      <c r="R981" s="153"/>
      <c r="S981" s="154"/>
      <c r="T981" s="115"/>
    </row>
    <row r="982" spans="1:20">
      <c r="A982" t="s">
        <v>1230</v>
      </c>
      <c r="B982" t="s">
        <v>72</v>
      </c>
      <c r="C982" t="s">
        <v>42</v>
      </c>
      <c r="D982" t="s">
        <v>1278</v>
      </c>
      <c r="E982" t="s">
        <v>5344</v>
      </c>
      <c r="F982" s="121">
        <v>492386.46</v>
      </c>
      <c r="G982" s="121">
        <v>492386.46</v>
      </c>
      <c r="H982" t="s">
        <v>2783</v>
      </c>
      <c r="I982" s="156">
        <v>42152.593449074076</v>
      </c>
      <c r="K982" s="153"/>
      <c r="L982" s="153"/>
      <c r="M982" s="153"/>
      <c r="N982" s="153"/>
      <c r="O982" s="153"/>
      <c r="P982" s="152"/>
      <c r="Q982" s="152"/>
      <c r="R982" s="153"/>
      <c r="S982" s="154"/>
      <c r="T982" s="115"/>
    </row>
    <row r="983" spans="1:20">
      <c r="A983" t="s">
        <v>1230</v>
      </c>
      <c r="B983" t="s">
        <v>72</v>
      </c>
      <c r="C983" t="s">
        <v>42</v>
      </c>
      <c r="D983" t="s">
        <v>1278</v>
      </c>
      <c r="E983" t="s">
        <v>5345</v>
      </c>
      <c r="F983" s="121">
        <v>492386.46</v>
      </c>
      <c r="G983" s="121">
        <v>492386.46</v>
      </c>
      <c r="H983" t="s">
        <v>2782</v>
      </c>
      <c r="I983" s="156">
        <v>42152.592141203706</v>
      </c>
      <c r="K983" s="153"/>
      <c r="L983" s="153"/>
      <c r="M983" s="153"/>
      <c r="N983" s="153"/>
      <c r="O983" s="153"/>
      <c r="P983" s="152"/>
      <c r="Q983" s="152"/>
      <c r="R983" s="153"/>
      <c r="S983" s="154"/>
      <c r="T983" s="115"/>
    </row>
    <row r="984" spans="1:20">
      <c r="A984" t="s">
        <v>1230</v>
      </c>
      <c r="B984" t="s">
        <v>72</v>
      </c>
      <c r="C984" t="s">
        <v>42</v>
      </c>
      <c r="D984" t="s">
        <v>1278</v>
      </c>
      <c r="E984" t="s">
        <v>5346</v>
      </c>
      <c r="F984" s="121">
        <v>492386.46</v>
      </c>
      <c r="G984" s="121">
        <v>492386.46</v>
      </c>
      <c r="H984" t="s">
        <v>2784</v>
      </c>
      <c r="I984" s="156">
        <v>42152.589212962965</v>
      </c>
      <c r="K984" s="153"/>
      <c r="L984" s="153"/>
      <c r="M984" s="153"/>
      <c r="N984" s="153"/>
      <c r="O984" s="153"/>
      <c r="P984" s="152"/>
      <c r="Q984" s="152"/>
      <c r="R984" s="153"/>
      <c r="S984" s="154"/>
      <c r="T984" s="115"/>
    </row>
    <row r="985" spans="1:20">
      <c r="A985" t="s">
        <v>1230</v>
      </c>
      <c r="B985" t="s">
        <v>72</v>
      </c>
      <c r="C985" t="s">
        <v>59</v>
      </c>
      <c r="D985" t="s">
        <v>232</v>
      </c>
      <c r="E985" t="s">
        <v>5347</v>
      </c>
      <c r="F985" s="121">
        <v>62613.54</v>
      </c>
      <c r="G985" s="121">
        <v>62613.54</v>
      </c>
      <c r="H985" t="s">
        <v>2795</v>
      </c>
      <c r="I985" s="156">
        <v>42152.593449074076</v>
      </c>
      <c r="K985" s="153"/>
      <c r="L985" s="153"/>
      <c r="M985" s="153"/>
      <c r="N985" s="153"/>
      <c r="O985" s="153"/>
      <c r="P985" s="152"/>
      <c r="Q985" s="152"/>
      <c r="R985" s="153"/>
      <c r="S985" s="154"/>
      <c r="T985" s="115"/>
    </row>
    <row r="986" spans="1:20">
      <c r="A986" t="s">
        <v>1230</v>
      </c>
      <c r="B986" t="s">
        <v>72</v>
      </c>
      <c r="C986" t="s">
        <v>59</v>
      </c>
      <c r="D986" t="s">
        <v>232</v>
      </c>
      <c r="E986" t="s">
        <v>5348</v>
      </c>
      <c r="F986" s="121">
        <v>62613.54</v>
      </c>
      <c r="G986" s="121">
        <v>62613.54</v>
      </c>
      <c r="H986" t="s">
        <v>2794</v>
      </c>
      <c r="I986" s="156">
        <v>42152.592141203706</v>
      </c>
      <c r="K986" s="153"/>
      <c r="L986" s="153"/>
      <c r="M986" s="153"/>
      <c r="N986" s="153"/>
      <c r="O986" s="153"/>
      <c r="P986" s="152"/>
      <c r="Q986" s="152"/>
      <c r="R986" s="153"/>
      <c r="S986" s="154"/>
      <c r="T986" s="115"/>
    </row>
    <row r="987" spans="1:20">
      <c r="A987" t="s">
        <v>1230</v>
      </c>
      <c r="B987" t="s">
        <v>72</v>
      </c>
      <c r="C987" t="s">
        <v>59</v>
      </c>
      <c r="D987" t="s">
        <v>232</v>
      </c>
      <c r="E987" t="s">
        <v>5349</v>
      </c>
      <c r="F987" s="121">
        <v>62613.54</v>
      </c>
      <c r="G987" s="121">
        <v>62613.54</v>
      </c>
      <c r="H987" t="s">
        <v>2796</v>
      </c>
      <c r="I987" s="156">
        <v>42152.589212962965</v>
      </c>
      <c r="K987" s="153"/>
      <c r="L987" s="153"/>
      <c r="M987" s="153"/>
      <c r="N987" s="153"/>
      <c r="O987" s="153"/>
      <c r="P987" s="152"/>
      <c r="Q987" s="152"/>
      <c r="R987" s="153"/>
      <c r="S987" s="154"/>
      <c r="T987" s="115"/>
    </row>
    <row r="988" spans="1:20">
      <c r="A988" t="s">
        <v>1230</v>
      </c>
      <c r="B988" t="s">
        <v>73</v>
      </c>
      <c r="C988" t="s">
        <v>42</v>
      </c>
      <c r="D988" t="s">
        <v>1278</v>
      </c>
      <c r="E988" t="s">
        <v>5350</v>
      </c>
      <c r="F988" s="121">
        <v>508980.38</v>
      </c>
      <c r="G988" s="121">
        <v>508980.38</v>
      </c>
      <c r="H988" t="s">
        <v>457</v>
      </c>
      <c r="I988" s="156">
        <v>42150.344270833331</v>
      </c>
      <c r="K988" s="153"/>
      <c r="L988" s="153"/>
      <c r="M988" s="153"/>
      <c r="N988" s="153"/>
      <c r="O988" s="153"/>
      <c r="P988" s="152"/>
      <c r="Q988" s="152"/>
      <c r="R988" s="153"/>
      <c r="S988" s="154"/>
      <c r="T988" s="115"/>
    </row>
    <row r="989" spans="1:20">
      <c r="A989" t="s">
        <v>1230</v>
      </c>
      <c r="B989" t="s">
        <v>73</v>
      </c>
      <c r="C989" t="s">
        <v>59</v>
      </c>
      <c r="D989" t="s">
        <v>232</v>
      </c>
      <c r="E989" t="s">
        <v>5351</v>
      </c>
      <c r="F989" s="121">
        <v>62019.62</v>
      </c>
      <c r="G989" s="121">
        <v>62019.62</v>
      </c>
      <c r="H989" t="s">
        <v>457</v>
      </c>
      <c r="I989" s="156">
        <v>42150.344270833331</v>
      </c>
      <c r="K989" s="153"/>
      <c r="L989" s="153"/>
      <c r="M989" s="153"/>
      <c r="N989" s="153"/>
      <c r="O989" s="153"/>
      <c r="P989" s="152"/>
      <c r="Q989" s="152"/>
      <c r="R989" s="153"/>
      <c r="S989" s="154"/>
      <c r="T989" s="115"/>
    </row>
    <row r="990" spans="1:20">
      <c r="A990" t="s">
        <v>1230</v>
      </c>
      <c r="B990" t="s">
        <v>73</v>
      </c>
      <c r="C990" t="s">
        <v>42</v>
      </c>
      <c r="D990" t="s">
        <v>1278</v>
      </c>
      <c r="E990" t="s">
        <v>5352</v>
      </c>
      <c r="F990" s="121">
        <v>508980.38</v>
      </c>
      <c r="G990" s="121">
        <v>508980.38</v>
      </c>
      <c r="H990" t="s">
        <v>457</v>
      </c>
      <c r="I990" s="156">
        <v>42150.35050925926</v>
      </c>
      <c r="K990" s="153"/>
      <c r="L990" s="153"/>
      <c r="M990" s="153"/>
      <c r="N990" s="153"/>
      <c r="O990" s="153"/>
      <c r="P990" s="152"/>
      <c r="Q990" s="152"/>
      <c r="R990" s="153"/>
      <c r="S990" s="154"/>
      <c r="T990" s="115"/>
    </row>
    <row r="991" spans="1:20">
      <c r="A991" t="s">
        <v>1230</v>
      </c>
      <c r="B991" t="s">
        <v>73</v>
      </c>
      <c r="C991" t="s">
        <v>59</v>
      </c>
      <c r="D991" t="s">
        <v>232</v>
      </c>
      <c r="E991" t="s">
        <v>5353</v>
      </c>
      <c r="F991" s="121">
        <v>62019.62</v>
      </c>
      <c r="G991" s="121">
        <v>62019.62</v>
      </c>
      <c r="H991" t="s">
        <v>457</v>
      </c>
      <c r="I991" s="156">
        <v>42150.35050925926</v>
      </c>
      <c r="K991" s="153"/>
      <c r="L991" s="153"/>
      <c r="M991" s="153"/>
      <c r="N991" s="153"/>
      <c r="O991" s="153"/>
      <c r="P991" s="152"/>
      <c r="Q991" s="152"/>
      <c r="R991" s="153"/>
      <c r="S991" s="154"/>
      <c r="T991" s="115"/>
    </row>
    <row r="992" spans="1:20">
      <c r="A992" t="s">
        <v>1230</v>
      </c>
      <c r="B992" t="s">
        <v>73</v>
      </c>
      <c r="C992" t="s">
        <v>42</v>
      </c>
      <c r="D992" t="s">
        <v>1278</v>
      </c>
      <c r="E992" t="s">
        <v>5354</v>
      </c>
      <c r="F992" s="121">
        <v>511198.43</v>
      </c>
      <c r="G992" s="121">
        <v>511198.43</v>
      </c>
      <c r="H992" t="s">
        <v>457</v>
      </c>
      <c r="I992" s="156">
        <v>42150.341678240744</v>
      </c>
      <c r="K992" s="153"/>
      <c r="L992" s="153"/>
      <c r="M992" s="153"/>
      <c r="N992" s="153"/>
      <c r="O992" s="153"/>
      <c r="P992" s="152"/>
      <c r="Q992" s="152"/>
      <c r="R992" s="153"/>
      <c r="S992" s="154"/>
      <c r="T992" s="115"/>
    </row>
    <row r="993" spans="1:20">
      <c r="A993" t="s">
        <v>1230</v>
      </c>
      <c r="B993" t="s">
        <v>73</v>
      </c>
      <c r="C993" t="s">
        <v>59</v>
      </c>
      <c r="D993" t="s">
        <v>232</v>
      </c>
      <c r="E993" t="s">
        <v>5355</v>
      </c>
      <c r="F993" s="121">
        <v>62301.57</v>
      </c>
      <c r="G993" s="121">
        <v>62301.57</v>
      </c>
      <c r="H993" t="s">
        <v>457</v>
      </c>
      <c r="I993" s="156">
        <v>42150.341678240744</v>
      </c>
      <c r="K993" s="153"/>
      <c r="L993" s="153"/>
      <c r="M993" s="153"/>
      <c r="N993" s="153"/>
      <c r="O993" s="153"/>
      <c r="P993" s="152"/>
      <c r="Q993" s="152"/>
      <c r="R993" s="153"/>
      <c r="S993" s="154"/>
      <c r="T993" s="115"/>
    </row>
    <row r="994" spans="1:20">
      <c r="A994" t="s">
        <v>1230</v>
      </c>
      <c r="B994" t="s">
        <v>73</v>
      </c>
      <c r="C994" t="s">
        <v>42</v>
      </c>
      <c r="D994" t="s">
        <v>1278</v>
      </c>
      <c r="E994" t="s">
        <v>5356</v>
      </c>
      <c r="F994" s="121">
        <v>508980.38</v>
      </c>
      <c r="G994" s="121">
        <v>508980.38</v>
      </c>
      <c r="H994" t="s">
        <v>457</v>
      </c>
      <c r="I994" s="156">
        <v>42153.585613425923</v>
      </c>
      <c r="K994" s="153"/>
      <c r="L994" s="153"/>
      <c r="M994" s="153"/>
      <c r="N994" s="153"/>
      <c r="O994" s="153"/>
      <c r="P994" s="152"/>
      <c r="Q994" s="152"/>
      <c r="R994" s="153"/>
      <c r="S994" s="154"/>
      <c r="T994" s="115"/>
    </row>
    <row r="995" spans="1:20">
      <c r="A995" t="s">
        <v>1230</v>
      </c>
      <c r="B995" t="s">
        <v>73</v>
      </c>
      <c r="C995" t="s">
        <v>59</v>
      </c>
      <c r="D995" t="s">
        <v>232</v>
      </c>
      <c r="E995" t="s">
        <v>5357</v>
      </c>
      <c r="F995" s="121">
        <v>62019.62</v>
      </c>
      <c r="G995" s="121">
        <v>62019.62</v>
      </c>
      <c r="H995" t="s">
        <v>457</v>
      </c>
      <c r="I995" s="156">
        <v>42153.585613425923</v>
      </c>
      <c r="K995" s="153"/>
      <c r="L995" s="153"/>
      <c r="M995" s="153"/>
      <c r="N995" s="153"/>
      <c r="O995" s="153"/>
      <c r="P995" s="152"/>
      <c r="Q995" s="152"/>
      <c r="R995" s="153"/>
      <c r="S995" s="154"/>
      <c r="T995" s="115"/>
    </row>
    <row r="996" spans="1:20">
      <c r="A996" t="s">
        <v>1230</v>
      </c>
      <c r="B996" t="s">
        <v>73</v>
      </c>
      <c r="C996" t="s">
        <v>42</v>
      </c>
      <c r="D996" t="s">
        <v>1278</v>
      </c>
      <c r="E996" t="s">
        <v>5358</v>
      </c>
      <c r="F996" s="121">
        <v>508980.38</v>
      </c>
      <c r="G996" s="121">
        <v>508980.38</v>
      </c>
      <c r="H996" t="s">
        <v>875</v>
      </c>
      <c r="I996" s="156">
        <v>42149.713773148149</v>
      </c>
      <c r="K996" s="153"/>
      <c r="L996" s="153"/>
      <c r="M996" s="153"/>
      <c r="N996" s="153"/>
      <c r="O996" s="153"/>
      <c r="P996" s="152"/>
      <c r="Q996" s="152"/>
      <c r="R996" s="153"/>
      <c r="S996" s="154"/>
      <c r="T996" s="115"/>
    </row>
    <row r="997" spans="1:20">
      <c r="A997" t="s">
        <v>1230</v>
      </c>
      <c r="B997" t="s">
        <v>73</v>
      </c>
      <c r="C997" t="s">
        <v>59</v>
      </c>
      <c r="D997" t="s">
        <v>232</v>
      </c>
      <c r="E997" t="s">
        <v>5359</v>
      </c>
      <c r="F997" s="121">
        <v>62019.62</v>
      </c>
      <c r="G997" s="121">
        <v>62019.62</v>
      </c>
      <c r="H997" t="s">
        <v>875</v>
      </c>
      <c r="I997" s="156">
        <v>42149.713773148149</v>
      </c>
      <c r="K997" s="153"/>
      <c r="L997" s="153"/>
      <c r="M997" s="153"/>
      <c r="N997" s="153"/>
      <c r="O997" s="153"/>
      <c r="P997" s="152"/>
      <c r="Q997" s="152"/>
      <c r="R997" s="153"/>
      <c r="S997" s="154"/>
      <c r="T997" s="115"/>
    </row>
    <row r="998" spans="1:20">
      <c r="A998" t="s">
        <v>1230</v>
      </c>
      <c r="B998" t="s">
        <v>73</v>
      </c>
      <c r="C998" t="s">
        <v>42</v>
      </c>
      <c r="D998" t="s">
        <v>1278</v>
      </c>
      <c r="E998" t="s">
        <v>5360</v>
      </c>
      <c r="F998" s="121">
        <v>508980.38</v>
      </c>
      <c r="G998" s="121">
        <v>508980.38</v>
      </c>
      <c r="H998" t="s">
        <v>875</v>
      </c>
      <c r="I998" s="156">
        <v>42150.338634259257</v>
      </c>
      <c r="K998" s="153"/>
      <c r="L998" s="153"/>
      <c r="M998" s="153"/>
      <c r="N998" s="153"/>
      <c r="O998" s="153"/>
      <c r="P998" s="152"/>
      <c r="Q998" s="152"/>
      <c r="R998" s="153"/>
      <c r="S998" s="154"/>
      <c r="T998" s="115"/>
    </row>
    <row r="999" spans="1:20">
      <c r="A999" t="s">
        <v>1230</v>
      </c>
      <c r="B999" t="s">
        <v>73</v>
      </c>
      <c r="C999" t="s">
        <v>59</v>
      </c>
      <c r="D999" t="s">
        <v>232</v>
      </c>
      <c r="E999" t="s">
        <v>5361</v>
      </c>
      <c r="F999" s="121">
        <v>62019.62</v>
      </c>
      <c r="G999" s="121">
        <v>62019.62</v>
      </c>
      <c r="H999" t="s">
        <v>875</v>
      </c>
      <c r="I999" s="156">
        <v>42150.338634259257</v>
      </c>
      <c r="K999" s="153"/>
      <c r="L999" s="153"/>
      <c r="M999" s="153"/>
      <c r="N999" s="153"/>
      <c r="O999" s="153"/>
      <c r="P999" s="152"/>
      <c r="Q999" s="152"/>
      <c r="R999" s="153"/>
      <c r="S999" s="154"/>
      <c r="T999" s="115"/>
    </row>
    <row r="1000" spans="1:20">
      <c r="A1000" t="s">
        <v>1230</v>
      </c>
      <c r="B1000" t="s">
        <v>73</v>
      </c>
      <c r="C1000" t="s">
        <v>42</v>
      </c>
      <c r="D1000" t="s">
        <v>1278</v>
      </c>
      <c r="E1000" t="s">
        <v>5362</v>
      </c>
      <c r="F1000" s="121">
        <v>508980.38</v>
      </c>
      <c r="G1000" s="121">
        <v>508980.38</v>
      </c>
      <c r="H1000" t="s">
        <v>457</v>
      </c>
      <c r="I1000" s="156">
        <v>42153.57640046296</v>
      </c>
      <c r="K1000" s="153"/>
      <c r="L1000" s="153"/>
      <c r="M1000" s="153"/>
      <c r="N1000" s="153"/>
      <c r="O1000" s="153"/>
      <c r="P1000" s="152"/>
      <c r="Q1000" s="152"/>
      <c r="R1000" s="153"/>
      <c r="S1000" s="154"/>
      <c r="T1000" s="115"/>
    </row>
    <row r="1001" spans="1:20">
      <c r="A1001" t="s">
        <v>1230</v>
      </c>
      <c r="B1001" t="s">
        <v>73</v>
      </c>
      <c r="C1001" t="s">
        <v>59</v>
      </c>
      <c r="D1001" t="s">
        <v>232</v>
      </c>
      <c r="E1001" t="s">
        <v>5363</v>
      </c>
      <c r="F1001" s="121">
        <v>62019.62</v>
      </c>
      <c r="G1001" s="121">
        <v>62019.62</v>
      </c>
      <c r="H1001" t="s">
        <v>457</v>
      </c>
      <c r="I1001" s="156">
        <v>42153.57640046296</v>
      </c>
      <c r="K1001" s="153"/>
      <c r="L1001" s="153"/>
      <c r="M1001" s="153"/>
      <c r="N1001" s="153"/>
      <c r="O1001" s="153"/>
      <c r="P1001" s="152"/>
      <c r="Q1001" s="152"/>
      <c r="R1001" s="153"/>
      <c r="S1001" s="154"/>
      <c r="T1001" s="115"/>
    </row>
    <row r="1002" spans="1:20">
      <c r="A1002" t="s">
        <v>1230</v>
      </c>
      <c r="B1002" t="s">
        <v>73</v>
      </c>
      <c r="C1002" t="s">
        <v>42</v>
      </c>
      <c r="D1002" t="s">
        <v>1278</v>
      </c>
      <c r="E1002" t="s">
        <v>5364</v>
      </c>
      <c r="F1002" s="121">
        <v>508980.38</v>
      </c>
      <c r="G1002" s="121">
        <v>508980.38</v>
      </c>
      <c r="H1002" t="s">
        <v>457</v>
      </c>
      <c r="I1002" s="156">
        <v>42149.720682870371</v>
      </c>
      <c r="K1002" s="153"/>
      <c r="L1002" s="153"/>
      <c r="M1002" s="153"/>
      <c r="N1002" s="153"/>
      <c r="O1002" s="153"/>
      <c r="P1002" s="152"/>
      <c r="Q1002" s="152"/>
      <c r="R1002" s="153"/>
      <c r="S1002" s="154"/>
      <c r="T1002" s="115"/>
    </row>
    <row r="1003" spans="1:20">
      <c r="A1003" t="s">
        <v>1230</v>
      </c>
      <c r="B1003" t="s">
        <v>73</v>
      </c>
      <c r="C1003" t="s">
        <v>59</v>
      </c>
      <c r="D1003" t="s">
        <v>232</v>
      </c>
      <c r="E1003" t="s">
        <v>5365</v>
      </c>
      <c r="F1003" s="121">
        <v>62019.62</v>
      </c>
      <c r="G1003" s="121">
        <v>62019.62</v>
      </c>
      <c r="H1003" t="s">
        <v>457</v>
      </c>
      <c r="I1003" s="156">
        <v>42149.720682870371</v>
      </c>
      <c r="K1003" s="153"/>
      <c r="L1003" s="153"/>
      <c r="M1003" s="153"/>
      <c r="N1003" s="153"/>
      <c r="O1003" s="153"/>
      <c r="P1003" s="152"/>
      <c r="Q1003" s="152"/>
      <c r="R1003" s="153"/>
      <c r="S1003" s="154"/>
      <c r="T1003" s="115"/>
    </row>
    <row r="1004" spans="1:20">
      <c r="A1004" t="s">
        <v>1230</v>
      </c>
      <c r="B1004" t="s">
        <v>73</v>
      </c>
      <c r="C1004" t="s">
        <v>42</v>
      </c>
      <c r="D1004" t="s">
        <v>1278</v>
      </c>
      <c r="E1004" t="s">
        <v>5366</v>
      </c>
      <c r="F1004" s="121">
        <v>511198.43</v>
      </c>
      <c r="G1004" s="121">
        <v>511198.43</v>
      </c>
      <c r="H1004" t="s">
        <v>875</v>
      </c>
      <c r="I1004" s="156">
        <v>42149.70103009259</v>
      </c>
      <c r="K1004" s="153"/>
      <c r="L1004" s="153"/>
      <c r="M1004" s="153"/>
      <c r="N1004" s="153"/>
      <c r="O1004" s="153"/>
      <c r="P1004" s="152"/>
      <c r="Q1004" s="152"/>
      <c r="R1004" s="153"/>
      <c r="S1004" s="154"/>
      <c r="T1004" s="115"/>
    </row>
    <row r="1005" spans="1:20">
      <c r="A1005" t="s">
        <v>1230</v>
      </c>
      <c r="B1005" t="s">
        <v>73</v>
      </c>
      <c r="C1005" t="s">
        <v>59</v>
      </c>
      <c r="D1005" t="s">
        <v>232</v>
      </c>
      <c r="E1005" t="s">
        <v>5367</v>
      </c>
      <c r="F1005" s="121">
        <v>62301.57</v>
      </c>
      <c r="G1005" s="121">
        <v>62301.57</v>
      </c>
      <c r="H1005" t="s">
        <v>875</v>
      </c>
      <c r="I1005" s="156">
        <v>42149.70103009259</v>
      </c>
      <c r="K1005" s="153"/>
      <c r="L1005" s="153"/>
      <c r="M1005" s="153"/>
      <c r="N1005" s="153"/>
      <c r="O1005" s="153"/>
      <c r="P1005" s="152"/>
      <c r="Q1005" s="150"/>
      <c r="R1005" s="153"/>
      <c r="S1005" s="154"/>
      <c r="T1005" s="115"/>
    </row>
    <row r="1006" spans="1:20">
      <c r="A1006" t="s">
        <v>1230</v>
      </c>
      <c r="B1006" t="s">
        <v>73</v>
      </c>
      <c r="C1006" t="s">
        <v>42</v>
      </c>
      <c r="D1006" t="s">
        <v>1278</v>
      </c>
      <c r="E1006" t="s">
        <v>5368</v>
      </c>
      <c r="F1006" s="121">
        <v>508980.38</v>
      </c>
      <c r="G1006" s="121">
        <v>508980.38</v>
      </c>
      <c r="H1006" t="s">
        <v>457</v>
      </c>
      <c r="I1006" s="156">
        <v>42153.581921296296</v>
      </c>
      <c r="K1006" s="153"/>
      <c r="L1006" s="153"/>
      <c r="M1006" s="153"/>
      <c r="N1006" s="153"/>
      <c r="O1006" s="153"/>
      <c r="P1006" s="150"/>
      <c r="Q1006" s="150"/>
      <c r="R1006" s="153"/>
      <c r="S1006" s="154"/>
      <c r="T1006" s="115"/>
    </row>
    <row r="1007" spans="1:20">
      <c r="A1007" t="s">
        <v>1230</v>
      </c>
      <c r="B1007" t="s">
        <v>73</v>
      </c>
      <c r="C1007" t="s">
        <v>59</v>
      </c>
      <c r="D1007" t="s">
        <v>232</v>
      </c>
      <c r="E1007" t="s">
        <v>5369</v>
      </c>
      <c r="F1007" s="121">
        <v>62019.62</v>
      </c>
      <c r="G1007" s="121">
        <v>62019.62</v>
      </c>
      <c r="H1007" t="s">
        <v>457</v>
      </c>
      <c r="I1007" s="156">
        <v>42153.581921296296</v>
      </c>
      <c r="K1007" s="153"/>
      <c r="L1007" s="153"/>
      <c r="M1007" s="153"/>
      <c r="N1007" s="153"/>
      <c r="O1007" s="153"/>
      <c r="P1007" s="150"/>
      <c r="Q1007" s="150"/>
      <c r="R1007" s="153"/>
      <c r="S1007" s="154"/>
      <c r="T1007" s="115"/>
    </row>
    <row r="1008" spans="1:20">
      <c r="A1008" t="s">
        <v>1230</v>
      </c>
      <c r="B1008" t="s">
        <v>73</v>
      </c>
      <c r="C1008" t="s">
        <v>66</v>
      </c>
      <c r="D1008" t="s">
        <v>5370</v>
      </c>
      <c r="E1008" t="s">
        <v>5371</v>
      </c>
      <c r="F1008" s="121">
        <v>562361.54</v>
      </c>
      <c r="G1008" s="121">
        <v>562361.54</v>
      </c>
      <c r="H1008" t="s">
        <v>457</v>
      </c>
      <c r="I1008" s="156">
        <v>42143.598425925928</v>
      </c>
      <c r="K1008" s="153"/>
      <c r="L1008" s="153"/>
      <c r="M1008" s="153"/>
      <c r="N1008" s="153"/>
      <c r="O1008" s="153"/>
      <c r="P1008" s="150"/>
      <c r="Q1008" s="150"/>
      <c r="R1008" s="153"/>
      <c r="S1008" s="154"/>
      <c r="T1008" s="115"/>
    </row>
    <row r="1009" spans="1:20">
      <c r="A1009" t="s">
        <v>1230</v>
      </c>
      <c r="B1009" t="s">
        <v>73</v>
      </c>
      <c r="C1009" t="s">
        <v>66</v>
      </c>
      <c r="D1009" t="s">
        <v>5370</v>
      </c>
      <c r="E1009" t="s">
        <v>5372</v>
      </c>
      <c r="F1009" s="121">
        <v>562361.54</v>
      </c>
      <c r="G1009" s="121">
        <v>562361.54</v>
      </c>
      <c r="H1009" t="s">
        <v>7040</v>
      </c>
      <c r="I1009" s="156">
        <v>42143.609479166669</v>
      </c>
      <c r="K1009" s="153"/>
      <c r="L1009" s="153"/>
      <c r="M1009" s="153"/>
      <c r="N1009" s="153"/>
      <c r="O1009" s="153"/>
      <c r="P1009" s="150"/>
      <c r="Q1009" s="150"/>
      <c r="R1009" s="153"/>
      <c r="S1009" s="154"/>
      <c r="T1009" s="115"/>
    </row>
    <row r="1010" spans="1:20">
      <c r="A1010" t="s">
        <v>1230</v>
      </c>
      <c r="B1010" t="s">
        <v>73</v>
      </c>
      <c r="C1010" t="s">
        <v>66</v>
      </c>
      <c r="D1010" t="s">
        <v>5373</v>
      </c>
      <c r="E1010" t="s">
        <v>5374</v>
      </c>
      <c r="F1010" s="121">
        <v>288000</v>
      </c>
      <c r="G1010" s="121">
        <v>288000</v>
      </c>
      <c r="H1010" t="s">
        <v>457</v>
      </c>
      <c r="I1010" s="156">
        <v>42143.577407407407</v>
      </c>
      <c r="K1010" s="153"/>
      <c r="L1010" s="153"/>
      <c r="M1010" s="153"/>
      <c r="N1010" s="153"/>
      <c r="O1010" s="153"/>
      <c r="P1010" s="150"/>
      <c r="Q1010" s="150"/>
      <c r="R1010" s="153"/>
      <c r="S1010" s="154"/>
      <c r="T1010" s="115"/>
    </row>
    <row r="1011" spans="1:20">
      <c r="A1011" t="s">
        <v>1230</v>
      </c>
      <c r="B1011" t="s">
        <v>73</v>
      </c>
      <c r="C1011" t="s">
        <v>66</v>
      </c>
      <c r="D1011" t="s">
        <v>5373</v>
      </c>
      <c r="E1011" t="s">
        <v>5375</v>
      </c>
      <c r="F1011" s="121">
        <v>288000</v>
      </c>
      <c r="G1011" s="121">
        <v>288000</v>
      </c>
      <c r="H1011" t="s">
        <v>457</v>
      </c>
      <c r="I1011" s="156">
        <v>42143.579409722224</v>
      </c>
      <c r="K1011" s="153"/>
      <c r="L1011" s="153"/>
      <c r="M1011" s="153"/>
      <c r="N1011" s="153"/>
      <c r="O1011" s="153"/>
      <c r="P1011" s="150"/>
      <c r="Q1011" s="150"/>
      <c r="R1011" s="153"/>
      <c r="S1011" s="154"/>
      <c r="T1011" s="115"/>
    </row>
    <row r="1012" spans="1:20">
      <c r="A1012" t="s">
        <v>1230</v>
      </c>
      <c r="B1012" t="s">
        <v>73</v>
      </c>
      <c r="C1012" t="s">
        <v>66</v>
      </c>
      <c r="D1012" t="s">
        <v>5373</v>
      </c>
      <c r="E1012" t="s">
        <v>5376</v>
      </c>
      <c r="F1012" s="121">
        <v>288000</v>
      </c>
      <c r="G1012" s="121">
        <v>288000</v>
      </c>
      <c r="H1012" t="s">
        <v>875</v>
      </c>
      <c r="I1012" s="156">
        <v>42143.582511574074</v>
      </c>
      <c r="K1012" s="153"/>
      <c r="L1012" s="153"/>
      <c r="M1012" s="153"/>
      <c r="N1012" s="153"/>
      <c r="O1012" s="153"/>
      <c r="P1012" s="150"/>
      <c r="Q1012" s="150"/>
      <c r="R1012" s="153"/>
      <c r="S1012" s="154"/>
      <c r="T1012" s="115"/>
    </row>
    <row r="1013" spans="1:20">
      <c r="A1013" t="s">
        <v>1230</v>
      </c>
      <c r="B1013" t="s">
        <v>73</v>
      </c>
      <c r="C1013" t="s">
        <v>66</v>
      </c>
      <c r="D1013" t="s">
        <v>5373</v>
      </c>
      <c r="E1013" t="s">
        <v>5377</v>
      </c>
      <c r="F1013" s="121">
        <v>288000</v>
      </c>
      <c r="G1013" s="121">
        <v>288000</v>
      </c>
      <c r="H1013" t="s">
        <v>875</v>
      </c>
      <c r="I1013" s="156">
        <v>42153.566608796296</v>
      </c>
      <c r="K1013" s="153"/>
      <c r="L1013" s="153"/>
      <c r="M1013" s="153"/>
      <c r="N1013" s="153"/>
      <c r="O1013" s="153"/>
      <c r="P1013" s="150"/>
      <c r="Q1013" s="150"/>
      <c r="R1013" s="153"/>
      <c r="S1013" s="154"/>
      <c r="T1013" s="115"/>
    </row>
    <row r="1014" spans="1:20">
      <c r="A1014" t="s">
        <v>1230</v>
      </c>
      <c r="B1014" t="s">
        <v>73</v>
      </c>
      <c r="C1014" t="s">
        <v>66</v>
      </c>
      <c r="D1014" t="s">
        <v>5373</v>
      </c>
      <c r="E1014" t="s">
        <v>5378</v>
      </c>
      <c r="F1014" s="121">
        <v>288000</v>
      </c>
      <c r="G1014" s="121">
        <v>288000</v>
      </c>
      <c r="H1014" t="s">
        <v>875</v>
      </c>
      <c r="I1014" s="156">
        <v>42143.545162037037</v>
      </c>
      <c r="K1014" s="153"/>
      <c r="L1014" s="153"/>
      <c r="M1014" s="153"/>
      <c r="N1014" s="153"/>
      <c r="O1014" s="153"/>
      <c r="P1014" s="150"/>
      <c r="Q1014" s="150"/>
      <c r="R1014" s="153"/>
      <c r="S1014" s="154"/>
      <c r="T1014" s="115"/>
    </row>
    <row r="1015" spans="1:20">
      <c r="A1015" t="s">
        <v>1230</v>
      </c>
      <c r="B1015" t="s">
        <v>73</v>
      </c>
      <c r="C1015" t="s">
        <v>58</v>
      </c>
      <c r="D1015" t="s">
        <v>212</v>
      </c>
      <c r="E1015" t="s">
        <v>5379</v>
      </c>
      <c r="F1015" s="121">
        <v>172000</v>
      </c>
      <c r="G1015" s="121">
        <v>172000</v>
      </c>
      <c r="H1015" t="s">
        <v>875</v>
      </c>
      <c r="I1015" s="156">
        <v>42143.584837962961</v>
      </c>
      <c r="K1015" s="153"/>
      <c r="L1015" s="153"/>
      <c r="M1015" s="153"/>
      <c r="N1015" s="153"/>
      <c r="O1015" s="153"/>
      <c r="P1015" s="150"/>
      <c r="Q1015" s="150"/>
      <c r="R1015" s="153"/>
      <c r="S1015" s="154"/>
      <c r="T1015" s="115"/>
    </row>
    <row r="1016" spans="1:20">
      <c r="A1016" t="s">
        <v>1230</v>
      </c>
      <c r="B1016" t="s">
        <v>73</v>
      </c>
      <c r="C1016" t="s">
        <v>58</v>
      </c>
      <c r="D1016" t="s">
        <v>214</v>
      </c>
      <c r="E1016" t="s">
        <v>5380</v>
      </c>
      <c r="F1016" s="121">
        <v>172000</v>
      </c>
      <c r="G1016" s="121">
        <v>172000</v>
      </c>
      <c r="H1016" t="s">
        <v>875</v>
      </c>
      <c r="I1016" s="156">
        <v>42150.353425925925</v>
      </c>
      <c r="K1016" s="153"/>
      <c r="L1016" s="153"/>
      <c r="M1016" s="153"/>
      <c r="N1016" s="153"/>
      <c r="O1016" s="153"/>
      <c r="P1016" s="150"/>
      <c r="Q1016" s="150"/>
      <c r="R1016" s="153"/>
      <c r="S1016" s="154"/>
      <c r="T1016" s="115"/>
    </row>
    <row r="1017" spans="1:20">
      <c r="A1017" t="s">
        <v>1230</v>
      </c>
      <c r="B1017" t="s">
        <v>73</v>
      </c>
      <c r="C1017" t="s">
        <v>59</v>
      </c>
      <c r="D1017" t="s">
        <v>5381</v>
      </c>
      <c r="E1017" t="s">
        <v>5382</v>
      </c>
      <c r="F1017" s="121">
        <v>105865.38</v>
      </c>
      <c r="G1017" s="121">
        <v>105865.38</v>
      </c>
      <c r="H1017" t="s">
        <v>875</v>
      </c>
      <c r="I1017" s="156">
        <v>42153.580243055556</v>
      </c>
      <c r="K1017" s="153"/>
      <c r="L1017" s="153"/>
      <c r="M1017" s="153"/>
      <c r="N1017" s="153"/>
      <c r="O1017" s="153"/>
      <c r="P1017" s="150"/>
      <c r="Q1017" s="150"/>
      <c r="R1017" s="153"/>
      <c r="S1017" s="154"/>
      <c r="T1017" s="115"/>
    </row>
    <row r="1018" spans="1:20">
      <c r="A1018" t="s">
        <v>1230</v>
      </c>
      <c r="B1018" t="s">
        <v>73</v>
      </c>
      <c r="C1018" t="s">
        <v>59</v>
      </c>
      <c r="D1018" t="s">
        <v>5381</v>
      </c>
      <c r="E1018" t="s">
        <v>5383</v>
      </c>
      <c r="F1018" s="121">
        <v>105865.38</v>
      </c>
      <c r="G1018" s="121">
        <v>105865.38</v>
      </c>
      <c r="H1018" t="s">
        <v>457</v>
      </c>
      <c r="I1018" s="156">
        <v>42150.356226851851</v>
      </c>
      <c r="K1018" s="153"/>
      <c r="L1018" s="153"/>
      <c r="M1018" s="153"/>
      <c r="N1018" s="153"/>
      <c r="O1018" s="153"/>
      <c r="P1018" s="150"/>
      <c r="Q1018" s="150"/>
      <c r="R1018" s="153"/>
      <c r="S1018" s="154"/>
      <c r="T1018" s="115"/>
    </row>
    <row r="1019" spans="1:20">
      <c r="A1019" t="s">
        <v>1230</v>
      </c>
      <c r="B1019" t="s">
        <v>72</v>
      </c>
      <c r="C1019" t="s">
        <v>51</v>
      </c>
      <c r="D1019" t="s">
        <v>5446</v>
      </c>
      <c r="E1019" t="s">
        <v>5447</v>
      </c>
      <c r="F1019" s="121">
        <v>5032.03</v>
      </c>
      <c r="G1019" s="121">
        <v>5032.03</v>
      </c>
      <c r="H1019" t="s">
        <v>396</v>
      </c>
      <c r="I1019" s="156">
        <v>42103.404733796298</v>
      </c>
      <c r="K1019" s="153"/>
      <c r="L1019" s="153"/>
      <c r="M1019" s="153"/>
      <c r="N1019" s="153"/>
      <c r="O1019" s="153"/>
      <c r="P1019" s="150"/>
      <c r="Q1019" s="150"/>
      <c r="R1019" s="153"/>
      <c r="S1019" s="154"/>
      <c r="T1019" s="115"/>
    </row>
    <row r="1020" spans="1:20">
      <c r="A1020" t="s">
        <v>1230</v>
      </c>
      <c r="B1020" t="s">
        <v>73</v>
      </c>
      <c r="C1020" t="s">
        <v>51</v>
      </c>
      <c r="D1020" t="s">
        <v>5448</v>
      </c>
      <c r="E1020" t="s">
        <v>5449</v>
      </c>
      <c r="F1020" s="121">
        <v>580</v>
      </c>
      <c r="G1020" s="121">
        <v>580</v>
      </c>
      <c r="H1020" t="s">
        <v>452</v>
      </c>
      <c r="I1020" s="156">
        <v>42107.413587962961</v>
      </c>
      <c r="K1020" s="153"/>
      <c r="L1020" s="153"/>
      <c r="M1020" s="153"/>
      <c r="N1020" s="153"/>
      <c r="O1020" s="153"/>
      <c r="P1020" s="150"/>
      <c r="Q1020" s="150"/>
      <c r="R1020" s="153"/>
      <c r="S1020" s="154"/>
      <c r="T1020" s="115"/>
    </row>
    <row r="1021" spans="1:20">
      <c r="A1021" t="s">
        <v>1230</v>
      </c>
      <c r="B1021" t="s">
        <v>76</v>
      </c>
      <c r="C1021" t="s">
        <v>51</v>
      </c>
      <c r="D1021" t="s">
        <v>5450</v>
      </c>
      <c r="E1021" t="s">
        <v>5451</v>
      </c>
      <c r="F1021" s="121">
        <v>45000</v>
      </c>
      <c r="G1021" s="121">
        <v>45000</v>
      </c>
      <c r="H1021" t="s">
        <v>875</v>
      </c>
      <c r="I1021" s="156">
        <v>42138.360196759262</v>
      </c>
      <c r="K1021" s="153"/>
      <c r="L1021" s="153"/>
      <c r="M1021" s="153"/>
      <c r="N1021" s="153"/>
      <c r="O1021" s="153"/>
      <c r="P1021" s="150"/>
      <c r="Q1021" s="152"/>
      <c r="R1021" s="153"/>
      <c r="S1021" s="154"/>
      <c r="T1021" s="115"/>
    </row>
    <row r="1022" spans="1:20">
      <c r="A1022" t="s">
        <v>1230</v>
      </c>
      <c r="B1022" t="s">
        <v>76</v>
      </c>
      <c r="C1022" t="s">
        <v>51</v>
      </c>
      <c r="D1022" t="s">
        <v>5452</v>
      </c>
      <c r="E1022" t="s">
        <v>5453</v>
      </c>
      <c r="F1022" s="121">
        <v>1550</v>
      </c>
      <c r="G1022" s="121">
        <v>1550</v>
      </c>
      <c r="H1022" t="s">
        <v>875</v>
      </c>
      <c r="I1022" s="156">
        <v>42138.436064814814</v>
      </c>
      <c r="K1022" s="153"/>
      <c r="L1022" s="153"/>
      <c r="M1022" s="153"/>
      <c r="N1022" s="153"/>
      <c r="O1022" s="153"/>
      <c r="P1022" s="150"/>
      <c r="Q1022" s="150"/>
      <c r="R1022" s="153"/>
      <c r="S1022" s="154"/>
      <c r="T1022" s="115"/>
    </row>
    <row r="1023" spans="1:20">
      <c r="A1023" t="s">
        <v>1230</v>
      </c>
      <c r="B1023" t="s">
        <v>970</v>
      </c>
      <c r="C1023" t="s">
        <v>51</v>
      </c>
      <c r="D1023" t="s">
        <v>1053</v>
      </c>
      <c r="E1023" t="s">
        <v>5454</v>
      </c>
      <c r="F1023" s="121">
        <v>6300</v>
      </c>
      <c r="G1023" s="121">
        <v>6300</v>
      </c>
      <c r="H1023" t="s">
        <v>1181</v>
      </c>
      <c r="I1023" s="156">
        <v>42143.372824074075</v>
      </c>
      <c r="K1023" s="153"/>
      <c r="L1023" s="153"/>
      <c r="M1023" s="153"/>
      <c r="N1023" s="153"/>
      <c r="O1023" s="153"/>
      <c r="P1023" s="150"/>
      <c r="Q1023" s="150"/>
      <c r="R1023" s="153"/>
      <c r="S1023" s="154"/>
      <c r="T1023" s="115"/>
    </row>
    <row r="1024" spans="1:20">
      <c r="A1024" t="s">
        <v>1230</v>
      </c>
      <c r="B1024" t="s">
        <v>72</v>
      </c>
      <c r="C1024" t="s">
        <v>51</v>
      </c>
      <c r="D1024" t="s">
        <v>5455</v>
      </c>
      <c r="E1024" t="s">
        <v>5456</v>
      </c>
      <c r="F1024" s="121">
        <v>10200</v>
      </c>
      <c r="G1024" s="121">
        <v>10200</v>
      </c>
      <c r="H1024" t="s">
        <v>396</v>
      </c>
      <c r="I1024" s="156">
        <v>42146.576886574076</v>
      </c>
      <c r="K1024" s="153"/>
      <c r="L1024" s="153"/>
      <c r="M1024" s="153"/>
      <c r="N1024" s="153"/>
      <c r="O1024" s="153"/>
      <c r="P1024" s="150"/>
      <c r="Q1024" s="150"/>
      <c r="R1024" s="153"/>
      <c r="S1024" s="154"/>
      <c r="T1024" s="115"/>
    </row>
    <row r="1025" spans="1:20">
      <c r="A1025" t="s">
        <v>1230</v>
      </c>
      <c r="B1025" t="s">
        <v>76</v>
      </c>
      <c r="C1025" t="s">
        <v>51</v>
      </c>
      <c r="D1025" t="s">
        <v>453</v>
      </c>
      <c r="E1025" t="s">
        <v>5457</v>
      </c>
      <c r="F1025" s="121">
        <v>1890</v>
      </c>
      <c r="G1025" s="121">
        <v>1890</v>
      </c>
      <c r="H1025" t="s">
        <v>875</v>
      </c>
      <c r="I1025" s="156">
        <v>42146.487395833334</v>
      </c>
      <c r="K1025" s="153"/>
      <c r="L1025" s="153"/>
      <c r="M1025" s="153"/>
      <c r="N1025" s="153"/>
      <c r="O1025" s="153"/>
      <c r="P1025" s="150"/>
      <c r="Q1025" s="152"/>
      <c r="R1025" s="153"/>
      <c r="S1025" s="154"/>
      <c r="T1025" s="115"/>
    </row>
    <row r="1026" spans="1:20">
      <c r="A1026" t="s">
        <v>1230</v>
      </c>
      <c r="B1026" t="s">
        <v>75</v>
      </c>
      <c r="C1026" t="s">
        <v>51</v>
      </c>
      <c r="D1026" t="s">
        <v>5458</v>
      </c>
      <c r="E1026" t="s">
        <v>5459</v>
      </c>
      <c r="F1026" s="121">
        <v>10000</v>
      </c>
      <c r="G1026" s="121">
        <v>10000</v>
      </c>
      <c r="H1026" t="s">
        <v>460</v>
      </c>
      <c r="I1026" s="156">
        <v>42117</v>
      </c>
      <c r="K1026" s="153"/>
      <c r="L1026" s="153"/>
      <c r="M1026" s="153"/>
      <c r="N1026" s="153"/>
      <c r="O1026" s="153"/>
      <c r="P1026" s="152"/>
      <c r="Q1026" s="152"/>
      <c r="R1026" s="153"/>
      <c r="S1026" s="154"/>
      <c r="T1026" s="115"/>
    </row>
    <row r="1027" spans="1:20">
      <c r="A1027" t="s">
        <v>1230</v>
      </c>
      <c r="B1027" t="s">
        <v>72</v>
      </c>
      <c r="C1027" t="s">
        <v>51</v>
      </c>
      <c r="D1027" t="s">
        <v>1051</v>
      </c>
      <c r="E1027" t="s">
        <v>5548</v>
      </c>
      <c r="F1027" s="121">
        <v>5412</v>
      </c>
      <c r="G1027" s="121">
        <v>5412</v>
      </c>
      <c r="H1027" t="s">
        <v>396</v>
      </c>
      <c r="I1027" s="156">
        <v>42166.584733796299</v>
      </c>
      <c r="K1027" s="153"/>
      <c r="L1027" s="153"/>
      <c r="M1027" s="153"/>
      <c r="N1027" s="153"/>
      <c r="O1027" s="153"/>
      <c r="P1027" s="152"/>
      <c r="Q1027" s="150"/>
      <c r="R1027" s="153"/>
      <c r="S1027" s="154"/>
      <c r="T1027" s="115"/>
    </row>
    <row r="1028" spans="1:20">
      <c r="A1028" t="s">
        <v>1230</v>
      </c>
      <c r="B1028" t="s">
        <v>76</v>
      </c>
      <c r="C1028" t="s">
        <v>67</v>
      </c>
      <c r="D1028" t="s">
        <v>5549</v>
      </c>
      <c r="E1028" t="s">
        <v>5550</v>
      </c>
      <c r="F1028" s="121">
        <v>660000</v>
      </c>
      <c r="G1028" s="121">
        <v>660000</v>
      </c>
      <c r="H1028" t="s">
        <v>875</v>
      </c>
      <c r="I1028" s="156">
        <v>42158.721134259256</v>
      </c>
      <c r="K1028" s="153"/>
      <c r="L1028" s="153"/>
      <c r="M1028" s="153"/>
      <c r="N1028" s="153"/>
      <c r="O1028" s="153"/>
      <c r="P1028" s="150"/>
      <c r="Q1028" s="150"/>
      <c r="R1028" s="153"/>
      <c r="S1028" s="154"/>
      <c r="T1028" s="115"/>
    </row>
    <row r="1029" spans="1:20">
      <c r="A1029" t="s">
        <v>1230</v>
      </c>
      <c r="B1029" t="s">
        <v>76</v>
      </c>
      <c r="C1029" t="s">
        <v>67</v>
      </c>
      <c r="D1029" t="s">
        <v>5549</v>
      </c>
      <c r="E1029" t="s">
        <v>5551</v>
      </c>
      <c r="F1029" s="121">
        <v>700000</v>
      </c>
      <c r="G1029" s="121">
        <v>700000</v>
      </c>
      <c r="H1029" t="s">
        <v>875</v>
      </c>
      <c r="I1029" s="156">
        <v>42158.714803240742</v>
      </c>
      <c r="K1029" s="153"/>
      <c r="L1029" s="153"/>
      <c r="M1029" s="153"/>
      <c r="N1029" s="153"/>
      <c r="O1029" s="153"/>
      <c r="P1029" s="150"/>
      <c r="Q1029" s="150"/>
      <c r="R1029" s="153"/>
      <c r="S1029" s="154"/>
      <c r="T1029" s="115"/>
    </row>
    <row r="1030" spans="1:20">
      <c r="A1030" t="s">
        <v>1230</v>
      </c>
      <c r="B1030" t="s">
        <v>73</v>
      </c>
      <c r="C1030" t="s">
        <v>62</v>
      </c>
      <c r="D1030" t="s">
        <v>242</v>
      </c>
      <c r="E1030" t="s">
        <v>5552</v>
      </c>
      <c r="F1030" s="121">
        <v>530000</v>
      </c>
      <c r="G1030" s="121">
        <v>530000</v>
      </c>
      <c r="H1030" t="s">
        <v>457</v>
      </c>
      <c r="I1030" s="156">
        <v>42164.673020833332</v>
      </c>
      <c r="K1030" s="153"/>
      <c r="L1030" s="153"/>
      <c r="M1030" s="153"/>
      <c r="N1030" s="153"/>
      <c r="O1030" s="153"/>
      <c r="P1030" s="150"/>
      <c r="Q1030" s="150"/>
      <c r="R1030" s="153"/>
      <c r="S1030" s="154"/>
      <c r="T1030" s="115"/>
    </row>
    <row r="1031" spans="1:20">
      <c r="A1031" t="s">
        <v>1230</v>
      </c>
      <c r="B1031" t="s">
        <v>73</v>
      </c>
      <c r="C1031" t="s">
        <v>62</v>
      </c>
      <c r="D1031" t="s">
        <v>242</v>
      </c>
      <c r="E1031" t="s">
        <v>5553</v>
      </c>
      <c r="F1031" s="121">
        <v>530000</v>
      </c>
      <c r="G1031" s="121">
        <v>530000</v>
      </c>
      <c r="H1031" t="s">
        <v>457</v>
      </c>
      <c r="I1031" s="156">
        <v>42164.704641203702</v>
      </c>
      <c r="K1031" s="153"/>
      <c r="L1031" s="153"/>
      <c r="M1031" s="153"/>
      <c r="N1031" s="153"/>
      <c r="O1031" s="153"/>
      <c r="P1031" s="152"/>
      <c r="Q1031" s="152"/>
      <c r="R1031" s="153"/>
      <c r="S1031" s="154"/>
      <c r="T1031" s="115"/>
    </row>
    <row r="1032" spans="1:20">
      <c r="A1032" t="s">
        <v>1230</v>
      </c>
      <c r="B1032" t="s">
        <v>73</v>
      </c>
      <c r="C1032" t="s">
        <v>51</v>
      </c>
      <c r="D1032" t="s">
        <v>5554</v>
      </c>
      <c r="E1032" t="s">
        <v>5555</v>
      </c>
      <c r="F1032" s="121">
        <v>6700</v>
      </c>
      <c r="G1032" s="121">
        <v>6700</v>
      </c>
      <c r="H1032" t="s">
        <v>457</v>
      </c>
      <c r="I1032" s="156">
        <v>42179.422847222224</v>
      </c>
      <c r="K1032" s="153"/>
      <c r="L1032" s="153"/>
      <c r="M1032" s="153"/>
      <c r="N1032" s="153"/>
      <c r="O1032" s="153"/>
      <c r="P1032" s="150"/>
      <c r="Q1032" s="150"/>
      <c r="R1032" s="153"/>
      <c r="S1032" s="154"/>
      <c r="T1032" s="115"/>
    </row>
    <row r="1033" spans="1:20">
      <c r="A1033" t="s">
        <v>1230</v>
      </c>
      <c r="B1033" t="s">
        <v>72</v>
      </c>
      <c r="C1033" t="s">
        <v>51</v>
      </c>
      <c r="D1033" t="s">
        <v>5588</v>
      </c>
      <c r="E1033" t="s">
        <v>5773</v>
      </c>
      <c r="F1033" s="121">
        <v>2600</v>
      </c>
      <c r="G1033" s="121">
        <v>2600</v>
      </c>
      <c r="H1033" t="s">
        <v>396</v>
      </c>
      <c r="I1033" s="156">
        <v>42179.336319444446</v>
      </c>
      <c r="K1033" s="153"/>
      <c r="L1033" s="153"/>
      <c r="M1033" s="153"/>
      <c r="N1033" s="153"/>
      <c r="O1033" s="153"/>
      <c r="P1033" s="150"/>
      <c r="Q1033" s="150"/>
      <c r="R1033" s="153"/>
      <c r="S1033" s="154"/>
      <c r="T1033" s="115"/>
    </row>
    <row r="1034" spans="1:20">
      <c r="A1034" t="s">
        <v>1230</v>
      </c>
      <c r="B1034" t="s">
        <v>72</v>
      </c>
      <c r="C1034" t="s">
        <v>51</v>
      </c>
      <c r="D1034" t="s">
        <v>5556</v>
      </c>
      <c r="E1034" t="s">
        <v>5557</v>
      </c>
      <c r="F1034" s="121">
        <v>1750</v>
      </c>
      <c r="G1034" s="121">
        <v>1750</v>
      </c>
      <c r="H1034" t="s">
        <v>396</v>
      </c>
      <c r="I1034" s="156">
        <v>42179.336319444446</v>
      </c>
      <c r="K1034" s="153"/>
      <c r="L1034" s="153"/>
      <c r="M1034" s="153"/>
      <c r="N1034" s="153"/>
      <c r="O1034" s="153"/>
      <c r="P1034" s="150"/>
      <c r="Q1034" s="150"/>
      <c r="R1034" s="153"/>
      <c r="S1034" s="154"/>
      <c r="T1034" s="115"/>
    </row>
    <row r="1035" spans="1:20">
      <c r="A1035" t="s">
        <v>1230</v>
      </c>
      <c r="B1035" t="s">
        <v>72</v>
      </c>
      <c r="C1035" t="s">
        <v>51</v>
      </c>
      <c r="D1035" t="s">
        <v>5558</v>
      </c>
      <c r="E1035" t="s">
        <v>5559</v>
      </c>
      <c r="F1035" s="121">
        <v>2150</v>
      </c>
      <c r="G1035" s="121">
        <v>2150</v>
      </c>
      <c r="H1035" t="s">
        <v>396</v>
      </c>
      <c r="I1035" s="156">
        <v>42179.336319444446</v>
      </c>
      <c r="K1035" s="153"/>
      <c r="L1035" s="153"/>
      <c r="M1035" s="153"/>
      <c r="N1035" s="153"/>
      <c r="O1035" s="153"/>
      <c r="P1035" s="150"/>
      <c r="Q1035" s="150"/>
      <c r="R1035" s="153"/>
      <c r="S1035" s="154"/>
      <c r="T1035" s="115"/>
    </row>
    <row r="1036" spans="1:20">
      <c r="A1036" t="s">
        <v>1230</v>
      </c>
      <c r="B1036" t="s">
        <v>72</v>
      </c>
      <c r="C1036" t="s">
        <v>51</v>
      </c>
      <c r="D1036" t="s">
        <v>5558</v>
      </c>
      <c r="E1036" t="s">
        <v>5560</v>
      </c>
      <c r="F1036" s="121">
        <v>2150</v>
      </c>
      <c r="G1036" s="121">
        <v>2150</v>
      </c>
      <c r="H1036" t="s">
        <v>396</v>
      </c>
      <c r="I1036" s="156">
        <v>42179.336319444446</v>
      </c>
      <c r="K1036" s="153"/>
      <c r="L1036" s="153"/>
      <c r="M1036" s="153"/>
      <c r="N1036" s="153"/>
      <c r="O1036" s="153"/>
      <c r="P1036" s="150"/>
      <c r="Q1036" s="150"/>
      <c r="R1036" s="153"/>
      <c r="S1036" s="154"/>
      <c r="T1036" s="115"/>
    </row>
    <row r="1037" spans="1:20">
      <c r="A1037" t="s">
        <v>1230</v>
      </c>
      <c r="B1037" t="s">
        <v>73</v>
      </c>
      <c r="C1037" t="s">
        <v>58</v>
      </c>
      <c r="D1037" t="s">
        <v>5643</v>
      </c>
      <c r="E1037" t="s">
        <v>5644</v>
      </c>
      <c r="F1037" s="121">
        <v>353000</v>
      </c>
      <c r="G1037" s="121">
        <v>353000</v>
      </c>
      <c r="H1037" t="s">
        <v>457</v>
      </c>
      <c r="I1037" s="156">
        <v>42208.658194444448</v>
      </c>
      <c r="K1037" s="153"/>
      <c r="L1037" s="153"/>
      <c r="M1037" s="153"/>
      <c r="N1037" s="153"/>
      <c r="O1037" s="153"/>
      <c r="P1037" s="152"/>
      <c r="Q1037" s="152"/>
      <c r="R1037" s="153"/>
      <c r="S1037" s="154"/>
      <c r="T1037" s="115"/>
    </row>
    <row r="1038" spans="1:20">
      <c r="A1038" t="s">
        <v>1230</v>
      </c>
      <c r="B1038" t="s">
        <v>73</v>
      </c>
      <c r="C1038" t="s">
        <v>58</v>
      </c>
      <c r="D1038" t="s">
        <v>5643</v>
      </c>
      <c r="E1038" t="s">
        <v>5645</v>
      </c>
      <c r="F1038" s="121">
        <v>353000</v>
      </c>
      <c r="G1038" s="121">
        <v>353000</v>
      </c>
      <c r="H1038" t="s">
        <v>457</v>
      </c>
      <c r="I1038" s="156">
        <v>42208.647337962961</v>
      </c>
      <c r="K1038" s="153"/>
      <c r="L1038" s="153"/>
      <c r="M1038" s="153"/>
      <c r="N1038" s="153"/>
      <c r="O1038" s="153"/>
      <c r="P1038" s="150"/>
      <c r="Q1038" s="150"/>
      <c r="R1038" s="153"/>
      <c r="S1038" s="154"/>
      <c r="T1038" s="115"/>
    </row>
    <row r="1039" spans="1:20">
      <c r="A1039" t="s">
        <v>1230</v>
      </c>
      <c r="B1039" t="s">
        <v>73</v>
      </c>
      <c r="C1039" t="s">
        <v>58</v>
      </c>
      <c r="D1039" t="s">
        <v>5643</v>
      </c>
      <c r="E1039" t="s">
        <v>5646</v>
      </c>
      <c r="F1039" s="121">
        <v>353000</v>
      </c>
      <c r="G1039" s="121">
        <v>353000</v>
      </c>
      <c r="H1039" t="s">
        <v>457</v>
      </c>
      <c r="I1039" s="156">
        <v>42208.661203703705</v>
      </c>
      <c r="K1039" s="153"/>
      <c r="L1039" s="153"/>
      <c r="M1039" s="153"/>
      <c r="N1039" s="153"/>
      <c r="O1039" s="153"/>
      <c r="P1039" s="150"/>
      <c r="Q1039" s="150"/>
      <c r="R1039" s="153"/>
      <c r="S1039" s="154"/>
      <c r="T1039" s="115"/>
    </row>
    <row r="1040" spans="1:20">
      <c r="A1040" t="s">
        <v>1230</v>
      </c>
      <c r="B1040" t="s">
        <v>72</v>
      </c>
      <c r="C1040" t="s">
        <v>51</v>
      </c>
      <c r="D1040" t="s">
        <v>5647</v>
      </c>
      <c r="E1040" t="s">
        <v>5648</v>
      </c>
      <c r="F1040" s="121">
        <v>2700</v>
      </c>
      <c r="G1040" s="121">
        <v>2700</v>
      </c>
      <c r="H1040" t="s">
        <v>396</v>
      </c>
      <c r="I1040" s="156">
        <v>42206.676921296297</v>
      </c>
      <c r="K1040" s="153"/>
      <c r="L1040" s="153"/>
      <c r="M1040" s="153"/>
      <c r="N1040" s="153"/>
      <c r="O1040" s="153"/>
      <c r="P1040" s="150"/>
      <c r="Q1040" s="150"/>
      <c r="R1040" s="153"/>
      <c r="S1040" s="154"/>
      <c r="T1040" s="115"/>
    </row>
    <row r="1041" spans="1:20">
      <c r="A1041" t="s">
        <v>1230</v>
      </c>
      <c r="B1041" t="s">
        <v>76</v>
      </c>
      <c r="C1041" t="s">
        <v>51</v>
      </c>
      <c r="D1041" t="s">
        <v>5649</v>
      </c>
      <c r="E1041" t="s">
        <v>5650</v>
      </c>
      <c r="F1041" s="121">
        <v>1900</v>
      </c>
      <c r="G1041" s="121">
        <v>1900</v>
      </c>
      <c r="H1041" t="s">
        <v>875</v>
      </c>
      <c r="I1041" s="156">
        <v>42205.583287037036</v>
      </c>
      <c r="K1041" s="153"/>
      <c r="L1041" s="153"/>
      <c r="M1041" s="153"/>
      <c r="N1041" s="153"/>
      <c r="O1041" s="153"/>
      <c r="P1041" s="150"/>
      <c r="Q1041" s="150"/>
      <c r="R1041" s="153"/>
      <c r="S1041" s="154"/>
      <c r="T1041" s="115"/>
    </row>
    <row r="1042" spans="1:20">
      <c r="A1042" t="s">
        <v>1230</v>
      </c>
      <c r="B1042" t="s">
        <v>76</v>
      </c>
      <c r="C1042" t="s">
        <v>67</v>
      </c>
      <c r="D1042" t="s">
        <v>5651</v>
      </c>
      <c r="E1042" t="s">
        <v>5652</v>
      </c>
      <c r="F1042" s="121">
        <v>530000</v>
      </c>
      <c r="G1042" s="121">
        <v>530000</v>
      </c>
      <c r="H1042" t="s">
        <v>875</v>
      </c>
      <c r="I1042" s="156">
        <v>42201.69159722222</v>
      </c>
      <c r="K1042" s="153"/>
      <c r="L1042" s="153"/>
      <c r="M1042" s="153"/>
      <c r="N1042" s="153"/>
      <c r="O1042" s="153"/>
      <c r="P1042" s="150"/>
      <c r="Q1042" s="150"/>
      <c r="R1042" s="153"/>
      <c r="S1042" s="154"/>
      <c r="T1042" s="115"/>
    </row>
    <row r="1043" spans="1:20">
      <c r="A1043" t="s">
        <v>1230</v>
      </c>
      <c r="B1043" t="s">
        <v>73</v>
      </c>
      <c r="C1043" t="s">
        <v>69</v>
      </c>
      <c r="D1043" t="s">
        <v>315</v>
      </c>
      <c r="E1043" t="s">
        <v>5774</v>
      </c>
      <c r="F1043" s="121">
        <v>40321.1</v>
      </c>
      <c r="G1043" s="121">
        <v>40321.4</v>
      </c>
      <c r="H1043" t="s">
        <v>460</v>
      </c>
      <c r="I1043" s="156">
        <v>42237.605416666665</v>
      </c>
      <c r="K1043" s="153"/>
      <c r="L1043" s="153"/>
      <c r="M1043" s="153"/>
      <c r="N1043" s="153"/>
      <c r="O1043" s="153"/>
      <c r="P1043" s="150"/>
      <c r="Q1043" s="150"/>
      <c r="R1043" s="153"/>
      <c r="S1043" s="154"/>
      <c r="T1043" s="115"/>
    </row>
    <row r="1044" spans="1:20">
      <c r="A1044" t="s">
        <v>1230</v>
      </c>
      <c r="B1044" t="s">
        <v>76</v>
      </c>
      <c r="C1044" t="s">
        <v>51</v>
      </c>
      <c r="D1044" t="s">
        <v>1337</v>
      </c>
      <c r="E1044" t="s">
        <v>5775</v>
      </c>
      <c r="F1044" s="121">
        <v>75000.009999999995</v>
      </c>
      <c r="G1044" s="121">
        <v>75000.009999999995</v>
      </c>
      <c r="H1044" t="s">
        <v>5776</v>
      </c>
      <c r="I1044" s="156">
        <v>42244.416203703702</v>
      </c>
      <c r="K1044" s="153"/>
      <c r="L1044" s="153"/>
      <c r="M1044" s="153"/>
      <c r="N1044" s="153"/>
      <c r="O1044" s="153"/>
      <c r="P1044" s="150"/>
      <c r="Q1044" s="150"/>
      <c r="R1044" s="153"/>
      <c r="S1044" s="154"/>
      <c r="T1044" s="115"/>
    </row>
    <row r="1045" spans="1:20">
      <c r="A1045" t="s">
        <v>1230</v>
      </c>
      <c r="B1045" t="s">
        <v>72</v>
      </c>
      <c r="C1045" t="s">
        <v>51</v>
      </c>
      <c r="D1045" t="s">
        <v>5777</v>
      </c>
      <c r="E1045" t="s">
        <v>5778</v>
      </c>
      <c r="F1045" s="121">
        <v>1989</v>
      </c>
      <c r="G1045" s="121">
        <v>1989</v>
      </c>
      <c r="H1045" t="s">
        <v>396</v>
      </c>
      <c r="I1045" s="156">
        <v>42226.422638888886</v>
      </c>
      <c r="K1045" s="153"/>
      <c r="L1045" s="153"/>
      <c r="M1045" s="153"/>
      <c r="N1045" s="153"/>
      <c r="O1045" s="153"/>
      <c r="P1045" s="150"/>
      <c r="Q1045" s="150"/>
      <c r="R1045" s="153"/>
      <c r="S1045" s="154"/>
      <c r="T1045" s="115"/>
    </row>
    <row r="1046" spans="1:20">
      <c r="A1046" t="s">
        <v>1230</v>
      </c>
      <c r="B1046" t="s">
        <v>76</v>
      </c>
      <c r="C1046" t="s">
        <v>51</v>
      </c>
      <c r="D1046" t="s">
        <v>1337</v>
      </c>
      <c r="E1046" t="s">
        <v>5779</v>
      </c>
      <c r="F1046" s="121">
        <v>75000</v>
      </c>
      <c r="G1046" s="121">
        <v>75000</v>
      </c>
      <c r="H1046" t="s">
        <v>5776</v>
      </c>
      <c r="I1046" s="156">
        <v>42244.416203703702</v>
      </c>
      <c r="K1046" s="153"/>
      <c r="L1046" s="153"/>
      <c r="M1046" s="153"/>
      <c r="N1046" s="153"/>
      <c r="O1046" s="153"/>
      <c r="P1046" s="152"/>
      <c r="Q1046" s="152"/>
      <c r="R1046" s="153"/>
      <c r="S1046" s="154"/>
      <c r="T1046" s="115"/>
    </row>
    <row r="1047" spans="1:20">
      <c r="A1047" t="s">
        <v>1230</v>
      </c>
      <c r="B1047" t="s">
        <v>73</v>
      </c>
      <c r="C1047" t="s">
        <v>69</v>
      </c>
      <c r="D1047" t="s">
        <v>5780</v>
      </c>
      <c r="E1047" t="s">
        <v>5781</v>
      </c>
      <c r="F1047" s="121">
        <v>58034.63</v>
      </c>
      <c r="G1047" s="121">
        <v>58034.63</v>
      </c>
      <c r="H1047" t="s">
        <v>5782</v>
      </c>
      <c r="I1047" s="156">
        <v>42250.487337962964</v>
      </c>
      <c r="K1047" s="153"/>
      <c r="L1047" s="153"/>
      <c r="M1047" s="153"/>
      <c r="N1047" s="153"/>
      <c r="O1047" s="153"/>
      <c r="P1047" s="150"/>
      <c r="Q1047" s="150"/>
      <c r="R1047" s="153"/>
      <c r="S1047" s="154"/>
      <c r="T1047" s="115"/>
    </row>
    <row r="1048" spans="1:20">
      <c r="A1048" t="s">
        <v>1230</v>
      </c>
      <c r="B1048" t="s">
        <v>72</v>
      </c>
      <c r="C1048" t="s">
        <v>51</v>
      </c>
      <c r="D1048" t="s">
        <v>483</v>
      </c>
      <c r="E1048" t="s">
        <v>5783</v>
      </c>
      <c r="F1048" s="121">
        <v>2575.4899999999998</v>
      </c>
      <c r="G1048" s="121">
        <v>2575.4899999999998</v>
      </c>
      <c r="H1048" t="s">
        <v>5784</v>
      </c>
      <c r="I1048" s="156">
        <v>42283.347962962966</v>
      </c>
      <c r="K1048" s="153"/>
      <c r="L1048" s="153"/>
      <c r="M1048" s="153"/>
      <c r="N1048" s="153"/>
      <c r="O1048" s="153"/>
      <c r="P1048" s="150"/>
      <c r="Q1048" s="150"/>
      <c r="R1048" s="153"/>
      <c r="S1048" s="154"/>
      <c r="T1048" s="115"/>
    </row>
    <row r="1049" spans="1:20">
      <c r="A1049" t="s">
        <v>1230</v>
      </c>
      <c r="B1049" t="s">
        <v>72</v>
      </c>
      <c r="C1049" t="s">
        <v>51</v>
      </c>
      <c r="D1049" t="s">
        <v>1321</v>
      </c>
      <c r="E1049" t="s">
        <v>5785</v>
      </c>
      <c r="F1049" s="121">
        <v>4213.09</v>
      </c>
      <c r="G1049" s="121">
        <v>4213.09</v>
      </c>
      <c r="H1049" t="s">
        <v>5784</v>
      </c>
      <c r="I1049" s="156">
        <v>42283.347962962966</v>
      </c>
      <c r="K1049" s="153"/>
      <c r="L1049" s="153"/>
      <c r="M1049" s="153"/>
      <c r="N1049" s="153"/>
      <c r="O1049" s="153"/>
      <c r="P1049" s="150"/>
      <c r="Q1049" s="150"/>
      <c r="R1049" s="153"/>
      <c r="S1049" s="154"/>
      <c r="T1049" s="115"/>
    </row>
    <row r="1050" spans="1:20">
      <c r="A1050" t="s">
        <v>1230</v>
      </c>
      <c r="B1050" t="s">
        <v>72</v>
      </c>
      <c r="C1050" t="s">
        <v>45</v>
      </c>
      <c r="D1050" t="s">
        <v>5786</v>
      </c>
      <c r="E1050" t="s">
        <v>5787</v>
      </c>
      <c r="F1050" s="121">
        <v>6250</v>
      </c>
      <c r="G1050" s="121">
        <v>6250</v>
      </c>
      <c r="H1050" t="s">
        <v>528</v>
      </c>
      <c r="I1050" s="156">
        <v>42283.461273148147</v>
      </c>
      <c r="K1050" s="153"/>
      <c r="L1050" s="153"/>
      <c r="M1050" s="153"/>
      <c r="N1050" s="153"/>
      <c r="O1050" s="153"/>
      <c r="P1050" s="152"/>
      <c r="Q1050" s="152"/>
      <c r="R1050" s="153"/>
      <c r="S1050" s="154"/>
      <c r="T1050" s="115"/>
    </row>
    <row r="1051" spans="1:20">
      <c r="A1051" t="s">
        <v>1230</v>
      </c>
      <c r="B1051" t="s">
        <v>76</v>
      </c>
      <c r="C1051" t="s">
        <v>68</v>
      </c>
      <c r="D1051" t="s">
        <v>5788</v>
      </c>
      <c r="E1051" t="s">
        <v>5789</v>
      </c>
      <c r="F1051" s="121">
        <v>55000</v>
      </c>
      <c r="G1051" s="121">
        <v>55000</v>
      </c>
      <c r="H1051" t="s">
        <v>5987</v>
      </c>
      <c r="I1051" s="156">
        <v>42291</v>
      </c>
      <c r="K1051" s="153"/>
      <c r="L1051" s="153"/>
      <c r="M1051" s="153"/>
      <c r="N1051" s="153"/>
      <c r="O1051" s="153"/>
      <c r="P1051" s="152"/>
      <c r="Q1051" s="152"/>
      <c r="R1051" s="153"/>
      <c r="S1051" s="154"/>
      <c r="T1051" s="115"/>
    </row>
    <row r="1052" spans="1:20">
      <c r="A1052" t="s">
        <v>1231</v>
      </c>
      <c r="B1052" t="s">
        <v>72</v>
      </c>
      <c r="C1052" t="s">
        <v>1018</v>
      </c>
      <c r="D1052" t="s">
        <v>6819</v>
      </c>
      <c r="E1052" t="s">
        <v>6820</v>
      </c>
      <c r="F1052" s="121">
        <v>128500</v>
      </c>
      <c r="G1052" s="121">
        <v>128500</v>
      </c>
      <c r="H1052" t="s">
        <v>6821</v>
      </c>
      <c r="I1052" s="156">
        <v>42332.457060185188</v>
      </c>
      <c r="K1052" s="153"/>
      <c r="L1052" s="153"/>
      <c r="M1052" s="153"/>
      <c r="N1052" s="153"/>
      <c r="O1052" s="153"/>
      <c r="P1052" s="150"/>
      <c r="Q1052" s="150"/>
      <c r="R1052" s="153"/>
      <c r="S1052" s="154"/>
      <c r="T1052" s="151"/>
    </row>
    <row r="1053" spans="1:20">
      <c r="A1053" t="s">
        <v>1230</v>
      </c>
      <c r="B1053" t="s">
        <v>1012</v>
      </c>
      <c r="C1053" t="s">
        <v>51</v>
      </c>
      <c r="D1053" t="s">
        <v>6822</v>
      </c>
      <c r="E1053" t="s">
        <v>6823</v>
      </c>
      <c r="F1053" s="121">
        <v>7500</v>
      </c>
      <c r="G1053" s="121">
        <v>7500</v>
      </c>
      <c r="H1053" t="s">
        <v>458</v>
      </c>
      <c r="I1053" s="156">
        <v>42342.363356481481</v>
      </c>
      <c r="K1053" s="153"/>
      <c r="L1053" s="153"/>
      <c r="M1053" s="153"/>
      <c r="N1053" s="153"/>
      <c r="O1053" s="153"/>
      <c r="P1053" s="150"/>
      <c r="Q1053" s="150"/>
      <c r="R1053" s="153"/>
      <c r="S1053" s="154"/>
      <c r="T1053" s="151"/>
    </row>
    <row r="1054" spans="1:20">
      <c r="A1054" t="s">
        <v>1230</v>
      </c>
      <c r="B1054" t="s">
        <v>75</v>
      </c>
      <c r="C1054" t="s">
        <v>51</v>
      </c>
      <c r="D1054" t="s">
        <v>1326</v>
      </c>
      <c r="E1054" t="s">
        <v>6824</v>
      </c>
      <c r="F1054" s="121">
        <v>4000</v>
      </c>
      <c r="G1054" s="121">
        <v>4000</v>
      </c>
      <c r="H1054" t="s">
        <v>460</v>
      </c>
      <c r="I1054" s="156">
        <v>42355.604664351849</v>
      </c>
      <c r="K1054" s="153"/>
      <c r="L1054" s="153"/>
      <c r="M1054" s="153"/>
      <c r="N1054" s="153"/>
      <c r="O1054" s="153"/>
      <c r="P1054" s="150"/>
      <c r="Q1054" s="150"/>
      <c r="R1054" s="153"/>
      <c r="S1054" s="154"/>
      <c r="T1054" s="151"/>
    </row>
    <row r="1055" spans="1:20">
      <c r="A1055" t="s">
        <v>1230</v>
      </c>
      <c r="B1055" t="s">
        <v>75</v>
      </c>
      <c r="C1055" t="s">
        <v>51</v>
      </c>
      <c r="D1055" t="s">
        <v>889</v>
      </c>
      <c r="E1055" t="s">
        <v>6825</v>
      </c>
      <c r="F1055" s="121">
        <v>2481.7600000000002</v>
      </c>
      <c r="G1055" s="121">
        <v>2481.7600000000002</v>
      </c>
      <c r="H1055" t="s">
        <v>460</v>
      </c>
      <c r="I1055" s="156">
        <v>42342.394571759258</v>
      </c>
      <c r="K1055" s="153"/>
      <c r="L1055" s="153"/>
      <c r="M1055" s="153"/>
      <c r="N1055" s="153"/>
      <c r="O1055" s="153"/>
      <c r="P1055" s="150"/>
      <c r="Q1055" s="150"/>
      <c r="R1055" s="153"/>
      <c r="S1055" s="154"/>
      <c r="T1055" s="115"/>
    </row>
    <row r="1056" spans="1:20">
      <c r="A1056" t="s">
        <v>1230</v>
      </c>
      <c r="B1056" t="s">
        <v>72</v>
      </c>
      <c r="C1056" t="s">
        <v>51</v>
      </c>
      <c r="D1056" t="s">
        <v>6826</v>
      </c>
      <c r="E1056" t="s">
        <v>6827</v>
      </c>
      <c r="F1056" s="121">
        <v>8800</v>
      </c>
      <c r="G1056" s="121">
        <v>8800</v>
      </c>
      <c r="H1056" t="s">
        <v>396</v>
      </c>
      <c r="I1056" s="156">
        <v>42384.364837962959</v>
      </c>
      <c r="K1056" s="153"/>
      <c r="L1056" s="153"/>
      <c r="M1056" s="153"/>
      <c r="N1056" s="153"/>
      <c r="O1056" s="153"/>
      <c r="P1056" s="150"/>
      <c r="Q1056" s="150"/>
      <c r="R1056" s="153"/>
      <c r="S1056" s="154"/>
      <c r="T1056" s="115"/>
    </row>
    <row r="1057" spans="1:20">
      <c r="A1057" t="s">
        <v>1230</v>
      </c>
      <c r="B1057" t="s">
        <v>75</v>
      </c>
      <c r="C1057" t="s">
        <v>51</v>
      </c>
      <c r="D1057" t="s">
        <v>463</v>
      </c>
      <c r="E1057" t="s">
        <v>6828</v>
      </c>
      <c r="F1057" s="121">
        <v>1262.55</v>
      </c>
      <c r="G1057" s="121">
        <v>1262.55</v>
      </c>
      <c r="H1057" t="s">
        <v>460</v>
      </c>
      <c r="I1057" s="156">
        <v>42384.348275462966</v>
      </c>
      <c r="K1057" s="153"/>
      <c r="L1057" s="153"/>
      <c r="M1057" s="153"/>
      <c r="N1057" s="153"/>
      <c r="O1057" s="153"/>
      <c r="P1057" s="150"/>
      <c r="Q1057" s="150"/>
      <c r="R1057" s="153"/>
      <c r="S1057" s="154"/>
      <c r="T1057" s="115"/>
    </row>
    <row r="1058" spans="1:20">
      <c r="A1058" t="s">
        <v>1230</v>
      </c>
      <c r="B1058" t="s">
        <v>72</v>
      </c>
      <c r="C1058" t="s">
        <v>51</v>
      </c>
      <c r="D1058" t="s">
        <v>2870</v>
      </c>
      <c r="E1058" t="s">
        <v>6829</v>
      </c>
      <c r="F1058" s="121">
        <v>9800</v>
      </c>
      <c r="G1058" s="121">
        <v>9800</v>
      </c>
      <c r="H1058" t="s">
        <v>517</v>
      </c>
      <c r="I1058" s="156">
        <v>42394.570729166669</v>
      </c>
      <c r="K1058" s="153"/>
      <c r="L1058" s="153"/>
      <c r="M1058" s="153"/>
      <c r="N1058" s="153"/>
      <c r="O1058" s="153"/>
      <c r="P1058" s="150"/>
      <c r="Q1058" s="150"/>
      <c r="R1058" s="153"/>
      <c r="S1058" s="154"/>
      <c r="T1058" s="115"/>
    </row>
    <row r="1059" spans="1:20">
      <c r="A1059" t="s">
        <v>1230</v>
      </c>
      <c r="B1059" t="s">
        <v>72</v>
      </c>
      <c r="C1059" t="s">
        <v>51</v>
      </c>
      <c r="D1059" t="s">
        <v>2870</v>
      </c>
      <c r="E1059" t="s">
        <v>6830</v>
      </c>
      <c r="F1059" s="121">
        <v>9800</v>
      </c>
      <c r="G1059" s="121">
        <v>9800</v>
      </c>
      <c r="H1059" t="s">
        <v>517</v>
      </c>
      <c r="I1059" s="156">
        <v>42394.570729166669</v>
      </c>
      <c r="K1059" s="153"/>
      <c r="L1059" s="153"/>
      <c r="M1059" s="153"/>
      <c r="N1059" s="153"/>
      <c r="O1059" s="153"/>
      <c r="P1059" s="152"/>
      <c r="Q1059" s="152"/>
      <c r="R1059" s="153"/>
      <c r="S1059" s="154"/>
      <c r="T1059" s="115"/>
    </row>
    <row r="1060" spans="1:20">
      <c r="A1060" t="s">
        <v>5046</v>
      </c>
      <c r="B1060" t="s">
        <v>71</v>
      </c>
      <c r="C1060" t="s">
        <v>51</v>
      </c>
      <c r="D1060" t="s">
        <v>889</v>
      </c>
      <c r="E1060" t="s">
        <v>6831</v>
      </c>
      <c r="F1060" s="121">
        <v>2621.87</v>
      </c>
      <c r="G1060" s="121">
        <v>2621.87</v>
      </c>
      <c r="H1060" t="s">
        <v>4971</v>
      </c>
      <c r="I1060" s="156">
        <v>42355.375891203701</v>
      </c>
      <c r="K1060" s="153"/>
      <c r="L1060" s="153"/>
      <c r="M1060" s="153"/>
      <c r="N1060" s="153"/>
      <c r="O1060" s="153"/>
      <c r="P1060" s="152"/>
      <c r="Q1060" s="152"/>
      <c r="R1060" s="153"/>
      <c r="S1060" s="154"/>
      <c r="T1060" s="115"/>
    </row>
    <row r="1061" spans="1:20">
      <c r="A1061" t="s">
        <v>1230</v>
      </c>
      <c r="B1061" t="s">
        <v>73</v>
      </c>
      <c r="C1061" t="s">
        <v>69</v>
      </c>
      <c r="D1061" t="s">
        <v>6832</v>
      </c>
      <c r="E1061" t="s">
        <v>6833</v>
      </c>
      <c r="F1061" s="121">
        <v>155000</v>
      </c>
      <c r="G1061" s="121">
        <v>155000</v>
      </c>
      <c r="H1061" t="s">
        <v>6834</v>
      </c>
      <c r="I1061" s="156">
        <v>42417.495891203704</v>
      </c>
      <c r="K1061" s="153"/>
      <c r="L1061" s="153"/>
      <c r="M1061" s="153"/>
      <c r="N1061" s="153"/>
      <c r="O1061" s="153"/>
      <c r="P1061" s="150"/>
      <c r="Q1061" s="150"/>
      <c r="R1061" s="153"/>
      <c r="S1061" s="154"/>
      <c r="T1061" s="115"/>
    </row>
    <row r="1062" spans="1:20">
      <c r="A1062" t="s">
        <v>1230</v>
      </c>
      <c r="B1062" t="s">
        <v>73</v>
      </c>
      <c r="C1062" t="s">
        <v>69</v>
      </c>
      <c r="D1062" t="s">
        <v>6832</v>
      </c>
      <c r="E1062" t="s">
        <v>6835</v>
      </c>
      <c r="F1062" s="121">
        <v>155000</v>
      </c>
      <c r="G1062" s="121">
        <v>155000</v>
      </c>
      <c r="H1062" t="s">
        <v>455</v>
      </c>
      <c r="I1062" s="156">
        <v>42417.482835648145</v>
      </c>
      <c r="K1062" s="153"/>
      <c r="L1062" s="153"/>
      <c r="M1062" s="153"/>
      <c r="N1062" s="153"/>
      <c r="O1062" s="153"/>
      <c r="P1062" s="150"/>
      <c r="Q1062" s="150"/>
      <c r="R1062" s="153"/>
      <c r="S1062" s="154"/>
      <c r="T1062" s="115"/>
    </row>
    <row r="1063" spans="1:20">
      <c r="A1063" t="s">
        <v>1230</v>
      </c>
      <c r="B1063" t="s">
        <v>73</v>
      </c>
      <c r="C1063" t="s">
        <v>69</v>
      </c>
      <c r="D1063" t="s">
        <v>6836</v>
      </c>
      <c r="E1063" t="s">
        <v>6837</v>
      </c>
      <c r="F1063" s="121">
        <v>39435.71</v>
      </c>
      <c r="G1063" s="121">
        <v>39435.71</v>
      </c>
      <c r="H1063" t="s">
        <v>6838</v>
      </c>
      <c r="I1063" s="156">
        <v>42418.647106481483</v>
      </c>
      <c r="K1063" s="153"/>
      <c r="L1063" s="153"/>
      <c r="M1063" s="153"/>
      <c r="N1063" s="153"/>
      <c r="O1063" s="153"/>
      <c r="P1063" s="150"/>
      <c r="Q1063" s="150"/>
      <c r="R1063" s="153"/>
      <c r="S1063" s="154"/>
      <c r="T1063" s="115"/>
    </row>
    <row r="1064" spans="1:20">
      <c r="A1064" t="s">
        <v>1230</v>
      </c>
      <c r="B1064" t="s">
        <v>73</v>
      </c>
      <c r="C1064" t="s">
        <v>69</v>
      </c>
      <c r="D1064" t="s">
        <v>6836</v>
      </c>
      <c r="E1064" t="s">
        <v>6839</v>
      </c>
      <c r="F1064" s="121">
        <v>39435.71</v>
      </c>
      <c r="G1064" s="121">
        <v>39435.71</v>
      </c>
      <c r="H1064" t="s">
        <v>396</v>
      </c>
      <c r="I1064" s="156">
        <v>42418.719895833332</v>
      </c>
      <c r="K1064" s="153"/>
      <c r="L1064" s="153"/>
      <c r="M1064" s="153"/>
      <c r="N1064" s="153"/>
      <c r="O1064" s="153"/>
      <c r="P1064" s="152"/>
      <c r="Q1064" s="150"/>
      <c r="R1064" s="153"/>
      <c r="S1064" s="154"/>
      <c r="T1064" s="115"/>
    </row>
    <row r="1065" spans="1:20">
      <c r="A1065" t="s">
        <v>1230</v>
      </c>
      <c r="B1065" t="s">
        <v>72</v>
      </c>
      <c r="C1065" t="s">
        <v>51</v>
      </c>
      <c r="D1065" t="s">
        <v>6840</v>
      </c>
      <c r="E1065" t="s">
        <v>6841</v>
      </c>
      <c r="F1065" s="121">
        <v>825</v>
      </c>
      <c r="G1065" s="121">
        <v>825</v>
      </c>
      <c r="H1065" t="s">
        <v>517</v>
      </c>
      <c r="I1065" s="156">
        <v>42411.42560185185</v>
      </c>
      <c r="K1065" s="153"/>
      <c r="L1065" s="153"/>
      <c r="M1065" s="153"/>
      <c r="N1065" s="153"/>
      <c r="O1065" s="153"/>
      <c r="P1065" s="152"/>
      <c r="Q1065" s="150"/>
      <c r="R1065" s="153"/>
      <c r="S1065" s="154"/>
      <c r="T1065" s="115"/>
    </row>
    <row r="1066" spans="1:20">
      <c r="A1066" t="s">
        <v>1230</v>
      </c>
      <c r="B1066" t="s">
        <v>72</v>
      </c>
      <c r="C1066" t="s">
        <v>51</v>
      </c>
      <c r="D1066" t="s">
        <v>6842</v>
      </c>
      <c r="E1066" t="s">
        <v>6843</v>
      </c>
      <c r="F1066" s="121">
        <v>11500</v>
      </c>
      <c r="G1066" s="121">
        <v>11500</v>
      </c>
      <c r="H1066" t="s">
        <v>517</v>
      </c>
      <c r="I1066" s="156">
        <v>42411.42560185185</v>
      </c>
      <c r="K1066" s="153"/>
      <c r="L1066" s="153"/>
      <c r="M1066" s="153"/>
      <c r="N1066" s="153"/>
      <c r="O1066" s="153"/>
      <c r="P1066" s="150"/>
      <c r="Q1066" s="150"/>
      <c r="R1066" s="153"/>
      <c r="S1066" s="154"/>
      <c r="T1066" s="115"/>
    </row>
    <row r="1067" spans="1:20">
      <c r="A1067" t="s">
        <v>5046</v>
      </c>
      <c r="B1067" t="s">
        <v>71</v>
      </c>
      <c r="C1067" t="s">
        <v>51</v>
      </c>
      <c r="D1067" t="s">
        <v>6844</v>
      </c>
      <c r="E1067" t="s">
        <v>6845</v>
      </c>
      <c r="F1067" s="121">
        <v>30000</v>
      </c>
      <c r="G1067" s="121">
        <v>30000</v>
      </c>
      <c r="H1067" t="s">
        <v>4971</v>
      </c>
      <c r="I1067" s="156">
        <v>42410.57980324074</v>
      </c>
      <c r="K1067" s="153"/>
      <c r="L1067" s="153"/>
      <c r="M1067" s="153"/>
      <c r="N1067" s="153"/>
      <c r="O1067" s="153"/>
      <c r="P1067" s="150"/>
      <c r="Q1067" s="150"/>
      <c r="R1067" s="153"/>
      <c r="S1067" s="154"/>
      <c r="T1067" s="115"/>
    </row>
    <row r="1068" spans="1:20">
      <c r="A1068" t="s">
        <v>1230</v>
      </c>
      <c r="B1068" t="s">
        <v>76</v>
      </c>
      <c r="C1068" t="s">
        <v>59</v>
      </c>
      <c r="D1068" t="s">
        <v>895</v>
      </c>
      <c r="E1068" t="s">
        <v>6846</v>
      </c>
      <c r="F1068" s="121">
        <v>77000</v>
      </c>
      <c r="G1068" s="121">
        <v>77000</v>
      </c>
      <c r="H1068" t="s">
        <v>875</v>
      </c>
      <c r="I1068" s="156">
        <v>42404.333298611113</v>
      </c>
      <c r="K1068" s="153"/>
      <c r="L1068" s="153"/>
      <c r="M1068" s="153"/>
      <c r="N1068" s="153"/>
      <c r="O1068" s="153"/>
      <c r="P1068" s="150"/>
      <c r="Q1068" s="150"/>
      <c r="R1068" s="153"/>
      <c r="S1068" s="154"/>
      <c r="T1068" s="115"/>
    </row>
    <row r="1069" spans="1:20">
      <c r="A1069" t="s">
        <v>1230</v>
      </c>
      <c r="B1069" t="s">
        <v>72</v>
      </c>
      <c r="C1069" t="s">
        <v>51</v>
      </c>
      <c r="D1069" t="s">
        <v>6847</v>
      </c>
      <c r="E1069" t="s">
        <v>6848</v>
      </c>
      <c r="F1069" s="121">
        <v>1383.14</v>
      </c>
      <c r="G1069" s="121">
        <v>1383.14</v>
      </c>
      <c r="H1069" t="s">
        <v>396</v>
      </c>
      <c r="I1069" s="156">
        <v>42426.361956018518</v>
      </c>
      <c r="K1069" s="153"/>
      <c r="L1069" s="153"/>
      <c r="M1069" s="153"/>
      <c r="N1069" s="153"/>
      <c r="O1069" s="153"/>
      <c r="P1069" s="150"/>
      <c r="Q1069" s="150"/>
      <c r="R1069" s="153"/>
      <c r="S1069" s="154"/>
      <c r="T1069" s="115"/>
    </row>
    <row r="1070" spans="1:20">
      <c r="A1070" t="s">
        <v>1230</v>
      </c>
      <c r="B1070" t="s">
        <v>72</v>
      </c>
      <c r="C1070" t="s">
        <v>51</v>
      </c>
      <c r="D1070" t="s">
        <v>6849</v>
      </c>
      <c r="E1070" t="s">
        <v>6850</v>
      </c>
      <c r="F1070" s="121">
        <v>2880.48</v>
      </c>
      <c r="G1070" s="121">
        <v>2880.48</v>
      </c>
      <c r="H1070" t="s">
        <v>396</v>
      </c>
      <c r="I1070" s="156">
        <v>42446.409224537034</v>
      </c>
      <c r="K1070" s="153"/>
      <c r="L1070" s="153"/>
      <c r="M1070" s="153"/>
      <c r="N1070" s="153"/>
      <c r="O1070" s="153"/>
      <c r="P1070" s="150"/>
      <c r="Q1070" s="150"/>
      <c r="R1070" s="153"/>
      <c r="S1070" s="154"/>
      <c r="T1070" s="115"/>
    </row>
    <row r="1071" spans="1:20">
      <c r="A1071" t="s">
        <v>1230</v>
      </c>
      <c r="B1071" t="s">
        <v>72</v>
      </c>
      <c r="C1071" t="s">
        <v>51</v>
      </c>
      <c r="D1071" t="s">
        <v>6849</v>
      </c>
      <c r="E1071" t="s">
        <v>6851</v>
      </c>
      <c r="F1071" s="121">
        <v>2730</v>
      </c>
      <c r="G1071" s="121">
        <v>2730</v>
      </c>
      <c r="H1071" t="s">
        <v>396</v>
      </c>
      <c r="I1071" s="156">
        <v>42446.401134259257</v>
      </c>
      <c r="K1071" s="153"/>
      <c r="L1071" s="153"/>
      <c r="M1071" s="153"/>
      <c r="N1071" s="153"/>
      <c r="O1071" s="153"/>
      <c r="P1071" s="150"/>
      <c r="Q1071" s="150"/>
      <c r="R1071" s="153"/>
      <c r="S1071" s="154"/>
      <c r="T1071" s="115"/>
    </row>
    <row r="1072" spans="1:20">
      <c r="A1072" t="s">
        <v>1230</v>
      </c>
      <c r="B1072" t="s">
        <v>72</v>
      </c>
      <c r="C1072" t="s">
        <v>51</v>
      </c>
      <c r="D1072" t="s">
        <v>6852</v>
      </c>
      <c r="E1072" t="s">
        <v>6853</v>
      </c>
      <c r="F1072" s="121">
        <v>6154</v>
      </c>
      <c r="G1072" s="121">
        <v>6154</v>
      </c>
      <c r="H1072" t="s">
        <v>517</v>
      </c>
      <c r="I1072" s="156">
        <v>42445.666238425925</v>
      </c>
      <c r="K1072" s="153"/>
      <c r="L1072" s="153"/>
      <c r="M1072" s="153"/>
      <c r="N1072" s="153"/>
      <c r="O1072" s="153"/>
      <c r="P1072" s="152"/>
      <c r="Q1072" s="152"/>
      <c r="R1072" s="153"/>
      <c r="S1072" s="154"/>
      <c r="T1072" s="115"/>
    </row>
    <row r="1073" spans="1:20">
      <c r="A1073" t="s">
        <v>1230</v>
      </c>
      <c r="B1073" t="s">
        <v>72</v>
      </c>
      <c r="C1073" t="s">
        <v>51</v>
      </c>
      <c r="D1073" t="s">
        <v>6854</v>
      </c>
      <c r="E1073" t="s">
        <v>6855</v>
      </c>
      <c r="F1073" s="121">
        <v>2500</v>
      </c>
      <c r="G1073" s="121">
        <v>2500</v>
      </c>
      <c r="H1073" t="s">
        <v>517</v>
      </c>
      <c r="I1073" s="156">
        <v>42443.351157407407</v>
      </c>
      <c r="K1073" s="153"/>
      <c r="L1073" s="153"/>
      <c r="M1073" s="153"/>
      <c r="N1073" s="153"/>
      <c r="O1073" s="153"/>
      <c r="P1073" s="152"/>
      <c r="Q1073" s="152"/>
      <c r="R1073" s="153"/>
      <c r="S1073" s="154"/>
      <c r="T1073" s="115"/>
    </row>
    <row r="1074" spans="1:20">
      <c r="A1074" t="s">
        <v>1230</v>
      </c>
      <c r="B1074" t="s">
        <v>76</v>
      </c>
      <c r="C1074" t="s">
        <v>51</v>
      </c>
      <c r="D1074" t="s">
        <v>6856</v>
      </c>
      <c r="E1074" t="s">
        <v>6857</v>
      </c>
      <c r="F1074" s="121">
        <v>2150</v>
      </c>
      <c r="G1074" s="121">
        <v>2150</v>
      </c>
      <c r="H1074" t="s">
        <v>875</v>
      </c>
      <c r="I1074" s="156">
        <v>42439.645995370367</v>
      </c>
      <c r="K1074" s="153"/>
      <c r="L1074" s="153"/>
      <c r="M1074" s="153"/>
      <c r="N1074" s="153"/>
      <c r="O1074" s="153"/>
      <c r="P1074" s="152"/>
      <c r="Q1074" s="152"/>
      <c r="R1074" s="153"/>
      <c r="S1074" s="154"/>
      <c r="T1074" s="115"/>
    </row>
    <row r="1075" spans="1:20">
      <c r="A1075" t="s">
        <v>1230</v>
      </c>
      <c r="B1075" t="s">
        <v>76</v>
      </c>
      <c r="C1075" t="s">
        <v>51</v>
      </c>
      <c r="D1075" t="s">
        <v>6856</v>
      </c>
      <c r="E1075" t="s">
        <v>6858</v>
      </c>
      <c r="F1075" s="121">
        <v>2350</v>
      </c>
      <c r="G1075" s="121">
        <v>2350</v>
      </c>
      <c r="H1075" t="s">
        <v>875</v>
      </c>
      <c r="I1075" s="156">
        <v>42473.321296296293</v>
      </c>
      <c r="K1075" s="153"/>
      <c r="L1075" s="153"/>
      <c r="M1075" s="153"/>
      <c r="N1075" s="153"/>
      <c r="O1075" s="153"/>
      <c r="P1075" s="152"/>
      <c r="Q1075" s="150"/>
      <c r="R1075" s="153"/>
      <c r="S1075" s="154"/>
      <c r="T1075" s="115"/>
    </row>
    <row r="1076" spans="1:20">
      <c r="A1076" t="s">
        <v>1230</v>
      </c>
      <c r="B1076" t="s">
        <v>73</v>
      </c>
      <c r="C1076" t="s">
        <v>69</v>
      </c>
      <c r="D1076" t="s">
        <v>315</v>
      </c>
      <c r="E1076" t="s">
        <v>7041</v>
      </c>
      <c r="F1076" s="121">
        <v>42312.47</v>
      </c>
      <c r="G1076" s="121">
        <v>42312.47</v>
      </c>
      <c r="H1076" t="s">
        <v>7042</v>
      </c>
      <c r="I1076" s="156">
        <v>42509.36922453704</v>
      </c>
      <c r="K1076" s="153"/>
      <c r="L1076" s="153"/>
      <c r="M1076" s="153"/>
      <c r="N1076" s="153"/>
      <c r="O1076" s="153"/>
      <c r="P1076" s="152"/>
      <c r="Q1076" s="150"/>
      <c r="R1076" s="153"/>
      <c r="S1076" s="154"/>
      <c r="T1076" s="115"/>
    </row>
    <row r="1077" spans="1:20">
      <c r="A1077" t="s">
        <v>1230</v>
      </c>
      <c r="B1077" t="s">
        <v>72</v>
      </c>
      <c r="C1077" t="s">
        <v>51</v>
      </c>
      <c r="D1077" t="s">
        <v>7043</v>
      </c>
      <c r="E1077" t="s">
        <v>7044</v>
      </c>
      <c r="F1077" s="121">
        <v>646000</v>
      </c>
      <c r="G1077" s="121">
        <v>646000</v>
      </c>
      <c r="H1077" t="s">
        <v>517</v>
      </c>
      <c r="I1077" s="156">
        <v>42510.47314814815</v>
      </c>
      <c r="K1077" s="153"/>
      <c r="L1077" s="153"/>
      <c r="M1077" s="153"/>
      <c r="N1077" s="153"/>
      <c r="O1077" s="153"/>
      <c r="P1077" s="152"/>
      <c r="Q1077" s="150"/>
      <c r="R1077" s="153"/>
      <c r="S1077" s="154"/>
      <c r="T1077" s="115"/>
    </row>
    <row r="1078" spans="1:20">
      <c r="A1078" t="s">
        <v>1230</v>
      </c>
      <c r="B1078" t="s">
        <v>72</v>
      </c>
      <c r="C1078" t="s">
        <v>51</v>
      </c>
      <c r="D1078" t="s">
        <v>7045</v>
      </c>
      <c r="E1078" t="s">
        <v>7046</v>
      </c>
      <c r="F1078" s="121">
        <v>7210.47</v>
      </c>
      <c r="G1078" s="121">
        <v>7210.47</v>
      </c>
      <c r="H1078" t="s">
        <v>7047</v>
      </c>
      <c r="I1078" s="156">
        <v>42510.690451388888</v>
      </c>
      <c r="K1078" s="153"/>
      <c r="L1078" s="153"/>
      <c r="M1078" s="153"/>
      <c r="N1078" s="153"/>
      <c r="O1078" s="153"/>
      <c r="P1078" s="152"/>
      <c r="Q1078" s="150"/>
      <c r="R1078" s="153"/>
      <c r="S1078" s="154"/>
      <c r="T1078" s="115"/>
    </row>
    <row r="1079" spans="1:20">
      <c r="A1079" t="s">
        <v>1230</v>
      </c>
      <c r="B1079" t="s">
        <v>72</v>
      </c>
      <c r="C1079" t="s">
        <v>39</v>
      </c>
      <c r="D1079" t="s">
        <v>7048</v>
      </c>
      <c r="E1079" t="s">
        <v>7049</v>
      </c>
      <c r="F1079" s="121">
        <v>150000</v>
      </c>
      <c r="G1079" s="121">
        <v>150000</v>
      </c>
      <c r="H1079" t="s">
        <v>7050</v>
      </c>
      <c r="I1079" s="156">
        <v>42531</v>
      </c>
      <c r="K1079" s="153"/>
      <c r="L1079" s="153"/>
      <c r="M1079" s="153"/>
      <c r="N1079" s="153"/>
      <c r="O1079" s="153"/>
      <c r="P1079" s="152"/>
      <c r="Q1079" s="150"/>
      <c r="R1079" s="153"/>
      <c r="S1079" s="154"/>
      <c r="T1079" s="115"/>
    </row>
    <row r="1080" spans="1:20">
      <c r="A1080" t="s">
        <v>1230</v>
      </c>
      <c r="B1080" t="s">
        <v>72</v>
      </c>
      <c r="C1080" t="s">
        <v>51</v>
      </c>
      <c r="D1080" t="s">
        <v>7043</v>
      </c>
      <c r="E1080" t="s">
        <v>7051</v>
      </c>
      <c r="F1080" s="121">
        <v>627181</v>
      </c>
      <c r="G1080" s="121">
        <v>627181</v>
      </c>
      <c r="H1080" t="s">
        <v>517</v>
      </c>
      <c r="I1080" s="156">
        <v>42550.421446759261</v>
      </c>
      <c r="K1080" s="153"/>
      <c r="L1080" s="153"/>
      <c r="M1080" s="153"/>
      <c r="N1080" s="153"/>
      <c r="O1080" s="153"/>
      <c r="P1080" s="152"/>
      <c r="Q1080" s="150"/>
      <c r="R1080" s="153"/>
      <c r="S1080" s="154"/>
      <c r="T1080" s="115"/>
    </row>
    <row r="1081" spans="1:20">
      <c r="A1081" t="s">
        <v>1230</v>
      </c>
      <c r="B1081" t="s">
        <v>76</v>
      </c>
      <c r="C1081" t="s">
        <v>51</v>
      </c>
      <c r="D1081" t="s">
        <v>7052</v>
      </c>
      <c r="E1081" t="s">
        <v>7053</v>
      </c>
      <c r="F1081" s="121">
        <v>6950</v>
      </c>
      <c r="G1081" s="121">
        <v>6950</v>
      </c>
      <c r="H1081" t="s">
        <v>7054</v>
      </c>
      <c r="I1081" s="156">
        <v>42557.374849537038</v>
      </c>
      <c r="K1081" s="153"/>
      <c r="L1081" s="153"/>
      <c r="M1081" s="153"/>
      <c r="N1081" s="153"/>
      <c r="O1081" s="153"/>
      <c r="P1081" s="152"/>
      <c r="Q1081" s="150"/>
      <c r="R1081" s="153"/>
      <c r="S1081" s="154"/>
      <c r="T1081" s="115"/>
    </row>
    <row r="1082" spans="1:20">
      <c r="A1082" t="s">
        <v>1230</v>
      </c>
      <c r="B1082" t="s">
        <v>76</v>
      </c>
      <c r="C1082" t="s">
        <v>51</v>
      </c>
      <c r="D1082" t="s">
        <v>1403</v>
      </c>
      <c r="E1082" t="s">
        <v>7055</v>
      </c>
      <c r="F1082" s="121">
        <v>2057.12</v>
      </c>
      <c r="G1082" s="121">
        <v>2057.12</v>
      </c>
      <c r="H1082" t="s">
        <v>7056</v>
      </c>
      <c r="I1082" s="156">
        <v>42559.403981481482</v>
      </c>
      <c r="K1082" s="153"/>
      <c r="L1082" s="153"/>
      <c r="M1082" s="153"/>
      <c r="N1082" s="153"/>
      <c r="O1082" s="153"/>
      <c r="P1082" s="152"/>
      <c r="Q1082" s="150"/>
      <c r="R1082" s="153"/>
      <c r="S1082" s="154"/>
      <c r="T1082" s="115"/>
    </row>
    <row r="1083" spans="1:20">
      <c r="A1083" t="s">
        <v>1231</v>
      </c>
      <c r="B1083" t="s">
        <v>71</v>
      </c>
      <c r="C1083" t="s">
        <v>43</v>
      </c>
      <c r="D1083" t="s">
        <v>7057</v>
      </c>
      <c r="E1083" t="s">
        <v>7058</v>
      </c>
      <c r="F1083" s="121">
        <v>1536</v>
      </c>
      <c r="G1083" s="121">
        <v>1536</v>
      </c>
      <c r="H1083" t="s">
        <v>7059</v>
      </c>
      <c r="I1083" s="156">
        <v>42571.573796296296</v>
      </c>
      <c r="K1083" s="153"/>
      <c r="L1083" s="153"/>
      <c r="M1083" s="153"/>
      <c r="N1083" s="153"/>
      <c r="O1083" s="153"/>
      <c r="P1083" s="152"/>
      <c r="Q1083" s="150"/>
      <c r="R1083" s="153"/>
      <c r="S1083" s="154"/>
      <c r="T1083" s="115"/>
    </row>
    <row r="1084" spans="1:20">
      <c r="A1084" t="s">
        <v>1230</v>
      </c>
      <c r="B1084" t="s">
        <v>72</v>
      </c>
      <c r="C1084" t="s">
        <v>51</v>
      </c>
      <c r="D1084" t="s">
        <v>7060</v>
      </c>
      <c r="E1084" t="s">
        <v>7061</v>
      </c>
      <c r="F1084" s="121">
        <v>5985</v>
      </c>
      <c r="G1084" s="121">
        <v>5985</v>
      </c>
      <c r="H1084" t="s">
        <v>7062</v>
      </c>
      <c r="I1084" s="156">
        <v>42571.435439814813</v>
      </c>
      <c r="K1084" s="153"/>
      <c r="L1084" s="153"/>
      <c r="M1084" s="153"/>
      <c r="N1084" s="153"/>
      <c r="O1084" s="153"/>
      <c r="P1084" s="152"/>
      <c r="Q1084" s="152"/>
      <c r="R1084" s="153"/>
      <c r="S1084" s="154"/>
      <c r="T1084" s="115"/>
    </row>
    <row r="1085" spans="1:20">
      <c r="A1085" t="s">
        <v>1230</v>
      </c>
      <c r="B1085" t="s">
        <v>968</v>
      </c>
      <c r="C1085" t="s">
        <v>44</v>
      </c>
      <c r="D1085" t="s">
        <v>7183</v>
      </c>
      <c r="E1085" t="s">
        <v>7184</v>
      </c>
      <c r="F1085" s="121">
        <v>1577945.02</v>
      </c>
      <c r="G1085" s="121">
        <v>1577945.02</v>
      </c>
      <c r="H1085" t="s">
        <v>7185</v>
      </c>
      <c r="I1085" s="156">
        <v>42369</v>
      </c>
      <c r="K1085" s="153"/>
      <c r="L1085" s="153"/>
      <c r="M1085" s="153"/>
      <c r="N1085" s="153"/>
      <c r="O1085" s="153"/>
      <c r="P1085" s="150"/>
      <c r="Q1085" s="150"/>
      <c r="R1085" s="153"/>
      <c r="S1085" s="154"/>
      <c r="T1085" s="115"/>
    </row>
    <row r="1086" spans="1:20">
      <c r="A1086" t="s">
        <v>1230</v>
      </c>
      <c r="B1086" t="s">
        <v>1012</v>
      </c>
      <c r="C1086" t="s">
        <v>33</v>
      </c>
      <c r="D1086" t="s">
        <v>7107</v>
      </c>
      <c r="E1086" t="s">
        <v>7186</v>
      </c>
      <c r="F1086" s="121">
        <v>1489760.07</v>
      </c>
      <c r="G1086" s="121">
        <v>1489760.07</v>
      </c>
      <c r="H1086" t="s">
        <v>7109</v>
      </c>
      <c r="I1086" s="156">
        <v>42277</v>
      </c>
      <c r="K1086" s="153"/>
      <c r="L1086" s="153"/>
      <c r="M1086" s="153"/>
      <c r="N1086" s="153"/>
      <c r="O1086" s="153"/>
      <c r="P1086" s="150"/>
      <c r="Q1086" s="150"/>
      <c r="R1086" s="153"/>
      <c r="S1086" s="154"/>
      <c r="T1086" s="115"/>
    </row>
    <row r="1087" spans="1:20">
      <c r="A1087" t="s">
        <v>1230</v>
      </c>
      <c r="B1087" t="s">
        <v>72</v>
      </c>
      <c r="C1087" t="s">
        <v>43</v>
      </c>
      <c r="D1087" t="s">
        <v>536</v>
      </c>
      <c r="E1087" t="s">
        <v>2883</v>
      </c>
      <c r="F1087" s="121">
        <v>1079</v>
      </c>
      <c r="G1087" s="121">
        <v>824</v>
      </c>
      <c r="H1087" t="s">
        <v>336</v>
      </c>
      <c r="I1087" s="156">
        <v>40864</v>
      </c>
      <c r="K1087" s="153"/>
      <c r="L1087" s="153"/>
      <c r="M1087" s="153"/>
      <c r="N1087" s="153"/>
      <c r="O1087" s="153"/>
      <c r="P1087" s="152"/>
      <c r="Q1087" s="152"/>
      <c r="R1087" s="153"/>
      <c r="S1087" s="154"/>
      <c r="T1087" s="115"/>
    </row>
    <row r="1088" spans="1:20">
      <c r="A1088" t="s">
        <v>1230</v>
      </c>
      <c r="B1088" t="s">
        <v>72</v>
      </c>
      <c r="C1088" t="s">
        <v>43</v>
      </c>
      <c r="D1088" t="s">
        <v>537</v>
      </c>
      <c r="E1088" t="s">
        <v>2884</v>
      </c>
      <c r="F1088" s="121">
        <v>772.5</v>
      </c>
      <c r="G1088" s="121">
        <v>772.5</v>
      </c>
      <c r="H1088" t="s">
        <v>336</v>
      </c>
      <c r="I1088" s="156">
        <v>41089</v>
      </c>
      <c r="K1088" s="153"/>
      <c r="L1088" s="153"/>
      <c r="M1088" s="153"/>
      <c r="N1088" s="153"/>
      <c r="O1088" s="153"/>
      <c r="P1088" s="150"/>
      <c r="Q1088" s="150"/>
      <c r="R1088" s="153"/>
      <c r="S1088" s="154"/>
      <c r="T1088" s="115"/>
    </row>
    <row r="1089" spans="1:20">
      <c r="A1089" t="s">
        <v>1230</v>
      </c>
      <c r="B1089" t="s">
        <v>72</v>
      </c>
      <c r="C1089" t="s">
        <v>43</v>
      </c>
      <c r="D1089" t="s">
        <v>7187</v>
      </c>
      <c r="E1089" t="s">
        <v>7188</v>
      </c>
      <c r="F1089" s="121">
        <v>900</v>
      </c>
      <c r="G1089" s="121">
        <v>895.55</v>
      </c>
      <c r="H1089" t="s">
        <v>373</v>
      </c>
      <c r="I1089" s="156">
        <v>40606</v>
      </c>
      <c r="K1089" s="153"/>
      <c r="L1089" s="153"/>
      <c r="M1089" s="153"/>
      <c r="N1089" s="153"/>
      <c r="O1089" s="153"/>
      <c r="P1089" s="150"/>
      <c r="Q1089" s="150"/>
      <c r="R1089" s="153"/>
      <c r="S1089" s="154"/>
      <c r="T1089" s="115"/>
    </row>
    <row r="1090" spans="1:20">
      <c r="A1090" t="s">
        <v>1230</v>
      </c>
      <c r="B1090" t="s">
        <v>72</v>
      </c>
      <c r="C1090" t="s">
        <v>55</v>
      </c>
      <c r="D1090" t="s">
        <v>7189</v>
      </c>
      <c r="E1090" t="s">
        <v>7190</v>
      </c>
      <c r="F1090" s="121">
        <v>250</v>
      </c>
      <c r="G1090" s="121">
        <v>195.7</v>
      </c>
      <c r="H1090" t="s">
        <v>336</v>
      </c>
      <c r="I1090" s="156">
        <v>39813</v>
      </c>
      <c r="K1090" s="153"/>
      <c r="L1090" s="153"/>
      <c r="M1090" s="153"/>
      <c r="N1090" s="153"/>
      <c r="O1090" s="153"/>
      <c r="P1090" s="150"/>
      <c r="Q1090" s="150"/>
      <c r="R1090" s="153"/>
      <c r="S1090" s="154"/>
      <c r="T1090" s="115"/>
    </row>
    <row r="1091" spans="1:20">
      <c r="A1091" t="s">
        <v>1230</v>
      </c>
      <c r="B1091" t="s">
        <v>72</v>
      </c>
      <c r="C1091" t="s">
        <v>55</v>
      </c>
      <c r="D1091" t="s">
        <v>538</v>
      </c>
      <c r="E1091" t="s">
        <v>7191</v>
      </c>
      <c r="F1091" s="121">
        <v>150</v>
      </c>
      <c r="G1091" s="121">
        <v>318</v>
      </c>
      <c r="H1091" t="s">
        <v>373</v>
      </c>
      <c r="I1091" s="156">
        <v>39813</v>
      </c>
      <c r="K1091" s="153"/>
      <c r="L1091" s="153"/>
      <c r="M1091" s="153"/>
      <c r="N1091" s="153"/>
      <c r="O1091" s="153"/>
      <c r="P1091" s="150"/>
      <c r="Q1091" s="150"/>
      <c r="R1091" s="153"/>
      <c r="S1091" s="154"/>
      <c r="T1091" s="115"/>
    </row>
    <row r="1092" spans="1:20">
      <c r="A1092" t="s">
        <v>1230</v>
      </c>
      <c r="B1092" t="s">
        <v>72</v>
      </c>
      <c r="C1092" t="s">
        <v>55</v>
      </c>
      <c r="D1092" t="s">
        <v>538</v>
      </c>
      <c r="E1092" t="s">
        <v>2885</v>
      </c>
      <c r="F1092" s="121">
        <v>318</v>
      </c>
      <c r="G1092" s="121">
        <v>318</v>
      </c>
      <c r="H1092" t="s">
        <v>373</v>
      </c>
      <c r="I1092" s="156">
        <v>41089</v>
      </c>
      <c r="K1092" s="153"/>
      <c r="L1092" s="153"/>
      <c r="M1092" s="153"/>
      <c r="N1092" s="153"/>
      <c r="O1092" s="153"/>
      <c r="P1092" s="150"/>
      <c r="Q1092" s="150"/>
      <c r="R1092" s="153"/>
      <c r="S1092" s="154"/>
      <c r="T1092" s="115"/>
    </row>
    <row r="1093" spans="1:20">
      <c r="A1093" t="s">
        <v>1230</v>
      </c>
      <c r="B1093" t="s">
        <v>72</v>
      </c>
      <c r="C1093" t="s">
        <v>55</v>
      </c>
      <c r="D1093" t="s">
        <v>7192</v>
      </c>
      <c r="E1093" t="s">
        <v>7193</v>
      </c>
      <c r="F1093" s="121">
        <v>50</v>
      </c>
      <c r="G1093" s="121">
        <v>45</v>
      </c>
      <c r="H1093" t="s">
        <v>336</v>
      </c>
      <c r="I1093" s="156">
        <v>39813</v>
      </c>
      <c r="K1093" s="153"/>
      <c r="L1093" s="153"/>
      <c r="M1093" s="153"/>
      <c r="N1093" s="153"/>
      <c r="O1093" s="153"/>
      <c r="P1093" s="150"/>
      <c r="Q1093" s="150"/>
      <c r="R1093" s="153"/>
      <c r="S1093" s="154"/>
      <c r="T1093" s="115"/>
    </row>
    <row r="1094" spans="1:20">
      <c r="A1094" t="s">
        <v>1230</v>
      </c>
      <c r="B1094" t="s">
        <v>72</v>
      </c>
      <c r="C1094" t="s">
        <v>55</v>
      </c>
      <c r="D1094" t="s">
        <v>539</v>
      </c>
      <c r="E1094" t="s">
        <v>7194</v>
      </c>
      <c r="F1094" s="121">
        <v>50</v>
      </c>
      <c r="G1094" s="121">
        <v>45</v>
      </c>
      <c r="H1094" t="s">
        <v>373</v>
      </c>
      <c r="I1094" s="156">
        <v>39813</v>
      </c>
      <c r="K1094" s="153"/>
      <c r="L1094" s="153"/>
      <c r="M1094" s="153"/>
      <c r="N1094" s="153"/>
      <c r="O1094" s="153"/>
      <c r="P1094" s="150"/>
      <c r="Q1094" s="150"/>
      <c r="R1094" s="153"/>
      <c r="S1094" s="154"/>
      <c r="T1094" s="115"/>
    </row>
    <row r="1095" spans="1:20">
      <c r="A1095" t="s">
        <v>1230</v>
      </c>
      <c r="B1095" t="s">
        <v>72</v>
      </c>
      <c r="C1095" t="s">
        <v>55</v>
      </c>
      <c r="D1095" t="s">
        <v>540</v>
      </c>
      <c r="E1095" t="s">
        <v>2886</v>
      </c>
      <c r="F1095" s="121">
        <v>228</v>
      </c>
      <c r="G1095" s="121">
        <v>149.35</v>
      </c>
      <c r="H1095" t="s">
        <v>373</v>
      </c>
      <c r="I1095" s="156">
        <v>41004</v>
      </c>
      <c r="K1095" s="153"/>
      <c r="L1095" s="153"/>
      <c r="M1095" s="153"/>
      <c r="N1095" s="153"/>
      <c r="O1095" s="153"/>
      <c r="P1095" s="150"/>
      <c r="Q1095" s="150"/>
      <c r="R1095" s="153"/>
      <c r="S1095" s="154"/>
      <c r="T1095" s="115"/>
    </row>
    <row r="1096" spans="1:20">
      <c r="A1096" t="s">
        <v>1230</v>
      </c>
      <c r="B1096" t="s">
        <v>72</v>
      </c>
      <c r="C1096" t="s">
        <v>55</v>
      </c>
      <c r="D1096" t="s">
        <v>541</v>
      </c>
      <c r="E1096" t="s">
        <v>2887</v>
      </c>
      <c r="F1096" s="121">
        <v>149.35</v>
      </c>
      <c r="G1096" s="121">
        <v>149.35</v>
      </c>
      <c r="H1096" t="s">
        <v>373</v>
      </c>
      <c r="I1096" s="156">
        <v>41089</v>
      </c>
      <c r="K1096" s="153"/>
      <c r="L1096" s="153"/>
      <c r="M1096" s="153"/>
      <c r="N1096" s="153"/>
      <c r="O1096" s="153"/>
      <c r="P1096" s="150"/>
      <c r="Q1096" s="150"/>
      <c r="R1096" s="153"/>
      <c r="S1096" s="154"/>
      <c r="T1096" s="115"/>
    </row>
    <row r="1097" spans="1:20">
      <c r="A1097" t="s">
        <v>1230</v>
      </c>
      <c r="B1097" t="s">
        <v>72</v>
      </c>
      <c r="C1097" t="s">
        <v>55</v>
      </c>
      <c r="D1097" t="s">
        <v>542</v>
      </c>
      <c r="E1097" t="s">
        <v>2888</v>
      </c>
      <c r="F1097" s="121">
        <v>679.8</v>
      </c>
      <c r="G1097" s="121">
        <v>679.8</v>
      </c>
      <c r="H1097" t="s">
        <v>373</v>
      </c>
      <c r="I1097" s="156">
        <v>41089</v>
      </c>
      <c r="K1097" s="153"/>
      <c r="L1097" s="153"/>
      <c r="M1097" s="153"/>
      <c r="N1097" s="153"/>
      <c r="O1097" s="153"/>
      <c r="P1097" s="150"/>
      <c r="Q1097" s="150"/>
      <c r="R1097" s="153"/>
      <c r="S1097" s="154"/>
      <c r="T1097" s="115"/>
    </row>
    <row r="1098" spans="1:20">
      <c r="A1098" t="s">
        <v>1230</v>
      </c>
      <c r="B1098" t="s">
        <v>72</v>
      </c>
      <c r="C1098" t="s">
        <v>43</v>
      </c>
      <c r="D1098" t="s">
        <v>537</v>
      </c>
      <c r="E1098" t="s">
        <v>7195</v>
      </c>
      <c r="F1098" s="121">
        <v>824</v>
      </c>
      <c r="G1098" s="121">
        <v>824</v>
      </c>
      <c r="H1098" t="s">
        <v>373</v>
      </c>
      <c r="I1098" s="156">
        <v>41089</v>
      </c>
      <c r="K1098" s="153"/>
      <c r="L1098" s="153"/>
      <c r="M1098" s="153"/>
      <c r="N1098" s="153"/>
      <c r="O1098" s="153"/>
      <c r="P1098" s="150"/>
      <c r="Q1098" s="150"/>
      <c r="R1098" s="153"/>
      <c r="S1098" s="154"/>
      <c r="T1098" s="115"/>
    </row>
    <row r="1099" spans="1:20">
      <c r="A1099" t="s">
        <v>1230</v>
      </c>
      <c r="B1099" t="s">
        <v>72</v>
      </c>
      <c r="C1099" t="s">
        <v>55</v>
      </c>
      <c r="D1099" t="s">
        <v>543</v>
      </c>
      <c r="E1099" t="s">
        <v>2889</v>
      </c>
      <c r="F1099" s="121">
        <v>190.55</v>
      </c>
      <c r="G1099" s="121">
        <v>190.55</v>
      </c>
      <c r="H1099" t="s">
        <v>373</v>
      </c>
      <c r="I1099" s="156">
        <v>41089</v>
      </c>
      <c r="K1099" s="153"/>
      <c r="L1099" s="153"/>
      <c r="M1099" s="153"/>
      <c r="N1099" s="153"/>
      <c r="O1099" s="153"/>
      <c r="P1099" s="150"/>
      <c r="Q1099" s="150"/>
      <c r="R1099" s="153"/>
      <c r="S1099" s="154"/>
      <c r="T1099" s="115"/>
    </row>
    <row r="1100" spans="1:20">
      <c r="A1100" t="s">
        <v>1230</v>
      </c>
      <c r="B1100" t="s">
        <v>72</v>
      </c>
      <c r="C1100" t="s">
        <v>55</v>
      </c>
      <c r="D1100" t="s">
        <v>539</v>
      </c>
      <c r="E1100" t="s">
        <v>2890</v>
      </c>
      <c r="F1100" s="121">
        <v>50</v>
      </c>
      <c r="G1100" s="121">
        <v>45</v>
      </c>
      <c r="H1100" t="s">
        <v>373</v>
      </c>
      <c r="I1100" s="156">
        <v>39813</v>
      </c>
      <c r="K1100" s="153"/>
      <c r="L1100" s="153"/>
      <c r="M1100" s="153"/>
      <c r="N1100" s="153"/>
      <c r="O1100" s="153"/>
      <c r="P1100" s="150"/>
      <c r="Q1100" s="150"/>
      <c r="R1100" s="153"/>
      <c r="S1100" s="154"/>
      <c r="T1100" s="115"/>
    </row>
    <row r="1101" spans="1:20">
      <c r="A1101" t="s">
        <v>1230</v>
      </c>
      <c r="B1101" t="s">
        <v>72</v>
      </c>
      <c r="C1101" t="s">
        <v>55</v>
      </c>
      <c r="D1101" t="s">
        <v>7196</v>
      </c>
      <c r="E1101" t="s">
        <v>7197</v>
      </c>
      <c r="F1101" s="121">
        <v>70</v>
      </c>
      <c r="G1101" s="121">
        <v>62.7</v>
      </c>
      <c r="H1101" t="s">
        <v>373</v>
      </c>
      <c r="I1101" s="156">
        <v>39813</v>
      </c>
      <c r="K1101" s="153"/>
      <c r="L1101" s="153"/>
      <c r="M1101" s="153"/>
      <c r="N1101" s="153"/>
      <c r="O1101" s="153"/>
      <c r="P1101" s="150"/>
      <c r="Q1101" s="150"/>
      <c r="R1101" s="153"/>
      <c r="S1101" s="154"/>
      <c r="T1101" s="115"/>
    </row>
    <row r="1102" spans="1:20">
      <c r="A1102" t="s">
        <v>1230</v>
      </c>
      <c r="B1102" t="s">
        <v>72</v>
      </c>
      <c r="C1102" t="s">
        <v>55</v>
      </c>
      <c r="D1102" t="s">
        <v>7198</v>
      </c>
      <c r="E1102" t="s">
        <v>7199</v>
      </c>
      <c r="F1102" s="121">
        <v>350</v>
      </c>
      <c r="G1102" s="121">
        <v>298.7</v>
      </c>
      <c r="H1102" t="s">
        <v>373</v>
      </c>
      <c r="I1102" s="156">
        <v>39813</v>
      </c>
      <c r="K1102" s="153"/>
      <c r="L1102" s="153"/>
      <c r="M1102" s="153"/>
      <c r="N1102" s="153"/>
      <c r="O1102" s="153"/>
      <c r="P1102" s="150"/>
      <c r="Q1102" s="150"/>
      <c r="R1102" s="153"/>
      <c r="S1102" s="154"/>
      <c r="T1102" s="115"/>
    </row>
    <row r="1103" spans="1:20">
      <c r="A1103" t="s">
        <v>1230</v>
      </c>
      <c r="B1103" t="s">
        <v>72</v>
      </c>
      <c r="C1103" t="s">
        <v>43</v>
      </c>
      <c r="D1103" t="s">
        <v>7200</v>
      </c>
      <c r="E1103" t="s">
        <v>7201</v>
      </c>
      <c r="F1103" s="121">
        <v>250</v>
      </c>
      <c r="G1103" s="121">
        <v>1076.3499999999999</v>
      </c>
      <c r="H1103" t="s">
        <v>336</v>
      </c>
      <c r="I1103" s="156">
        <v>39813</v>
      </c>
      <c r="K1103" s="153"/>
      <c r="L1103" s="153"/>
      <c r="M1103" s="153"/>
      <c r="N1103" s="153"/>
      <c r="O1103" s="153"/>
      <c r="P1103" s="150"/>
      <c r="Q1103" s="150"/>
      <c r="R1103" s="153"/>
      <c r="S1103" s="154"/>
      <c r="T1103" s="115"/>
    </row>
    <row r="1104" spans="1:20">
      <c r="A1104" t="s">
        <v>1230</v>
      </c>
      <c r="B1104" t="s">
        <v>72</v>
      </c>
      <c r="C1104" t="s">
        <v>55</v>
      </c>
      <c r="D1104" t="s">
        <v>7196</v>
      </c>
      <c r="E1104" t="s">
        <v>7202</v>
      </c>
      <c r="F1104" s="121">
        <v>70</v>
      </c>
      <c r="G1104" s="121">
        <v>63.6</v>
      </c>
      <c r="H1104" t="s">
        <v>373</v>
      </c>
      <c r="I1104" s="156">
        <v>39813</v>
      </c>
      <c r="K1104" s="153"/>
      <c r="L1104" s="153"/>
      <c r="M1104" s="153"/>
      <c r="N1104" s="153"/>
      <c r="O1104" s="153"/>
      <c r="P1104" s="150"/>
      <c r="Q1104" s="150"/>
      <c r="R1104" s="153"/>
      <c r="S1104" s="154"/>
      <c r="T1104" s="115"/>
    </row>
    <row r="1105" spans="1:20">
      <c r="A1105" t="s">
        <v>1230</v>
      </c>
      <c r="B1105" t="s">
        <v>72</v>
      </c>
      <c r="C1105" t="s">
        <v>55</v>
      </c>
      <c r="D1105" t="s">
        <v>7196</v>
      </c>
      <c r="E1105" t="s">
        <v>7203</v>
      </c>
      <c r="F1105" s="121">
        <v>70</v>
      </c>
      <c r="G1105" s="121">
        <v>63.6</v>
      </c>
      <c r="H1105" t="s">
        <v>373</v>
      </c>
      <c r="I1105" s="156">
        <v>39813</v>
      </c>
      <c r="K1105" s="153"/>
      <c r="L1105" s="153"/>
      <c r="M1105" s="153"/>
      <c r="N1105" s="153"/>
      <c r="O1105" s="153"/>
      <c r="P1105" s="150"/>
      <c r="Q1105" s="150"/>
      <c r="R1105" s="153"/>
      <c r="S1105" s="154"/>
      <c r="T1105" s="115"/>
    </row>
    <row r="1106" spans="1:20">
      <c r="A1106" t="s">
        <v>1230</v>
      </c>
      <c r="B1106" t="s">
        <v>72</v>
      </c>
      <c r="C1106" t="s">
        <v>55</v>
      </c>
      <c r="D1106" t="s">
        <v>7198</v>
      </c>
      <c r="E1106" t="s">
        <v>7204</v>
      </c>
      <c r="F1106" s="121">
        <v>350</v>
      </c>
      <c r="G1106" s="121">
        <v>298.7</v>
      </c>
      <c r="H1106" t="s">
        <v>373</v>
      </c>
      <c r="I1106" s="156">
        <v>39813</v>
      </c>
      <c r="K1106" s="153"/>
      <c r="L1106" s="153"/>
      <c r="M1106" s="153"/>
      <c r="N1106" s="153"/>
      <c r="O1106" s="153"/>
      <c r="P1106" s="150"/>
      <c r="Q1106" s="150"/>
      <c r="R1106" s="153"/>
      <c r="S1106" s="154"/>
      <c r="T1106" s="115"/>
    </row>
    <row r="1107" spans="1:20">
      <c r="A1107" t="s">
        <v>1230</v>
      </c>
      <c r="B1107" t="s">
        <v>72</v>
      </c>
      <c r="C1107" t="s">
        <v>43</v>
      </c>
      <c r="D1107" t="s">
        <v>7200</v>
      </c>
      <c r="E1107" t="s">
        <v>7205</v>
      </c>
      <c r="F1107" s="121">
        <v>250</v>
      </c>
      <c r="G1107" s="121">
        <v>1076.3499999999999</v>
      </c>
      <c r="H1107" t="s">
        <v>373</v>
      </c>
      <c r="I1107" s="156">
        <v>39813</v>
      </c>
      <c r="K1107" s="153"/>
      <c r="L1107" s="153"/>
      <c r="M1107" s="153"/>
      <c r="N1107" s="153"/>
      <c r="O1107" s="153"/>
      <c r="P1107" s="150"/>
      <c r="Q1107" s="150"/>
      <c r="R1107" s="153"/>
      <c r="S1107" s="154"/>
      <c r="T1107" s="115"/>
    </row>
    <row r="1108" spans="1:20">
      <c r="A1108" t="s">
        <v>1230</v>
      </c>
      <c r="B1108" t="s">
        <v>72</v>
      </c>
      <c r="C1108" t="s">
        <v>43</v>
      </c>
      <c r="D1108" t="s">
        <v>544</v>
      </c>
      <c r="E1108" t="s">
        <v>2891</v>
      </c>
      <c r="F1108" s="121">
        <v>2729.5</v>
      </c>
      <c r="G1108" s="121">
        <v>2729.5</v>
      </c>
      <c r="H1108" t="s">
        <v>373</v>
      </c>
      <c r="I1108" s="156">
        <v>41089</v>
      </c>
      <c r="K1108" s="153"/>
      <c r="L1108" s="153"/>
      <c r="M1108" s="153"/>
      <c r="N1108" s="153"/>
      <c r="O1108" s="153"/>
      <c r="P1108" s="152"/>
      <c r="Q1108" s="150"/>
      <c r="R1108" s="153"/>
      <c r="S1108" s="154"/>
      <c r="T1108" s="115"/>
    </row>
    <row r="1109" spans="1:20">
      <c r="A1109" t="s">
        <v>1230</v>
      </c>
      <c r="B1109" t="s">
        <v>72</v>
      </c>
      <c r="C1109" t="s">
        <v>43</v>
      </c>
      <c r="D1109" t="s">
        <v>545</v>
      </c>
      <c r="E1109" t="s">
        <v>2892</v>
      </c>
      <c r="F1109" s="121">
        <v>1801.69</v>
      </c>
      <c r="G1109" s="121">
        <v>967.35</v>
      </c>
      <c r="H1109" t="s">
        <v>373</v>
      </c>
      <c r="I1109" s="156">
        <v>39982</v>
      </c>
      <c r="K1109" s="153"/>
      <c r="L1109" s="153"/>
      <c r="M1109" s="153"/>
      <c r="N1109" s="153"/>
      <c r="O1109" s="153"/>
      <c r="P1109" s="150"/>
      <c r="Q1109" s="150"/>
      <c r="R1109" s="153"/>
      <c r="S1109" s="154"/>
      <c r="T1109" s="115"/>
    </row>
    <row r="1110" spans="1:20">
      <c r="A1110" t="s">
        <v>1230</v>
      </c>
      <c r="B1110" t="s">
        <v>72</v>
      </c>
      <c r="C1110" t="s">
        <v>55</v>
      </c>
      <c r="D1110" t="s">
        <v>543</v>
      </c>
      <c r="E1110" t="s">
        <v>2893</v>
      </c>
      <c r="F1110" s="121">
        <v>123.6</v>
      </c>
      <c r="G1110" s="121">
        <v>123.6</v>
      </c>
      <c r="H1110" t="s">
        <v>373</v>
      </c>
      <c r="I1110" s="156">
        <v>41089</v>
      </c>
      <c r="K1110" s="153"/>
      <c r="L1110" s="153"/>
      <c r="M1110" s="153"/>
      <c r="N1110" s="153"/>
      <c r="O1110" s="153"/>
      <c r="P1110" s="150"/>
      <c r="Q1110" s="150"/>
      <c r="R1110" s="153"/>
      <c r="S1110" s="154"/>
      <c r="T1110" s="115"/>
    </row>
    <row r="1111" spans="1:20">
      <c r="A1111" t="s">
        <v>1230</v>
      </c>
      <c r="B1111" t="s">
        <v>72</v>
      </c>
      <c r="C1111" t="s">
        <v>55</v>
      </c>
      <c r="D1111" t="s">
        <v>546</v>
      </c>
      <c r="E1111" t="s">
        <v>2894</v>
      </c>
      <c r="F1111" s="121">
        <v>150</v>
      </c>
      <c r="G1111" s="121">
        <v>312</v>
      </c>
      <c r="H1111" t="s">
        <v>373</v>
      </c>
      <c r="I1111" s="156">
        <v>39813</v>
      </c>
      <c r="K1111" s="153"/>
      <c r="L1111" s="153"/>
      <c r="M1111" s="153"/>
      <c r="N1111" s="153"/>
      <c r="O1111" s="153"/>
      <c r="P1111" s="150"/>
      <c r="Q1111" s="150"/>
      <c r="R1111" s="153"/>
      <c r="S1111" s="154"/>
      <c r="T1111" s="115"/>
    </row>
    <row r="1112" spans="1:20">
      <c r="A1112" t="s">
        <v>1230</v>
      </c>
      <c r="B1112" t="s">
        <v>72</v>
      </c>
      <c r="C1112" t="s">
        <v>55</v>
      </c>
      <c r="D1112" t="s">
        <v>547</v>
      </c>
      <c r="E1112" t="s">
        <v>2895</v>
      </c>
      <c r="F1112" s="121">
        <v>751.9</v>
      </c>
      <c r="G1112" s="121">
        <v>751.9</v>
      </c>
      <c r="H1112" t="s">
        <v>373</v>
      </c>
      <c r="I1112" s="156">
        <v>41089</v>
      </c>
      <c r="K1112" s="153"/>
      <c r="L1112" s="153"/>
      <c r="M1112" s="153"/>
      <c r="N1112" s="153"/>
      <c r="O1112" s="153"/>
      <c r="P1112" s="150"/>
      <c r="Q1112" s="150"/>
      <c r="R1112" s="153"/>
      <c r="S1112" s="154"/>
      <c r="T1112" s="115"/>
    </row>
    <row r="1113" spans="1:20">
      <c r="A1113" t="s">
        <v>1230</v>
      </c>
      <c r="B1113" t="s">
        <v>72</v>
      </c>
      <c r="C1113" t="s">
        <v>43</v>
      </c>
      <c r="D1113" t="s">
        <v>548</v>
      </c>
      <c r="E1113" t="s">
        <v>2896</v>
      </c>
      <c r="F1113" s="121">
        <v>3429.5</v>
      </c>
      <c r="G1113" s="121">
        <v>3429.5</v>
      </c>
      <c r="H1113" t="s">
        <v>373</v>
      </c>
      <c r="I1113" s="156">
        <v>41089</v>
      </c>
      <c r="K1113" s="153"/>
      <c r="L1113" s="153"/>
      <c r="M1113" s="153"/>
      <c r="N1113" s="153"/>
      <c r="O1113" s="153"/>
      <c r="P1113" s="150"/>
      <c r="Q1113" s="150"/>
      <c r="R1113" s="153"/>
      <c r="S1113" s="154"/>
      <c r="T1113" s="115"/>
    </row>
    <row r="1114" spans="1:20">
      <c r="A1114" t="s">
        <v>1230</v>
      </c>
      <c r="B1114" t="s">
        <v>72</v>
      </c>
      <c r="C1114" t="s">
        <v>43</v>
      </c>
      <c r="D1114" t="s">
        <v>537</v>
      </c>
      <c r="E1114" t="s">
        <v>7206</v>
      </c>
      <c r="F1114" s="121">
        <v>618</v>
      </c>
      <c r="G1114" s="121">
        <v>618</v>
      </c>
      <c r="H1114" t="s">
        <v>373</v>
      </c>
      <c r="I1114" s="156">
        <v>41089</v>
      </c>
      <c r="K1114" s="153"/>
      <c r="L1114" s="153"/>
      <c r="M1114" s="153"/>
      <c r="N1114" s="153"/>
      <c r="O1114" s="153"/>
      <c r="P1114" s="150"/>
      <c r="Q1114" s="150"/>
      <c r="R1114" s="153"/>
      <c r="S1114" s="154"/>
      <c r="T1114" s="115"/>
    </row>
    <row r="1115" spans="1:20">
      <c r="A1115" t="s">
        <v>1230</v>
      </c>
      <c r="B1115" t="s">
        <v>72</v>
      </c>
      <c r="C1115" t="s">
        <v>55</v>
      </c>
      <c r="D1115" t="s">
        <v>549</v>
      </c>
      <c r="E1115" t="s">
        <v>2897</v>
      </c>
      <c r="F1115" s="121">
        <v>150</v>
      </c>
      <c r="G1115" s="121">
        <v>224.92</v>
      </c>
      <c r="H1115" t="s">
        <v>373</v>
      </c>
      <c r="I1115" s="156">
        <v>39813</v>
      </c>
      <c r="K1115" s="153"/>
      <c r="L1115" s="153"/>
      <c r="M1115" s="153"/>
      <c r="N1115" s="153"/>
      <c r="O1115" s="153"/>
      <c r="P1115" s="150"/>
      <c r="Q1115" s="150"/>
      <c r="R1115" s="153"/>
      <c r="S1115" s="154"/>
      <c r="T1115" s="115"/>
    </row>
    <row r="1116" spans="1:20">
      <c r="A1116" t="s">
        <v>1230</v>
      </c>
      <c r="B1116" t="s">
        <v>72</v>
      </c>
      <c r="C1116" t="s">
        <v>55</v>
      </c>
      <c r="D1116" t="s">
        <v>550</v>
      </c>
      <c r="E1116" t="s">
        <v>2898</v>
      </c>
      <c r="F1116" s="121">
        <v>300</v>
      </c>
      <c r="G1116" s="121">
        <v>257.5</v>
      </c>
      <c r="H1116" t="s">
        <v>373</v>
      </c>
      <c r="I1116" s="156">
        <v>39813</v>
      </c>
      <c r="K1116" s="153"/>
      <c r="L1116" s="153"/>
      <c r="M1116" s="153"/>
      <c r="N1116" s="153"/>
      <c r="O1116" s="153"/>
      <c r="P1116" s="152"/>
      <c r="Q1116" s="152"/>
      <c r="R1116" s="153"/>
      <c r="S1116" s="154"/>
      <c r="T1116" s="115"/>
    </row>
    <row r="1117" spans="1:20">
      <c r="A1117" t="s">
        <v>1230</v>
      </c>
      <c r="B1117" t="s">
        <v>72</v>
      </c>
      <c r="C1117" t="s">
        <v>55</v>
      </c>
      <c r="D1117" t="s">
        <v>551</v>
      </c>
      <c r="E1117" t="s">
        <v>2899</v>
      </c>
      <c r="F1117" s="121">
        <v>391.4</v>
      </c>
      <c r="G1117" s="121">
        <v>391.4</v>
      </c>
      <c r="H1117" t="s">
        <v>373</v>
      </c>
      <c r="I1117" s="156">
        <v>41089</v>
      </c>
      <c r="K1117" s="153"/>
      <c r="L1117" s="153"/>
      <c r="M1117" s="153"/>
      <c r="N1117" s="153"/>
      <c r="O1117" s="153"/>
      <c r="P1117" s="150"/>
      <c r="Q1117" s="150"/>
      <c r="R1117" s="153"/>
      <c r="S1117" s="154"/>
      <c r="T1117" s="115"/>
    </row>
    <row r="1118" spans="1:20">
      <c r="A1118" t="s">
        <v>1230</v>
      </c>
      <c r="B1118" t="s">
        <v>72</v>
      </c>
      <c r="C1118" t="s">
        <v>55</v>
      </c>
      <c r="D1118" t="s">
        <v>552</v>
      </c>
      <c r="E1118" t="s">
        <v>2900</v>
      </c>
      <c r="F1118" s="121">
        <v>515</v>
      </c>
      <c r="G1118" s="121">
        <v>515</v>
      </c>
      <c r="H1118" t="s">
        <v>373</v>
      </c>
      <c r="I1118" s="156">
        <v>41089</v>
      </c>
      <c r="K1118" s="153"/>
      <c r="L1118" s="153"/>
      <c r="M1118" s="153"/>
      <c r="N1118" s="153"/>
      <c r="O1118" s="153"/>
      <c r="P1118" s="152"/>
      <c r="Q1118" s="152"/>
      <c r="R1118" s="153"/>
      <c r="S1118" s="154"/>
      <c r="T1118" s="115"/>
    </row>
    <row r="1119" spans="1:20">
      <c r="A1119" t="s">
        <v>1230</v>
      </c>
      <c r="B1119" t="s">
        <v>72</v>
      </c>
      <c r="C1119" t="s">
        <v>43</v>
      </c>
      <c r="D1119" t="s">
        <v>537</v>
      </c>
      <c r="E1119" t="s">
        <v>2901</v>
      </c>
      <c r="F1119" s="121">
        <v>1076.3499999999999</v>
      </c>
      <c r="G1119" s="121">
        <v>1076.3499999999999</v>
      </c>
      <c r="H1119" t="s">
        <v>373</v>
      </c>
      <c r="I1119" s="156">
        <v>41089</v>
      </c>
      <c r="K1119" s="153"/>
      <c r="L1119" s="153"/>
      <c r="M1119" s="153"/>
      <c r="N1119" s="153"/>
      <c r="O1119" s="153"/>
      <c r="P1119" s="150"/>
      <c r="Q1119" s="150"/>
      <c r="R1119" s="153"/>
      <c r="S1119" s="154"/>
      <c r="T1119" s="115"/>
    </row>
    <row r="1120" spans="1:20">
      <c r="A1120" t="s">
        <v>1230</v>
      </c>
      <c r="B1120" t="s">
        <v>72</v>
      </c>
      <c r="C1120" t="s">
        <v>43</v>
      </c>
      <c r="D1120" t="s">
        <v>537</v>
      </c>
      <c r="E1120" t="s">
        <v>2902</v>
      </c>
      <c r="F1120" s="121">
        <v>618</v>
      </c>
      <c r="G1120" s="121">
        <v>618</v>
      </c>
      <c r="H1120" t="s">
        <v>373</v>
      </c>
      <c r="I1120" s="156">
        <v>41089</v>
      </c>
      <c r="K1120" s="153"/>
      <c r="L1120" s="153"/>
      <c r="M1120" s="153"/>
      <c r="N1120" s="153"/>
      <c r="O1120" s="153"/>
      <c r="P1120" s="150"/>
      <c r="Q1120" s="152"/>
      <c r="R1120" s="153"/>
      <c r="S1120" s="154"/>
      <c r="T1120" s="115"/>
    </row>
    <row r="1121" spans="1:20">
      <c r="A1121" t="s">
        <v>1230</v>
      </c>
      <c r="B1121" t="s">
        <v>72</v>
      </c>
      <c r="C1121" t="s">
        <v>43</v>
      </c>
      <c r="D1121" t="s">
        <v>553</v>
      </c>
      <c r="E1121" t="s">
        <v>2903</v>
      </c>
      <c r="F1121" s="121">
        <v>300</v>
      </c>
      <c r="G1121" s="121">
        <v>767.35</v>
      </c>
      <c r="H1121" t="s">
        <v>373</v>
      </c>
      <c r="I1121" s="156">
        <v>39813</v>
      </c>
      <c r="K1121" s="153"/>
      <c r="L1121" s="153"/>
      <c r="M1121" s="153"/>
      <c r="N1121" s="153"/>
      <c r="O1121" s="153"/>
      <c r="P1121" s="150"/>
      <c r="Q1121" s="152"/>
      <c r="R1121" s="153"/>
      <c r="S1121" s="154"/>
      <c r="T1121" s="115"/>
    </row>
    <row r="1122" spans="1:20">
      <c r="A1122" t="s">
        <v>1230</v>
      </c>
      <c r="B1122" t="s">
        <v>72</v>
      </c>
      <c r="C1122" t="s">
        <v>43</v>
      </c>
      <c r="D1122" t="s">
        <v>554</v>
      </c>
      <c r="E1122" t="s">
        <v>2904</v>
      </c>
      <c r="F1122" s="121">
        <v>669.5</v>
      </c>
      <c r="G1122" s="121">
        <v>669.5</v>
      </c>
      <c r="H1122" t="s">
        <v>373</v>
      </c>
      <c r="I1122" s="156">
        <v>41089</v>
      </c>
      <c r="K1122" s="153"/>
      <c r="L1122" s="153"/>
      <c r="M1122" s="153"/>
      <c r="N1122" s="153"/>
      <c r="O1122" s="153"/>
      <c r="P1122" s="152"/>
      <c r="Q1122" s="152"/>
      <c r="R1122" s="153"/>
      <c r="S1122" s="154"/>
      <c r="T1122" s="115"/>
    </row>
    <row r="1123" spans="1:20">
      <c r="A1123" t="s">
        <v>1230</v>
      </c>
      <c r="B1123" t="s">
        <v>72</v>
      </c>
      <c r="C1123" t="s">
        <v>55</v>
      </c>
      <c r="D1123" t="s">
        <v>539</v>
      </c>
      <c r="E1123" t="s">
        <v>7207</v>
      </c>
      <c r="F1123" s="121">
        <v>50</v>
      </c>
      <c r="G1123" s="121">
        <v>44</v>
      </c>
      <c r="H1123" t="s">
        <v>373</v>
      </c>
      <c r="I1123" s="156">
        <v>39813</v>
      </c>
      <c r="K1123" s="153"/>
      <c r="L1123" s="153"/>
      <c r="M1123" s="153"/>
      <c r="N1123" s="153"/>
      <c r="O1123" s="153"/>
      <c r="P1123" s="152"/>
      <c r="Q1123" s="152"/>
      <c r="R1123" s="153"/>
      <c r="S1123" s="154"/>
      <c r="T1123" s="115"/>
    </row>
    <row r="1124" spans="1:20">
      <c r="A1124" t="s">
        <v>1230</v>
      </c>
      <c r="B1124" t="s">
        <v>72</v>
      </c>
      <c r="C1124" t="s">
        <v>43</v>
      </c>
      <c r="D1124" t="s">
        <v>555</v>
      </c>
      <c r="E1124" t="s">
        <v>2905</v>
      </c>
      <c r="F1124" s="121">
        <v>206</v>
      </c>
      <c r="G1124" s="121">
        <v>206</v>
      </c>
      <c r="H1124" t="s">
        <v>373</v>
      </c>
      <c r="I1124" s="156">
        <v>41089</v>
      </c>
      <c r="K1124" s="153"/>
      <c r="L1124" s="153"/>
      <c r="M1124" s="153"/>
      <c r="N1124" s="153"/>
      <c r="O1124" s="153"/>
      <c r="P1124" s="150"/>
      <c r="Q1124" s="150"/>
      <c r="R1124" s="153"/>
      <c r="S1124" s="154"/>
      <c r="T1124" s="115"/>
    </row>
    <row r="1125" spans="1:20">
      <c r="A1125" t="s">
        <v>1230</v>
      </c>
      <c r="B1125" t="s">
        <v>72</v>
      </c>
      <c r="C1125" t="s">
        <v>55</v>
      </c>
      <c r="D1125" t="s">
        <v>556</v>
      </c>
      <c r="E1125" t="s">
        <v>2906</v>
      </c>
      <c r="F1125" s="121">
        <v>300</v>
      </c>
      <c r="G1125" s="121">
        <v>324</v>
      </c>
      <c r="H1125" t="s">
        <v>373</v>
      </c>
      <c r="I1125" s="156">
        <v>39813</v>
      </c>
      <c r="K1125" s="153"/>
      <c r="L1125" s="153"/>
      <c r="M1125" s="153"/>
      <c r="N1125" s="153"/>
      <c r="O1125" s="153"/>
      <c r="P1125" s="150"/>
      <c r="Q1125" s="150"/>
      <c r="R1125" s="153"/>
      <c r="S1125" s="154"/>
      <c r="T1125" s="115"/>
    </row>
    <row r="1126" spans="1:20">
      <c r="A1126" t="s">
        <v>1230</v>
      </c>
      <c r="B1126" t="s">
        <v>72</v>
      </c>
      <c r="C1126" t="s">
        <v>55</v>
      </c>
      <c r="D1126" t="s">
        <v>556</v>
      </c>
      <c r="E1126" t="s">
        <v>2907</v>
      </c>
      <c r="F1126" s="121">
        <v>300</v>
      </c>
      <c r="G1126" s="121">
        <v>324</v>
      </c>
      <c r="H1126" t="s">
        <v>373</v>
      </c>
      <c r="I1126" s="156">
        <v>39813</v>
      </c>
      <c r="K1126" s="153"/>
      <c r="L1126" s="153"/>
      <c r="M1126" s="153"/>
      <c r="N1126" s="153"/>
      <c r="O1126" s="153"/>
      <c r="P1126" s="152"/>
      <c r="Q1126" s="152"/>
      <c r="R1126" s="153"/>
      <c r="S1126" s="154"/>
      <c r="T1126" s="115"/>
    </row>
    <row r="1127" spans="1:20">
      <c r="A1127" t="s">
        <v>1230</v>
      </c>
      <c r="B1127" t="s">
        <v>72</v>
      </c>
      <c r="C1127" t="s">
        <v>55</v>
      </c>
      <c r="D1127" t="s">
        <v>556</v>
      </c>
      <c r="E1127" t="s">
        <v>2908</v>
      </c>
      <c r="F1127" s="121">
        <v>300</v>
      </c>
      <c r="G1127" s="121">
        <v>324</v>
      </c>
      <c r="H1127" t="s">
        <v>373</v>
      </c>
      <c r="I1127" s="156">
        <v>39813</v>
      </c>
      <c r="K1127" s="153"/>
      <c r="L1127" s="153"/>
      <c r="M1127" s="153"/>
      <c r="N1127" s="153"/>
      <c r="O1127" s="153"/>
      <c r="P1127" s="152"/>
      <c r="Q1127" s="152"/>
      <c r="R1127" s="153"/>
      <c r="S1127" s="154"/>
      <c r="T1127" s="115"/>
    </row>
    <row r="1128" spans="1:20">
      <c r="A1128" t="s">
        <v>1230</v>
      </c>
      <c r="B1128" t="s">
        <v>72</v>
      </c>
      <c r="C1128" t="s">
        <v>55</v>
      </c>
      <c r="D1128" t="s">
        <v>7208</v>
      </c>
      <c r="E1128" t="s">
        <v>7209</v>
      </c>
      <c r="F1128" s="121">
        <v>1500</v>
      </c>
      <c r="G1128" s="121">
        <v>1389.2</v>
      </c>
      <c r="H1128" t="s">
        <v>373</v>
      </c>
      <c r="I1128" s="156">
        <v>39813</v>
      </c>
      <c r="K1128" s="153"/>
      <c r="L1128" s="153"/>
      <c r="M1128" s="153"/>
      <c r="N1128" s="153"/>
      <c r="O1128" s="153"/>
      <c r="P1128" s="150"/>
      <c r="Q1128" s="150"/>
      <c r="R1128" s="153"/>
      <c r="S1128" s="154"/>
      <c r="T1128" s="115"/>
    </row>
    <row r="1129" spans="1:20">
      <c r="A1129" t="s">
        <v>1230</v>
      </c>
      <c r="B1129" t="s">
        <v>72</v>
      </c>
      <c r="C1129" t="s">
        <v>55</v>
      </c>
      <c r="D1129" t="s">
        <v>556</v>
      </c>
      <c r="E1129" t="s">
        <v>2909</v>
      </c>
      <c r="F1129" s="121">
        <v>300</v>
      </c>
      <c r="G1129" s="121">
        <v>324</v>
      </c>
      <c r="H1129" t="s">
        <v>373</v>
      </c>
      <c r="I1129" s="156">
        <v>39813</v>
      </c>
      <c r="K1129" s="153"/>
      <c r="L1129" s="153"/>
      <c r="M1129" s="153"/>
      <c r="N1129" s="153"/>
      <c r="O1129" s="153"/>
      <c r="P1129" s="150"/>
      <c r="Q1129" s="150"/>
      <c r="R1129" s="153"/>
      <c r="S1129" s="154"/>
      <c r="T1129" s="115"/>
    </row>
    <row r="1130" spans="1:20">
      <c r="A1130" t="s">
        <v>1230</v>
      </c>
      <c r="B1130" t="s">
        <v>72</v>
      </c>
      <c r="C1130" t="s">
        <v>55</v>
      </c>
      <c r="D1130" t="s">
        <v>556</v>
      </c>
      <c r="E1130" t="s">
        <v>2910</v>
      </c>
      <c r="F1130" s="121">
        <v>300</v>
      </c>
      <c r="G1130" s="121">
        <v>324</v>
      </c>
      <c r="H1130" t="s">
        <v>373</v>
      </c>
      <c r="I1130" s="156">
        <v>39813</v>
      </c>
      <c r="K1130" s="153"/>
      <c r="L1130" s="153"/>
      <c r="M1130" s="153"/>
      <c r="N1130" s="153"/>
      <c r="O1130" s="153"/>
      <c r="P1130" s="150"/>
      <c r="Q1130" s="150"/>
      <c r="R1130" s="153"/>
      <c r="S1130" s="154"/>
      <c r="T1130" s="115"/>
    </row>
    <row r="1131" spans="1:20">
      <c r="A1131" t="s">
        <v>1230</v>
      </c>
      <c r="B1131" t="s">
        <v>72</v>
      </c>
      <c r="C1131" t="s">
        <v>43</v>
      </c>
      <c r="D1131" t="s">
        <v>548</v>
      </c>
      <c r="E1131" t="s">
        <v>2911</v>
      </c>
      <c r="F1131" s="121">
        <v>405</v>
      </c>
      <c r="G1131" s="121">
        <v>392</v>
      </c>
      <c r="H1131" t="s">
        <v>373</v>
      </c>
      <c r="I1131" s="156">
        <v>40907</v>
      </c>
      <c r="K1131" s="153"/>
      <c r="L1131" s="153"/>
      <c r="M1131" s="153"/>
      <c r="N1131" s="153"/>
      <c r="O1131" s="153"/>
      <c r="P1131" s="150"/>
      <c r="Q1131" s="150"/>
      <c r="R1131" s="153"/>
      <c r="S1131" s="154"/>
      <c r="T1131" s="115"/>
    </row>
    <row r="1132" spans="1:20">
      <c r="A1132" t="s">
        <v>1230</v>
      </c>
      <c r="B1132" t="s">
        <v>72</v>
      </c>
      <c r="C1132" t="s">
        <v>55</v>
      </c>
      <c r="D1132" t="s">
        <v>557</v>
      </c>
      <c r="E1132" t="s">
        <v>2912</v>
      </c>
      <c r="F1132" s="121">
        <v>1699.5</v>
      </c>
      <c r="G1132" s="121">
        <v>1699.5</v>
      </c>
      <c r="H1132" t="s">
        <v>373</v>
      </c>
      <c r="I1132" s="156">
        <v>41089</v>
      </c>
      <c r="K1132" s="153"/>
      <c r="L1132" s="153"/>
      <c r="M1132" s="153"/>
      <c r="N1132" s="153"/>
      <c r="O1132" s="153"/>
      <c r="P1132" s="150"/>
      <c r="Q1132" s="150"/>
      <c r="R1132" s="153"/>
      <c r="S1132" s="154"/>
      <c r="T1132" s="115"/>
    </row>
    <row r="1133" spans="1:20">
      <c r="A1133" t="s">
        <v>1230</v>
      </c>
      <c r="B1133" t="s">
        <v>72</v>
      </c>
      <c r="C1133" t="s">
        <v>43</v>
      </c>
      <c r="D1133" t="s">
        <v>537</v>
      </c>
      <c r="E1133" t="s">
        <v>7210</v>
      </c>
      <c r="F1133" s="121">
        <v>1056.5</v>
      </c>
      <c r="G1133" s="121">
        <v>1056.5</v>
      </c>
      <c r="H1133" t="s">
        <v>373</v>
      </c>
      <c r="I1133" s="156">
        <v>41089</v>
      </c>
      <c r="K1133" s="153"/>
      <c r="L1133" s="153"/>
      <c r="M1133" s="153"/>
      <c r="N1133" s="153"/>
      <c r="O1133" s="153"/>
      <c r="P1133" s="150"/>
      <c r="Q1133" s="150"/>
      <c r="R1133" s="153"/>
      <c r="S1133" s="154"/>
      <c r="T1133" s="115"/>
    </row>
    <row r="1134" spans="1:20">
      <c r="A1134" t="s">
        <v>1230</v>
      </c>
      <c r="B1134" t="s">
        <v>72</v>
      </c>
      <c r="C1134" t="s">
        <v>43</v>
      </c>
      <c r="D1134" t="s">
        <v>558</v>
      </c>
      <c r="E1134" t="s">
        <v>2913</v>
      </c>
      <c r="F1134" s="121">
        <v>391.4</v>
      </c>
      <c r="G1134" s="121">
        <v>391.4</v>
      </c>
      <c r="H1134" t="s">
        <v>373</v>
      </c>
      <c r="I1134" s="156">
        <v>41089</v>
      </c>
      <c r="K1134" s="153"/>
      <c r="L1134" s="153"/>
      <c r="M1134" s="153"/>
      <c r="N1134" s="153"/>
      <c r="O1134" s="153"/>
      <c r="P1134" s="150"/>
      <c r="Q1134" s="150"/>
      <c r="R1134" s="153"/>
      <c r="S1134" s="154"/>
      <c r="T1134" s="115"/>
    </row>
    <row r="1135" spans="1:20">
      <c r="A1135" t="s">
        <v>1230</v>
      </c>
      <c r="B1135" t="s">
        <v>72</v>
      </c>
      <c r="C1135" t="s">
        <v>55</v>
      </c>
      <c r="D1135" t="s">
        <v>539</v>
      </c>
      <c r="E1135" t="s">
        <v>7211</v>
      </c>
      <c r="F1135" s="121">
        <v>50</v>
      </c>
      <c r="G1135" s="121">
        <v>46</v>
      </c>
      <c r="H1135" t="s">
        <v>373</v>
      </c>
      <c r="I1135" s="156">
        <v>39813</v>
      </c>
      <c r="K1135" s="153"/>
      <c r="L1135" s="153"/>
      <c r="M1135" s="153"/>
      <c r="N1135" s="153"/>
      <c r="O1135" s="153"/>
      <c r="P1135" s="150"/>
      <c r="Q1135" s="150"/>
      <c r="R1135" s="153"/>
      <c r="S1135" s="154"/>
      <c r="T1135" s="115"/>
    </row>
    <row r="1136" spans="1:20">
      <c r="A1136" t="s">
        <v>1230</v>
      </c>
      <c r="B1136" t="s">
        <v>72</v>
      </c>
      <c r="C1136" t="s">
        <v>55</v>
      </c>
      <c r="D1136" t="s">
        <v>539</v>
      </c>
      <c r="E1136" t="s">
        <v>7212</v>
      </c>
      <c r="F1136" s="121">
        <v>50</v>
      </c>
      <c r="G1136" s="121">
        <v>46</v>
      </c>
      <c r="H1136" t="s">
        <v>373</v>
      </c>
      <c r="I1136" s="156">
        <v>39813</v>
      </c>
      <c r="K1136" s="153"/>
      <c r="L1136" s="153"/>
      <c r="M1136" s="153"/>
      <c r="N1136" s="153"/>
      <c r="O1136" s="153"/>
      <c r="P1136" s="150"/>
      <c r="Q1136" s="150"/>
      <c r="R1136" s="153"/>
      <c r="S1136" s="154"/>
      <c r="T1136" s="115"/>
    </row>
    <row r="1137" spans="1:20">
      <c r="A1137" t="s">
        <v>1230</v>
      </c>
      <c r="B1137" t="s">
        <v>72</v>
      </c>
      <c r="C1137" t="s">
        <v>55</v>
      </c>
      <c r="D1137" t="s">
        <v>543</v>
      </c>
      <c r="E1137" t="s">
        <v>2914</v>
      </c>
      <c r="F1137" s="121">
        <v>360.5</v>
      </c>
      <c r="G1137" s="121">
        <v>360.5</v>
      </c>
      <c r="H1137" t="s">
        <v>373</v>
      </c>
      <c r="I1137" s="156">
        <v>41089</v>
      </c>
      <c r="K1137" s="153"/>
      <c r="L1137" s="153"/>
      <c r="M1137" s="153"/>
      <c r="N1137" s="153"/>
      <c r="O1137" s="153"/>
      <c r="P1137" s="150"/>
      <c r="Q1137" s="150"/>
      <c r="R1137" s="153"/>
      <c r="S1137" s="154"/>
      <c r="T1137" s="115"/>
    </row>
    <row r="1138" spans="1:20">
      <c r="A1138" t="s">
        <v>1230</v>
      </c>
      <c r="B1138" t="s">
        <v>72</v>
      </c>
      <c r="C1138" t="s">
        <v>55</v>
      </c>
      <c r="D1138" t="s">
        <v>550</v>
      </c>
      <c r="E1138" t="s">
        <v>2915</v>
      </c>
      <c r="F1138" s="121">
        <v>300</v>
      </c>
      <c r="G1138" s="121">
        <v>334</v>
      </c>
      <c r="H1138" t="s">
        <v>373</v>
      </c>
      <c r="I1138" s="156">
        <v>39813</v>
      </c>
      <c r="K1138" s="153"/>
      <c r="L1138" s="153"/>
      <c r="M1138" s="153"/>
      <c r="N1138" s="153"/>
      <c r="O1138" s="153"/>
      <c r="P1138" s="150"/>
      <c r="Q1138" s="150"/>
      <c r="R1138" s="153"/>
      <c r="S1138" s="154"/>
      <c r="T1138" s="115"/>
    </row>
    <row r="1139" spans="1:20">
      <c r="A1139" t="s">
        <v>1230</v>
      </c>
      <c r="B1139" t="s">
        <v>72</v>
      </c>
      <c r="C1139" t="s">
        <v>55</v>
      </c>
      <c r="D1139" t="s">
        <v>7198</v>
      </c>
      <c r="E1139" t="s">
        <v>7213</v>
      </c>
      <c r="F1139" s="121">
        <v>300</v>
      </c>
      <c r="G1139" s="121">
        <v>298.7</v>
      </c>
      <c r="H1139" t="s">
        <v>373</v>
      </c>
      <c r="I1139" s="156">
        <v>39813</v>
      </c>
      <c r="K1139" s="153"/>
      <c r="L1139" s="153"/>
      <c r="M1139" s="153"/>
      <c r="N1139" s="153"/>
      <c r="O1139" s="153"/>
      <c r="P1139" s="150"/>
      <c r="Q1139" s="150"/>
      <c r="R1139" s="153"/>
      <c r="S1139" s="154"/>
      <c r="T1139" s="115"/>
    </row>
    <row r="1140" spans="1:20">
      <c r="A1140" t="s">
        <v>1230</v>
      </c>
      <c r="B1140" t="s">
        <v>72</v>
      </c>
      <c r="C1140" t="s">
        <v>55</v>
      </c>
      <c r="D1140" t="s">
        <v>547</v>
      </c>
      <c r="E1140" t="s">
        <v>2916</v>
      </c>
      <c r="F1140" s="121">
        <v>772.5</v>
      </c>
      <c r="G1140" s="121">
        <v>772.5</v>
      </c>
      <c r="H1140" t="s">
        <v>373</v>
      </c>
      <c r="I1140" s="156">
        <v>41089</v>
      </c>
      <c r="K1140" s="153"/>
      <c r="L1140" s="153"/>
      <c r="M1140" s="153"/>
      <c r="N1140" s="153"/>
      <c r="O1140" s="153"/>
      <c r="P1140" s="150"/>
      <c r="Q1140" s="150"/>
      <c r="R1140" s="153"/>
      <c r="S1140" s="154"/>
      <c r="T1140" s="115"/>
    </row>
    <row r="1141" spans="1:20">
      <c r="A1141" t="s">
        <v>1230</v>
      </c>
      <c r="B1141" t="s">
        <v>72</v>
      </c>
      <c r="C1141" t="s">
        <v>53</v>
      </c>
      <c r="D1141" t="s">
        <v>559</v>
      </c>
      <c r="E1141" t="s">
        <v>2917</v>
      </c>
      <c r="F1141" s="121">
        <v>3165.41</v>
      </c>
      <c r="G1141" s="121">
        <v>2987</v>
      </c>
      <c r="H1141" t="s">
        <v>373</v>
      </c>
      <c r="I1141" s="156">
        <v>40115</v>
      </c>
      <c r="K1141" s="153"/>
      <c r="L1141" s="153"/>
      <c r="M1141" s="153"/>
      <c r="N1141" s="153"/>
      <c r="O1141" s="153"/>
      <c r="P1141" s="150"/>
      <c r="Q1141" s="150"/>
      <c r="R1141" s="153"/>
      <c r="S1141" s="154"/>
      <c r="T1141" s="115"/>
    </row>
    <row r="1142" spans="1:20">
      <c r="A1142" t="s">
        <v>1230</v>
      </c>
      <c r="B1142" t="s">
        <v>72</v>
      </c>
      <c r="C1142" t="s">
        <v>53</v>
      </c>
      <c r="D1142" t="s">
        <v>560</v>
      </c>
      <c r="E1142" t="s">
        <v>2918</v>
      </c>
      <c r="F1142" s="121">
        <v>8200</v>
      </c>
      <c r="G1142" s="121">
        <v>5920</v>
      </c>
      <c r="H1142" t="s">
        <v>373</v>
      </c>
      <c r="I1142" s="156">
        <v>39813</v>
      </c>
      <c r="K1142" s="153"/>
      <c r="L1142" s="153"/>
      <c r="M1142" s="153"/>
      <c r="N1142" s="153"/>
      <c r="O1142" s="153"/>
      <c r="P1142" s="150"/>
      <c r="Q1142" s="150"/>
      <c r="R1142" s="153"/>
      <c r="S1142" s="154"/>
      <c r="T1142" s="115"/>
    </row>
    <row r="1143" spans="1:20">
      <c r="A1143" t="s">
        <v>1230</v>
      </c>
      <c r="B1143" t="s">
        <v>72</v>
      </c>
      <c r="C1143" t="s">
        <v>53</v>
      </c>
      <c r="D1143" t="s">
        <v>7214</v>
      </c>
      <c r="E1143" t="s">
        <v>7215</v>
      </c>
      <c r="F1143" s="121">
        <v>722</v>
      </c>
      <c r="G1143" s="121">
        <v>515</v>
      </c>
      <c r="H1143" t="s">
        <v>373</v>
      </c>
      <c r="I1143" s="156">
        <v>40115</v>
      </c>
      <c r="K1143" s="153"/>
      <c r="L1143" s="153"/>
      <c r="M1143" s="153"/>
      <c r="N1143" s="153"/>
      <c r="O1143" s="153"/>
      <c r="P1143" s="150"/>
      <c r="Q1143" s="150"/>
      <c r="R1143" s="153"/>
      <c r="S1143" s="154"/>
      <c r="T1143" s="115"/>
    </row>
    <row r="1144" spans="1:20">
      <c r="A1144" t="s">
        <v>1230</v>
      </c>
      <c r="B1144" t="s">
        <v>72</v>
      </c>
      <c r="C1144" t="s">
        <v>53</v>
      </c>
      <c r="D1144" t="s">
        <v>561</v>
      </c>
      <c r="E1144" t="s">
        <v>2919</v>
      </c>
      <c r="F1144" s="121">
        <v>499.55</v>
      </c>
      <c r="G1144" s="121">
        <v>499.55</v>
      </c>
      <c r="H1144" t="s">
        <v>373</v>
      </c>
      <c r="I1144" s="156">
        <v>41089</v>
      </c>
      <c r="K1144" s="153"/>
      <c r="L1144" s="153"/>
      <c r="M1144" s="153"/>
      <c r="N1144" s="153"/>
      <c r="O1144" s="153"/>
      <c r="P1144" s="150"/>
      <c r="Q1144" s="150"/>
      <c r="R1144" s="153"/>
      <c r="S1144" s="154"/>
      <c r="T1144" s="115"/>
    </row>
    <row r="1145" spans="1:20">
      <c r="A1145" t="s">
        <v>1230</v>
      </c>
      <c r="B1145" t="s">
        <v>72</v>
      </c>
      <c r="C1145" t="s">
        <v>53</v>
      </c>
      <c r="D1145" t="s">
        <v>561</v>
      </c>
      <c r="E1145" t="s">
        <v>2920</v>
      </c>
      <c r="F1145" s="121">
        <v>545.9</v>
      </c>
      <c r="G1145" s="121">
        <v>545.9</v>
      </c>
      <c r="H1145" t="s">
        <v>373</v>
      </c>
      <c r="I1145" s="156">
        <v>41089</v>
      </c>
      <c r="K1145" s="153"/>
      <c r="L1145" s="153"/>
      <c r="M1145" s="153"/>
      <c r="N1145" s="153"/>
      <c r="O1145" s="153"/>
      <c r="P1145" s="150"/>
      <c r="Q1145" s="150"/>
      <c r="R1145" s="153"/>
      <c r="S1145" s="154"/>
      <c r="T1145" s="115"/>
    </row>
    <row r="1146" spans="1:20">
      <c r="A1146" t="s">
        <v>1230</v>
      </c>
      <c r="B1146" t="s">
        <v>72</v>
      </c>
      <c r="C1146" t="s">
        <v>53</v>
      </c>
      <c r="D1146" t="s">
        <v>7216</v>
      </c>
      <c r="E1146" t="s">
        <v>7217</v>
      </c>
      <c r="F1146" s="121">
        <v>1200</v>
      </c>
      <c r="G1146" s="121">
        <v>955.4</v>
      </c>
      <c r="H1146" t="s">
        <v>373</v>
      </c>
      <c r="I1146" s="156">
        <v>39813</v>
      </c>
      <c r="K1146" s="153"/>
      <c r="L1146" s="153"/>
      <c r="M1146" s="153"/>
      <c r="N1146" s="153"/>
      <c r="O1146" s="153"/>
      <c r="P1146" s="150"/>
      <c r="Q1146" s="150"/>
      <c r="R1146" s="153"/>
      <c r="S1146" s="154"/>
      <c r="T1146" s="115"/>
    </row>
    <row r="1147" spans="1:20">
      <c r="A1147" t="s">
        <v>1230</v>
      </c>
      <c r="B1147" t="s">
        <v>72</v>
      </c>
      <c r="C1147" t="s">
        <v>53</v>
      </c>
      <c r="D1147" t="s">
        <v>7216</v>
      </c>
      <c r="E1147" t="s">
        <v>7218</v>
      </c>
      <c r="F1147" s="121">
        <v>1200</v>
      </c>
      <c r="G1147" s="121">
        <v>985.5</v>
      </c>
      <c r="H1147" t="s">
        <v>373</v>
      </c>
      <c r="I1147" s="156">
        <v>39813</v>
      </c>
      <c r="K1147" s="153"/>
      <c r="L1147" s="153"/>
      <c r="M1147" s="153"/>
      <c r="N1147" s="153"/>
      <c r="O1147" s="153"/>
      <c r="P1147" s="150"/>
      <c r="Q1147" s="150"/>
      <c r="R1147" s="153"/>
      <c r="S1147" s="154"/>
      <c r="T1147" s="115"/>
    </row>
    <row r="1148" spans="1:20">
      <c r="A1148" t="s">
        <v>1230</v>
      </c>
      <c r="B1148" t="s">
        <v>72</v>
      </c>
      <c r="C1148" t="s">
        <v>53</v>
      </c>
      <c r="D1148" t="s">
        <v>562</v>
      </c>
      <c r="E1148" t="s">
        <v>2921</v>
      </c>
      <c r="F1148" s="121">
        <v>674.65</v>
      </c>
      <c r="G1148" s="121">
        <v>674.65</v>
      </c>
      <c r="H1148" t="s">
        <v>373</v>
      </c>
      <c r="I1148" s="156">
        <v>41089</v>
      </c>
      <c r="K1148" s="153"/>
      <c r="L1148" s="153"/>
      <c r="M1148" s="153"/>
      <c r="N1148" s="153"/>
      <c r="O1148" s="153"/>
      <c r="P1148" s="150"/>
      <c r="Q1148" s="150"/>
      <c r="R1148" s="153"/>
      <c r="S1148" s="154"/>
      <c r="T1148" s="115"/>
    </row>
    <row r="1149" spans="1:20">
      <c r="A1149" t="s">
        <v>1230</v>
      </c>
      <c r="B1149" t="s">
        <v>72</v>
      </c>
      <c r="C1149" t="s">
        <v>53</v>
      </c>
      <c r="D1149" t="s">
        <v>561</v>
      </c>
      <c r="E1149" t="s">
        <v>2922</v>
      </c>
      <c r="F1149" s="121">
        <v>499.55</v>
      </c>
      <c r="G1149" s="121">
        <v>499.55</v>
      </c>
      <c r="H1149" t="s">
        <v>373</v>
      </c>
      <c r="I1149" s="156">
        <v>41089</v>
      </c>
      <c r="K1149" s="153"/>
      <c r="L1149" s="153"/>
      <c r="M1149" s="153"/>
      <c r="N1149" s="153"/>
      <c r="O1149" s="153"/>
      <c r="P1149" s="150"/>
      <c r="Q1149" s="150"/>
      <c r="R1149" s="153"/>
      <c r="S1149" s="154"/>
      <c r="T1149" s="115"/>
    </row>
    <row r="1150" spans="1:20">
      <c r="A1150" t="s">
        <v>1230</v>
      </c>
      <c r="B1150" t="s">
        <v>72</v>
      </c>
      <c r="C1150" t="s">
        <v>53</v>
      </c>
      <c r="D1150" t="s">
        <v>7219</v>
      </c>
      <c r="E1150" t="s">
        <v>7220</v>
      </c>
      <c r="F1150" s="121">
        <v>515</v>
      </c>
      <c r="G1150" s="121">
        <v>515</v>
      </c>
      <c r="H1150" t="s">
        <v>373</v>
      </c>
      <c r="I1150" s="156">
        <v>41089</v>
      </c>
      <c r="K1150" s="153"/>
      <c r="L1150" s="153"/>
      <c r="M1150" s="153"/>
      <c r="N1150" s="153"/>
      <c r="O1150" s="153"/>
      <c r="P1150" s="152"/>
      <c r="Q1150" s="150"/>
      <c r="R1150" s="153"/>
      <c r="S1150" s="154"/>
      <c r="T1150" s="115"/>
    </row>
    <row r="1151" spans="1:20">
      <c r="A1151" t="s">
        <v>1230</v>
      </c>
      <c r="B1151" t="s">
        <v>72</v>
      </c>
      <c r="C1151" t="s">
        <v>53</v>
      </c>
      <c r="D1151" t="s">
        <v>563</v>
      </c>
      <c r="E1151" t="s">
        <v>2923</v>
      </c>
      <c r="F1151" s="121">
        <v>836.48</v>
      </c>
      <c r="G1151" s="121">
        <v>551.04999999999995</v>
      </c>
      <c r="H1151" t="s">
        <v>373</v>
      </c>
      <c r="I1151" s="156">
        <v>40115</v>
      </c>
      <c r="K1151" s="153"/>
      <c r="L1151" s="153"/>
      <c r="M1151" s="153"/>
      <c r="N1151" s="153"/>
      <c r="O1151" s="153"/>
      <c r="P1151" s="150"/>
      <c r="Q1151" s="150"/>
      <c r="R1151" s="153"/>
      <c r="S1151" s="154"/>
      <c r="T1151" s="115"/>
    </row>
    <row r="1152" spans="1:20">
      <c r="A1152" t="s">
        <v>1230</v>
      </c>
      <c r="B1152" t="s">
        <v>72</v>
      </c>
      <c r="C1152" t="s">
        <v>53</v>
      </c>
      <c r="D1152" t="s">
        <v>564</v>
      </c>
      <c r="E1152" t="s">
        <v>2924</v>
      </c>
      <c r="F1152" s="121">
        <v>603.58000000000004</v>
      </c>
      <c r="G1152" s="121">
        <v>603.58000000000004</v>
      </c>
      <c r="H1152" t="s">
        <v>373</v>
      </c>
      <c r="I1152" s="156">
        <v>41089</v>
      </c>
      <c r="K1152" s="153"/>
      <c r="L1152" s="153"/>
      <c r="M1152" s="153"/>
      <c r="N1152" s="153"/>
      <c r="O1152" s="153"/>
      <c r="P1152" s="150"/>
      <c r="Q1152" s="150"/>
      <c r="R1152" s="153"/>
      <c r="S1152" s="154"/>
      <c r="T1152" s="115"/>
    </row>
    <row r="1153" spans="1:20">
      <c r="A1153" t="s">
        <v>1230</v>
      </c>
      <c r="B1153" t="s">
        <v>72</v>
      </c>
      <c r="C1153" t="s">
        <v>53</v>
      </c>
      <c r="D1153" t="s">
        <v>561</v>
      </c>
      <c r="E1153" t="s">
        <v>7221</v>
      </c>
      <c r="F1153" s="121">
        <v>412</v>
      </c>
      <c r="G1153" s="121">
        <v>412</v>
      </c>
      <c r="H1153" t="s">
        <v>373</v>
      </c>
      <c r="I1153" s="156">
        <v>41089</v>
      </c>
      <c r="K1153" s="153"/>
      <c r="L1153" s="153"/>
      <c r="M1153" s="153"/>
      <c r="N1153" s="153"/>
      <c r="O1153" s="153"/>
      <c r="P1153" s="150"/>
      <c r="Q1153" s="150"/>
      <c r="R1153" s="153"/>
      <c r="S1153" s="154"/>
      <c r="T1153" s="115"/>
    </row>
    <row r="1154" spans="1:20">
      <c r="A1154" t="s">
        <v>1230</v>
      </c>
      <c r="B1154" t="s">
        <v>72</v>
      </c>
      <c r="C1154" t="s">
        <v>53</v>
      </c>
      <c r="D1154" t="s">
        <v>7222</v>
      </c>
      <c r="E1154" t="s">
        <v>7223</v>
      </c>
      <c r="F1154" s="121">
        <v>9314.0300000000007</v>
      </c>
      <c r="G1154" s="121">
        <v>8034</v>
      </c>
      <c r="H1154" t="s">
        <v>373</v>
      </c>
      <c r="I1154" s="156">
        <v>40115</v>
      </c>
      <c r="K1154" s="153"/>
      <c r="L1154" s="153"/>
      <c r="M1154" s="153"/>
      <c r="N1154" s="153"/>
      <c r="O1154" s="153"/>
      <c r="P1154" s="150"/>
      <c r="Q1154" s="150"/>
      <c r="R1154" s="153"/>
      <c r="S1154" s="154"/>
      <c r="T1154" s="115"/>
    </row>
    <row r="1155" spans="1:20">
      <c r="A1155" t="s">
        <v>1230</v>
      </c>
      <c r="B1155" t="s">
        <v>72</v>
      </c>
      <c r="C1155" t="s">
        <v>53</v>
      </c>
      <c r="D1155" t="s">
        <v>565</v>
      </c>
      <c r="E1155" t="s">
        <v>2925</v>
      </c>
      <c r="F1155" s="121">
        <v>1081.5</v>
      </c>
      <c r="G1155" s="121">
        <v>1081.5</v>
      </c>
      <c r="H1155" t="s">
        <v>373</v>
      </c>
      <c r="I1155" s="156">
        <v>41089</v>
      </c>
      <c r="K1155" s="153"/>
      <c r="L1155" s="153"/>
      <c r="M1155" s="153"/>
      <c r="N1155" s="153"/>
      <c r="O1155" s="153"/>
      <c r="P1155" s="152"/>
      <c r="Q1155" s="150"/>
      <c r="R1155" s="153"/>
      <c r="S1155" s="154"/>
      <c r="T1155" s="115"/>
    </row>
    <row r="1156" spans="1:20">
      <c r="A1156" t="s">
        <v>1230</v>
      </c>
      <c r="B1156" t="s">
        <v>72</v>
      </c>
      <c r="C1156" t="s">
        <v>53</v>
      </c>
      <c r="D1156" t="s">
        <v>7224</v>
      </c>
      <c r="E1156" t="s">
        <v>7225</v>
      </c>
      <c r="F1156" s="121">
        <v>4822.13</v>
      </c>
      <c r="G1156" s="121">
        <v>3502</v>
      </c>
      <c r="H1156" t="s">
        <v>373</v>
      </c>
      <c r="I1156" s="156">
        <v>40115</v>
      </c>
      <c r="K1156" s="153"/>
      <c r="L1156" s="153"/>
      <c r="M1156" s="153"/>
      <c r="N1156" s="153"/>
      <c r="O1156" s="153"/>
      <c r="P1156" s="150"/>
      <c r="Q1156" s="150"/>
      <c r="R1156" s="153"/>
      <c r="S1156" s="154"/>
      <c r="T1156" s="115"/>
    </row>
    <row r="1157" spans="1:20">
      <c r="A1157" t="s">
        <v>1230</v>
      </c>
      <c r="B1157" t="s">
        <v>72</v>
      </c>
      <c r="C1157" t="s">
        <v>53</v>
      </c>
      <c r="D1157" t="s">
        <v>7226</v>
      </c>
      <c r="E1157" t="s">
        <v>7227</v>
      </c>
      <c r="F1157" s="121">
        <v>1200</v>
      </c>
      <c r="G1157" s="121">
        <v>772.5</v>
      </c>
      <c r="H1157" t="s">
        <v>373</v>
      </c>
      <c r="I1157" s="156">
        <v>39813</v>
      </c>
      <c r="K1157" s="153"/>
      <c r="L1157" s="153"/>
      <c r="M1157" s="153"/>
      <c r="N1157" s="153"/>
      <c r="O1157" s="153"/>
      <c r="P1157" s="150"/>
      <c r="Q1157" s="150"/>
      <c r="R1157" s="153"/>
      <c r="S1157" s="154"/>
      <c r="T1157" s="115"/>
    </row>
    <row r="1158" spans="1:20">
      <c r="A1158" t="s">
        <v>1230</v>
      </c>
      <c r="B1158" t="s">
        <v>72</v>
      </c>
      <c r="C1158" t="s">
        <v>53</v>
      </c>
      <c r="D1158" t="s">
        <v>7226</v>
      </c>
      <c r="E1158" t="s">
        <v>7228</v>
      </c>
      <c r="F1158" s="121">
        <v>1200</v>
      </c>
      <c r="G1158" s="121">
        <v>772.5</v>
      </c>
      <c r="H1158" t="s">
        <v>373</v>
      </c>
      <c r="I1158" s="156">
        <v>39813</v>
      </c>
      <c r="K1158" s="153"/>
      <c r="L1158" s="153"/>
      <c r="M1158" s="153"/>
      <c r="N1158" s="153"/>
      <c r="O1158" s="153"/>
      <c r="P1158" s="150"/>
      <c r="Q1158" s="150"/>
      <c r="R1158" s="153"/>
      <c r="S1158" s="154"/>
      <c r="T1158" s="115"/>
    </row>
    <row r="1159" spans="1:20">
      <c r="A1159" t="s">
        <v>1230</v>
      </c>
      <c r="B1159" t="s">
        <v>72</v>
      </c>
      <c r="C1159" t="s">
        <v>53</v>
      </c>
      <c r="D1159" t="s">
        <v>7226</v>
      </c>
      <c r="E1159" t="s">
        <v>7229</v>
      </c>
      <c r="F1159" s="121">
        <v>1200</v>
      </c>
      <c r="G1159" s="121">
        <v>772.5</v>
      </c>
      <c r="H1159" t="s">
        <v>373</v>
      </c>
      <c r="I1159" s="156">
        <v>39813</v>
      </c>
      <c r="K1159" s="153"/>
      <c r="L1159" s="153"/>
      <c r="M1159" s="153"/>
      <c r="N1159" s="153"/>
      <c r="O1159" s="153"/>
      <c r="P1159" s="150"/>
      <c r="Q1159" s="150"/>
      <c r="R1159" s="153"/>
      <c r="S1159" s="154"/>
      <c r="T1159" s="115"/>
    </row>
    <row r="1160" spans="1:20">
      <c r="A1160" t="s">
        <v>1230</v>
      </c>
      <c r="B1160" t="s">
        <v>72</v>
      </c>
      <c r="C1160" t="s">
        <v>53</v>
      </c>
      <c r="D1160" t="s">
        <v>7226</v>
      </c>
      <c r="E1160" t="s">
        <v>7230</v>
      </c>
      <c r="F1160" s="121">
        <v>1200</v>
      </c>
      <c r="G1160" s="121">
        <v>772.5</v>
      </c>
      <c r="H1160" t="s">
        <v>373</v>
      </c>
      <c r="I1160" s="156">
        <v>39813</v>
      </c>
      <c r="K1160" s="153"/>
      <c r="L1160" s="153"/>
      <c r="M1160" s="153"/>
      <c r="N1160" s="153"/>
      <c r="O1160" s="153"/>
      <c r="P1160" s="150"/>
      <c r="Q1160" s="150"/>
      <c r="R1160" s="153"/>
      <c r="S1160" s="154"/>
      <c r="T1160" s="115"/>
    </row>
    <row r="1161" spans="1:20">
      <c r="A1161" t="s">
        <v>1230</v>
      </c>
      <c r="B1161" t="s">
        <v>72</v>
      </c>
      <c r="C1161" t="s">
        <v>53</v>
      </c>
      <c r="D1161" t="s">
        <v>7226</v>
      </c>
      <c r="E1161" t="s">
        <v>7231</v>
      </c>
      <c r="F1161" s="121">
        <v>1200</v>
      </c>
      <c r="G1161" s="121">
        <v>772.5</v>
      </c>
      <c r="H1161" t="s">
        <v>373</v>
      </c>
      <c r="I1161" s="156">
        <v>39813</v>
      </c>
      <c r="K1161" s="153"/>
      <c r="L1161" s="153"/>
      <c r="M1161" s="153"/>
      <c r="N1161" s="153"/>
      <c r="O1161" s="153"/>
      <c r="P1161" s="150"/>
      <c r="Q1161" s="150"/>
      <c r="R1161" s="153"/>
      <c r="S1161" s="154"/>
      <c r="T1161" s="115"/>
    </row>
    <row r="1162" spans="1:20">
      <c r="A1162" t="s">
        <v>1230</v>
      </c>
      <c r="B1162" t="s">
        <v>72</v>
      </c>
      <c r="C1162" t="s">
        <v>53</v>
      </c>
      <c r="D1162" t="s">
        <v>7226</v>
      </c>
      <c r="E1162" t="s">
        <v>7232</v>
      </c>
      <c r="F1162" s="121">
        <v>1200</v>
      </c>
      <c r="G1162" s="121">
        <v>772.5</v>
      </c>
      <c r="H1162" t="s">
        <v>373</v>
      </c>
      <c r="I1162" s="156">
        <v>39813</v>
      </c>
      <c r="K1162" s="153"/>
      <c r="L1162" s="153"/>
      <c r="M1162" s="153"/>
      <c r="N1162" s="153"/>
      <c r="O1162" s="153"/>
      <c r="P1162" s="150"/>
      <c r="Q1162" s="150"/>
      <c r="R1162" s="153"/>
      <c r="S1162" s="154"/>
      <c r="T1162" s="115"/>
    </row>
    <row r="1163" spans="1:20">
      <c r="A1163" t="s">
        <v>1230</v>
      </c>
      <c r="B1163" t="s">
        <v>72</v>
      </c>
      <c r="C1163" t="s">
        <v>53</v>
      </c>
      <c r="D1163" t="s">
        <v>7226</v>
      </c>
      <c r="E1163" t="s">
        <v>7233</v>
      </c>
      <c r="F1163" s="121">
        <v>1200</v>
      </c>
      <c r="G1163" s="121">
        <v>772.5</v>
      </c>
      <c r="H1163" t="s">
        <v>373</v>
      </c>
      <c r="I1163" s="156">
        <v>39813</v>
      </c>
      <c r="K1163" s="153"/>
      <c r="L1163" s="153"/>
      <c r="M1163" s="153"/>
      <c r="N1163" s="153"/>
      <c r="O1163" s="153"/>
      <c r="P1163" s="150"/>
      <c r="Q1163" s="150"/>
      <c r="R1163" s="153"/>
      <c r="S1163" s="154"/>
      <c r="T1163" s="115"/>
    </row>
    <row r="1164" spans="1:20">
      <c r="A1164" t="s">
        <v>1230</v>
      </c>
      <c r="B1164" t="s">
        <v>72</v>
      </c>
      <c r="C1164" t="s">
        <v>53</v>
      </c>
      <c r="D1164" t="s">
        <v>7226</v>
      </c>
      <c r="E1164" t="s">
        <v>7234</v>
      </c>
      <c r="F1164" s="121">
        <v>1200</v>
      </c>
      <c r="G1164" s="121">
        <v>772.5</v>
      </c>
      <c r="H1164" t="s">
        <v>373</v>
      </c>
      <c r="I1164" s="156">
        <v>39813</v>
      </c>
      <c r="K1164" s="153"/>
      <c r="L1164" s="153"/>
      <c r="M1164" s="153"/>
      <c r="N1164" s="153"/>
      <c r="O1164" s="153"/>
      <c r="P1164" s="152"/>
      <c r="Q1164" s="152"/>
      <c r="R1164" s="153"/>
      <c r="S1164" s="154"/>
      <c r="T1164" s="115"/>
    </row>
    <row r="1165" spans="1:20">
      <c r="A1165" t="s">
        <v>1230</v>
      </c>
      <c r="B1165" t="s">
        <v>72</v>
      </c>
      <c r="C1165" t="s">
        <v>53</v>
      </c>
      <c r="D1165" t="s">
        <v>7226</v>
      </c>
      <c r="E1165" t="s">
        <v>7235</v>
      </c>
      <c r="F1165" s="121">
        <v>1200</v>
      </c>
      <c r="G1165" s="121">
        <v>772.5</v>
      </c>
      <c r="H1165" t="s">
        <v>373</v>
      </c>
      <c r="I1165" s="156">
        <v>39813</v>
      </c>
      <c r="K1165" s="153"/>
      <c r="L1165" s="153"/>
      <c r="M1165" s="153"/>
      <c r="N1165" s="153"/>
      <c r="O1165" s="153"/>
      <c r="P1165" s="150"/>
      <c r="Q1165" s="150"/>
      <c r="R1165" s="153"/>
      <c r="S1165" s="154"/>
      <c r="T1165" s="115"/>
    </row>
    <row r="1166" spans="1:20">
      <c r="A1166" t="s">
        <v>1230</v>
      </c>
      <c r="B1166" t="s">
        <v>72</v>
      </c>
      <c r="C1166" t="s">
        <v>43</v>
      </c>
      <c r="D1166" t="s">
        <v>566</v>
      </c>
      <c r="E1166" t="s">
        <v>2926</v>
      </c>
      <c r="F1166" s="121">
        <v>3429.65</v>
      </c>
      <c r="G1166" s="121">
        <v>3429.65</v>
      </c>
      <c r="H1166" t="s">
        <v>373</v>
      </c>
      <c r="I1166" s="156">
        <v>41089</v>
      </c>
      <c r="K1166" s="153"/>
      <c r="L1166" s="153"/>
      <c r="M1166" s="153"/>
      <c r="N1166" s="153"/>
      <c r="O1166" s="153"/>
      <c r="P1166" s="150"/>
      <c r="Q1166" s="150"/>
      <c r="R1166" s="153"/>
      <c r="S1166" s="154"/>
      <c r="T1166" s="115"/>
    </row>
    <row r="1167" spans="1:20">
      <c r="A1167" t="s">
        <v>1230</v>
      </c>
      <c r="B1167" t="s">
        <v>72</v>
      </c>
      <c r="C1167" t="s">
        <v>55</v>
      </c>
      <c r="D1167" t="s">
        <v>567</v>
      </c>
      <c r="E1167" t="s">
        <v>2927</v>
      </c>
      <c r="F1167" s="121">
        <v>400</v>
      </c>
      <c r="G1167" s="121">
        <v>566.5</v>
      </c>
      <c r="H1167" t="s">
        <v>373</v>
      </c>
      <c r="I1167" s="156">
        <v>39813</v>
      </c>
      <c r="K1167" s="153"/>
      <c r="L1167" s="153"/>
      <c r="M1167" s="153"/>
      <c r="N1167" s="153"/>
      <c r="O1167" s="153"/>
      <c r="P1167" s="150"/>
      <c r="Q1167" s="150"/>
      <c r="R1167" s="153"/>
      <c r="S1167" s="154"/>
      <c r="T1167" s="115"/>
    </row>
    <row r="1168" spans="1:20">
      <c r="A1168" t="s">
        <v>1230</v>
      </c>
      <c r="B1168" t="s">
        <v>72</v>
      </c>
      <c r="C1168" t="s">
        <v>55</v>
      </c>
      <c r="D1168" t="s">
        <v>568</v>
      </c>
      <c r="E1168" t="s">
        <v>2928</v>
      </c>
      <c r="F1168" s="121">
        <v>450</v>
      </c>
      <c r="G1168" s="121">
        <v>298.7</v>
      </c>
      <c r="H1168" t="s">
        <v>373</v>
      </c>
      <c r="I1168" s="156">
        <v>39813</v>
      </c>
      <c r="K1168" s="153"/>
      <c r="L1168" s="153"/>
      <c r="M1168" s="153"/>
      <c r="N1168" s="153"/>
      <c r="O1168" s="153"/>
      <c r="P1168" s="150"/>
      <c r="Q1168" s="150"/>
      <c r="R1168" s="153"/>
      <c r="S1168" s="154"/>
      <c r="T1168" s="115"/>
    </row>
    <row r="1169" spans="1:20">
      <c r="A1169" t="s">
        <v>1230</v>
      </c>
      <c r="B1169" t="s">
        <v>72</v>
      </c>
      <c r="C1169" t="s">
        <v>43</v>
      </c>
      <c r="D1169" t="s">
        <v>537</v>
      </c>
      <c r="E1169" t="s">
        <v>2929</v>
      </c>
      <c r="F1169" s="121">
        <v>1076.3499999999999</v>
      </c>
      <c r="G1169" s="121">
        <v>1076.3499999999999</v>
      </c>
      <c r="H1169" t="s">
        <v>373</v>
      </c>
      <c r="I1169" s="156">
        <v>41089</v>
      </c>
      <c r="K1169" s="153"/>
      <c r="L1169" s="153"/>
      <c r="M1169" s="153"/>
      <c r="N1169" s="153"/>
      <c r="O1169" s="153"/>
      <c r="P1169" s="150"/>
      <c r="Q1169" s="150"/>
      <c r="R1169" s="153"/>
      <c r="S1169" s="154"/>
      <c r="T1169" s="115"/>
    </row>
    <row r="1170" spans="1:20">
      <c r="A1170" t="s">
        <v>1230</v>
      </c>
      <c r="B1170" t="s">
        <v>72</v>
      </c>
      <c r="C1170" t="s">
        <v>55</v>
      </c>
      <c r="D1170" t="s">
        <v>538</v>
      </c>
      <c r="E1170" t="s">
        <v>2930</v>
      </c>
      <c r="F1170" s="121">
        <v>700</v>
      </c>
      <c r="G1170" s="121">
        <v>348</v>
      </c>
      <c r="H1170" t="s">
        <v>373</v>
      </c>
      <c r="I1170" s="156">
        <v>39813</v>
      </c>
      <c r="K1170" s="153"/>
      <c r="L1170" s="153"/>
      <c r="M1170" s="153"/>
      <c r="N1170" s="153"/>
      <c r="O1170" s="153"/>
      <c r="P1170" s="150"/>
      <c r="Q1170" s="150"/>
      <c r="R1170" s="153"/>
      <c r="S1170" s="154"/>
      <c r="T1170" s="115"/>
    </row>
    <row r="1171" spans="1:20">
      <c r="A1171" t="s">
        <v>1230</v>
      </c>
      <c r="B1171" t="s">
        <v>72</v>
      </c>
      <c r="C1171" t="s">
        <v>55</v>
      </c>
      <c r="D1171" t="s">
        <v>7236</v>
      </c>
      <c r="E1171" t="s">
        <v>7237</v>
      </c>
      <c r="F1171" s="121">
        <v>70</v>
      </c>
      <c r="G1171" s="121">
        <v>42</v>
      </c>
      <c r="H1171" t="s">
        <v>373</v>
      </c>
      <c r="I1171" s="156">
        <v>39813</v>
      </c>
      <c r="K1171" s="153"/>
      <c r="L1171" s="153"/>
      <c r="M1171" s="153"/>
      <c r="N1171" s="153"/>
      <c r="O1171" s="153"/>
      <c r="P1171" s="150"/>
      <c r="Q1171" s="150"/>
      <c r="R1171" s="153"/>
      <c r="S1171" s="154"/>
      <c r="T1171" s="115"/>
    </row>
    <row r="1172" spans="1:20">
      <c r="A1172" t="s">
        <v>1230</v>
      </c>
      <c r="B1172" t="s">
        <v>72</v>
      </c>
      <c r="C1172" t="s">
        <v>55</v>
      </c>
      <c r="D1172" t="s">
        <v>7238</v>
      </c>
      <c r="E1172" t="s">
        <v>7239</v>
      </c>
      <c r="F1172" s="121">
        <v>50</v>
      </c>
      <c r="G1172" s="121">
        <v>47</v>
      </c>
      <c r="H1172" t="s">
        <v>373</v>
      </c>
      <c r="I1172" s="156">
        <v>39813</v>
      </c>
      <c r="K1172" s="153"/>
      <c r="L1172" s="153"/>
      <c r="M1172" s="153"/>
      <c r="N1172" s="153"/>
      <c r="O1172" s="153"/>
      <c r="P1172" s="150"/>
      <c r="Q1172" s="150"/>
      <c r="R1172" s="153"/>
      <c r="S1172" s="154"/>
      <c r="T1172" s="115"/>
    </row>
    <row r="1173" spans="1:20">
      <c r="A1173" t="s">
        <v>1230</v>
      </c>
      <c r="B1173" t="s">
        <v>72</v>
      </c>
      <c r="C1173" t="s">
        <v>55</v>
      </c>
      <c r="D1173" t="s">
        <v>569</v>
      </c>
      <c r="E1173" t="s">
        <v>2931</v>
      </c>
      <c r="F1173" s="121">
        <v>450</v>
      </c>
      <c r="G1173" s="121">
        <v>386.25</v>
      </c>
      <c r="H1173" t="s">
        <v>373</v>
      </c>
      <c r="I1173" s="156">
        <v>39813</v>
      </c>
      <c r="K1173" s="153"/>
      <c r="L1173" s="153"/>
      <c r="M1173" s="153"/>
      <c r="N1173" s="153"/>
      <c r="O1173" s="153"/>
      <c r="P1173" s="150"/>
      <c r="Q1173" s="150"/>
      <c r="R1173" s="153"/>
      <c r="S1173" s="154"/>
      <c r="T1173" s="115"/>
    </row>
    <row r="1174" spans="1:20">
      <c r="A1174" t="s">
        <v>1230</v>
      </c>
      <c r="B1174" t="s">
        <v>72</v>
      </c>
      <c r="C1174" t="s">
        <v>53</v>
      </c>
      <c r="D1174" t="s">
        <v>7240</v>
      </c>
      <c r="E1174" t="s">
        <v>7241</v>
      </c>
      <c r="F1174" s="121">
        <v>300</v>
      </c>
      <c r="G1174" s="121">
        <v>265.8</v>
      </c>
      <c r="H1174" t="s">
        <v>373</v>
      </c>
      <c r="I1174" s="156">
        <v>39813</v>
      </c>
      <c r="K1174" s="153"/>
      <c r="L1174" s="153"/>
      <c r="M1174" s="153"/>
      <c r="N1174" s="153"/>
      <c r="O1174" s="153"/>
      <c r="P1174" s="150"/>
      <c r="Q1174" s="150"/>
      <c r="R1174" s="153"/>
      <c r="S1174" s="154"/>
      <c r="T1174" s="115"/>
    </row>
    <row r="1175" spans="1:20">
      <c r="A1175" t="s">
        <v>1230</v>
      </c>
      <c r="B1175" t="s">
        <v>72</v>
      </c>
      <c r="C1175" t="s">
        <v>53</v>
      </c>
      <c r="D1175" t="s">
        <v>7240</v>
      </c>
      <c r="E1175" t="s">
        <v>7242</v>
      </c>
      <c r="F1175" s="121">
        <v>300</v>
      </c>
      <c r="G1175" s="121">
        <v>265.8</v>
      </c>
      <c r="H1175" t="s">
        <v>373</v>
      </c>
      <c r="I1175" s="156">
        <v>39813</v>
      </c>
      <c r="K1175" s="153"/>
      <c r="L1175" s="153"/>
      <c r="M1175" s="153"/>
      <c r="N1175" s="153"/>
      <c r="O1175" s="153"/>
      <c r="P1175" s="150"/>
      <c r="Q1175" s="150"/>
      <c r="R1175" s="153"/>
      <c r="S1175" s="154"/>
      <c r="T1175" s="115"/>
    </row>
    <row r="1176" spans="1:20">
      <c r="A1176" t="s">
        <v>1230</v>
      </c>
      <c r="B1176" t="s">
        <v>72</v>
      </c>
      <c r="C1176" t="s">
        <v>53</v>
      </c>
      <c r="D1176" t="s">
        <v>7240</v>
      </c>
      <c r="E1176" t="s">
        <v>7243</v>
      </c>
      <c r="F1176" s="121">
        <v>300</v>
      </c>
      <c r="G1176" s="121">
        <v>265.8</v>
      </c>
      <c r="H1176" t="s">
        <v>373</v>
      </c>
      <c r="I1176" s="156">
        <v>39813</v>
      </c>
      <c r="K1176" s="153"/>
      <c r="L1176" s="153"/>
      <c r="M1176" s="153"/>
      <c r="N1176" s="153"/>
      <c r="O1176" s="153"/>
      <c r="P1176" s="150"/>
      <c r="Q1176" s="150"/>
      <c r="R1176" s="153"/>
      <c r="S1176" s="154"/>
      <c r="T1176" s="115"/>
    </row>
    <row r="1177" spans="1:20">
      <c r="A1177" t="s">
        <v>1230</v>
      </c>
      <c r="B1177" t="s">
        <v>72</v>
      </c>
      <c r="C1177" t="s">
        <v>53</v>
      </c>
      <c r="D1177" t="s">
        <v>7240</v>
      </c>
      <c r="E1177" t="s">
        <v>7244</v>
      </c>
      <c r="F1177" s="121">
        <v>300</v>
      </c>
      <c r="G1177" s="121">
        <v>265.8</v>
      </c>
      <c r="H1177" t="s">
        <v>373</v>
      </c>
      <c r="I1177" s="156">
        <v>39813</v>
      </c>
      <c r="K1177" s="153"/>
      <c r="L1177" s="153"/>
      <c r="M1177" s="153"/>
      <c r="N1177" s="153"/>
      <c r="O1177" s="153"/>
      <c r="P1177" s="150"/>
      <c r="Q1177" s="150"/>
      <c r="R1177" s="153"/>
      <c r="S1177" s="154"/>
      <c r="T1177" s="115"/>
    </row>
    <row r="1178" spans="1:20">
      <c r="A1178" t="s">
        <v>1230</v>
      </c>
      <c r="B1178" t="s">
        <v>72</v>
      </c>
      <c r="C1178" t="s">
        <v>53</v>
      </c>
      <c r="D1178" t="s">
        <v>7240</v>
      </c>
      <c r="E1178" t="s">
        <v>7245</v>
      </c>
      <c r="F1178" s="121">
        <v>265.8</v>
      </c>
      <c r="G1178" s="121">
        <v>265.8</v>
      </c>
      <c r="H1178" t="s">
        <v>373</v>
      </c>
      <c r="I1178" s="156">
        <v>41089</v>
      </c>
      <c r="K1178" s="153"/>
      <c r="L1178" s="153"/>
      <c r="M1178" s="153"/>
      <c r="N1178" s="153"/>
      <c r="O1178" s="153"/>
      <c r="P1178" s="150"/>
      <c r="Q1178" s="150"/>
      <c r="R1178" s="153"/>
      <c r="S1178" s="154"/>
      <c r="T1178" s="115"/>
    </row>
    <row r="1179" spans="1:20">
      <c r="A1179" t="s">
        <v>1230</v>
      </c>
      <c r="B1179" t="s">
        <v>72</v>
      </c>
      <c r="C1179" t="s">
        <v>53</v>
      </c>
      <c r="D1179" t="s">
        <v>7240</v>
      </c>
      <c r="E1179" t="s">
        <v>7246</v>
      </c>
      <c r="F1179" s="121">
        <v>265.8</v>
      </c>
      <c r="G1179" s="121">
        <v>265.8</v>
      </c>
      <c r="H1179" t="s">
        <v>373</v>
      </c>
      <c r="I1179" s="156">
        <v>41089</v>
      </c>
      <c r="K1179" s="153"/>
      <c r="L1179" s="153"/>
      <c r="M1179" s="153"/>
      <c r="N1179" s="153"/>
      <c r="O1179" s="153"/>
      <c r="P1179" s="150"/>
      <c r="Q1179" s="150"/>
      <c r="R1179" s="153"/>
      <c r="S1179" s="154"/>
      <c r="T1179" s="115"/>
    </row>
    <row r="1180" spans="1:20">
      <c r="A1180" t="s">
        <v>1230</v>
      </c>
      <c r="B1180" t="s">
        <v>72</v>
      </c>
      <c r="C1180" t="s">
        <v>53</v>
      </c>
      <c r="D1180" t="s">
        <v>7240</v>
      </c>
      <c r="E1180" t="s">
        <v>7247</v>
      </c>
      <c r="F1180" s="121">
        <v>300</v>
      </c>
      <c r="G1180" s="121">
        <v>265.8</v>
      </c>
      <c r="H1180" t="s">
        <v>373</v>
      </c>
      <c r="I1180" s="156">
        <v>39813</v>
      </c>
      <c r="K1180" s="153"/>
      <c r="L1180" s="153"/>
      <c r="M1180" s="153"/>
      <c r="N1180" s="153"/>
      <c r="O1180" s="153"/>
      <c r="P1180" s="150"/>
      <c r="Q1180" s="150"/>
      <c r="R1180" s="153"/>
      <c r="S1180" s="154"/>
      <c r="T1180" s="115"/>
    </row>
    <row r="1181" spans="1:20">
      <c r="A1181" t="s">
        <v>1230</v>
      </c>
      <c r="B1181" t="s">
        <v>72</v>
      </c>
      <c r="C1181" t="s">
        <v>53</v>
      </c>
      <c r="D1181" t="s">
        <v>7240</v>
      </c>
      <c r="E1181" t="s">
        <v>7248</v>
      </c>
      <c r="F1181" s="121">
        <v>300</v>
      </c>
      <c r="G1181" s="121">
        <v>265.8</v>
      </c>
      <c r="H1181" t="s">
        <v>373</v>
      </c>
      <c r="I1181" s="156">
        <v>39813</v>
      </c>
      <c r="K1181" s="153"/>
      <c r="L1181" s="153"/>
      <c r="M1181" s="153"/>
      <c r="N1181" s="153"/>
      <c r="O1181" s="153"/>
      <c r="P1181" s="150"/>
      <c r="Q1181" s="150"/>
      <c r="R1181" s="153"/>
      <c r="S1181" s="154"/>
      <c r="T1181" s="115"/>
    </row>
    <row r="1182" spans="1:20">
      <c r="A1182" t="s">
        <v>1230</v>
      </c>
      <c r="B1182" t="s">
        <v>72</v>
      </c>
      <c r="C1182" t="s">
        <v>53</v>
      </c>
      <c r="D1182" t="s">
        <v>7240</v>
      </c>
      <c r="E1182" t="s">
        <v>7249</v>
      </c>
      <c r="F1182" s="121">
        <v>300</v>
      </c>
      <c r="G1182" s="121">
        <v>265.8</v>
      </c>
      <c r="H1182" t="s">
        <v>373</v>
      </c>
      <c r="I1182" s="156">
        <v>39813</v>
      </c>
      <c r="K1182" s="153"/>
      <c r="L1182" s="153"/>
      <c r="M1182" s="153"/>
      <c r="N1182" s="153"/>
      <c r="O1182" s="153"/>
      <c r="P1182" s="150"/>
      <c r="Q1182" s="150"/>
      <c r="R1182" s="153"/>
      <c r="S1182" s="154"/>
      <c r="T1182" s="115"/>
    </row>
    <row r="1183" spans="1:20">
      <c r="A1183" t="s">
        <v>1230</v>
      </c>
      <c r="B1183" t="s">
        <v>72</v>
      </c>
      <c r="C1183" t="s">
        <v>53</v>
      </c>
      <c r="D1183" t="s">
        <v>7240</v>
      </c>
      <c r="E1183" t="s">
        <v>7250</v>
      </c>
      <c r="F1183" s="121">
        <v>300</v>
      </c>
      <c r="G1183" s="121">
        <v>265.8</v>
      </c>
      <c r="H1183" t="s">
        <v>373</v>
      </c>
      <c r="I1183" s="156">
        <v>39813</v>
      </c>
      <c r="K1183" s="153"/>
      <c r="L1183" s="153"/>
      <c r="M1183" s="153"/>
      <c r="N1183" s="153"/>
      <c r="O1183" s="153"/>
      <c r="P1183" s="150"/>
      <c r="Q1183" s="150"/>
      <c r="R1183" s="153"/>
      <c r="S1183" s="154"/>
      <c r="T1183" s="115"/>
    </row>
    <row r="1184" spans="1:20">
      <c r="A1184" t="s">
        <v>1230</v>
      </c>
      <c r="B1184" t="s">
        <v>72</v>
      </c>
      <c r="C1184" t="s">
        <v>53</v>
      </c>
      <c r="D1184" t="s">
        <v>7240</v>
      </c>
      <c r="E1184" t="s">
        <v>7251</v>
      </c>
      <c r="F1184" s="121">
        <v>300</v>
      </c>
      <c r="G1184" s="121">
        <v>265.8</v>
      </c>
      <c r="H1184" t="s">
        <v>373</v>
      </c>
      <c r="I1184" s="156">
        <v>39813</v>
      </c>
      <c r="K1184" s="153"/>
      <c r="L1184" s="153"/>
      <c r="M1184" s="153"/>
      <c r="N1184" s="153"/>
      <c r="O1184" s="153"/>
      <c r="P1184" s="150"/>
      <c r="Q1184" s="150"/>
      <c r="R1184" s="153"/>
      <c r="S1184" s="154"/>
      <c r="T1184" s="115"/>
    </row>
    <row r="1185" spans="1:20">
      <c r="A1185" t="s">
        <v>1230</v>
      </c>
      <c r="B1185" t="s">
        <v>72</v>
      </c>
      <c r="C1185" t="s">
        <v>53</v>
      </c>
      <c r="D1185" t="s">
        <v>570</v>
      </c>
      <c r="E1185" t="s">
        <v>2932</v>
      </c>
      <c r="F1185" s="121">
        <v>300</v>
      </c>
      <c r="G1185" s="121">
        <v>265.8</v>
      </c>
      <c r="H1185" t="s">
        <v>373</v>
      </c>
      <c r="I1185" s="156">
        <v>39813</v>
      </c>
      <c r="K1185" s="153"/>
      <c r="L1185" s="153"/>
      <c r="M1185" s="153"/>
      <c r="N1185" s="153"/>
      <c r="O1185" s="153"/>
      <c r="P1185" s="150"/>
      <c r="Q1185" s="150"/>
      <c r="R1185" s="153"/>
      <c r="S1185" s="154"/>
      <c r="T1185" s="115"/>
    </row>
    <row r="1186" spans="1:20">
      <c r="A1186" t="s">
        <v>1230</v>
      </c>
      <c r="B1186" t="s">
        <v>72</v>
      </c>
      <c r="C1186" t="s">
        <v>53</v>
      </c>
      <c r="D1186" t="s">
        <v>7240</v>
      </c>
      <c r="E1186" t="s">
        <v>7252</v>
      </c>
      <c r="F1186" s="121">
        <v>300</v>
      </c>
      <c r="G1186" s="121">
        <v>265.8</v>
      </c>
      <c r="H1186" t="s">
        <v>373</v>
      </c>
      <c r="I1186" s="156">
        <v>39813</v>
      </c>
      <c r="K1186" s="153"/>
      <c r="L1186" s="153"/>
      <c r="M1186" s="153"/>
      <c r="N1186" s="153"/>
      <c r="O1186" s="153"/>
      <c r="P1186" s="150"/>
      <c r="Q1186" s="150"/>
      <c r="R1186" s="153"/>
      <c r="S1186" s="154"/>
      <c r="T1186" s="115"/>
    </row>
    <row r="1187" spans="1:20">
      <c r="A1187" t="s">
        <v>1230</v>
      </c>
      <c r="B1187" t="s">
        <v>72</v>
      </c>
      <c r="C1187" t="s">
        <v>53</v>
      </c>
      <c r="D1187" t="s">
        <v>7240</v>
      </c>
      <c r="E1187" t="s">
        <v>7253</v>
      </c>
      <c r="F1187" s="121">
        <v>300</v>
      </c>
      <c r="G1187" s="121">
        <v>265.8</v>
      </c>
      <c r="H1187" t="s">
        <v>373</v>
      </c>
      <c r="I1187" s="156">
        <v>39813</v>
      </c>
      <c r="K1187" s="153"/>
      <c r="L1187" s="153"/>
      <c r="M1187" s="153"/>
      <c r="N1187" s="153"/>
      <c r="O1187" s="153"/>
      <c r="P1187" s="150"/>
      <c r="Q1187" s="150"/>
      <c r="R1187" s="153"/>
      <c r="S1187" s="154"/>
      <c r="T1187" s="115"/>
    </row>
    <row r="1188" spans="1:20">
      <c r="A1188" t="s">
        <v>1230</v>
      </c>
      <c r="B1188" t="s">
        <v>72</v>
      </c>
      <c r="C1188" t="s">
        <v>53</v>
      </c>
      <c r="D1188" t="s">
        <v>7240</v>
      </c>
      <c r="E1188" t="s">
        <v>7254</v>
      </c>
      <c r="F1188" s="121">
        <v>300</v>
      </c>
      <c r="G1188" s="121">
        <v>265.8</v>
      </c>
      <c r="H1188" t="s">
        <v>373</v>
      </c>
      <c r="I1188" s="156">
        <v>39813</v>
      </c>
      <c r="K1188" s="153"/>
      <c r="L1188" s="153"/>
      <c r="M1188" s="153"/>
      <c r="N1188" s="153"/>
      <c r="O1188" s="153"/>
      <c r="P1188" s="150"/>
      <c r="Q1188" s="150"/>
      <c r="R1188" s="153"/>
      <c r="S1188" s="154"/>
      <c r="T1188" s="115"/>
    </row>
    <row r="1189" spans="1:20">
      <c r="A1189" t="s">
        <v>1230</v>
      </c>
      <c r="B1189" t="s">
        <v>72</v>
      </c>
      <c r="C1189" t="s">
        <v>43</v>
      </c>
      <c r="D1189" t="s">
        <v>566</v>
      </c>
      <c r="E1189" t="s">
        <v>2933</v>
      </c>
      <c r="F1189" s="121">
        <v>360.5</v>
      </c>
      <c r="G1189" s="121">
        <v>360.5</v>
      </c>
      <c r="H1189" t="s">
        <v>373</v>
      </c>
      <c r="I1189" s="156">
        <v>41089</v>
      </c>
      <c r="K1189" s="153"/>
      <c r="L1189" s="153"/>
      <c r="M1189" s="153"/>
      <c r="N1189" s="153"/>
      <c r="O1189" s="153"/>
      <c r="P1189" s="150"/>
      <c r="Q1189" s="150"/>
      <c r="R1189" s="153"/>
      <c r="S1189" s="154"/>
      <c r="T1189" s="115"/>
    </row>
    <row r="1190" spans="1:20">
      <c r="A1190" t="s">
        <v>1230</v>
      </c>
      <c r="B1190" t="s">
        <v>72</v>
      </c>
      <c r="C1190" t="s">
        <v>53</v>
      </c>
      <c r="D1190" t="s">
        <v>571</v>
      </c>
      <c r="E1190" t="s">
        <v>2934</v>
      </c>
      <c r="F1190" s="121">
        <v>1000</v>
      </c>
      <c r="G1190" s="121">
        <v>757.05</v>
      </c>
      <c r="H1190" t="s">
        <v>373</v>
      </c>
      <c r="I1190" s="156">
        <v>39813</v>
      </c>
      <c r="K1190" s="153"/>
      <c r="L1190" s="153"/>
      <c r="M1190" s="153"/>
      <c r="N1190" s="153"/>
      <c r="O1190" s="153"/>
      <c r="P1190" s="150"/>
      <c r="Q1190" s="150"/>
      <c r="R1190" s="153"/>
      <c r="S1190" s="154"/>
      <c r="T1190" s="115"/>
    </row>
    <row r="1191" spans="1:20">
      <c r="A1191" t="s">
        <v>1230</v>
      </c>
      <c r="B1191" t="s">
        <v>72</v>
      </c>
      <c r="C1191" t="s">
        <v>55</v>
      </c>
      <c r="D1191" t="s">
        <v>572</v>
      </c>
      <c r="E1191" t="s">
        <v>2935</v>
      </c>
      <c r="F1191" s="121">
        <v>500</v>
      </c>
      <c r="G1191" s="121">
        <v>751.9</v>
      </c>
      <c r="H1191" t="s">
        <v>373</v>
      </c>
      <c r="I1191" s="156">
        <v>39813</v>
      </c>
      <c r="K1191" s="153"/>
      <c r="L1191" s="153"/>
      <c r="M1191" s="153"/>
      <c r="N1191" s="153"/>
      <c r="O1191" s="153"/>
      <c r="P1191" s="150"/>
      <c r="Q1191" s="150"/>
      <c r="R1191" s="153"/>
      <c r="S1191" s="154"/>
      <c r="T1191" s="115"/>
    </row>
    <row r="1192" spans="1:20">
      <c r="A1192" t="s">
        <v>1230</v>
      </c>
      <c r="B1192" t="s">
        <v>72</v>
      </c>
      <c r="C1192" t="s">
        <v>55</v>
      </c>
      <c r="D1192" t="s">
        <v>547</v>
      </c>
      <c r="E1192" t="s">
        <v>2936</v>
      </c>
      <c r="F1192" s="121">
        <v>618</v>
      </c>
      <c r="G1192" s="121">
        <v>618</v>
      </c>
      <c r="H1192" t="s">
        <v>373</v>
      </c>
      <c r="I1192" s="156">
        <v>41089</v>
      </c>
      <c r="K1192" s="153"/>
      <c r="L1192" s="153"/>
      <c r="M1192" s="153"/>
      <c r="N1192" s="153"/>
      <c r="O1192" s="153"/>
      <c r="P1192" s="150"/>
      <c r="Q1192" s="150"/>
      <c r="R1192" s="153"/>
      <c r="S1192" s="154"/>
      <c r="T1192" s="115"/>
    </row>
    <row r="1193" spans="1:20">
      <c r="A1193" t="s">
        <v>1230</v>
      </c>
      <c r="B1193" t="s">
        <v>72</v>
      </c>
      <c r="C1193" t="s">
        <v>55</v>
      </c>
      <c r="D1193" t="s">
        <v>7238</v>
      </c>
      <c r="E1193" t="s">
        <v>7255</v>
      </c>
      <c r="F1193" s="121">
        <v>50</v>
      </c>
      <c r="G1193" s="121">
        <v>43</v>
      </c>
      <c r="H1193" t="s">
        <v>373</v>
      </c>
      <c r="I1193" s="156">
        <v>39813</v>
      </c>
      <c r="K1193" s="153"/>
      <c r="L1193" s="153"/>
      <c r="M1193" s="153"/>
      <c r="N1193" s="153"/>
      <c r="O1193" s="153"/>
      <c r="P1193" s="150"/>
      <c r="Q1193" s="150"/>
      <c r="R1193" s="153"/>
      <c r="S1193" s="154"/>
      <c r="T1193" s="115"/>
    </row>
    <row r="1194" spans="1:20">
      <c r="A1194" t="s">
        <v>1230</v>
      </c>
      <c r="B1194" t="s">
        <v>72</v>
      </c>
      <c r="C1194" t="s">
        <v>55</v>
      </c>
      <c r="D1194" t="s">
        <v>573</v>
      </c>
      <c r="E1194" t="s">
        <v>2937</v>
      </c>
      <c r="F1194" s="121">
        <v>43</v>
      </c>
      <c r="G1194" s="121">
        <v>43</v>
      </c>
      <c r="H1194" t="s">
        <v>373</v>
      </c>
      <c r="I1194" s="156">
        <v>41089</v>
      </c>
      <c r="K1194" s="153"/>
      <c r="L1194" s="153"/>
      <c r="M1194" s="153"/>
      <c r="N1194" s="153"/>
      <c r="O1194" s="153"/>
      <c r="P1194" s="150"/>
      <c r="Q1194" s="150"/>
      <c r="R1194" s="153"/>
      <c r="S1194" s="154"/>
      <c r="T1194" s="115"/>
    </row>
    <row r="1195" spans="1:20">
      <c r="A1195" t="s">
        <v>1230</v>
      </c>
      <c r="B1195" t="s">
        <v>72</v>
      </c>
      <c r="C1195" t="s">
        <v>53</v>
      </c>
      <c r="D1195" t="s">
        <v>574</v>
      </c>
      <c r="E1195" t="s">
        <v>2938</v>
      </c>
      <c r="F1195" s="121">
        <v>669.5</v>
      </c>
      <c r="G1195" s="121">
        <v>669.5</v>
      </c>
      <c r="H1195" t="s">
        <v>373</v>
      </c>
      <c r="I1195" s="156">
        <v>41089</v>
      </c>
      <c r="K1195" s="153"/>
      <c r="L1195" s="153"/>
      <c r="M1195" s="153"/>
      <c r="N1195" s="153"/>
      <c r="O1195" s="153"/>
      <c r="P1195" s="150"/>
      <c r="Q1195" s="150"/>
      <c r="R1195" s="153"/>
      <c r="S1195" s="154"/>
      <c r="T1195" s="115"/>
    </row>
    <row r="1196" spans="1:20">
      <c r="A1196" t="s">
        <v>1230</v>
      </c>
      <c r="B1196" t="s">
        <v>72</v>
      </c>
      <c r="C1196" t="s">
        <v>53</v>
      </c>
      <c r="D1196" t="s">
        <v>575</v>
      </c>
      <c r="E1196" t="s">
        <v>2939</v>
      </c>
      <c r="F1196" s="121">
        <v>879.59</v>
      </c>
      <c r="G1196" s="121">
        <v>700.4</v>
      </c>
      <c r="H1196" t="s">
        <v>373</v>
      </c>
      <c r="I1196" s="156">
        <v>40115</v>
      </c>
      <c r="K1196" s="153"/>
      <c r="L1196" s="153"/>
      <c r="M1196" s="153"/>
      <c r="N1196" s="153"/>
      <c r="O1196" s="153"/>
      <c r="P1196" s="150"/>
      <c r="Q1196" s="150"/>
      <c r="R1196" s="153"/>
      <c r="S1196" s="154"/>
      <c r="T1196" s="115"/>
    </row>
    <row r="1197" spans="1:20">
      <c r="A1197" t="s">
        <v>1230</v>
      </c>
      <c r="B1197" t="s">
        <v>72</v>
      </c>
      <c r="C1197" t="s">
        <v>53</v>
      </c>
      <c r="D1197" t="s">
        <v>575</v>
      </c>
      <c r="E1197" t="s">
        <v>2940</v>
      </c>
      <c r="F1197" s="121">
        <v>879.59</v>
      </c>
      <c r="G1197" s="121">
        <v>700.4</v>
      </c>
      <c r="H1197" t="s">
        <v>373</v>
      </c>
      <c r="I1197" s="156">
        <v>40115</v>
      </c>
      <c r="K1197" s="153"/>
      <c r="L1197" s="153"/>
      <c r="M1197" s="153"/>
      <c r="N1197" s="153"/>
      <c r="O1197" s="153"/>
      <c r="P1197" s="150"/>
      <c r="Q1197" s="150"/>
      <c r="R1197" s="153"/>
      <c r="S1197" s="154"/>
      <c r="T1197" s="115"/>
    </row>
    <row r="1198" spans="1:20">
      <c r="A1198" t="s">
        <v>1230</v>
      </c>
      <c r="B1198" t="s">
        <v>72</v>
      </c>
      <c r="C1198" t="s">
        <v>53</v>
      </c>
      <c r="D1198" t="s">
        <v>576</v>
      </c>
      <c r="E1198" t="s">
        <v>2941</v>
      </c>
      <c r="F1198" s="121">
        <v>2103.56</v>
      </c>
      <c r="G1198" s="121">
        <v>1596.5</v>
      </c>
      <c r="H1198" t="s">
        <v>373</v>
      </c>
      <c r="I1198" s="156">
        <v>40115</v>
      </c>
      <c r="K1198" s="153"/>
      <c r="L1198" s="153"/>
      <c r="M1198" s="153"/>
      <c r="N1198" s="153"/>
      <c r="O1198" s="153"/>
      <c r="P1198" s="150"/>
      <c r="Q1198" s="150"/>
      <c r="R1198" s="153"/>
      <c r="S1198" s="154"/>
      <c r="T1198" s="115"/>
    </row>
    <row r="1199" spans="1:20">
      <c r="A1199" t="s">
        <v>1230</v>
      </c>
      <c r="B1199" t="s">
        <v>72</v>
      </c>
      <c r="C1199" t="s">
        <v>53</v>
      </c>
      <c r="D1199" t="s">
        <v>577</v>
      </c>
      <c r="E1199" t="s">
        <v>2942</v>
      </c>
      <c r="F1199" s="121">
        <v>350.2</v>
      </c>
      <c r="G1199" s="121">
        <v>350.2</v>
      </c>
      <c r="H1199" t="s">
        <v>373</v>
      </c>
      <c r="I1199" s="156">
        <v>41089</v>
      </c>
      <c r="K1199" s="153"/>
      <c r="L1199" s="153"/>
      <c r="M1199" s="153"/>
      <c r="N1199" s="153"/>
      <c r="O1199" s="153"/>
      <c r="P1199" s="150"/>
      <c r="Q1199" s="150"/>
      <c r="R1199" s="153"/>
      <c r="S1199" s="154"/>
      <c r="T1199" s="115"/>
    </row>
    <row r="1200" spans="1:20">
      <c r="A1200" t="s">
        <v>1230</v>
      </c>
      <c r="B1200" t="s">
        <v>72</v>
      </c>
      <c r="C1200" t="s">
        <v>53</v>
      </c>
      <c r="D1200" t="s">
        <v>578</v>
      </c>
      <c r="E1200" t="s">
        <v>2943</v>
      </c>
      <c r="F1200" s="121">
        <v>3444</v>
      </c>
      <c r="G1200" s="121">
        <v>2781</v>
      </c>
      <c r="H1200" t="s">
        <v>373</v>
      </c>
      <c r="I1200" s="156">
        <v>40891</v>
      </c>
      <c r="K1200" s="153"/>
      <c r="L1200" s="153"/>
      <c r="M1200" s="153"/>
      <c r="N1200" s="153"/>
      <c r="O1200" s="153"/>
      <c r="P1200" s="150"/>
      <c r="Q1200" s="150"/>
      <c r="R1200" s="153"/>
      <c r="S1200" s="154"/>
      <c r="T1200" s="115"/>
    </row>
    <row r="1201" spans="1:20">
      <c r="A1201" t="s">
        <v>1230</v>
      </c>
      <c r="B1201" t="s">
        <v>72</v>
      </c>
      <c r="C1201" t="s">
        <v>53</v>
      </c>
      <c r="D1201" t="s">
        <v>579</v>
      </c>
      <c r="E1201" t="s">
        <v>2944</v>
      </c>
      <c r="F1201" s="121">
        <v>927</v>
      </c>
      <c r="G1201" s="121">
        <v>927</v>
      </c>
      <c r="H1201" t="s">
        <v>373</v>
      </c>
      <c r="I1201" s="156">
        <v>41089</v>
      </c>
      <c r="K1201" s="153"/>
      <c r="L1201" s="153"/>
      <c r="M1201" s="153"/>
      <c r="N1201" s="153"/>
      <c r="O1201" s="153"/>
      <c r="P1201" s="150"/>
      <c r="Q1201" s="150"/>
      <c r="R1201" s="153"/>
      <c r="S1201" s="154"/>
      <c r="T1201" s="115"/>
    </row>
    <row r="1202" spans="1:20">
      <c r="A1202" t="s">
        <v>1230</v>
      </c>
      <c r="B1202" t="s">
        <v>72</v>
      </c>
      <c r="C1202" t="s">
        <v>53</v>
      </c>
      <c r="D1202" t="s">
        <v>580</v>
      </c>
      <c r="E1202" t="s">
        <v>2945</v>
      </c>
      <c r="F1202" s="121">
        <v>900</v>
      </c>
      <c r="G1202" s="121">
        <v>1019.7</v>
      </c>
      <c r="H1202" t="s">
        <v>373</v>
      </c>
      <c r="I1202" s="156">
        <v>39813</v>
      </c>
      <c r="K1202" s="153"/>
      <c r="L1202" s="153"/>
      <c r="M1202" s="153"/>
      <c r="N1202" s="153"/>
      <c r="O1202" s="153"/>
      <c r="P1202" s="150"/>
      <c r="Q1202" s="150"/>
      <c r="R1202" s="153"/>
      <c r="S1202" s="154"/>
      <c r="T1202" s="115"/>
    </row>
    <row r="1203" spans="1:20">
      <c r="A1203" t="s">
        <v>1230</v>
      </c>
      <c r="B1203" t="s">
        <v>72</v>
      </c>
      <c r="C1203" t="s">
        <v>53</v>
      </c>
      <c r="D1203" t="s">
        <v>580</v>
      </c>
      <c r="E1203" t="s">
        <v>2946</v>
      </c>
      <c r="F1203" s="121">
        <v>900</v>
      </c>
      <c r="G1203" s="121">
        <v>1112.4000000000001</v>
      </c>
      <c r="H1203" t="s">
        <v>373</v>
      </c>
      <c r="I1203" s="156">
        <v>39813</v>
      </c>
      <c r="K1203" s="153"/>
      <c r="L1203" s="153"/>
      <c r="M1203" s="153"/>
      <c r="N1203" s="153"/>
      <c r="O1203" s="153"/>
      <c r="P1203" s="150"/>
      <c r="Q1203" s="150"/>
      <c r="R1203" s="153"/>
      <c r="S1203" s="154"/>
      <c r="T1203" s="115"/>
    </row>
    <row r="1204" spans="1:20">
      <c r="A1204" t="s">
        <v>1230</v>
      </c>
      <c r="B1204" t="s">
        <v>72</v>
      </c>
      <c r="C1204" t="s">
        <v>53</v>
      </c>
      <c r="D1204" t="s">
        <v>581</v>
      </c>
      <c r="E1204" t="s">
        <v>2947</v>
      </c>
      <c r="F1204" s="121">
        <v>1596.5</v>
      </c>
      <c r="G1204" s="121">
        <v>1596.5</v>
      </c>
      <c r="H1204" t="s">
        <v>373</v>
      </c>
      <c r="I1204" s="156">
        <v>41089</v>
      </c>
      <c r="K1204" s="153"/>
      <c r="L1204" s="153"/>
      <c r="M1204" s="153"/>
      <c r="N1204" s="153"/>
      <c r="O1204" s="153"/>
      <c r="P1204" s="150"/>
      <c r="Q1204" s="150"/>
      <c r="R1204" s="153"/>
      <c r="S1204" s="154"/>
      <c r="T1204" s="115"/>
    </row>
    <row r="1205" spans="1:20">
      <c r="A1205" t="s">
        <v>1230</v>
      </c>
      <c r="B1205" t="s">
        <v>72</v>
      </c>
      <c r="C1205" t="s">
        <v>53</v>
      </c>
      <c r="D1205" t="s">
        <v>582</v>
      </c>
      <c r="E1205" t="s">
        <v>2948</v>
      </c>
      <c r="F1205" s="121">
        <v>1133</v>
      </c>
      <c r="G1205" s="121">
        <v>1133</v>
      </c>
      <c r="H1205" t="s">
        <v>373</v>
      </c>
      <c r="I1205" s="156">
        <v>41089</v>
      </c>
      <c r="K1205" s="153"/>
      <c r="L1205" s="153"/>
      <c r="M1205" s="153"/>
      <c r="N1205" s="153"/>
      <c r="O1205" s="153"/>
      <c r="P1205" s="150"/>
      <c r="Q1205" s="150"/>
      <c r="R1205" s="153"/>
      <c r="S1205" s="154"/>
      <c r="T1205" s="115"/>
    </row>
    <row r="1206" spans="1:20">
      <c r="A1206" t="s">
        <v>1230</v>
      </c>
      <c r="B1206" t="s">
        <v>72</v>
      </c>
      <c r="C1206" t="s">
        <v>53</v>
      </c>
      <c r="D1206" t="s">
        <v>582</v>
      </c>
      <c r="E1206" t="s">
        <v>2949</v>
      </c>
      <c r="F1206" s="121">
        <v>927</v>
      </c>
      <c r="G1206" s="121">
        <v>927</v>
      </c>
      <c r="H1206" t="s">
        <v>373</v>
      </c>
      <c r="I1206" s="156">
        <v>41089</v>
      </c>
      <c r="K1206" s="153"/>
      <c r="L1206" s="153"/>
      <c r="M1206" s="153"/>
      <c r="N1206" s="153"/>
      <c r="O1206" s="153"/>
      <c r="P1206" s="150"/>
      <c r="Q1206" s="150"/>
      <c r="R1206" s="153"/>
      <c r="S1206" s="154"/>
      <c r="T1206" s="115"/>
    </row>
    <row r="1207" spans="1:20">
      <c r="A1207" t="s">
        <v>1230</v>
      </c>
      <c r="B1207" t="s">
        <v>72</v>
      </c>
      <c r="C1207" t="s">
        <v>53</v>
      </c>
      <c r="D1207" t="s">
        <v>7256</v>
      </c>
      <c r="E1207" t="s">
        <v>7257</v>
      </c>
      <c r="F1207" s="121">
        <v>800</v>
      </c>
      <c r="G1207" s="121">
        <v>684.95</v>
      </c>
      <c r="H1207" t="s">
        <v>373</v>
      </c>
      <c r="I1207" s="156">
        <v>39813</v>
      </c>
      <c r="K1207" s="153"/>
      <c r="L1207" s="153"/>
      <c r="M1207" s="153"/>
      <c r="N1207" s="153"/>
      <c r="O1207" s="153"/>
      <c r="P1207" s="150"/>
      <c r="Q1207" s="150"/>
      <c r="R1207" s="153"/>
      <c r="S1207" s="154"/>
      <c r="T1207" s="115"/>
    </row>
    <row r="1208" spans="1:20">
      <c r="A1208" t="s">
        <v>1230</v>
      </c>
      <c r="B1208" t="s">
        <v>72</v>
      </c>
      <c r="C1208" t="s">
        <v>53</v>
      </c>
      <c r="D1208" t="s">
        <v>583</v>
      </c>
      <c r="E1208" t="s">
        <v>2950</v>
      </c>
      <c r="F1208" s="121">
        <v>1954.36</v>
      </c>
      <c r="G1208" s="121">
        <v>1720.1</v>
      </c>
      <c r="H1208" t="s">
        <v>373</v>
      </c>
      <c r="I1208" s="156">
        <v>40115</v>
      </c>
      <c r="K1208" s="153"/>
      <c r="L1208" s="153"/>
      <c r="M1208" s="153"/>
      <c r="N1208" s="153"/>
      <c r="O1208" s="153"/>
      <c r="P1208" s="150"/>
      <c r="Q1208" s="150"/>
      <c r="R1208" s="153"/>
      <c r="S1208" s="154"/>
      <c r="T1208" s="115"/>
    </row>
    <row r="1209" spans="1:20">
      <c r="A1209" t="s">
        <v>1230</v>
      </c>
      <c r="B1209" t="s">
        <v>72</v>
      </c>
      <c r="C1209" t="s">
        <v>53</v>
      </c>
      <c r="D1209" t="s">
        <v>584</v>
      </c>
      <c r="E1209" t="s">
        <v>2951</v>
      </c>
      <c r="F1209" s="121">
        <v>1071.2</v>
      </c>
      <c r="G1209" s="121">
        <v>1071.2</v>
      </c>
      <c r="H1209" t="s">
        <v>373</v>
      </c>
      <c r="I1209" s="156">
        <v>41089</v>
      </c>
      <c r="K1209" s="153"/>
      <c r="L1209" s="153"/>
      <c r="M1209" s="153"/>
      <c r="N1209" s="153"/>
      <c r="O1209" s="153"/>
      <c r="P1209" s="150"/>
      <c r="Q1209" s="150"/>
      <c r="R1209" s="153"/>
      <c r="S1209" s="154"/>
      <c r="T1209" s="115"/>
    </row>
    <row r="1210" spans="1:20">
      <c r="A1210" t="s">
        <v>1230</v>
      </c>
      <c r="B1210" t="s">
        <v>72</v>
      </c>
      <c r="C1210" t="s">
        <v>53</v>
      </c>
      <c r="D1210" t="s">
        <v>561</v>
      </c>
      <c r="E1210" t="s">
        <v>7258</v>
      </c>
      <c r="F1210" s="121">
        <v>432.6</v>
      </c>
      <c r="G1210" s="121">
        <v>432.6</v>
      </c>
      <c r="H1210" t="s">
        <v>373</v>
      </c>
      <c r="I1210" s="156">
        <v>41089</v>
      </c>
      <c r="K1210" s="153"/>
      <c r="L1210" s="153"/>
      <c r="M1210" s="153"/>
      <c r="N1210" s="153"/>
      <c r="O1210" s="153"/>
      <c r="P1210" s="150"/>
      <c r="Q1210" s="150"/>
      <c r="R1210" s="153"/>
      <c r="S1210" s="154"/>
      <c r="T1210" s="115"/>
    </row>
    <row r="1211" spans="1:20">
      <c r="A1211" t="s">
        <v>1230</v>
      </c>
      <c r="B1211" t="s">
        <v>72</v>
      </c>
      <c r="C1211" t="s">
        <v>53</v>
      </c>
      <c r="D1211" t="s">
        <v>7259</v>
      </c>
      <c r="E1211" t="s">
        <v>7260</v>
      </c>
      <c r="F1211" s="121">
        <v>318.07</v>
      </c>
      <c r="G1211" s="121">
        <v>419.8</v>
      </c>
      <c r="H1211" t="s">
        <v>373</v>
      </c>
      <c r="I1211" s="156">
        <v>40115</v>
      </c>
      <c r="K1211" s="153"/>
      <c r="L1211" s="153"/>
      <c r="M1211" s="153"/>
      <c r="N1211" s="153"/>
      <c r="O1211" s="153"/>
      <c r="P1211" s="150"/>
      <c r="Q1211" s="150"/>
      <c r="R1211" s="153"/>
      <c r="S1211" s="154"/>
      <c r="T1211" s="115"/>
    </row>
    <row r="1212" spans="1:20">
      <c r="A1212" t="s">
        <v>1230</v>
      </c>
      <c r="B1212" t="s">
        <v>72</v>
      </c>
      <c r="C1212" t="s">
        <v>53</v>
      </c>
      <c r="D1212" t="s">
        <v>7261</v>
      </c>
      <c r="E1212" t="s">
        <v>7262</v>
      </c>
      <c r="F1212" s="121">
        <v>504.7</v>
      </c>
      <c r="G1212" s="121">
        <v>504.7</v>
      </c>
      <c r="H1212" t="s">
        <v>373</v>
      </c>
      <c r="I1212" s="156">
        <v>41089</v>
      </c>
      <c r="K1212" s="153"/>
      <c r="L1212" s="153"/>
      <c r="M1212" s="153"/>
      <c r="N1212" s="153"/>
      <c r="O1212" s="153"/>
      <c r="P1212" s="150"/>
      <c r="Q1212" s="150"/>
      <c r="R1212" s="153"/>
      <c r="S1212" s="154"/>
      <c r="T1212" s="115"/>
    </row>
    <row r="1213" spans="1:20">
      <c r="A1213" t="s">
        <v>1230</v>
      </c>
      <c r="B1213" t="s">
        <v>72</v>
      </c>
      <c r="C1213" t="s">
        <v>53</v>
      </c>
      <c r="D1213" t="s">
        <v>585</v>
      </c>
      <c r="E1213" t="s">
        <v>2952</v>
      </c>
      <c r="F1213" s="121">
        <v>335.07</v>
      </c>
      <c r="G1213" s="121">
        <v>257.5</v>
      </c>
      <c r="H1213" t="s">
        <v>373</v>
      </c>
      <c r="I1213" s="156">
        <v>40115</v>
      </c>
      <c r="K1213" s="153"/>
      <c r="L1213" s="153"/>
      <c r="M1213" s="153"/>
      <c r="N1213" s="153"/>
      <c r="O1213" s="153"/>
      <c r="P1213" s="150"/>
      <c r="Q1213" s="150"/>
      <c r="R1213" s="153"/>
      <c r="S1213" s="154"/>
      <c r="T1213" s="115"/>
    </row>
    <row r="1214" spans="1:20">
      <c r="A1214" t="s">
        <v>1230</v>
      </c>
      <c r="B1214" t="s">
        <v>72</v>
      </c>
      <c r="C1214" t="s">
        <v>53</v>
      </c>
      <c r="D1214" t="s">
        <v>586</v>
      </c>
      <c r="E1214" t="s">
        <v>2953</v>
      </c>
      <c r="F1214" s="121">
        <v>463.5</v>
      </c>
      <c r="G1214" s="121">
        <v>463.5</v>
      </c>
      <c r="H1214" t="s">
        <v>373</v>
      </c>
      <c r="I1214" s="156">
        <v>41089</v>
      </c>
      <c r="K1214" s="153"/>
      <c r="L1214" s="153"/>
      <c r="M1214" s="153"/>
      <c r="N1214" s="153"/>
      <c r="O1214" s="153"/>
      <c r="P1214" s="150"/>
      <c r="Q1214" s="150"/>
      <c r="R1214" s="153"/>
      <c r="S1214" s="154"/>
      <c r="T1214" s="115"/>
    </row>
    <row r="1215" spans="1:20">
      <c r="A1215" t="s">
        <v>1230</v>
      </c>
      <c r="B1215" t="s">
        <v>72</v>
      </c>
      <c r="C1215" t="s">
        <v>53</v>
      </c>
      <c r="D1215" t="s">
        <v>586</v>
      </c>
      <c r="E1215" t="s">
        <v>2954</v>
      </c>
      <c r="F1215" s="121">
        <v>463.5</v>
      </c>
      <c r="G1215" s="121">
        <v>463.5</v>
      </c>
      <c r="H1215" t="s">
        <v>373</v>
      </c>
      <c r="I1215" s="156">
        <v>41089</v>
      </c>
      <c r="K1215" s="153"/>
      <c r="L1215" s="153"/>
      <c r="M1215" s="153"/>
      <c r="N1215" s="153"/>
      <c r="O1215" s="153"/>
      <c r="P1215" s="150"/>
      <c r="Q1215" s="150"/>
      <c r="R1215" s="153"/>
      <c r="S1215" s="154"/>
      <c r="T1215" s="115"/>
    </row>
    <row r="1216" spans="1:20">
      <c r="A1216" t="s">
        <v>1230</v>
      </c>
      <c r="B1216" t="s">
        <v>72</v>
      </c>
      <c r="C1216" t="s">
        <v>53</v>
      </c>
      <c r="D1216" t="s">
        <v>587</v>
      </c>
      <c r="E1216" t="s">
        <v>2955</v>
      </c>
      <c r="F1216" s="121">
        <v>350.2</v>
      </c>
      <c r="G1216" s="121">
        <v>350.2</v>
      </c>
      <c r="H1216" t="s">
        <v>373</v>
      </c>
      <c r="I1216" s="156">
        <v>41089</v>
      </c>
      <c r="K1216" s="153"/>
      <c r="L1216" s="153"/>
      <c r="M1216" s="153"/>
      <c r="N1216" s="153"/>
      <c r="O1216" s="153"/>
      <c r="P1216" s="150"/>
      <c r="Q1216" s="150"/>
      <c r="R1216" s="153"/>
      <c r="S1216" s="154"/>
      <c r="T1216" s="115"/>
    </row>
    <row r="1217" spans="1:20">
      <c r="A1217" t="s">
        <v>1230</v>
      </c>
      <c r="B1217" t="s">
        <v>72</v>
      </c>
      <c r="C1217" t="s">
        <v>53</v>
      </c>
      <c r="D1217" t="s">
        <v>586</v>
      </c>
      <c r="E1217" t="s">
        <v>2956</v>
      </c>
      <c r="F1217" s="121">
        <v>391.4</v>
      </c>
      <c r="G1217" s="121">
        <v>391.4</v>
      </c>
      <c r="H1217" t="s">
        <v>373</v>
      </c>
      <c r="I1217" s="156">
        <v>41089</v>
      </c>
      <c r="K1217" s="153"/>
      <c r="L1217" s="153"/>
      <c r="M1217" s="153"/>
      <c r="N1217" s="153"/>
      <c r="O1217" s="153"/>
      <c r="P1217" s="150"/>
      <c r="Q1217" s="150"/>
      <c r="R1217" s="153"/>
      <c r="S1217" s="154"/>
      <c r="T1217" s="115"/>
    </row>
    <row r="1218" spans="1:20">
      <c r="A1218" t="s">
        <v>1230</v>
      </c>
      <c r="B1218" t="s">
        <v>72</v>
      </c>
      <c r="C1218" t="s">
        <v>55</v>
      </c>
      <c r="D1218" t="s">
        <v>588</v>
      </c>
      <c r="E1218" t="s">
        <v>2957</v>
      </c>
      <c r="F1218" s="121">
        <v>97.85</v>
      </c>
      <c r="G1218" s="121">
        <v>97.85</v>
      </c>
      <c r="H1218" t="s">
        <v>373</v>
      </c>
      <c r="I1218" s="156">
        <v>41089</v>
      </c>
      <c r="K1218" s="153"/>
      <c r="L1218" s="153"/>
      <c r="M1218" s="153"/>
      <c r="N1218" s="153"/>
      <c r="O1218" s="153"/>
      <c r="P1218" s="150"/>
      <c r="Q1218" s="150"/>
      <c r="R1218" s="153"/>
      <c r="S1218" s="154"/>
      <c r="T1218" s="115"/>
    </row>
    <row r="1219" spans="1:20">
      <c r="A1219" t="s">
        <v>1230</v>
      </c>
      <c r="B1219" t="s">
        <v>72</v>
      </c>
      <c r="C1219" t="s">
        <v>55</v>
      </c>
      <c r="D1219" t="s">
        <v>588</v>
      </c>
      <c r="E1219" t="s">
        <v>2958</v>
      </c>
      <c r="F1219" s="121">
        <v>97.85</v>
      </c>
      <c r="G1219" s="121">
        <v>97.85</v>
      </c>
      <c r="H1219" t="s">
        <v>373</v>
      </c>
      <c r="I1219" s="156">
        <v>41089</v>
      </c>
      <c r="K1219" s="153"/>
      <c r="L1219" s="153"/>
      <c r="M1219" s="153"/>
      <c r="N1219" s="153"/>
      <c r="O1219" s="153"/>
      <c r="P1219" s="150"/>
      <c r="Q1219" s="150"/>
      <c r="R1219" s="153"/>
      <c r="S1219" s="154"/>
      <c r="T1219" s="115"/>
    </row>
    <row r="1220" spans="1:20">
      <c r="A1220" t="s">
        <v>1230</v>
      </c>
      <c r="B1220" t="s">
        <v>72</v>
      </c>
      <c r="C1220" t="s">
        <v>55</v>
      </c>
      <c r="D1220" t="s">
        <v>588</v>
      </c>
      <c r="E1220" t="s">
        <v>2959</v>
      </c>
      <c r="F1220" s="121">
        <v>97.85</v>
      </c>
      <c r="G1220" s="121">
        <v>97.85</v>
      </c>
      <c r="H1220" t="s">
        <v>373</v>
      </c>
      <c r="I1220" s="156">
        <v>41089</v>
      </c>
      <c r="K1220" s="153"/>
      <c r="L1220" s="153"/>
      <c r="M1220" s="153"/>
      <c r="N1220" s="153"/>
      <c r="O1220" s="153"/>
      <c r="P1220" s="150"/>
      <c r="Q1220" s="150"/>
      <c r="R1220" s="153"/>
      <c r="S1220" s="154"/>
      <c r="T1220" s="115"/>
    </row>
    <row r="1221" spans="1:20">
      <c r="A1221" t="s">
        <v>1230</v>
      </c>
      <c r="B1221" t="s">
        <v>72</v>
      </c>
      <c r="C1221" t="s">
        <v>55</v>
      </c>
      <c r="D1221" t="s">
        <v>588</v>
      </c>
      <c r="E1221" t="s">
        <v>2960</v>
      </c>
      <c r="F1221" s="121">
        <v>97.85</v>
      </c>
      <c r="G1221" s="121">
        <v>97.85</v>
      </c>
      <c r="H1221" t="s">
        <v>373</v>
      </c>
      <c r="I1221" s="156">
        <v>41089</v>
      </c>
      <c r="K1221" s="153"/>
      <c r="L1221" s="153"/>
      <c r="M1221" s="153"/>
      <c r="N1221" s="153"/>
      <c r="O1221" s="153"/>
      <c r="P1221" s="150"/>
      <c r="Q1221" s="150"/>
      <c r="R1221" s="153"/>
      <c r="S1221" s="154"/>
      <c r="T1221" s="115"/>
    </row>
    <row r="1222" spans="1:20">
      <c r="A1222" t="s">
        <v>1230</v>
      </c>
      <c r="B1222" t="s">
        <v>72</v>
      </c>
      <c r="C1222" t="s">
        <v>55</v>
      </c>
      <c r="D1222" t="s">
        <v>569</v>
      </c>
      <c r="E1222" t="s">
        <v>2961</v>
      </c>
      <c r="F1222" s="121">
        <v>524</v>
      </c>
      <c r="G1222" s="121">
        <v>524</v>
      </c>
      <c r="H1222" t="s">
        <v>373</v>
      </c>
      <c r="I1222" s="156">
        <v>41089</v>
      </c>
      <c r="K1222" s="153"/>
      <c r="L1222" s="153"/>
      <c r="M1222" s="153"/>
      <c r="N1222" s="153"/>
      <c r="O1222" s="153"/>
      <c r="P1222" s="150"/>
      <c r="Q1222" s="150"/>
      <c r="R1222" s="153"/>
      <c r="S1222" s="154"/>
      <c r="T1222" s="115"/>
    </row>
    <row r="1223" spans="1:20">
      <c r="A1223" t="s">
        <v>1230</v>
      </c>
      <c r="B1223" t="s">
        <v>72</v>
      </c>
      <c r="C1223" t="s">
        <v>55</v>
      </c>
      <c r="D1223" t="s">
        <v>588</v>
      </c>
      <c r="E1223" t="s">
        <v>2962</v>
      </c>
      <c r="F1223" s="121">
        <v>97.85</v>
      </c>
      <c r="G1223" s="121">
        <v>97.85</v>
      </c>
      <c r="H1223" t="s">
        <v>373</v>
      </c>
      <c r="I1223" s="156">
        <v>41089</v>
      </c>
      <c r="K1223" s="153"/>
      <c r="L1223" s="153"/>
      <c r="M1223" s="153"/>
      <c r="N1223" s="153"/>
      <c r="O1223" s="153"/>
      <c r="P1223" s="150"/>
      <c r="Q1223" s="150"/>
      <c r="R1223" s="153"/>
      <c r="S1223" s="154"/>
      <c r="T1223" s="115"/>
    </row>
    <row r="1224" spans="1:20">
      <c r="A1224" t="s">
        <v>1230</v>
      </c>
      <c r="B1224" t="s">
        <v>72</v>
      </c>
      <c r="C1224" t="s">
        <v>55</v>
      </c>
      <c r="D1224" t="s">
        <v>588</v>
      </c>
      <c r="E1224" t="s">
        <v>2963</v>
      </c>
      <c r="F1224" s="121">
        <v>97.85</v>
      </c>
      <c r="G1224" s="121">
        <v>97.85</v>
      </c>
      <c r="H1224" t="s">
        <v>373</v>
      </c>
      <c r="I1224" s="156">
        <v>41089</v>
      </c>
      <c r="K1224" s="153"/>
      <c r="L1224" s="153"/>
      <c r="M1224" s="153"/>
      <c r="N1224" s="153"/>
      <c r="O1224" s="153"/>
      <c r="P1224" s="150"/>
      <c r="Q1224" s="150"/>
      <c r="R1224" s="153"/>
      <c r="S1224" s="154"/>
      <c r="T1224" s="115"/>
    </row>
    <row r="1225" spans="1:20">
      <c r="A1225" t="s">
        <v>1230</v>
      </c>
      <c r="B1225" t="s">
        <v>72</v>
      </c>
      <c r="C1225" t="s">
        <v>55</v>
      </c>
      <c r="D1225" t="s">
        <v>588</v>
      </c>
      <c r="E1225" t="s">
        <v>2964</v>
      </c>
      <c r="F1225" s="121">
        <v>97.85</v>
      </c>
      <c r="G1225" s="121">
        <v>97.85</v>
      </c>
      <c r="H1225" t="s">
        <v>373</v>
      </c>
      <c r="I1225" s="156">
        <v>41089</v>
      </c>
      <c r="K1225" s="153"/>
      <c r="L1225" s="153"/>
      <c r="M1225" s="153"/>
      <c r="N1225" s="153"/>
      <c r="O1225" s="153"/>
      <c r="P1225" s="150"/>
      <c r="Q1225" s="150"/>
      <c r="R1225" s="153"/>
      <c r="S1225" s="154"/>
      <c r="T1225" s="115"/>
    </row>
    <row r="1226" spans="1:20">
      <c r="A1226" t="s">
        <v>1230</v>
      </c>
      <c r="B1226" t="s">
        <v>72</v>
      </c>
      <c r="C1226" t="s">
        <v>55</v>
      </c>
      <c r="D1226" t="s">
        <v>588</v>
      </c>
      <c r="E1226" t="s">
        <v>2965</v>
      </c>
      <c r="F1226" s="121">
        <v>97.85</v>
      </c>
      <c r="G1226" s="121">
        <v>97.85</v>
      </c>
      <c r="H1226" t="s">
        <v>373</v>
      </c>
      <c r="I1226" s="156">
        <v>41089</v>
      </c>
      <c r="K1226" s="153"/>
      <c r="L1226" s="153"/>
      <c r="M1226" s="153"/>
      <c r="N1226" s="153"/>
      <c r="O1226" s="153"/>
      <c r="P1226" s="150"/>
      <c r="Q1226" s="150"/>
      <c r="R1226" s="153"/>
      <c r="S1226" s="154"/>
      <c r="T1226" s="115"/>
    </row>
    <row r="1227" spans="1:20">
      <c r="A1227" t="s">
        <v>1230</v>
      </c>
      <c r="B1227" t="s">
        <v>72</v>
      </c>
      <c r="C1227" t="s">
        <v>55</v>
      </c>
      <c r="D1227" t="s">
        <v>588</v>
      </c>
      <c r="E1227" t="s">
        <v>2966</v>
      </c>
      <c r="F1227" s="121">
        <v>97.85</v>
      </c>
      <c r="G1227" s="121">
        <v>97.85</v>
      </c>
      <c r="H1227" t="s">
        <v>373</v>
      </c>
      <c r="I1227" s="156">
        <v>41089</v>
      </c>
      <c r="K1227" s="153"/>
      <c r="L1227" s="153"/>
      <c r="M1227" s="153"/>
      <c r="N1227" s="153"/>
      <c r="O1227" s="153"/>
      <c r="P1227" s="150"/>
      <c r="Q1227" s="150"/>
      <c r="R1227" s="153"/>
      <c r="S1227" s="154"/>
      <c r="T1227" s="115"/>
    </row>
    <row r="1228" spans="1:20">
      <c r="A1228" t="s">
        <v>1230</v>
      </c>
      <c r="B1228" t="s">
        <v>72</v>
      </c>
      <c r="C1228" t="s">
        <v>55</v>
      </c>
      <c r="D1228" t="s">
        <v>588</v>
      </c>
      <c r="E1228" t="s">
        <v>2967</v>
      </c>
      <c r="F1228" s="121">
        <v>97.85</v>
      </c>
      <c r="G1228" s="121">
        <v>97.85</v>
      </c>
      <c r="H1228" t="s">
        <v>373</v>
      </c>
      <c r="I1228" s="156">
        <v>41089</v>
      </c>
      <c r="K1228" s="153"/>
      <c r="L1228" s="153"/>
      <c r="M1228" s="153"/>
      <c r="N1228" s="153"/>
      <c r="O1228" s="153"/>
      <c r="P1228" s="150"/>
      <c r="Q1228" s="150"/>
      <c r="R1228" s="153"/>
      <c r="S1228" s="154"/>
      <c r="T1228" s="115"/>
    </row>
    <row r="1229" spans="1:20">
      <c r="A1229" t="s">
        <v>1230</v>
      </c>
      <c r="B1229" t="s">
        <v>72</v>
      </c>
      <c r="C1229" t="s">
        <v>55</v>
      </c>
      <c r="D1229" t="s">
        <v>588</v>
      </c>
      <c r="E1229" t="s">
        <v>2968</v>
      </c>
      <c r="F1229" s="121">
        <v>97.85</v>
      </c>
      <c r="G1229" s="121">
        <v>97.85</v>
      </c>
      <c r="H1229" t="s">
        <v>373</v>
      </c>
      <c r="I1229" s="156">
        <v>41089</v>
      </c>
      <c r="K1229" s="153"/>
      <c r="L1229" s="153"/>
      <c r="M1229" s="153"/>
      <c r="N1229" s="153"/>
      <c r="O1229" s="153"/>
      <c r="P1229" s="150"/>
      <c r="Q1229" s="150"/>
      <c r="R1229" s="153"/>
      <c r="S1229" s="154"/>
      <c r="T1229" s="115"/>
    </row>
    <row r="1230" spans="1:20">
      <c r="A1230" t="s">
        <v>1230</v>
      </c>
      <c r="B1230" t="s">
        <v>72</v>
      </c>
      <c r="C1230" t="s">
        <v>55</v>
      </c>
      <c r="D1230" t="s">
        <v>588</v>
      </c>
      <c r="E1230" t="s">
        <v>2969</v>
      </c>
      <c r="F1230" s="121">
        <v>97.85</v>
      </c>
      <c r="G1230" s="121">
        <v>97.85</v>
      </c>
      <c r="H1230" t="s">
        <v>373</v>
      </c>
      <c r="I1230" s="156">
        <v>41089</v>
      </c>
      <c r="K1230" s="153"/>
      <c r="L1230" s="153"/>
      <c r="M1230" s="153"/>
      <c r="N1230" s="153"/>
      <c r="O1230" s="153"/>
      <c r="P1230" s="150"/>
      <c r="Q1230" s="150"/>
      <c r="R1230" s="153"/>
      <c r="S1230" s="154"/>
      <c r="T1230" s="115"/>
    </row>
    <row r="1231" spans="1:20">
      <c r="A1231" t="s">
        <v>1230</v>
      </c>
      <c r="B1231" t="s">
        <v>72</v>
      </c>
      <c r="C1231" t="s">
        <v>55</v>
      </c>
      <c r="D1231" t="s">
        <v>588</v>
      </c>
      <c r="E1231" t="s">
        <v>2970</v>
      </c>
      <c r="F1231" s="121">
        <v>97.85</v>
      </c>
      <c r="G1231" s="121">
        <v>97.85</v>
      </c>
      <c r="H1231" t="s">
        <v>373</v>
      </c>
      <c r="I1231" s="156">
        <v>41089</v>
      </c>
      <c r="K1231" s="153"/>
      <c r="L1231" s="153"/>
      <c r="M1231" s="153"/>
      <c r="N1231" s="153"/>
      <c r="O1231" s="153"/>
      <c r="P1231" s="150"/>
      <c r="Q1231" s="150"/>
      <c r="R1231" s="153"/>
      <c r="S1231" s="154"/>
      <c r="T1231" s="115"/>
    </row>
    <row r="1232" spans="1:20">
      <c r="A1232" t="s">
        <v>1230</v>
      </c>
      <c r="B1232" t="s">
        <v>72</v>
      </c>
      <c r="C1232" t="s">
        <v>43</v>
      </c>
      <c r="D1232" t="s">
        <v>536</v>
      </c>
      <c r="E1232" t="s">
        <v>2971</v>
      </c>
      <c r="F1232" s="121">
        <v>1270</v>
      </c>
      <c r="G1232" s="121">
        <v>980</v>
      </c>
      <c r="H1232" t="s">
        <v>373</v>
      </c>
      <c r="I1232" s="156">
        <v>40904</v>
      </c>
      <c r="K1232" s="153"/>
      <c r="L1232" s="153"/>
      <c r="M1232" s="153"/>
      <c r="N1232" s="153"/>
      <c r="O1232" s="153"/>
      <c r="P1232" s="150"/>
      <c r="Q1232" s="150"/>
      <c r="R1232" s="153"/>
      <c r="S1232" s="154"/>
      <c r="T1232" s="115"/>
    </row>
    <row r="1233" spans="1:20">
      <c r="A1233" t="s">
        <v>1230</v>
      </c>
      <c r="B1233" t="s">
        <v>72</v>
      </c>
      <c r="C1233" t="s">
        <v>55</v>
      </c>
      <c r="D1233" t="s">
        <v>573</v>
      </c>
      <c r="E1233" t="s">
        <v>2972</v>
      </c>
      <c r="F1233" s="121">
        <v>231.75</v>
      </c>
      <c r="G1233" s="121">
        <v>231.75</v>
      </c>
      <c r="H1233" t="s">
        <v>373</v>
      </c>
      <c r="I1233" s="156">
        <v>41089</v>
      </c>
      <c r="K1233" s="153"/>
      <c r="L1233" s="153"/>
      <c r="M1233" s="153"/>
      <c r="N1233" s="153"/>
      <c r="O1233" s="153"/>
      <c r="P1233" s="150"/>
      <c r="Q1233" s="150"/>
      <c r="R1233" s="153"/>
      <c r="S1233" s="154"/>
      <c r="T1233" s="115"/>
    </row>
    <row r="1234" spans="1:20">
      <c r="A1234" t="s">
        <v>1230</v>
      </c>
      <c r="B1234" t="s">
        <v>72</v>
      </c>
      <c r="C1234" t="s">
        <v>55</v>
      </c>
      <c r="D1234" t="s">
        <v>589</v>
      </c>
      <c r="E1234" t="s">
        <v>7263</v>
      </c>
      <c r="F1234" s="121">
        <v>123.6</v>
      </c>
      <c r="G1234" s="121">
        <v>123.6</v>
      </c>
      <c r="H1234" t="s">
        <v>373</v>
      </c>
      <c r="I1234" s="156">
        <v>41089</v>
      </c>
      <c r="K1234" s="153"/>
      <c r="L1234" s="153"/>
      <c r="M1234" s="153"/>
      <c r="N1234" s="153"/>
      <c r="O1234" s="153"/>
      <c r="P1234" s="150"/>
      <c r="Q1234" s="150"/>
      <c r="R1234" s="153"/>
      <c r="S1234" s="154"/>
      <c r="T1234" s="115"/>
    </row>
    <row r="1235" spans="1:20">
      <c r="A1235" t="s">
        <v>1230</v>
      </c>
      <c r="B1235" t="s">
        <v>72</v>
      </c>
      <c r="C1235" t="s">
        <v>55</v>
      </c>
      <c r="D1235" t="s">
        <v>589</v>
      </c>
      <c r="E1235" t="s">
        <v>7264</v>
      </c>
      <c r="F1235" s="121">
        <v>40</v>
      </c>
      <c r="G1235" s="121">
        <v>40</v>
      </c>
      <c r="H1235" t="s">
        <v>373</v>
      </c>
      <c r="I1235" s="156">
        <v>41089</v>
      </c>
      <c r="K1235" s="153"/>
      <c r="L1235" s="153"/>
      <c r="M1235" s="153"/>
      <c r="N1235" s="153"/>
      <c r="O1235" s="153"/>
      <c r="P1235" s="150"/>
      <c r="Q1235" s="150"/>
      <c r="R1235" s="153"/>
      <c r="S1235" s="154"/>
      <c r="T1235" s="115"/>
    </row>
    <row r="1236" spans="1:20">
      <c r="A1236" t="s">
        <v>1230</v>
      </c>
      <c r="B1236" t="s">
        <v>72</v>
      </c>
      <c r="C1236" t="s">
        <v>55</v>
      </c>
      <c r="D1236" t="s">
        <v>589</v>
      </c>
      <c r="E1236" t="s">
        <v>7265</v>
      </c>
      <c r="F1236" s="121">
        <v>144.19999999999999</v>
      </c>
      <c r="G1236" s="121">
        <v>144.19999999999999</v>
      </c>
      <c r="H1236" t="s">
        <v>373</v>
      </c>
      <c r="I1236" s="156">
        <v>41089</v>
      </c>
      <c r="K1236" s="153"/>
      <c r="L1236" s="153"/>
      <c r="M1236" s="153"/>
      <c r="N1236" s="153"/>
      <c r="O1236" s="153"/>
      <c r="P1236" s="150"/>
      <c r="Q1236" s="150"/>
      <c r="R1236" s="153"/>
      <c r="S1236" s="154"/>
      <c r="T1236" s="115"/>
    </row>
    <row r="1237" spans="1:20">
      <c r="A1237" t="s">
        <v>1230</v>
      </c>
      <c r="B1237" t="s">
        <v>72</v>
      </c>
      <c r="C1237" t="s">
        <v>43</v>
      </c>
      <c r="D1237" t="s">
        <v>7266</v>
      </c>
      <c r="E1237" t="s">
        <v>7267</v>
      </c>
      <c r="F1237" s="121">
        <v>1260.05</v>
      </c>
      <c r="G1237" s="121">
        <v>973.35</v>
      </c>
      <c r="H1237" t="s">
        <v>373</v>
      </c>
      <c r="I1237" s="156">
        <v>39909</v>
      </c>
      <c r="K1237" s="153"/>
      <c r="L1237" s="153"/>
      <c r="M1237" s="153"/>
      <c r="N1237" s="153"/>
      <c r="O1237" s="153"/>
      <c r="P1237" s="150"/>
      <c r="Q1237" s="150"/>
      <c r="R1237" s="153"/>
      <c r="S1237" s="154"/>
      <c r="T1237" s="115"/>
    </row>
    <row r="1238" spans="1:20">
      <c r="A1238" t="s">
        <v>1230</v>
      </c>
      <c r="B1238" t="s">
        <v>72</v>
      </c>
      <c r="C1238" t="s">
        <v>55</v>
      </c>
      <c r="D1238" t="s">
        <v>589</v>
      </c>
      <c r="E1238" t="s">
        <v>7268</v>
      </c>
      <c r="F1238" s="121">
        <v>40</v>
      </c>
      <c r="G1238" s="121">
        <v>40</v>
      </c>
      <c r="H1238" t="s">
        <v>373</v>
      </c>
      <c r="I1238" s="156">
        <v>41089</v>
      </c>
      <c r="K1238" s="153"/>
      <c r="L1238" s="153"/>
      <c r="M1238" s="153"/>
      <c r="N1238" s="153"/>
      <c r="O1238" s="153"/>
      <c r="P1238" s="150"/>
      <c r="Q1238" s="150"/>
      <c r="R1238" s="153"/>
      <c r="S1238" s="154"/>
      <c r="T1238" s="115"/>
    </row>
    <row r="1239" spans="1:20">
      <c r="A1239" t="s">
        <v>1230</v>
      </c>
      <c r="B1239" t="s">
        <v>72</v>
      </c>
      <c r="C1239" t="s">
        <v>55</v>
      </c>
      <c r="D1239" t="s">
        <v>589</v>
      </c>
      <c r="E1239" t="s">
        <v>7269</v>
      </c>
      <c r="F1239" s="121">
        <v>40</v>
      </c>
      <c r="G1239" s="121">
        <v>40</v>
      </c>
      <c r="H1239" t="s">
        <v>373</v>
      </c>
      <c r="I1239" s="156">
        <v>41089</v>
      </c>
      <c r="K1239" s="153"/>
      <c r="L1239" s="153"/>
      <c r="M1239" s="153"/>
      <c r="N1239" s="153"/>
      <c r="O1239" s="153"/>
      <c r="P1239" s="150"/>
      <c r="Q1239" s="150"/>
      <c r="R1239" s="153"/>
      <c r="S1239" s="154"/>
      <c r="T1239" s="115"/>
    </row>
    <row r="1240" spans="1:20">
      <c r="A1240" t="s">
        <v>1230</v>
      </c>
      <c r="B1240" t="s">
        <v>72</v>
      </c>
      <c r="C1240" t="s">
        <v>43</v>
      </c>
      <c r="D1240" t="s">
        <v>590</v>
      </c>
      <c r="E1240" t="s">
        <v>2973</v>
      </c>
      <c r="F1240" s="121">
        <v>463.5</v>
      </c>
      <c r="G1240" s="121">
        <v>463.5</v>
      </c>
      <c r="H1240" t="s">
        <v>373</v>
      </c>
      <c r="I1240" s="156">
        <v>41089</v>
      </c>
      <c r="K1240" s="153"/>
      <c r="L1240" s="153"/>
      <c r="M1240" s="153"/>
      <c r="N1240" s="153"/>
      <c r="O1240" s="153"/>
      <c r="P1240" s="150"/>
      <c r="Q1240" s="150"/>
      <c r="R1240" s="153"/>
      <c r="S1240" s="154"/>
      <c r="T1240" s="115"/>
    </row>
    <row r="1241" spans="1:20">
      <c r="A1241" t="s">
        <v>1230</v>
      </c>
      <c r="B1241" t="s">
        <v>72</v>
      </c>
      <c r="C1241" t="s">
        <v>55</v>
      </c>
      <c r="D1241" t="s">
        <v>7270</v>
      </c>
      <c r="E1241" t="s">
        <v>7271</v>
      </c>
      <c r="F1241" s="121">
        <v>551.04999999999995</v>
      </c>
      <c r="G1241" s="121">
        <v>551.04999999999995</v>
      </c>
      <c r="H1241" t="s">
        <v>373</v>
      </c>
      <c r="I1241" s="156">
        <v>41089</v>
      </c>
      <c r="K1241" s="153"/>
      <c r="L1241" s="153"/>
      <c r="M1241" s="153"/>
      <c r="N1241" s="153"/>
      <c r="O1241" s="153"/>
      <c r="P1241" s="150"/>
      <c r="Q1241" s="150"/>
      <c r="R1241" s="153"/>
      <c r="S1241" s="154"/>
      <c r="T1241" s="151"/>
    </row>
    <row r="1242" spans="1:20">
      <c r="A1242" t="s">
        <v>1230</v>
      </c>
      <c r="B1242" t="s">
        <v>72</v>
      </c>
      <c r="C1242" t="s">
        <v>55</v>
      </c>
      <c r="D1242" t="s">
        <v>550</v>
      </c>
      <c r="E1242" t="s">
        <v>2974</v>
      </c>
      <c r="F1242" s="121">
        <v>300</v>
      </c>
      <c r="G1242" s="121">
        <v>275</v>
      </c>
      <c r="H1242" t="s">
        <v>373</v>
      </c>
      <c r="I1242" s="156">
        <v>39813</v>
      </c>
      <c r="K1242" s="153"/>
      <c r="L1242" s="153"/>
      <c r="M1242" s="153"/>
      <c r="N1242" s="153"/>
      <c r="O1242" s="153"/>
      <c r="P1242" s="150"/>
      <c r="Q1242" s="150"/>
      <c r="R1242" s="153"/>
      <c r="S1242" s="154"/>
      <c r="T1242" s="115"/>
    </row>
    <row r="1243" spans="1:20">
      <c r="A1243" t="s">
        <v>1230</v>
      </c>
      <c r="B1243" t="s">
        <v>72</v>
      </c>
      <c r="C1243" t="s">
        <v>55</v>
      </c>
      <c r="D1243" t="s">
        <v>550</v>
      </c>
      <c r="E1243" t="s">
        <v>2975</v>
      </c>
      <c r="F1243" s="121">
        <v>300</v>
      </c>
      <c r="G1243" s="121">
        <v>275</v>
      </c>
      <c r="H1243" t="s">
        <v>373</v>
      </c>
      <c r="I1243" s="156">
        <v>39813</v>
      </c>
      <c r="K1243" s="153"/>
      <c r="L1243" s="153"/>
      <c r="M1243" s="153"/>
      <c r="N1243" s="153"/>
      <c r="O1243" s="153"/>
      <c r="P1243" s="150"/>
      <c r="Q1243" s="150"/>
      <c r="R1243" s="153"/>
      <c r="S1243" s="154"/>
      <c r="T1243" s="115"/>
    </row>
    <row r="1244" spans="1:20">
      <c r="A1244" t="s">
        <v>1230</v>
      </c>
      <c r="B1244" t="s">
        <v>72</v>
      </c>
      <c r="C1244" t="s">
        <v>55</v>
      </c>
      <c r="D1244" t="s">
        <v>568</v>
      </c>
      <c r="E1244" t="s">
        <v>2976</v>
      </c>
      <c r="F1244" s="121">
        <v>400</v>
      </c>
      <c r="G1244" s="121">
        <v>285</v>
      </c>
      <c r="H1244" t="s">
        <v>373</v>
      </c>
      <c r="I1244" s="156">
        <v>39813</v>
      </c>
      <c r="K1244" s="153"/>
      <c r="L1244" s="153"/>
      <c r="M1244" s="153"/>
      <c r="N1244" s="153"/>
      <c r="O1244" s="153"/>
      <c r="P1244" s="150"/>
      <c r="Q1244" s="150"/>
      <c r="R1244" s="153"/>
      <c r="S1244" s="154"/>
      <c r="T1244" s="115"/>
    </row>
    <row r="1245" spans="1:20">
      <c r="A1245" t="s">
        <v>1230</v>
      </c>
      <c r="B1245" t="s">
        <v>72</v>
      </c>
      <c r="C1245" t="s">
        <v>55</v>
      </c>
      <c r="D1245" t="s">
        <v>568</v>
      </c>
      <c r="E1245" t="s">
        <v>2977</v>
      </c>
      <c r="F1245" s="121">
        <v>350</v>
      </c>
      <c r="G1245" s="121">
        <v>285</v>
      </c>
      <c r="H1245" t="s">
        <v>373</v>
      </c>
      <c r="I1245" s="156">
        <v>39813</v>
      </c>
      <c r="K1245" s="153"/>
      <c r="L1245" s="153"/>
      <c r="M1245" s="153"/>
      <c r="N1245" s="153"/>
      <c r="O1245" s="153"/>
      <c r="P1245" s="150"/>
      <c r="Q1245" s="150"/>
      <c r="R1245" s="153"/>
      <c r="S1245" s="154"/>
      <c r="T1245" s="115"/>
    </row>
    <row r="1246" spans="1:20">
      <c r="A1246" t="s">
        <v>1230</v>
      </c>
      <c r="B1246" t="s">
        <v>72</v>
      </c>
      <c r="C1246" t="s">
        <v>55</v>
      </c>
      <c r="D1246" t="s">
        <v>547</v>
      </c>
      <c r="E1246" t="s">
        <v>2978</v>
      </c>
      <c r="F1246" s="121">
        <v>1648</v>
      </c>
      <c r="G1246" s="121">
        <v>1648</v>
      </c>
      <c r="H1246" t="s">
        <v>373</v>
      </c>
      <c r="I1246" s="156">
        <v>41089</v>
      </c>
      <c r="K1246" s="153"/>
      <c r="L1246" s="153"/>
      <c r="M1246" s="153"/>
      <c r="N1246" s="153"/>
      <c r="O1246" s="153"/>
      <c r="P1246" s="150"/>
      <c r="Q1246" s="150"/>
      <c r="R1246" s="153"/>
      <c r="S1246" s="154"/>
      <c r="T1246" s="115"/>
    </row>
    <row r="1247" spans="1:20">
      <c r="A1247" t="s">
        <v>1230</v>
      </c>
      <c r="B1247" t="s">
        <v>72</v>
      </c>
      <c r="C1247" t="s">
        <v>55</v>
      </c>
      <c r="D1247" t="s">
        <v>7272</v>
      </c>
      <c r="E1247" t="s">
        <v>7273</v>
      </c>
      <c r="F1247" s="121">
        <v>236.9</v>
      </c>
      <c r="G1247" s="121">
        <v>236.9</v>
      </c>
      <c r="H1247" t="s">
        <v>373</v>
      </c>
      <c r="I1247" s="156">
        <v>41089</v>
      </c>
      <c r="K1247" s="153"/>
      <c r="L1247" s="153"/>
      <c r="M1247" s="153"/>
      <c r="N1247" s="153"/>
      <c r="O1247" s="153"/>
      <c r="P1247" s="150"/>
      <c r="Q1247" s="150"/>
      <c r="R1247" s="153"/>
      <c r="S1247" s="154"/>
      <c r="T1247" s="115"/>
    </row>
    <row r="1248" spans="1:20">
      <c r="A1248" t="s">
        <v>1230</v>
      </c>
      <c r="B1248" t="s">
        <v>72</v>
      </c>
      <c r="C1248" t="s">
        <v>43</v>
      </c>
      <c r="D1248" t="s">
        <v>553</v>
      </c>
      <c r="E1248" t="s">
        <v>2979</v>
      </c>
      <c r="F1248" s="121">
        <v>877.5</v>
      </c>
      <c r="G1248" s="121">
        <v>736.45</v>
      </c>
      <c r="H1248" t="s">
        <v>373</v>
      </c>
      <c r="I1248" s="156">
        <v>40037</v>
      </c>
      <c r="K1248" s="153"/>
      <c r="L1248" s="153"/>
      <c r="M1248" s="153"/>
      <c r="N1248" s="153"/>
      <c r="O1248" s="153"/>
      <c r="P1248" s="150"/>
      <c r="Q1248" s="150"/>
      <c r="R1248" s="153"/>
      <c r="S1248" s="154"/>
      <c r="T1248" s="115"/>
    </row>
    <row r="1249" spans="1:20">
      <c r="A1249" t="s">
        <v>1230</v>
      </c>
      <c r="B1249" t="s">
        <v>72</v>
      </c>
      <c r="C1249" t="s">
        <v>55</v>
      </c>
      <c r="D1249" t="s">
        <v>5384</v>
      </c>
      <c r="E1249" t="s">
        <v>2980</v>
      </c>
      <c r="F1249" s="121">
        <v>200</v>
      </c>
      <c r="G1249" s="121">
        <v>250</v>
      </c>
      <c r="H1249" t="s">
        <v>373</v>
      </c>
      <c r="I1249" s="156">
        <v>39813</v>
      </c>
      <c r="K1249" s="153"/>
      <c r="L1249" s="153"/>
      <c r="M1249" s="153"/>
      <c r="N1249" s="153"/>
      <c r="O1249" s="153"/>
      <c r="P1249" s="150"/>
      <c r="Q1249" s="150"/>
      <c r="R1249" s="153"/>
      <c r="S1249" s="154"/>
      <c r="T1249" s="115"/>
    </row>
    <row r="1250" spans="1:20">
      <c r="A1250" t="s">
        <v>1230</v>
      </c>
      <c r="B1250" t="s">
        <v>72</v>
      </c>
      <c r="C1250" t="s">
        <v>43</v>
      </c>
      <c r="D1250" t="s">
        <v>537</v>
      </c>
      <c r="E1250" t="s">
        <v>7274</v>
      </c>
      <c r="F1250" s="121">
        <v>824</v>
      </c>
      <c r="G1250" s="121">
        <v>824</v>
      </c>
      <c r="H1250" t="s">
        <v>373</v>
      </c>
      <c r="I1250" s="156">
        <v>41089</v>
      </c>
      <c r="K1250" s="153"/>
      <c r="L1250" s="153"/>
      <c r="M1250" s="153"/>
      <c r="N1250" s="153"/>
      <c r="O1250" s="153"/>
      <c r="P1250" s="150"/>
      <c r="Q1250" s="150"/>
      <c r="R1250" s="153"/>
      <c r="S1250" s="154"/>
      <c r="T1250" s="115"/>
    </row>
    <row r="1251" spans="1:20">
      <c r="A1251" t="s">
        <v>1230</v>
      </c>
      <c r="B1251" t="s">
        <v>72</v>
      </c>
      <c r="C1251" t="s">
        <v>55</v>
      </c>
      <c r="D1251" t="s">
        <v>573</v>
      </c>
      <c r="E1251" t="s">
        <v>2981</v>
      </c>
      <c r="F1251" s="121">
        <v>133.9</v>
      </c>
      <c r="G1251" s="121">
        <v>133.9</v>
      </c>
      <c r="H1251" t="s">
        <v>373</v>
      </c>
      <c r="I1251" s="156">
        <v>41089</v>
      </c>
      <c r="K1251" s="153"/>
      <c r="L1251" s="153"/>
      <c r="M1251" s="153"/>
      <c r="N1251" s="153"/>
      <c r="O1251" s="153"/>
      <c r="P1251" s="150"/>
      <c r="Q1251" s="150"/>
      <c r="R1251" s="153"/>
      <c r="S1251" s="154"/>
      <c r="T1251" s="115"/>
    </row>
    <row r="1252" spans="1:20">
      <c r="A1252" t="s">
        <v>1230</v>
      </c>
      <c r="B1252" t="s">
        <v>72</v>
      </c>
      <c r="C1252" t="s">
        <v>55</v>
      </c>
      <c r="D1252" t="s">
        <v>589</v>
      </c>
      <c r="E1252" t="s">
        <v>7275</v>
      </c>
      <c r="F1252" s="121">
        <v>62</v>
      </c>
      <c r="G1252" s="121">
        <v>62</v>
      </c>
      <c r="H1252" t="s">
        <v>373</v>
      </c>
      <c r="I1252" s="156">
        <v>41089</v>
      </c>
      <c r="K1252" s="153"/>
      <c r="L1252" s="153"/>
      <c r="M1252" s="153"/>
      <c r="N1252" s="153"/>
      <c r="O1252" s="153"/>
      <c r="P1252" s="150"/>
      <c r="Q1252" s="150"/>
      <c r="R1252" s="153"/>
      <c r="S1252" s="154"/>
      <c r="T1252" s="115"/>
    </row>
    <row r="1253" spans="1:20">
      <c r="A1253" t="s">
        <v>1230</v>
      </c>
      <c r="B1253" t="s">
        <v>72</v>
      </c>
      <c r="C1253" t="s">
        <v>43</v>
      </c>
      <c r="D1253" t="s">
        <v>7276</v>
      </c>
      <c r="E1253" t="s">
        <v>7277</v>
      </c>
      <c r="F1253" s="121">
        <v>250</v>
      </c>
      <c r="G1253" s="121">
        <v>721</v>
      </c>
      <c r="H1253" t="s">
        <v>373</v>
      </c>
      <c r="I1253" s="156">
        <v>39813</v>
      </c>
      <c r="K1253" s="153"/>
      <c r="L1253" s="153"/>
      <c r="M1253" s="153"/>
      <c r="N1253" s="153"/>
      <c r="O1253" s="153"/>
      <c r="P1253" s="150"/>
      <c r="Q1253" s="150"/>
      <c r="R1253" s="153"/>
      <c r="S1253" s="154"/>
      <c r="T1253" s="115"/>
    </row>
    <row r="1254" spans="1:20">
      <c r="A1254" t="s">
        <v>1230</v>
      </c>
      <c r="B1254" t="s">
        <v>72</v>
      </c>
      <c r="C1254" t="s">
        <v>55</v>
      </c>
      <c r="D1254" t="s">
        <v>573</v>
      </c>
      <c r="E1254" t="s">
        <v>2982</v>
      </c>
      <c r="F1254" s="121">
        <v>250</v>
      </c>
      <c r="G1254" s="121">
        <v>180.25</v>
      </c>
      <c r="H1254" t="s">
        <v>373</v>
      </c>
      <c r="I1254" s="156">
        <v>39813</v>
      </c>
      <c r="K1254" s="153"/>
      <c r="L1254" s="153"/>
      <c r="M1254" s="153"/>
      <c r="N1254" s="153"/>
      <c r="O1254" s="153"/>
      <c r="P1254" s="150"/>
      <c r="Q1254" s="150"/>
      <c r="R1254" s="153"/>
      <c r="S1254" s="154"/>
      <c r="T1254" s="115"/>
    </row>
    <row r="1255" spans="1:20">
      <c r="A1255" t="s">
        <v>1230</v>
      </c>
      <c r="B1255" t="s">
        <v>72</v>
      </c>
      <c r="C1255" t="s">
        <v>55</v>
      </c>
      <c r="D1255" t="s">
        <v>589</v>
      </c>
      <c r="E1255" t="s">
        <v>2983</v>
      </c>
      <c r="F1255" s="121">
        <v>70</v>
      </c>
      <c r="G1255" s="121">
        <v>65</v>
      </c>
      <c r="H1255" t="s">
        <v>373</v>
      </c>
      <c r="I1255" s="156">
        <v>39813</v>
      </c>
      <c r="K1255" s="153"/>
      <c r="L1255" s="153"/>
      <c r="M1255" s="153"/>
      <c r="N1255" s="153"/>
      <c r="O1255" s="153"/>
      <c r="P1255" s="150"/>
      <c r="Q1255" s="150"/>
      <c r="R1255" s="153"/>
      <c r="S1255" s="154"/>
      <c r="T1255" s="115"/>
    </row>
    <row r="1256" spans="1:20">
      <c r="A1256" t="s">
        <v>1230</v>
      </c>
      <c r="B1256" t="s">
        <v>72</v>
      </c>
      <c r="C1256" t="s">
        <v>55</v>
      </c>
      <c r="D1256" t="s">
        <v>573</v>
      </c>
      <c r="E1256" t="s">
        <v>2984</v>
      </c>
      <c r="F1256" s="121">
        <v>250</v>
      </c>
      <c r="G1256" s="121">
        <v>195.7</v>
      </c>
      <c r="H1256" t="s">
        <v>373</v>
      </c>
      <c r="I1256" s="156">
        <v>39813</v>
      </c>
      <c r="K1256" s="153"/>
      <c r="L1256" s="153"/>
      <c r="M1256" s="153"/>
      <c r="N1256" s="153"/>
      <c r="O1256" s="153"/>
      <c r="P1256" s="150"/>
      <c r="Q1256" s="150"/>
      <c r="R1256" s="153"/>
      <c r="S1256" s="154"/>
      <c r="T1256" s="115"/>
    </row>
    <row r="1257" spans="1:20">
      <c r="A1257" t="s">
        <v>1230</v>
      </c>
      <c r="B1257" t="s">
        <v>72</v>
      </c>
      <c r="C1257" t="s">
        <v>55</v>
      </c>
      <c r="D1257" t="s">
        <v>573</v>
      </c>
      <c r="E1257" t="s">
        <v>7278</v>
      </c>
      <c r="F1257" s="121">
        <v>250</v>
      </c>
      <c r="G1257" s="121">
        <v>82.4</v>
      </c>
      <c r="H1257" t="s">
        <v>373</v>
      </c>
      <c r="I1257" s="156">
        <v>39813</v>
      </c>
      <c r="K1257" s="153"/>
      <c r="L1257" s="153"/>
      <c r="M1257" s="153"/>
      <c r="N1257" s="153"/>
      <c r="O1257" s="153"/>
      <c r="P1257" s="150"/>
      <c r="Q1257" s="150"/>
      <c r="R1257" s="153"/>
      <c r="S1257" s="154"/>
      <c r="T1257" s="115"/>
    </row>
    <row r="1258" spans="1:20">
      <c r="A1258" t="s">
        <v>1230</v>
      </c>
      <c r="B1258" t="s">
        <v>72</v>
      </c>
      <c r="C1258" t="s">
        <v>43</v>
      </c>
      <c r="D1258" t="s">
        <v>7276</v>
      </c>
      <c r="E1258" t="s">
        <v>7279</v>
      </c>
      <c r="F1258" s="121">
        <v>250</v>
      </c>
      <c r="G1258" s="121">
        <v>906.4</v>
      </c>
      <c r="H1258" t="s">
        <v>373</v>
      </c>
      <c r="I1258" s="156">
        <v>39813</v>
      </c>
      <c r="K1258" s="153"/>
      <c r="L1258" s="153"/>
      <c r="M1258" s="153"/>
      <c r="N1258" s="153"/>
      <c r="O1258" s="153"/>
      <c r="P1258" s="150"/>
      <c r="Q1258" s="150"/>
      <c r="R1258" s="153"/>
      <c r="S1258" s="154"/>
      <c r="T1258" s="115"/>
    </row>
    <row r="1259" spans="1:20">
      <c r="A1259" t="s">
        <v>1230</v>
      </c>
      <c r="B1259" t="s">
        <v>72</v>
      </c>
      <c r="C1259" t="s">
        <v>55</v>
      </c>
      <c r="D1259" t="s">
        <v>573</v>
      </c>
      <c r="E1259" t="s">
        <v>2985</v>
      </c>
      <c r="F1259" s="121">
        <v>250</v>
      </c>
      <c r="G1259" s="121">
        <v>128.75</v>
      </c>
      <c r="H1259" t="s">
        <v>373</v>
      </c>
      <c r="I1259" s="156">
        <v>39813</v>
      </c>
      <c r="K1259" s="153"/>
      <c r="L1259" s="153"/>
      <c r="M1259" s="153"/>
      <c r="N1259" s="153"/>
      <c r="O1259" s="153"/>
      <c r="P1259" s="150"/>
      <c r="Q1259" s="150"/>
      <c r="R1259" s="153"/>
      <c r="S1259" s="154"/>
      <c r="T1259" s="115"/>
    </row>
    <row r="1260" spans="1:20">
      <c r="A1260" t="s">
        <v>1230</v>
      </c>
      <c r="B1260" t="s">
        <v>72</v>
      </c>
      <c r="C1260" t="s">
        <v>55</v>
      </c>
      <c r="D1260" t="s">
        <v>591</v>
      </c>
      <c r="E1260" t="s">
        <v>2986</v>
      </c>
      <c r="F1260" s="121">
        <v>300</v>
      </c>
      <c r="G1260" s="121">
        <v>290</v>
      </c>
      <c r="H1260" t="s">
        <v>373</v>
      </c>
      <c r="I1260" s="156">
        <v>39813</v>
      </c>
      <c r="K1260" s="153"/>
      <c r="L1260" s="153"/>
      <c r="M1260" s="153"/>
      <c r="N1260" s="153"/>
      <c r="O1260" s="153"/>
      <c r="P1260" s="150"/>
      <c r="Q1260" s="150"/>
      <c r="R1260" s="153"/>
      <c r="S1260" s="154"/>
      <c r="T1260" s="115"/>
    </row>
    <row r="1261" spans="1:20">
      <c r="A1261" t="s">
        <v>1230</v>
      </c>
      <c r="B1261" t="s">
        <v>72</v>
      </c>
      <c r="C1261" t="s">
        <v>55</v>
      </c>
      <c r="D1261" t="s">
        <v>588</v>
      </c>
      <c r="E1261" t="s">
        <v>2987</v>
      </c>
      <c r="F1261" s="121">
        <v>288.39999999999998</v>
      </c>
      <c r="G1261" s="121">
        <v>288.39999999999998</v>
      </c>
      <c r="H1261" t="s">
        <v>373</v>
      </c>
      <c r="I1261" s="156">
        <v>41089</v>
      </c>
      <c r="K1261" s="153"/>
      <c r="L1261" s="153"/>
      <c r="M1261" s="153"/>
      <c r="N1261" s="153"/>
      <c r="O1261" s="153"/>
      <c r="P1261" s="150"/>
      <c r="Q1261" s="150"/>
      <c r="R1261" s="153"/>
      <c r="S1261" s="154"/>
      <c r="T1261" s="115"/>
    </row>
    <row r="1262" spans="1:20">
      <c r="A1262" t="s">
        <v>1230</v>
      </c>
      <c r="B1262" t="s">
        <v>72</v>
      </c>
      <c r="C1262" t="s">
        <v>55</v>
      </c>
      <c r="D1262" t="s">
        <v>588</v>
      </c>
      <c r="E1262" t="s">
        <v>2988</v>
      </c>
      <c r="F1262" s="121">
        <v>288.39999999999998</v>
      </c>
      <c r="G1262" s="121">
        <v>288.39999999999998</v>
      </c>
      <c r="H1262" t="s">
        <v>373</v>
      </c>
      <c r="I1262" s="156">
        <v>41089</v>
      </c>
      <c r="K1262" s="153"/>
      <c r="L1262" s="153"/>
      <c r="M1262" s="153"/>
      <c r="N1262" s="153"/>
      <c r="O1262" s="153"/>
      <c r="P1262" s="150"/>
      <c r="Q1262" s="150"/>
      <c r="R1262" s="153"/>
      <c r="S1262" s="154"/>
      <c r="T1262" s="115"/>
    </row>
    <row r="1263" spans="1:20">
      <c r="A1263" t="s">
        <v>1230</v>
      </c>
      <c r="B1263" t="s">
        <v>72</v>
      </c>
      <c r="C1263" t="s">
        <v>55</v>
      </c>
      <c r="D1263" t="s">
        <v>551</v>
      </c>
      <c r="E1263" t="s">
        <v>2989</v>
      </c>
      <c r="F1263" s="121">
        <v>300</v>
      </c>
      <c r="G1263" s="121">
        <v>290</v>
      </c>
      <c r="H1263" t="s">
        <v>373</v>
      </c>
      <c r="I1263" s="156">
        <v>39813</v>
      </c>
      <c r="K1263" s="153"/>
      <c r="L1263" s="153"/>
      <c r="M1263" s="153"/>
      <c r="N1263" s="153"/>
      <c r="O1263" s="153"/>
      <c r="P1263" s="150"/>
      <c r="Q1263" s="150"/>
      <c r="R1263" s="153"/>
      <c r="S1263" s="154"/>
      <c r="T1263" s="115"/>
    </row>
    <row r="1264" spans="1:20">
      <c r="A1264" t="s">
        <v>1230</v>
      </c>
      <c r="B1264" t="s">
        <v>72</v>
      </c>
      <c r="C1264" t="s">
        <v>55</v>
      </c>
      <c r="D1264" t="s">
        <v>588</v>
      </c>
      <c r="E1264" t="s">
        <v>2990</v>
      </c>
      <c r="F1264" s="121">
        <v>288.39999999999998</v>
      </c>
      <c r="G1264" s="121">
        <v>288.39999999999998</v>
      </c>
      <c r="H1264" t="s">
        <v>373</v>
      </c>
      <c r="I1264" s="156">
        <v>41089</v>
      </c>
      <c r="K1264" s="153"/>
      <c r="L1264" s="153"/>
      <c r="M1264" s="153"/>
      <c r="N1264" s="153"/>
      <c r="O1264" s="153"/>
      <c r="P1264" s="150"/>
      <c r="Q1264" s="150"/>
      <c r="R1264" s="153"/>
      <c r="S1264" s="154"/>
      <c r="T1264" s="115"/>
    </row>
    <row r="1265" spans="1:20">
      <c r="A1265" t="s">
        <v>1230</v>
      </c>
      <c r="B1265" t="s">
        <v>72</v>
      </c>
      <c r="C1265" t="s">
        <v>55</v>
      </c>
      <c r="D1265" t="s">
        <v>588</v>
      </c>
      <c r="E1265" t="s">
        <v>2991</v>
      </c>
      <c r="F1265" s="121">
        <v>288.39999999999998</v>
      </c>
      <c r="G1265" s="121">
        <v>288.39999999999998</v>
      </c>
      <c r="H1265" t="s">
        <v>373</v>
      </c>
      <c r="I1265" s="156">
        <v>41089</v>
      </c>
      <c r="K1265" s="153"/>
      <c r="L1265" s="153"/>
      <c r="M1265" s="153"/>
      <c r="N1265" s="153"/>
      <c r="O1265" s="153"/>
      <c r="P1265" s="150"/>
      <c r="Q1265" s="150"/>
      <c r="R1265" s="153"/>
      <c r="S1265" s="154"/>
      <c r="T1265" s="115"/>
    </row>
    <row r="1266" spans="1:20">
      <c r="A1266" t="s">
        <v>1230</v>
      </c>
      <c r="B1266" t="s">
        <v>72</v>
      </c>
      <c r="C1266" t="s">
        <v>55</v>
      </c>
      <c r="D1266" t="s">
        <v>591</v>
      </c>
      <c r="E1266" t="s">
        <v>2992</v>
      </c>
      <c r="F1266" s="121">
        <v>300</v>
      </c>
      <c r="G1266" s="121">
        <v>290</v>
      </c>
      <c r="H1266" t="s">
        <v>373</v>
      </c>
      <c r="I1266" s="156">
        <v>39813</v>
      </c>
      <c r="K1266" s="153"/>
      <c r="L1266" s="153"/>
      <c r="M1266" s="153"/>
      <c r="N1266" s="153"/>
      <c r="O1266" s="153"/>
      <c r="P1266" s="150"/>
      <c r="Q1266" s="150"/>
      <c r="R1266" s="153"/>
      <c r="S1266" s="154"/>
      <c r="T1266" s="115"/>
    </row>
    <row r="1267" spans="1:20">
      <c r="A1267" t="s">
        <v>1230</v>
      </c>
      <c r="B1267" t="s">
        <v>72</v>
      </c>
      <c r="C1267" t="s">
        <v>55</v>
      </c>
      <c r="D1267" t="s">
        <v>588</v>
      </c>
      <c r="E1267" t="s">
        <v>2993</v>
      </c>
      <c r="F1267" s="121">
        <v>288.39999999999998</v>
      </c>
      <c r="G1267" s="121">
        <v>288.39999999999998</v>
      </c>
      <c r="H1267" t="s">
        <v>373</v>
      </c>
      <c r="I1267" s="156">
        <v>41089</v>
      </c>
      <c r="K1267" s="153"/>
      <c r="L1267" s="153"/>
      <c r="M1267" s="153"/>
      <c r="N1267" s="153"/>
      <c r="O1267" s="153"/>
      <c r="P1267" s="150"/>
      <c r="Q1267" s="150"/>
      <c r="R1267" s="153"/>
      <c r="S1267" s="154"/>
      <c r="T1267" s="115"/>
    </row>
    <row r="1268" spans="1:20">
      <c r="A1268" t="s">
        <v>1230</v>
      </c>
      <c r="B1268" t="s">
        <v>72</v>
      </c>
      <c r="C1268" t="s">
        <v>55</v>
      </c>
      <c r="D1268" t="s">
        <v>588</v>
      </c>
      <c r="E1268" t="s">
        <v>2994</v>
      </c>
      <c r="F1268" s="121">
        <v>288.39999999999998</v>
      </c>
      <c r="G1268" s="121">
        <v>288.39999999999998</v>
      </c>
      <c r="H1268" t="s">
        <v>373</v>
      </c>
      <c r="I1268" s="156">
        <v>41089</v>
      </c>
      <c r="K1268" s="153"/>
      <c r="L1268" s="153"/>
      <c r="M1268" s="153"/>
      <c r="N1268" s="153"/>
      <c r="O1268" s="153"/>
      <c r="P1268" s="150"/>
      <c r="Q1268" s="150"/>
      <c r="R1268" s="153"/>
      <c r="S1268" s="154"/>
      <c r="T1268" s="115"/>
    </row>
    <row r="1269" spans="1:20">
      <c r="A1269" t="s">
        <v>1230</v>
      </c>
      <c r="B1269" t="s">
        <v>72</v>
      </c>
      <c r="C1269" t="s">
        <v>55</v>
      </c>
      <c r="D1269" t="s">
        <v>591</v>
      </c>
      <c r="E1269" t="s">
        <v>2995</v>
      </c>
      <c r="F1269" s="121">
        <v>300</v>
      </c>
      <c r="G1269" s="121">
        <v>290</v>
      </c>
      <c r="H1269" t="s">
        <v>373</v>
      </c>
      <c r="I1269" s="156">
        <v>39813</v>
      </c>
      <c r="K1269" s="153"/>
      <c r="L1269" s="153"/>
      <c r="M1269" s="153"/>
      <c r="N1269" s="153"/>
      <c r="O1269" s="153"/>
      <c r="P1269" s="150"/>
      <c r="Q1269" s="150"/>
      <c r="R1269" s="153"/>
      <c r="S1269" s="154"/>
      <c r="T1269" s="115"/>
    </row>
    <row r="1270" spans="1:20">
      <c r="A1270" t="s">
        <v>1230</v>
      </c>
      <c r="B1270" t="s">
        <v>72</v>
      </c>
      <c r="C1270" t="s">
        <v>55</v>
      </c>
      <c r="D1270" t="s">
        <v>588</v>
      </c>
      <c r="E1270" t="s">
        <v>2996</v>
      </c>
      <c r="F1270" s="121">
        <v>288.39999999999998</v>
      </c>
      <c r="G1270" s="121">
        <v>288.39999999999998</v>
      </c>
      <c r="H1270" t="s">
        <v>373</v>
      </c>
      <c r="I1270" s="156">
        <v>41089</v>
      </c>
      <c r="K1270" s="153"/>
      <c r="L1270" s="153"/>
      <c r="M1270" s="153"/>
      <c r="N1270" s="153"/>
      <c r="O1270" s="153"/>
      <c r="P1270" s="150"/>
      <c r="Q1270" s="150"/>
      <c r="R1270" s="153"/>
      <c r="S1270" s="154"/>
      <c r="T1270" s="115"/>
    </row>
    <row r="1271" spans="1:20">
      <c r="A1271" t="s">
        <v>1230</v>
      </c>
      <c r="B1271" t="s">
        <v>72</v>
      </c>
      <c r="C1271" t="s">
        <v>55</v>
      </c>
      <c r="D1271" t="s">
        <v>588</v>
      </c>
      <c r="E1271" t="s">
        <v>2997</v>
      </c>
      <c r="F1271" s="121">
        <v>288.39999999999998</v>
      </c>
      <c r="G1271" s="121">
        <v>288.39999999999998</v>
      </c>
      <c r="H1271" t="s">
        <v>373</v>
      </c>
      <c r="I1271" s="156">
        <v>41089</v>
      </c>
      <c r="K1271" s="153"/>
      <c r="L1271" s="153"/>
      <c r="M1271" s="153"/>
      <c r="N1271" s="153"/>
      <c r="O1271" s="153"/>
      <c r="P1271" s="150"/>
      <c r="Q1271" s="150"/>
      <c r="R1271" s="153"/>
      <c r="S1271" s="154"/>
      <c r="T1271" s="115"/>
    </row>
    <row r="1272" spans="1:20">
      <c r="A1272" t="s">
        <v>1230</v>
      </c>
      <c r="B1272" t="s">
        <v>72</v>
      </c>
      <c r="C1272" t="s">
        <v>55</v>
      </c>
      <c r="D1272" t="s">
        <v>588</v>
      </c>
      <c r="E1272" t="s">
        <v>2998</v>
      </c>
      <c r="F1272" s="121">
        <v>288.39999999999998</v>
      </c>
      <c r="G1272" s="121">
        <v>288.39999999999998</v>
      </c>
      <c r="H1272" t="s">
        <v>373</v>
      </c>
      <c r="I1272" s="156">
        <v>41089</v>
      </c>
      <c r="K1272" s="153"/>
      <c r="L1272" s="153"/>
      <c r="M1272" s="153"/>
      <c r="N1272" s="153"/>
      <c r="O1272" s="153"/>
      <c r="P1272" s="150"/>
      <c r="Q1272" s="150"/>
      <c r="R1272" s="153"/>
      <c r="S1272" s="154"/>
      <c r="T1272" s="115"/>
    </row>
    <row r="1273" spans="1:20">
      <c r="A1273" t="s">
        <v>1230</v>
      </c>
      <c r="B1273" t="s">
        <v>72</v>
      </c>
      <c r="C1273" t="s">
        <v>55</v>
      </c>
      <c r="D1273" t="s">
        <v>588</v>
      </c>
      <c r="E1273" t="s">
        <v>2999</v>
      </c>
      <c r="F1273" s="121">
        <v>97.85</v>
      </c>
      <c r="G1273" s="121">
        <v>97.85</v>
      </c>
      <c r="H1273" t="s">
        <v>373</v>
      </c>
      <c r="I1273" s="156">
        <v>41089</v>
      </c>
      <c r="K1273" s="153"/>
      <c r="L1273" s="153"/>
      <c r="M1273" s="153"/>
      <c r="N1273" s="153"/>
      <c r="O1273" s="153"/>
      <c r="P1273" s="150"/>
      <c r="Q1273" s="150"/>
      <c r="R1273" s="153"/>
      <c r="S1273" s="154"/>
      <c r="T1273" s="115"/>
    </row>
    <row r="1274" spans="1:20">
      <c r="A1274" t="s">
        <v>1230</v>
      </c>
      <c r="B1274" t="s">
        <v>72</v>
      </c>
      <c r="C1274" t="s">
        <v>55</v>
      </c>
      <c r="D1274" t="s">
        <v>591</v>
      </c>
      <c r="E1274" t="s">
        <v>3000</v>
      </c>
      <c r="F1274" s="121">
        <v>300</v>
      </c>
      <c r="G1274" s="121">
        <v>290</v>
      </c>
      <c r="H1274" t="s">
        <v>373</v>
      </c>
      <c r="I1274" s="156">
        <v>39813</v>
      </c>
      <c r="K1274" s="153"/>
      <c r="L1274" s="153"/>
      <c r="M1274" s="153"/>
      <c r="N1274" s="153"/>
      <c r="O1274" s="153"/>
      <c r="P1274" s="150"/>
      <c r="Q1274" s="150"/>
      <c r="R1274" s="153"/>
      <c r="S1274" s="154"/>
      <c r="T1274" s="115"/>
    </row>
    <row r="1275" spans="1:20">
      <c r="A1275" t="s">
        <v>1230</v>
      </c>
      <c r="B1275" t="s">
        <v>72</v>
      </c>
      <c r="C1275" t="s">
        <v>55</v>
      </c>
      <c r="D1275" t="s">
        <v>588</v>
      </c>
      <c r="E1275" t="s">
        <v>3001</v>
      </c>
      <c r="F1275" s="121">
        <v>288.39999999999998</v>
      </c>
      <c r="G1275" s="121">
        <v>288.39999999999998</v>
      </c>
      <c r="H1275" t="s">
        <v>373</v>
      </c>
      <c r="I1275" s="156">
        <v>41089</v>
      </c>
      <c r="K1275" s="153"/>
      <c r="L1275" s="153"/>
      <c r="M1275" s="153"/>
      <c r="N1275" s="153"/>
      <c r="O1275" s="153"/>
      <c r="P1275" s="150"/>
      <c r="Q1275" s="150"/>
      <c r="R1275" s="153"/>
      <c r="S1275" s="154"/>
      <c r="T1275" s="115"/>
    </row>
    <row r="1276" spans="1:20">
      <c r="A1276" t="s">
        <v>1230</v>
      </c>
      <c r="B1276" t="s">
        <v>72</v>
      </c>
      <c r="C1276" t="s">
        <v>55</v>
      </c>
      <c r="D1276" t="s">
        <v>588</v>
      </c>
      <c r="E1276" t="s">
        <v>3002</v>
      </c>
      <c r="F1276" s="121">
        <v>288.39999999999998</v>
      </c>
      <c r="G1276" s="121">
        <v>288.39999999999998</v>
      </c>
      <c r="H1276" t="s">
        <v>373</v>
      </c>
      <c r="I1276" s="156">
        <v>41089</v>
      </c>
      <c r="K1276" s="153"/>
      <c r="L1276" s="153"/>
      <c r="M1276" s="153"/>
      <c r="N1276" s="153"/>
      <c r="O1276" s="153"/>
      <c r="P1276" s="150"/>
      <c r="Q1276" s="150"/>
      <c r="R1276" s="153"/>
      <c r="S1276" s="154"/>
      <c r="T1276" s="115"/>
    </row>
    <row r="1277" spans="1:20">
      <c r="A1277" t="s">
        <v>1230</v>
      </c>
      <c r="B1277" t="s">
        <v>72</v>
      </c>
      <c r="C1277" t="s">
        <v>55</v>
      </c>
      <c r="D1277" t="s">
        <v>591</v>
      </c>
      <c r="E1277" t="s">
        <v>3003</v>
      </c>
      <c r="F1277" s="121">
        <v>300</v>
      </c>
      <c r="G1277" s="121">
        <v>290</v>
      </c>
      <c r="H1277" t="s">
        <v>373</v>
      </c>
      <c r="I1277" s="156">
        <v>39813</v>
      </c>
      <c r="K1277" s="153"/>
      <c r="L1277" s="153"/>
      <c r="M1277" s="153"/>
      <c r="N1277" s="153"/>
      <c r="O1277" s="153"/>
      <c r="P1277" s="150"/>
      <c r="Q1277" s="150"/>
      <c r="R1277" s="153"/>
      <c r="S1277" s="154"/>
      <c r="T1277" s="115"/>
    </row>
    <row r="1278" spans="1:20">
      <c r="A1278" t="s">
        <v>1230</v>
      </c>
      <c r="B1278" t="s">
        <v>72</v>
      </c>
      <c r="C1278" t="s">
        <v>55</v>
      </c>
      <c r="D1278" t="s">
        <v>588</v>
      </c>
      <c r="E1278" t="s">
        <v>3004</v>
      </c>
      <c r="F1278" s="121">
        <v>288.39999999999998</v>
      </c>
      <c r="G1278" s="121">
        <v>288.39999999999998</v>
      </c>
      <c r="H1278" t="s">
        <v>373</v>
      </c>
      <c r="I1278" s="156">
        <v>41089</v>
      </c>
      <c r="K1278" s="153"/>
      <c r="L1278" s="153"/>
      <c r="M1278" s="153"/>
      <c r="N1278" s="153"/>
      <c r="O1278" s="153"/>
      <c r="P1278" s="150"/>
      <c r="Q1278" s="150"/>
      <c r="R1278" s="153"/>
      <c r="S1278" s="154"/>
      <c r="T1278" s="115"/>
    </row>
    <row r="1279" spans="1:20">
      <c r="A1279" t="s">
        <v>1230</v>
      </c>
      <c r="B1279" t="s">
        <v>72</v>
      </c>
      <c r="C1279" t="s">
        <v>55</v>
      </c>
      <c r="D1279" t="s">
        <v>588</v>
      </c>
      <c r="E1279" t="s">
        <v>3005</v>
      </c>
      <c r="F1279" s="121">
        <v>288.39999999999998</v>
      </c>
      <c r="G1279" s="121">
        <v>288.39999999999998</v>
      </c>
      <c r="H1279" t="s">
        <v>373</v>
      </c>
      <c r="I1279" s="156">
        <v>41089</v>
      </c>
      <c r="K1279" s="153"/>
      <c r="L1279" s="153"/>
      <c r="M1279" s="153"/>
      <c r="N1279" s="153"/>
      <c r="O1279" s="153"/>
      <c r="P1279" s="150"/>
      <c r="Q1279" s="150"/>
      <c r="R1279" s="153"/>
      <c r="S1279" s="154"/>
      <c r="T1279" s="115"/>
    </row>
    <row r="1280" spans="1:20">
      <c r="A1280" t="s">
        <v>1230</v>
      </c>
      <c r="B1280" t="s">
        <v>72</v>
      </c>
      <c r="C1280" t="s">
        <v>55</v>
      </c>
      <c r="D1280" t="s">
        <v>591</v>
      </c>
      <c r="E1280" t="s">
        <v>3006</v>
      </c>
      <c r="F1280" s="121">
        <v>300</v>
      </c>
      <c r="G1280" s="121">
        <v>290</v>
      </c>
      <c r="H1280" t="s">
        <v>373</v>
      </c>
      <c r="I1280" s="156">
        <v>39813</v>
      </c>
      <c r="K1280" s="153"/>
      <c r="L1280" s="153"/>
      <c r="M1280" s="153"/>
      <c r="N1280" s="153"/>
      <c r="O1280" s="153"/>
      <c r="P1280" s="150"/>
      <c r="Q1280" s="150"/>
      <c r="R1280" s="153"/>
      <c r="S1280" s="154"/>
      <c r="T1280" s="115"/>
    </row>
    <row r="1281" spans="1:20">
      <c r="A1281" t="s">
        <v>1230</v>
      </c>
      <c r="B1281" t="s">
        <v>72</v>
      </c>
      <c r="C1281" t="s">
        <v>55</v>
      </c>
      <c r="D1281" t="s">
        <v>588</v>
      </c>
      <c r="E1281" t="s">
        <v>3007</v>
      </c>
      <c r="F1281" s="121">
        <v>288.39999999999998</v>
      </c>
      <c r="G1281" s="121">
        <v>288.39999999999998</v>
      </c>
      <c r="H1281" t="s">
        <v>373</v>
      </c>
      <c r="I1281" s="156">
        <v>41089</v>
      </c>
      <c r="K1281" s="153"/>
      <c r="L1281" s="153"/>
      <c r="M1281" s="153"/>
      <c r="N1281" s="153"/>
      <c r="O1281" s="153"/>
      <c r="P1281" s="150"/>
      <c r="Q1281" s="150"/>
      <c r="R1281" s="153"/>
      <c r="S1281" s="154"/>
      <c r="T1281" s="115"/>
    </row>
    <row r="1282" spans="1:20">
      <c r="A1282" t="s">
        <v>1230</v>
      </c>
      <c r="B1282" t="s">
        <v>72</v>
      </c>
      <c r="C1282" t="s">
        <v>55</v>
      </c>
      <c r="D1282" t="s">
        <v>588</v>
      </c>
      <c r="E1282" t="s">
        <v>3008</v>
      </c>
      <c r="F1282" s="121">
        <v>288.39999999999998</v>
      </c>
      <c r="G1282" s="121">
        <v>288.39999999999998</v>
      </c>
      <c r="H1282" t="s">
        <v>373</v>
      </c>
      <c r="I1282" s="156">
        <v>41089</v>
      </c>
      <c r="K1282" s="153"/>
      <c r="L1282" s="153"/>
      <c r="M1282" s="153"/>
      <c r="N1282" s="153"/>
      <c r="O1282" s="153"/>
      <c r="P1282" s="150"/>
      <c r="Q1282" s="150"/>
      <c r="R1282" s="153"/>
      <c r="S1282" s="154"/>
      <c r="T1282" s="115"/>
    </row>
    <row r="1283" spans="1:20">
      <c r="A1283" t="s">
        <v>1230</v>
      </c>
      <c r="B1283" t="s">
        <v>72</v>
      </c>
      <c r="C1283" t="s">
        <v>55</v>
      </c>
      <c r="D1283" t="s">
        <v>591</v>
      </c>
      <c r="E1283" t="s">
        <v>3009</v>
      </c>
      <c r="F1283" s="121">
        <v>300</v>
      </c>
      <c r="G1283" s="121">
        <v>290</v>
      </c>
      <c r="H1283" t="s">
        <v>373</v>
      </c>
      <c r="I1283" s="156">
        <v>39813</v>
      </c>
      <c r="K1283" s="153"/>
      <c r="L1283" s="153"/>
      <c r="M1283" s="153"/>
      <c r="N1283" s="153"/>
      <c r="O1283" s="153"/>
      <c r="P1283" s="150"/>
      <c r="Q1283" s="150"/>
      <c r="R1283" s="153"/>
      <c r="S1283" s="154"/>
      <c r="T1283" s="115"/>
    </row>
    <row r="1284" spans="1:20">
      <c r="A1284" t="s">
        <v>1230</v>
      </c>
      <c r="B1284" t="s">
        <v>72</v>
      </c>
      <c r="C1284" t="s">
        <v>55</v>
      </c>
      <c r="D1284" t="s">
        <v>588</v>
      </c>
      <c r="E1284" t="s">
        <v>3010</v>
      </c>
      <c r="F1284" s="121">
        <v>288.39999999999998</v>
      </c>
      <c r="G1284" s="121">
        <v>288.39999999999998</v>
      </c>
      <c r="H1284" t="s">
        <v>373</v>
      </c>
      <c r="I1284" s="156">
        <v>41089</v>
      </c>
      <c r="K1284" s="153"/>
      <c r="L1284" s="153"/>
      <c r="M1284" s="153"/>
      <c r="N1284" s="153"/>
      <c r="O1284" s="153"/>
      <c r="P1284" s="150"/>
      <c r="Q1284" s="150"/>
      <c r="R1284" s="153"/>
      <c r="S1284" s="154"/>
      <c r="T1284" s="115"/>
    </row>
    <row r="1285" spans="1:20">
      <c r="A1285" t="s">
        <v>1230</v>
      </c>
      <c r="B1285" t="s">
        <v>72</v>
      </c>
      <c r="C1285" t="s">
        <v>55</v>
      </c>
      <c r="D1285" t="s">
        <v>588</v>
      </c>
      <c r="E1285" t="s">
        <v>3011</v>
      </c>
      <c r="F1285" s="121">
        <v>288.39999999999998</v>
      </c>
      <c r="G1285" s="121">
        <v>288.39999999999998</v>
      </c>
      <c r="H1285" t="s">
        <v>373</v>
      </c>
      <c r="I1285" s="156">
        <v>41089</v>
      </c>
      <c r="K1285" s="153"/>
      <c r="L1285" s="153"/>
      <c r="M1285" s="153"/>
      <c r="N1285" s="153"/>
      <c r="O1285" s="153"/>
      <c r="P1285" s="150"/>
      <c r="Q1285" s="150"/>
      <c r="R1285" s="153"/>
      <c r="S1285" s="154"/>
      <c r="T1285" s="115"/>
    </row>
    <row r="1286" spans="1:20">
      <c r="A1286" t="s">
        <v>1230</v>
      </c>
      <c r="B1286" t="s">
        <v>72</v>
      </c>
      <c r="C1286" t="s">
        <v>55</v>
      </c>
      <c r="D1286" t="s">
        <v>591</v>
      </c>
      <c r="E1286" t="s">
        <v>3012</v>
      </c>
      <c r="F1286" s="121">
        <v>300</v>
      </c>
      <c r="G1286" s="121">
        <v>290</v>
      </c>
      <c r="H1286" t="s">
        <v>373</v>
      </c>
      <c r="I1286" s="156">
        <v>39813</v>
      </c>
      <c r="K1286" s="153"/>
      <c r="L1286" s="153"/>
      <c r="M1286" s="153"/>
      <c r="N1286" s="153"/>
      <c r="O1286" s="153"/>
      <c r="P1286" s="150"/>
      <c r="Q1286" s="150"/>
      <c r="R1286" s="153"/>
      <c r="S1286" s="154"/>
      <c r="T1286" s="115"/>
    </row>
    <row r="1287" spans="1:20">
      <c r="A1287" t="s">
        <v>1230</v>
      </c>
      <c r="B1287" t="s">
        <v>72</v>
      </c>
      <c r="C1287" t="s">
        <v>55</v>
      </c>
      <c r="D1287" t="s">
        <v>588</v>
      </c>
      <c r="E1287" t="s">
        <v>3013</v>
      </c>
      <c r="F1287" s="121">
        <v>288.39999999999998</v>
      </c>
      <c r="G1287" s="121">
        <v>288.39999999999998</v>
      </c>
      <c r="H1287" t="s">
        <v>373</v>
      </c>
      <c r="I1287" s="156">
        <v>41089</v>
      </c>
      <c r="K1287" s="153"/>
      <c r="L1287" s="153"/>
      <c r="M1287" s="153"/>
      <c r="N1287" s="153"/>
      <c r="O1287" s="153"/>
      <c r="P1287" s="150"/>
      <c r="Q1287" s="150"/>
      <c r="R1287" s="153"/>
      <c r="S1287" s="154"/>
      <c r="T1287" s="115"/>
    </row>
    <row r="1288" spans="1:20">
      <c r="A1288" t="s">
        <v>1230</v>
      </c>
      <c r="B1288" t="s">
        <v>72</v>
      </c>
      <c r="C1288" t="s">
        <v>55</v>
      </c>
      <c r="D1288" t="s">
        <v>588</v>
      </c>
      <c r="E1288" t="s">
        <v>3014</v>
      </c>
      <c r="F1288" s="121">
        <v>288.39999999999998</v>
      </c>
      <c r="G1288" s="121">
        <v>288.39999999999998</v>
      </c>
      <c r="H1288" t="s">
        <v>373</v>
      </c>
      <c r="I1288" s="156">
        <v>41089</v>
      </c>
      <c r="K1288" s="153"/>
      <c r="L1288" s="153"/>
      <c r="M1288" s="153"/>
      <c r="N1288" s="153"/>
      <c r="O1288" s="153"/>
      <c r="P1288" s="150"/>
      <c r="Q1288" s="150"/>
      <c r="R1288" s="153"/>
      <c r="S1288" s="154"/>
      <c r="T1288" s="115"/>
    </row>
    <row r="1289" spans="1:20">
      <c r="A1289" t="s">
        <v>1230</v>
      </c>
      <c r="B1289" t="s">
        <v>72</v>
      </c>
      <c r="C1289" t="s">
        <v>55</v>
      </c>
      <c r="D1289" t="s">
        <v>591</v>
      </c>
      <c r="E1289" t="s">
        <v>3015</v>
      </c>
      <c r="F1289" s="121">
        <v>300</v>
      </c>
      <c r="G1289" s="121">
        <v>290</v>
      </c>
      <c r="H1289" t="s">
        <v>373</v>
      </c>
      <c r="I1289" s="156">
        <v>39813</v>
      </c>
      <c r="K1289" s="153"/>
      <c r="L1289" s="153"/>
      <c r="M1289" s="153"/>
      <c r="N1289" s="153"/>
      <c r="O1289" s="153"/>
      <c r="P1289" s="150"/>
      <c r="Q1289" s="150"/>
      <c r="R1289" s="153"/>
      <c r="S1289" s="154"/>
      <c r="T1289" s="115"/>
    </row>
    <row r="1290" spans="1:20">
      <c r="A1290" t="s">
        <v>1230</v>
      </c>
      <c r="B1290" t="s">
        <v>72</v>
      </c>
      <c r="C1290" t="s">
        <v>55</v>
      </c>
      <c r="D1290" t="s">
        <v>588</v>
      </c>
      <c r="E1290" t="s">
        <v>3016</v>
      </c>
      <c r="F1290" s="121">
        <v>288.39999999999998</v>
      </c>
      <c r="G1290" s="121">
        <v>288.39999999999998</v>
      </c>
      <c r="H1290" t="s">
        <v>373</v>
      </c>
      <c r="I1290" s="156">
        <v>41089</v>
      </c>
      <c r="K1290" s="153"/>
      <c r="L1290" s="153"/>
      <c r="M1290" s="153"/>
      <c r="N1290" s="153"/>
      <c r="O1290" s="153"/>
      <c r="P1290" s="150"/>
      <c r="Q1290" s="150"/>
      <c r="R1290" s="153"/>
      <c r="S1290" s="154"/>
      <c r="T1290" s="115"/>
    </row>
    <row r="1291" spans="1:20">
      <c r="A1291" t="s">
        <v>1230</v>
      </c>
      <c r="B1291" t="s">
        <v>72</v>
      </c>
      <c r="C1291" t="s">
        <v>55</v>
      </c>
      <c r="D1291" t="s">
        <v>588</v>
      </c>
      <c r="E1291" t="s">
        <v>3017</v>
      </c>
      <c r="F1291" s="121">
        <v>288.39999999999998</v>
      </c>
      <c r="G1291" s="121">
        <v>288.39999999999998</v>
      </c>
      <c r="H1291" t="s">
        <v>373</v>
      </c>
      <c r="I1291" s="156">
        <v>41089</v>
      </c>
      <c r="K1291" s="153"/>
      <c r="L1291" s="153"/>
      <c r="M1291" s="153"/>
      <c r="N1291" s="153"/>
      <c r="O1291" s="153"/>
      <c r="P1291" s="150"/>
      <c r="Q1291" s="150"/>
      <c r="R1291" s="153"/>
      <c r="S1291" s="154"/>
      <c r="T1291" s="115"/>
    </row>
    <row r="1292" spans="1:20">
      <c r="A1292" t="s">
        <v>1230</v>
      </c>
      <c r="B1292" t="s">
        <v>72</v>
      </c>
      <c r="C1292" t="s">
        <v>55</v>
      </c>
      <c r="D1292" t="s">
        <v>591</v>
      </c>
      <c r="E1292" t="s">
        <v>3018</v>
      </c>
      <c r="F1292" s="121">
        <v>300</v>
      </c>
      <c r="G1292" s="121">
        <v>290</v>
      </c>
      <c r="H1292" t="s">
        <v>373</v>
      </c>
      <c r="I1292" s="156">
        <v>39813</v>
      </c>
      <c r="K1292" s="153"/>
      <c r="L1292" s="153"/>
      <c r="M1292" s="153"/>
      <c r="N1292" s="153"/>
      <c r="O1292" s="153"/>
      <c r="P1292" s="150"/>
      <c r="Q1292" s="150"/>
      <c r="R1292" s="153"/>
      <c r="S1292" s="154"/>
      <c r="T1292" s="115"/>
    </row>
    <row r="1293" spans="1:20">
      <c r="A1293" t="s">
        <v>1230</v>
      </c>
      <c r="B1293" t="s">
        <v>72</v>
      </c>
      <c r="C1293" t="s">
        <v>55</v>
      </c>
      <c r="D1293" t="s">
        <v>588</v>
      </c>
      <c r="E1293" t="s">
        <v>3019</v>
      </c>
      <c r="F1293" s="121">
        <v>288.39999999999998</v>
      </c>
      <c r="G1293" s="121">
        <v>288.39999999999998</v>
      </c>
      <c r="H1293" t="s">
        <v>373</v>
      </c>
      <c r="I1293" s="156">
        <v>41089</v>
      </c>
      <c r="K1293" s="153"/>
      <c r="L1293" s="153"/>
      <c r="M1293" s="153"/>
      <c r="N1293" s="153"/>
      <c r="O1293" s="153"/>
      <c r="P1293" s="150"/>
      <c r="Q1293" s="150"/>
      <c r="R1293" s="153"/>
      <c r="S1293" s="154"/>
      <c r="T1293" s="115"/>
    </row>
    <row r="1294" spans="1:20">
      <c r="A1294" t="s">
        <v>1230</v>
      </c>
      <c r="B1294" t="s">
        <v>72</v>
      </c>
      <c r="C1294" t="s">
        <v>55</v>
      </c>
      <c r="D1294" t="s">
        <v>588</v>
      </c>
      <c r="E1294" t="s">
        <v>3020</v>
      </c>
      <c r="F1294" s="121">
        <v>288.39999999999998</v>
      </c>
      <c r="G1294" s="121">
        <v>288.39999999999998</v>
      </c>
      <c r="H1294" t="s">
        <v>373</v>
      </c>
      <c r="I1294" s="156">
        <v>41089</v>
      </c>
      <c r="K1294" s="153"/>
      <c r="L1294" s="153"/>
      <c r="M1294" s="153"/>
      <c r="N1294" s="153"/>
      <c r="O1294" s="153"/>
      <c r="P1294" s="150"/>
      <c r="Q1294" s="150"/>
      <c r="R1294" s="153"/>
      <c r="S1294" s="154"/>
      <c r="T1294" s="115"/>
    </row>
    <row r="1295" spans="1:20">
      <c r="A1295" t="s">
        <v>1230</v>
      </c>
      <c r="B1295" t="s">
        <v>72</v>
      </c>
      <c r="C1295" t="s">
        <v>55</v>
      </c>
      <c r="D1295" t="s">
        <v>591</v>
      </c>
      <c r="E1295" t="s">
        <v>3021</v>
      </c>
      <c r="F1295" s="121">
        <v>300</v>
      </c>
      <c r="G1295" s="121">
        <v>290</v>
      </c>
      <c r="H1295" t="s">
        <v>373</v>
      </c>
      <c r="I1295" s="156">
        <v>39813</v>
      </c>
      <c r="K1295" s="153"/>
      <c r="L1295" s="153"/>
      <c r="M1295" s="153"/>
      <c r="N1295" s="153"/>
      <c r="O1295" s="153"/>
      <c r="P1295" s="150"/>
      <c r="Q1295" s="150"/>
      <c r="R1295" s="153"/>
      <c r="S1295" s="154"/>
      <c r="T1295" s="115"/>
    </row>
    <row r="1296" spans="1:20">
      <c r="A1296" t="s">
        <v>1230</v>
      </c>
      <c r="B1296" t="s">
        <v>72</v>
      </c>
      <c r="C1296" t="s">
        <v>55</v>
      </c>
      <c r="D1296" t="s">
        <v>588</v>
      </c>
      <c r="E1296" t="s">
        <v>3022</v>
      </c>
      <c r="F1296" s="121">
        <v>288.39999999999998</v>
      </c>
      <c r="G1296" s="121">
        <v>288.39999999999998</v>
      </c>
      <c r="H1296" t="s">
        <v>373</v>
      </c>
      <c r="I1296" s="156">
        <v>41089</v>
      </c>
      <c r="K1296" s="153"/>
      <c r="L1296" s="153"/>
      <c r="M1296" s="153"/>
      <c r="N1296" s="153"/>
      <c r="O1296" s="153"/>
      <c r="P1296" s="150"/>
      <c r="Q1296" s="150"/>
      <c r="R1296" s="153"/>
      <c r="S1296" s="154"/>
      <c r="T1296" s="115"/>
    </row>
    <row r="1297" spans="1:20">
      <c r="A1297" t="s">
        <v>1230</v>
      </c>
      <c r="B1297" t="s">
        <v>72</v>
      </c>
      <c r="C1297" t="s">
        <v>55</v>
      </c>
      <c r="D1297" t="s">
        <v>591</v>
      </c>
      <c r="E1297" t="s">
        <v>3023</v>
      </c>
      <c r="F1297" s="121">
        <v>300</v>
      </c>
      <c r="G1297" s="121">
        <v>290</v>
      </c>
      <c r="H1297" t="s">
        <v>373</v>
      </c>
      <c r="I1297" s="156">
        <v>39813</v>
      </c>
      <c r="K1297" s="153"/>
      <c r="L1297" s="153"/>
      <c r="M1297" s="153"/>
      <c r="N1297" s="153"/>
      <c r="O1297" s="153"/>
      <c r="P1297" s="150"/>
      <c r="Q1297" s="150"/>
      <c r="R1297" s="153"/>
      <c r="S1297" s="154"/>
      <c r="T1297" s="115"/>
    </row>
    <row r="1298" spans="1:20">
      <c r="A1298" t="s">
        <v>1230</v>
      </c>
      <c r="B1298" t="s">
        <v>72</v>
      </c>
      <c r="C1298" t="s">
        <v>55</v>
      </c>
      <c r="D1298" t="s">
        <v>588</v>
      </c>
      <c r="E1298" t="s">
        <v>3024</v>
      </c>
      <c r="F1298" s="121">
        <v>288.39999999999998</v>
      </c>
      <c r="G1298" s="121">
        <v>288.39999999999998</v>
      </c>
      <c r="H1298" t="s">
        <v>373</v>
      </c>
      <c r="I1298" s="156">
        <v>41089</v>
      </c>
      <c r="K1298" s="153"/>
      <c r="L1298" s="153"/>
      <c r="M1298" s="153"/>
      <c r="N1298" s="153"/>
      <c r="O1298" s="153"/>
      <c r="P1298" s="150"/>
      <c r="Q1298" s="150"/>
      <c r="R1298" s="153"/>
      <c r="S1298" s="154"/>
      <c r="T1298" s="115"/>
    </row>
    <row r="1299" spans="1:20">
      <c r="A1299" t="s">
        <v>1230</v>
      </c>
      <c r="B1299" t="s">
        <v>72</v>
      </c>
      <c r="C1299" t="s">
        <v>55</v>
      </c>
      <c r="D1299" t="s">
        <v>588</v>
      </c>
      <c r="E1299" t="s">
        <v>3025</v>
      </c>
      <c r="F1299" s="121">
        <v>288.39999999999998</v>
      </c>
      <c r="G1299" s="121">
        <v>288.39999999999998</v>
      </c>
      <c r="H1299" t="s">
        <v>373</v>
      </c>
      <c r="I1299" s="156">
        <v>41089</v>
      </c>
      <c r="K1299" s="153"/>
      <c r="L1299" s="153"/>
      <c r="M1299" s="153"/>
      <c r="N1299" s="153"/>
      <c r="O1299" s="153"/>
      <c r="P1299" s="150"/>
      <c r="Q1299" s="150"/>
      <c r="R1299" s="153"/>
      <c r="S1299" s="154"/>
      <c r="T1299" s="115"/>
    </row>
    <row r="1300" spans="1:20">
      <c r="A1300" t="s">
        <v>1230</v>
      </c>
      <c r="B1300" t="s">
        <v>72</v>
      </c>
      <c r="C1300" t="s">
        <v>55</v>
      </c>
      <c r="D1300" t="s">
        <v>591</v>
      </c>
      <c r="E1300" t="s">
        <v>3026</v>
      </c>
      <c r="F1300" s="121">
        <v>300</v>
      </c>
      <c r="G1300" s="121">
        <v>290</v>
      </c>
      <c r="H1300" t="s">
        <v>373</v>
      </c>
      <c r="I1300" s="156">
        <v>39813</v>
      </c>
      <c r="K1300" s="153"/>
      <c r="L1300" s="153"/>
      <c r="M1300" s="153"/>
      <c r="N1300" s="153"/>
      <c r="O1300" s="153"/>
      <c r="P1300" s="150"/>
      <c r="Q1300" s="150"/>
      <c r="R1300" s="153"/>
      <c r="S1300" s="154"/>
      <c r="T1300" s="115"/>
    </row>
    <row r="1301" spans="1:20">
      <c r="A1301" t="s">
        <v>1230</v>
      </c>
      <c r="B1301" t="s">
        <v>72</v>
      </c>
      <c r="C1301" t="s">
        <v>55</v>
      </c>
      <c r="D1301" t="s">
        <v>588</v>
      </c>
      <c r="E1301" t="s">
        <v>3027</v>
      </c>
      <c r="F1301" s="121">
        <v>288.39999999999998</v>
      </c>
      <c r="G1301" s="121">
        <v>288.39999999999998</v>
      </c>
      <c r="H1301" t="s">
        <v>373</v>
      </c>
      <c r="I1301" s="156">
        <v>41089</v>
      </c>
      <c r="K1301" s="153"/>
      <c r="L1301" s="153"/>
      <c r="M1301" s="153"/>
      <c r="N1301" s="153"/>
      <c r="O1301" s="153"/>
      <c r="P1301" s="150"/>
      <c r="Q1301" s="150"/>
      <c r="R1301" s="153"/>
      <c r="S1301" s="154"/>
      <c r="T1301" s="115"/>
    </row>
    <row r="1302" spans="1:20">
      <c r="A1302" t="s">
        <v>1230</v>
      </c>
      <c r="B1302" t="s">
        <v>72</v>
      </c>
      <c r="C1302" t="s">
        <v>55</v>
      </c>
      <c r="D1302" t="s">
        <v>588</v>
      </c>
      <c r="E1302" t="s">
        <v>3028</v>
      </c>
      <c r="F1302" s="121">
        <v>288.39999999999998</v>
      </c>
      <c r="G1302" s="121">
        <v>288.39999999999998</v>
      </c>
      <c r="H1302" t="s">
        <v>373</v>
      </c>
      <c r="I1302" s="156">
        <v>41089</v>
      </c>
      <c r="K1302" s="153"/>
      <c r="L1302" s="153"/>
      <c r="M1302" s="153"/>
      <c r="N1302" s="153"/>
      <c r="O1302" s="153"/>
      <c r="P1302" s="150"/>
      <c r="Q1302" s="150"/>
      <c r="R1302" s="153"/>
      <c r="S1302" s="154"/>
      <c r="T1302" s="115"/>
    </row>
    <row r="1303" spans="1:20">
      <c r="A1303" t="s">
        <v>1230</v>
      </c>
      <c r="B1303" t="s">
        <v>72</v>
      </c>
      <c r="C1303" t="s">
        <v>55</v>
      </c>
      <c r="D1303" t="s">
        <v>591</v>
      </c>
      <c r="E1303" t="s">
        <v>3029</v>
      </c>
      <c r="F1303" s="121">
        <v>290</v>
      </c>
      <c r="G1303" s="121">
        <v>290</v>
      </c>
      <c r="H1303" t="s">
        <v>373</v>
      </c>
      <c r="I1303" s="156">
        <v>41089</v>
      </c>
      <c r="K1303" s="153"/>
      <c r="L1303" s="153"/>
      <c r="M1303" s="153"/>
      <c r="N1303" s="153"/>
      <c r="O1303" s="153"/>
      <c r="P1303" s="150"/>
      <c r="Q1303" s="150"/>
      <c r="R1303" s="153"/>
      <c r="S1303" s="154"/>
      <c r="T1303" s="115"/>
    </row>
    <row r="1304" spans="1:20">
      <c r="A1304" t="s">
        <v>1230</v>
      </c>
      <c r="B1304" t="s">
        <v>72</v>
      </c>
      <c r="C1304" t="s">
        <v>55</v>
      </c>
      <c r="D1304" t="s">
        <v>588</v>
      </c>
      <c r="E1304" t="s">
        <v>3030</v>
      </c>
      <c r="F1304" s="121">
        <v>288.39999999999998</v>
      </c>
      <c r="G1304" s="121">
        <v>288.39999999999998</v>
      </c>
      <c r="H1304" t="s">
        <v>373</v>
      </c>
      <c r="I1304" s="156">
        <v>41089</v>
      </c>
      <c r="K1304" s="153"/>
      <c r="L1304" s="153"/>
      <c r="M1304" s="153"/>
      <c r="N1304" s="153"/>
      <c r="O1304" s="153"/>
      <c r="P1304" s="150"/>
      <c r="Q1304" s="150"/>
      <c r="R1304" s="153"/>
      <c r="S1304" s="154"/>
      <c r="T1304" s="115"/>
    </row>
    <row r="1305" spans="1:20">
      <c r="A1305" t="s">
        <v>1230</v>
      </c>
      <c r="B1305" t="s">
        <v>72</v>
      </c>
      <c r="C1305" t="s">
        <v>55</v>
      </c>
      <c r="D1305" t="s">
        <v>588</v>
      </c>
      <c r="E1305" t="s">
        <v>3031</v>
      </c>
      <c r="F1305" s="121">
        <v>288.39999999999998</v>
      </c>
      <c r="G1305" s="121">
        <v>288.39999999999998</v>
      </c>
      <c r="H1305" t="s">
        <v>373</v>
      </c>
      <c r="I1305" s="156">
        <v>41089</v>
      </c>
      <c r="K1305" s="153"/>
      <c r="L1305" s="153"/>
      <c r="M1305" s="153"/>
      <c r="N1305" s="153"/>
      <c r="O1305" s="153"/>
      <c r="P1305" s="150"/>
      <c r="Q1305" s="150"/>
      <c r="R1305" s="153"/>
      <c r="S1305" s="154"/>
      <c r="T1305" s="115"/>
    </row>
    <row r="1306" spans="1:20">
      <c r="A1306" t="s">
        <v>1230</v>
      </c>
      <c r="B1306" t="s">
        <v>72</v>
      </c>
      <c r="C1306" t="s">
        <v>55</v>
      </c>
      <c r="D1306" t="s">
        <v>591</v>
      </c>
      <c r="E1306" t="s">
        <v>3032</v>
      </c>
      <c r="F1306" s="121">
        <v>300</v>
      </c>
      <c r="G1306" s="121">
        <v>290</v>
      </c>
      <c r="H1306" t="s">
        <v>373</v>
      </c>
      <c r="I1306" s="156">
        <v>39813</v>
      </c>
      <c r="K1306" s="153"/>
      <c r="L1306" s="153"/>
      <c r="M1306" s="153"/>
      <c r="N1306" s="153"/>
      <c r="O1306" s="153"/>
      <c r="P1306" s="152"/>
      <c r="Q1306" s="150"/>
      <c r="R1306" s="153"/>
      <c r="S1306" s="154"/>
      <c r="T1306" s="115"/>
    </row>
    <row r="1307" spans="1:20">
      <c r="A1307" t="s">
        <v>1230</v>
      </c>
      <c r="B1307" t="s">
        <v>72</v>
      </c>
      <c r="C1307" t="s">
        <v>55</v>
      </c>
      <c r="D1307" t="s">
        <v>588</v>
      </c>
      <c r="E1307" t="s">
        <v>3033</v>
      </c>
      <c r="F1307" s="121">
        <v>288.39999999999998</v>
      </c>
      <c r="G1307" s="121">
        <v>288.39999999999998</v>
      </c>
      <c r="H1307" t="s">
        <v>373</v>
      </c>
      <c r="I1307" s="156">
        <v>41089</v>
      </c>
      <c r="K1307" s="153"/>
      <c r="L1307" s="153"/>
      <c r="M1307" s="153"/>
      <c r="N1307" s="153"/>
      <c r="O1307" s="153"/>
      <c r="P1307" s="150"/>
      <c r="Q1307" s="150"/>
      <c r="R1307" s="153"/>
      <c r="S1307" s="154"/>
      <c r="T1307" s="115"/>
    </row>
    <row r="1308" spans="1:20">
      <c r="A1308" t="s">
        <v>1230</v>
      </c>
      <c r="B1308" t="s">
        <v>72</v>
      </c>
      <c r="C1308" t="s">
        <v>55</v>
      </c>
      <c r="D1308" t="s">
        <v>588</v>
      </c>
      <c r="E1308" t="s">
        <v>3034</v>
      </c>
      <c r="F1308" s="121">
        <v>288.39999999999998</v>
      </c>
      <c r="G1308" s="121">
        <v>288.39999999999998</v>
      </c>
      <c r="H1308" t="s">
        <v>373</v>
      </c>
      <c r="I1308" s="156">
        <v>41089</v>
      </c>
      <c r="K1308" s="153"/>
      <c r="L1308" s="153"/>
      <c r="M1308" s="153"/>
      <c r="N1308" s="153"/>
      <c r="O1308" s="153"/>
      <c r="P1308" s="150"/>
      <c r="Q1308" s="150"/>
      <c r="R1308" s="153"/>
      <c r="S1308" s="154"/>
      <c r="T1308" s="115"/>
    </row>
    <row r="1309" spans="1:20">
      <c r="A1309" t="s">
        <v>1230</v>
      </c>
      <c r="B1309" t="s">
        <v>72</v>
      </c>
      <c r="C1309" t="s">
        <v>55</v>
      </c>
      <c r="D1309" t="s">
        <v>591</v>
      </c>
      <c r="E1309" t="s">
        <v>3035</v>
      </c>
      <c r="F1309" s="121">
        <v>300</v>
      </c>
      <c r="G1309" s="121">
        <v>290</v>
      </c>
      <c r="H1309" t="s">
        <v>373</v>
      </c>
      <c r="I1309" s="156">
        <v>39813</v>
      </c>
      <c r="K1309" s="153"/>
      <c r="L1309" s="153"/>
      <c r="M1309" s="153"/>
      <c r="N1309" s="153"/>
      <c r="O1309" s="153"/>
      <c r="P1309" s="150"/>
      <c r="Q1309" s="150"/>
      <c r="R1309" s="153"/>
      <c r="S1309" s="154"/>
      <c r="T1309" s="115"/>
    </row>
    <row r="1310" spans="1:20">
      <c r="A1310" t="s">
        <v>1230</v>
      </c>
      <c r="B1310" t="s">
        <v>72</v>
      </c>
      <c r="C1310" t="s">
        <v>55</v>
      </c>
      <c r="D1310" t="s">
        <v>588</v>
      </c>
      <c r="E1310" t="s">
        <v>3036</v>
      </c>
      <c r="F1310" s="121">
        <v>288.39999999999998</v>
      </c>
      <c r="G1310" s="121">
        <v>288.39999999999998</v>
      </c>
      <c r="H1310" t="s">
        <v>373</v>
      </c>
      <c r="I1310" s="156">
        <v>41089</v>
      </c>
      <c r="K1310" s="153"/>
      <c r="L1310" s="153"/>
      <c r="M1310" s="153"/>
      <c r="N1310" s="153"/>
      <c r="O1310" s="153"/>
      <c r="P1310" s="150"/>
      <c r="Q1310" s="150"/>
      <c r="R1310" s="153"/>
      <c r="S1310" s="154"/>
      <c r="T1310" s="115"/>
    </row>
    <row r="1311" spans="1:20">
      <c r="A1311" t="s">
        <v>1230</v>
      </c>
      <c r="B1311" t="s">
        <v>72</v>
      </c>
      <c r="C1311" t="s">
        <v>55</v>
      </c>
      <c r="D1311" t="s">
        <v>588</v>
      </c>
      <c r="E1311" t="s">
        <v>3037</v>
      </c>
      <c r="F1311" s="121">
        <v>288.39999999999998</v>
      </c>
      <c r="G1311" s="121">
        <v>288.39999999999998</v>
      </c>
      <c r="H1311" t="s">
        <v>373</v>
      </c>
      <c r="I1311" s="156">
        <v>41089</v>
      </c>
      <c r="K1311" s="153"/>
      <c r="L1311" s="153"/>
      <c r="M1311" s="153"/>
      <c r="N1311" s="153"/>
      <c r="O1311" s="153"/>
      <c r="P1311" s="150"/>
      <c r="Q1311" s="150"/>
      <c r="R1311" s="153"/>
      <c r="S1311" s="154"/>
      <c r="T1311" s="115"/>
    </row>
    <row r="1312" spans="1:20">
      <c r="A1312" t="s">
        <v>1230</v>
      </c>
      <c r="B1312" t="s">
        <v>72</v>
      </c>
      <c r="C1312" t="s">
        <v>55</v>
      </c>
      <c r="D1312" t="s">
        <v>591</v>
      </c>
      <c r="E1312" t="s">
        <v>3038</v>
      </c>
      <c r="F1312" s="121">
        <v>300</v>
      </c>
      <c r="G1312" s="121">
        <v>290</v>
      </c>
      <c r="H1312" t="s">
        <v>373</v>
      </c>
      <c r="I1312" s="156">
        <v>39813</v>
      </c>
      <c r="K1312" s="153"/>
      <c r="L1312" s="153"/>
      <c r="M1312" s="153"/>
      <c r="N1312" s="153"/>
      <c r="O1312" s="153"/>
      <c r="P1312" s="150"/>
      <c r="Q1312" s="150"/>
      <c r="R1312" s="153"/>
      <c r="S1312" s="154"/>
      <c r="T1312" s="115"/>
    </row>
    <row r="1313" spans="1:20">
      <c r="A1313" t="s">
        <v>1230</v>
      </c>
      <c r="B1313" t="s">
        <v>72</v>
      </c>
      <c r="C1313" t="s">
        <v>55</v>
      </c>
      <c r="D1313" t="s">
        <v>588</v>
      </c>
      <c r="E1313" t="s">
        <v>3039</v>
      </c>
      <c r="F1313" s="121">
        <v>288.39999999999998</v>
      </c>
      <c r="G1313" s="121">
        <v>288.39999999999998</v>
      </c>
      <c r="H1313" t="s">
        <v>373</v>
      </c>
      <c r="I1313" s="156">
        <v>41089</v>
      </c>
      <c r="K1313" s="153"/>
      <c r="L1313" s="153"/>
      <c r="M1313" s="153"/>
      <c r="N1313" s="153"/>
      <c r="O1313" s="153"/>
      <c r="P1313" s="150"/>
      <c r="Q1313" s="150"/>
      <c r="R1313" s="153"/>
      <c r="S1313" s="154"/>
      <c r="T1313" s="115"/>
    </row>
    <row r="1314" spans="1:20">
      <c r="A1314" t="s">
        <v>1230</v>
      </c>
      <c r="B1314" t="s">
        <v>72</v>
      </c>
      <c r="C1314" t="s">
        <v>55</v>
      </c>
      <c r="D1314" t="s">
        <v>588</v>
      </c>
      <c r="E1314" t="s">
        <v>3040</v>
      </c>
      <c r="F1314" s="121">
        <v>288.39999999999998</v>
      </c>
      <c r="G1314" s="121">
        <v>288.39999999999998</v>
      </c>
      <c r="H1314" t="s">
        <v>373</v>
      </c>
      <c r="I1314" s="156">
        <v>41089</v>
      </c>
      <c r="K1314" s="153"/>
      <c r="L1314" s="153"/>
      <c r="M1314" s="153"/>
      <c r="N1314" s="153"/>
      <c r="O1314" s="153"/>
      <c r="P1314" s="150"/>
      <c r="Q1314" s="150"/>
      <c r="R1314" s="153"/>
      <c r="S1314" s="154"/>
      <c r="T1314" s="115"/>
    </row>
    <row r="1315" spans="1:20">
      <c r="A1315" t="s">
        <v>1230</v>
      </c>
      <c r="B1315" t="s">
        <v>72</v>
      </c>
      <c r="C1315" t="s">
        <v>55</v>
      </c>
      <c r="D1315" t="s">
        <v>591</v>
      </c>
      <c r="E1315" t="s">
        <v>3041</v>
      </c>
      <c r="F1315" s="121">
        <v>300</v>
      </c>
      <c r="G1315" s="121">
        <v>290</v>
      </c>
      <c r="H1315" t="s">
        <v>373</v>
      </c>
      <c r="I1315" s="156">
        <v>39813</v>
      </c>
      <c r="K1315" s="153"/>
      <c r="L1315" s="153"/>
      <c r="M1315" s="153"/>
      <c r="N1315" s="153"/>
      <c r="O1315" s="153"/>
      <c r="P1315" s="150"/>
      <c r="Q1315" s="150"/>
      <c r="R1315" s="153"/>
      <c r="S1315" s="154"/>
      <c r="T1315" s="115"/>
    </row>
    <row r="1316" spans="1:20">
      <c r="A1316" t="s">
        <v>1230</v>
      </c>
      <c r="B1316" t="s">
        <v>72</v>
      </c>
      <c r="C1316" t="s">
        <v>55</v>
      </c>
      <c r="D1316" t="s">
        <v>588</v>
      </c>
      <c r="E1316" t="s">
        <v>3042</v>
      </c>
      <c r="F1316" s="121">
        <v>288.39999999999998</v>
      </c>
      <c r="G1316" s="121">
        <v>288.39999999999998</v>
      </c>
      <c r="H1316" t="s">
        <v>373</v>
      </c>
      <c r="I1316" s="156">
        <v>41089</v>
      </c>
      <c r="K1316" s="153"/>
      <c r="L1316" s="153"/>
      <c r="M1316" s="153"/>
      <c r="N1316" s="153"/>
      <c r="O1316" s="153"/>
      <c r="P1316" s="150"/>
      <c r="Q1316" s="150"/>
      <c r="R1316" s="153"/>
      <c r="S1316" s="154"/>
      <c r="T1316" s="115"/>
    </row>
    <row r="1317" spans="1:20">
      <c r="A1317" t="s">
        <v>1230</v>
      </c>
      <c r="B1317" t="s">
        <v>72</v>
      </c>
      <c r="C1317" t="s">
        <v>55</v>
      </c>
      <c r="D1317" t="s">
        <v>588</v>
      </c>
      <c r="E1317" t="s">
        <v>3043</v>
      </c>
      <c r="F1317" s="121">
        <v>288.39999999999998</v>
      </c>
      <c r="G1317" s="121">
        <v>288.39999999999998</v>
      </c>
      <c r="H1317" t="s">
        <v>373</v>
      </c>
      <c r="I1317" s="156">
        <v>41089</v>
      </c>
      <c r="K1317" s="153"/>
      <c r="L1317" s="153"/>
      <c r="M1317" s="153"/>
      <c r="N1317" s="153"/>
      <c r="O1317" s="153"/>
      <c r="P1317" s="150"/>
      <c r="Q1317" s="150"/>
      <c r="R1317" s="153"/>
      <c r="S1317" s="154"/>
      <c r="T1317" s="115"/>
    </row>
    <row r="1318" spans="1:20">
      <c r="A1318" t="s">
        <v>1230</v>
      </c>
      <c r="B1318" t="s">
        <v>72</v>
      </c>
      <c r="C1318" t="s">
        <v>55</v>
      </c>
      <c r="D1318" t="s">
        <v>591</v>
      </c>
      <c r="E1318" t="s">
        <v>3044</v>
      </c>
      <c r="F1318" s="121">
        <v>300</v>
      </c>
      <c r="G1318" s="121">
        <v>290</v>
      </c>
      <c r="H1318" t="s">
        <v>373</v>
      </c>
      <c r="I1318" s="156">
        <v>39813</v>
      </c>
      <c r="K1318" s="153"/>
      <c r="L1318" s="153"/>
      <c r="M1318" s="153"/>
      <c r="N1318" s="153"/>
      <c r="O1318" s="153"/>
      <c r="P1318" s="150"/>
      <c r="Q1318" s="150"/>
      <c r="R1318" s="153"/>
      <c r="S1318" s="154"/>
      <c r="T1318" s="115"/>
    </row>
    <row r="1319" spans="1:20">
      <c r="A1319" t="s">
        <v>1230</v>
      </c>
      <c r="B1319" t="s">
        <v>72</v>
      </c>
      <c r="C1319" t="s">
        <v>55</v>
      </c>
      <c r="D1319" t="s">
        <v>588</v>
      </c>
      <c r="E1319" t="s">
        <v>3045</v>
      </c>
      <c r="F1319" s="121">
        <v>288.39999999999998</v>
      </c>
      <c r="G1319" s="121">
        <v>288.39999999999998</v>
      </c>
      <c r="H1319" t="s">
        <v>373</v>
      </c>
      <c r="I1319" s="156">
        <v>41089</v>
      </c>
      <c r="K1319" s="153"/>
      <c r="L1319" s="153"/>
      <c r="M1319" s="153"/>
      <c r="N1319" s="153"/>
      <c r="O1319" s="153"/>
      <c r="P1319" s="150"/>
      <c r="Q1319" s="150"/>
      <c r="R1319" s="153"/>
      <c r="S1319" s="154"/>
      <c r="T1319" s="115"/>
    </row>
    <row r="1320" spans="1:20">
      <c r="A1320" t="s">
        <v>1230</v>
      </c>
      <c r="B1320" t="s">
        <v>72</v>
      </c>
      <c r="C1320" t="s">
        <v>55</v>
      </c>
      <c r="D1320" t="s">
        <v>588</v>
      </c>
      <c r="E1320" t="s">
        <v>3046</v>
      </c>
      <c r="F1320" s="121">
        <v>288.39999999999998</v>
      </c>
      <c r="G1320" s="121">
        <v>288.39999999999998</v>
      </c>
      <c r="H1320" t="s">
        <v>373</v>
      </c>
      <c r="I1320" s="156">
        <v>41089</v>
      </c>
      <c r="K1320" s="153"/>
      <c r="L1320" s="153"/>
      <c r="M1320" s="153"/>
      <c r="N1320" s="153"/>
      <c r="O1320" s="153"/>
      <c r="P1320" s="150"/>
      <c r="Q1320" s="150"/>
      <c r="R1320" s="153"/>
      <c r="S1320" s="154"/>
      <c r="T1320" s="115"/>
    </row>
    <row r="1321" spans="1:20">
      <c r="A1321" t="s">
        <v>1230</v>
      </c>
      <c r="B1321" t="s">
        <v>72</v>
      </c>
      <c r="C1321" t="s">
        <v>55</v>
      </c>
      <c r="D1321" t="s">
        <v>591</v>
      </c>
      <c r="E1321" t="s">
        <v>3047</v>
      </c>
      <c r="F1321" s="121">
        <v>300</v>
      </c>
      <c r="G1321" s="121">
        <v>290</v>
      </c>
      <c r="H1321" t="s">
        <v>373</v>
      </c>
      <c r="I1321" s="156">
        <v>39813</v>
      </c>
      <c r="K1321" s="153"/>
      <c r="L1321" s="153"/>
      <c r="M1321" s="153"/>
      <c r="N1321" s="153"/>
      <c r="O1321" s="153"/>
      <c r="P1321" s="150"/>
      <c r="Q1321" s="150"/>
      <c r="R1321" s="153"/>
      <c r="S1321" s="154"/>
      <c r="T1321" s="115"/>
    </row>
    <row r="1322" spans="1:20">
      <c r="A1322" t="s">
        <v>1230</v>
      </c>
      <c r="B1322" t="s">
        <v>72</v>
      </c>
      <c r="C1322" t="s">
        <v>55</v>
      </c>
      <c r="D1322" t="s">
        <v>588</v>
      </c>
      <c r="E1322" t="s">
        <v>3048</v>
      </c>
      <c r="F1322" s="121">
        <v>288.39999999999998</v>
      </c>
      <c r="G1322" s="121">
        <v>288.39999999999998</v>
      </c>
      <c r="H1322" t="s">
        <v>373</v>
      </c>
      <c r="I1322" s="156">
        <v>41089</v>
      </c>
      <c r="K1322" s="153"/>
      <c r="L1322" s="153"/>
      <c r="M1322" s="153"/>
      <c r="N1322" s="153"/>
      <c r="O1322" s="153"/>
      <c r="P1322" s="150"/>
      <c r="Q1322" s="150"/>
      <c r="R1322" s="153"/>
      <c r="S1322" s="154"/>
      <c r="T1322" s="115"/>
    </row>
    <row r="1323" spans="1:20">
      <c r="A1323" t="s">
        <v>1230</v>
      </c>
      <c r="B1323" t="s">
        <v>72</v>
      </c>
      <c r="C1323" t="s">
        <v>55</v>
      </c>
      <c r="D1323" t="s">
        <v>588</v>
      </c>
      <c r="E1323" t="s">
        <v>3049</v>
      </c>
      <c r="F1323" s="121">
        <v>288.39999999999998</v>
      </c>
      <c r="G1323" s="121">
        <v>288.39999999999998</v>
      </c>
      <c r="H1323" t="s">
        <v>373</v>
      </c>
      <c r="I1323" s="156">
        <v>41089</v>
      </c>
      <c r="K1323" s="153"/>
      <c r="L1323" s="153"/>
      <c r="M1323" s="153"/>
      <c r="N1323" s="153"/>
      <c r="O1323" s="153"/>
      <c r="P1323" s="150"/>
      <c r="Q1323" s="150"/>
      <c r="R1323" s="153"/>
      <c r="S1323" s="154"/>
      <c r="T1323" s="115"/>
    </row>
    <row r="1324" spans="1:20">
      <c r="A1324" t="s">
        <v>1230</v>
      </c>
      <c r="B1324" t="s">
        <v>72</v>
      </c>
      <c r="C1324" t="s">
        <v>55</v>
      </c>
      <c r="D1324" t="s">
        <v>591</v>
      </c>
      <c r="E1324" t="s">
        <v>3050</v>
      </c>
      <c r="F1324" s="121">
        <v>300</v>
      </c>
      <c r="G1324" s="121">
        <v>290</v>
      </c>
      <c r="H1324" t="s">
        <v>373</v>
      </c>
      <c r="I1324" s="156">
        <v>39813</v>
      </c>
      <c r="K1324" s="153"/>
      <c r="L1324" s="153"/>
      <c r="M1324" s="153"/>
      <c r="N1324" s="153"/>
      <c r="O1324" s="153"/>
      <c r="P1324" s="150"/>
      <c r="Q1324" s="150"/>
      <c r="R1324" s="153"/>
      <c r="S1324" s="154"/>
      <c r="T1324" s="115"/>
    </row>
    <row r="1325" spans="1:20">
      <c r="A1325" t="s">
        <v>1230</v>
      </c>
      <c r="B1325" t="s">
        <v>72</v>
      </c>
      <c r="C1325" t="s">
        <v>55</v>
      </c>
      <c r="D1325" t="s">
        <v>588</v>
      </c>
      <c r="E1325" t="s">
        <v>3051</v>
      </c>
      <c r="F1325" s="121">
        <v>288.39999999999998</v>
      </c>
      <c r="G1325" s="121">
        <v>288.39999999999998</v>
      </c>
      <c r="H1325" t="s">
        <v>373</v>
      </c>
      <c r="I1325" s="156">
        <v>41089</v>
      </c>
      <c r="K1325" s="153"/>
      <c r="L1325" s="153"/>
      <c r="M1325" s="153"/>
      <c r="N1325" s="153"/>
      <c r="O1325" s="153"/>
      <c r="P1325" s="150"/>
      <c r="Q1325" s="150"/>
      <c r="R1325" s="153"/>
      <c r="S1325" s="154"/>
      <c r="T1325" s="115"/>
    </row>
    <row r="1326" spans="1:20">
      <c r="A1326" t="s">
        <v>1230</v>
      </c>
      <c r="B1326" t="s">
        <v>72</v>
      </c>
      <c r="C1326" t="s">
        <v>55</v>
      </c>
      <c r="D1326" t="s">
        <v>588</v>
      </c>
      <c r="E1326" t="s">
        <v>3052</v>
      </c>
      <c r="F1326" s="121">
        <v>288.39999999999998</v>
      </c>
      <c r="G1326" s="121">
        <v>288.39999999999998</v>
      </c>
      <c r="H1326" t="s">
        <v>373</v>
      </c>
      <c r="I1326" s="156">
        <v>41089</v>
      </c>
      <c r="K1326" s="153"/>
      <c r="L1326" s="153"/>
      <c r="M1326" s="153"/>
      <c r="N1326" s="153"/>
      <c r="O1326" s="153"/>
      <c r="P1326" s="150"/>
      <c r="Q1326" s="150"/>
      <c r="R1326" s="153"/>
      <c r="S1326" s="154"/>
      <c r="T1326" s="115"/>
    </row>
    <row r="1327" spans="1:20">
      <c r="A1327" t="s">
        <v>1230</v>
      </c>
      <c r="B1327" t="s">
        <v>72</v>
      </c>
      <c r="C1327" t="s">
        <v>55</v>
      </c>
      <c r="D1327" t="s">
        <v>591</v>
      </c>
      <c r="E1327" t="s">
        <v>3053</v>
      </c>
      <c r="F1327" s="121">
        <v>290</v>
      </c>
      <c r="G1327" s="121">
        <v>290</v>
      </c>
      <c r="H1327" t="s">
        <v>373</v>
      </c>
      <c r="I1327" s="156">
        <v>41089</v>
      </c>
      <c r="K1327" s="153"/>
      <c r="L1327" s="153"/>
      <c r="M1327" s="153"/>
      <c r="N1327" s="153"/>
      <c r="O1327" s="153"/>
      <c r="P1327" s="150"/>
      <c r="Q1327" s="150"/>
      <c r="R1327" s="153"/>
      <c r="S1327" s="154"/>
      <c r="T1327" s="115"/>
    </row>
    <row r="1328" spans="1:20">
      <c r="A1328" t="s">
        <v>1230</v>
      </c>
      <c r="B1328" t="s">
        <v>72</v>
      </c>
      <c r="C1328" t="s">
        <v>55</v>
      </c>
      <c r="D1328" t="s">
        <v>588</v>
      </c>
      <c r="E1328" t="s">
        <v>3054</v>
      </c>
      <c r="F1328" s="121">
        <v>288.39999999999998</v>
      </c>
      <c r="G1328" s="121">
        <v>288.39999999999998</v>
      </c>
      <c r="H1328" t="s">
        <v>373</v>
      </c>
      <c r="I1328" s="156">
        <v>41089</v>
      </c>
      <c r="K1328" s="153"/>
      <c r="L1328" s="153"/>
      <c r="M1328" s="153"/>
      <c r="N1328" s="153"/>
      <c r="O1328" s="153"/>
      <c r="P1328" s="150"/>
      <c r="Q1328" s="150"/>
      <c r="R1328" s="153"/>
      <c r="S1328" s="154"/>
      <c r="T1328" s="115"/>
    </row>
    <row r="1329" spans="1:20">
      <c r="A1329" t="s">
        <v>1230</v>
      </c>
      <c r="B1329" t="s">
        <v>72</v>
      </c>
      <c r="C1329" t="s">
        <v>55</v>
      </c>
      <c r="D1329" t="s">
        <v>588</v>
      </c>
      <c r="E1329" t="s">
        <v>3055</v>
      </c>
      <c r="F1329" s="121">
        <v>288.39999999999998</v>
      </c>
      <c r="G1329" s="121">
        <v>288.39999999999998</v>
      </c>
      <c r="H1329" t="s">
        <v>373</v>
      </c>
      <c r="I1329" s="156">
        <v>41089</v>
      </c>
      <c r="K1329" s="153"/>
      <c r="L1329" s="153"/>
      <c r="M1329" s="153"/>
      <c r="N1329" s="153"/>
      <c r="O1329" s="153"/>
      <c r="P1329" s="150"/>
      <c r="Q1329" s="150"/>
      <c r="R1329" s="153"/>
      <c r="S1329" s="154"/>
      <c r="T1329" s="115"/>
    </row>
    <row r="1330" spans="1:20">
      <c r="A1330" t="s">
        <v>1230</v>
      </c>
      <c r="B1330" t="s">
        <v>72</v>
      </c>
      <c r="C1330" t="s">
        <v>55</v>
      </c>
      <c r="D1330" t="s">
        <v>591</v>
      </c>
      <c r="E1330" t="s">
        <v>3056</v>
      </c>
      <c r="F1330" s="121">
        <v>300</v>
      </c>
      <c r="G1330" s="121">
        <v>290</v>
      </c>
      <c r="H1330" t="s">
        <v>373</v>
      </c>
      <c r="I1330" s="156">
        <v>39813</v>
      </c>
      <c r="K1330" s="153"/>
      <c r="L1330" s="153"/>
      <c r="M1330" s="153"/>
      <c r="N1330" s="153"/>
      <c r="O1330" s="153"/>
      <c r="P1330" s="150"/>
      <c r="Q1330" s="150"/>
      <c r="R1330" s="153"/>
      <c r="S1330" s="154"/>
      <c r="T1330" s="115"/>
    </row>
    <row r="1331" spans="1:20">
      <c r="A1331" t="s">
        <v>1230</v>
      </c>
      <c r="B1331" t="s">
        <v>72</v>
      </c>
      <c r="C1331" t="s">
        <v>55</v>
      </c>
      <c r="D1331" t="s">
        <v>588</v>
      </c>
      <c r="E1331" t="s">
        <v>3057</v>
      </c>
      <c r="F1331" s="121">
        <v>288.39999999999998</v>
      </c>
      <c r="G1331" s="121">
        <v>288.39999999999998</v>
      </c>
      <c r="H1331" t="s">
        <v>373</v>
      </c>
      <c r="I1331" s="156">
        <v>41089</v>
      </c>
      <c r="K1331" s="153"/>
      <c r="L1331" s="153"/>
      <c r="M1331" s="153"/>
      <c r="N1331" s="153"/>
      <c r="O1331" s="153"/>
      <c r="P1331" s="150"/>
      <c r="Q1331" s="150"/>
      <c r="R1331" s="153"/>
      <c r="S1331" s="154"/>
      <c r="T1331" s="115"/>
    </row>
    <row r="1332" spans="1:20">
      <c r="A1332" t="s">
        <v>1230</v>
      </c>
      <c r="B1332" t="s">
        <v>72</v>
      </c>
      <c r="C1332" t="s">
        <v>55</v>
      </c>
      <c r="D1332" t="s">
        <v>588</v>
      </c>
      <c r="E1332" t="s">
        <v>3058</v>
      </c>
      <c r="F1332" s="121">
        <v>288.39999999999998</v>
      </c>
      <c r="G1332" s="121">
        <v>288.39999999999998</v>
      </c>
      <c r="H1332" t="s">
        <v>373</v>
      </c>
      <c r="I1332" s="156">
        <v>41089</v>
      </c>
      <c r="K1332" s="153"/>
      <c r="L1332" s="153"/>
      <c r="M1332" s="153"/>
      <c r="N1332" s="153"/>
      <c r="O1332" s="153"/>
      <c r="P1332" s="150"/>
      <c r="Q1332" s="150"/>
      <c r="R1332" s="153"/>
      <c r="S1332" s="154"/>
      <c r="T1332" s="115"/>
    </row>
    <row r="1333" spans="1:20">
      <c r="A1333" t="s">
        <v>1230</v>
      </c>
      <c r="B1333" t="s">
        <v>72</v>
      </c>
      <c r="C1333" t="s">
        <v>55</v>
      </c>
      <c r="D1333" t="s">
        <v>591</v>
      </c>
      <c r="E1333" t="s">
        <v>3059</v>
      </c>
      <c r="F1333" s="121">
        <v>300</v>
      </c>
      <c r="G1333" s="121">
        <v>290</v>
      </c>
      <c r="H1333" t="s">
        <v>373</v>
      </c>
      <c r="I1333" s="156">
        <v>39813</v>
      </c>
      <c r="K1333" s="153"/>
      <c r="L1333" s="153"/>
      <c r="M1333" s="153"/>
      <c r="N1333" s="153"/>
      <c r="O1333" s="153"/>
      <c r="P1333" s="150"/>
      <c r="Q1333" s="150"/>
      <c r="R1333" s="153"/>
      <c r="S1333" s="154"/>
      <c r="T1333" s="115"/>
    </row>
    <row r="1334" spans="1:20">
      <c r="A1334" t="s">
        <v>1230</v>
      </c>
      <c r="B1334" t="s">
        <v>72</v>
      </c>
      <c r="C1334" t="s">
        <v>55</v>
      </c>
      <c r="D1334" t="s">
        <v>588</v>
      </c>
      <c r="E1334" t="s">
        <v>3060</v>
      </c>
      <c r="F1334" s="121">
        <v>288.39999999999998</v>
      </c>
      <c r="G1334" s="121">
        <v>288.39999999999998</v>
      </c>
      <c r="H1334" t="s">
        <v>373</v>
      </c>
      <c r="I1334" s="156">
        <v>41089</v>
      </c>
      <c r="K1334" s="153"/>
      <c r="L1334" s="153"/>
      <c r="M1334" s="153"/>
      <c r="N1334" s="153"/>
      <c r="O1334" s="153"/>
      <c r="P1334" s="150"/>
      <c r="Q1334" s="150"/>
      <c r="R1334" s="153"/>
      <c r="S1334" s="154"/>
      <c r="T1334" s="115"/>
    </row>
    <row r="1335" spans="1:20">
      <c r="A1335" t="s">
        <v>1230</v>
      </c>
      <c r="B1335" t="s">
        <v>72</v>
      </c>
      <c r="C1335" t="s">
        <v>55</v>
      </c>
      <c r="D1335" t="s">
        <v>588</v>
      </c>
      <c r="E1335" t="s">
        <v>3061</v>
      </c>
      <c r="F1335" s="121">
        <v>288.39999999999998</v>
      </c>
      <c r="G1335" s="121">
        <v>288.39999999999998</v>
      </c>
      <c r="H1335" t="s">
        <v>373</v>
      </c>
      <c r="I1335" s="156">
        <v>41089</v>
      </c>
      <c r="K1335" s="153"/>
      <c r="L1335" s="153"/>
      <c r="M1335" s="153"/>
      <c r="N1335" s="153"/>
      <c r="O1335" s="153"/>
      <c r="P1335" s="150"/>
      <c r="Q1335" s="150"/>
      <c r="R1335" s="153"/>
      <c r="S1335" s="154"/>
      <c r="T1335" s="115"/>
    </row>
    <row r="1336" spans="1:20">
      <c r="A1336" t="s">
        <v>1230</v>
      </c>
      <c r="B1336" t="s">
        <v>72</v>
      </c>
      <c r="C1336" t="s">
        <v>55</v>
      </c>
      <c r="D1336" t="s">
        <v>591</v>
      </c>
      <c r="E1336" t="s">
        <v>3062</v>
      </c>
      <c r="F1336" s="121">
        <v>300</v>
      </c>
      <c r="G1336" s="121">
        <v>290</v>
      </c>
      <c r="H1336" t="s">
        <v>373</v>
      </c>
      <c r="I1336" s="156">
        <v>39813</v>
      </c>
      <c r="K1336" s="153"/>
      <c r="L1336" s="153"/>
      <c r="M1336" s="153"/>
      <c r="N1336" s="153"/>
      <c r="O1336" s="153"/>
      <c r="P1336" s="150"/>
      <c r="Q1336" s="150"/>
      <c r="R1336" s="153"/>
      <c r="S1336" s="154"/>
      <c r="T1336" s="115"/>
    </row>
    <row r="1337" spans="1:20">
      <c r="A1337" t="s">
        <v>1230</v>
      </c>
      <c r="B1337" t="s">
        <v>72</v>
      </c>
      <c r="C1337" t="s">
        <v>55</v>
      </c>
      <c r="D1337" t="s">
        <v>588</v>
      </c>
      <c r="E1337" t="s">
        <v>3063</v>
      </c>
      <c r="F1337" s="121">
        <v>288.39999999999998</v>
      </c>
      <c r="G1337" s="121">
        <v>288.39999999999998</v>
      </c>
      <c r="H1337" t="s">
        <v>373</v>
      </c>
      <c r="I1337" s="156">
        <v>41089</v>
      </c>
      <c r="K1337" s="153"/>
      <c r="L1337" s="153"/>
      <c r="M1337" s="153"/>
      <c r="N1337" s="153"/>
      <c r="O1337" s="153"/>
      <c r="P1337" s="150"/>
      <c r="Q1337" s="150"/>
      <c r="R1337" s="153"/>
      <c r="S1337" s="154"/>
      <c r="T1337" s="115"/>
    </row>
    <row r="1338" spans="1:20">
      <c r="A1338" t="s">
        <v>1230</v>
      </c>
      <c r="B1338" t="s">
        <v>72</v>
      </c>
      <c r="C1338" t="s">
        <v>55</v>
      </c>
      <c r="D1338" t="s">
        <v>591</v>
      </c>
      <c r="E1338" t="s">
        <v>3064</v>
      </c>
      <c r="F1338" s="121">
        <v>300</v>
      </c>
      <c r="G1338" s="121">
        <v>290</v>
      </c>
      <c r="H1338" t="s">
        <v>373</v>
      </c>
      <c r="I1338" s="156">
        <v>39813</v>
      </c>
      <c r="K1338" s="153"/>
      <c r="L1338" s="153"/>
      <c r="M1338" s="153"/>
      <c r="N1338" s="153"/>
      <c r="O1338" s="153"/>
      <c r="P1338" s="150"/>
      <c r="Q1338" s="150"/>
      <c r="R1338" s="153"/>
      <c r="S1338" s="154"/>
      <c r="T1338" s="115"/>
    </row>
    <row r="1339" spans="1:20">
      <c r="A1339" t="s">
        <v>1230</v>
      </c>
      <c r="B1339" t="s">
        <v>72</v>
      </c>
      <c r="C1339" t="s">
        <v>55</v>
      </c>
      <c r="D1339" t="s">
        <v>588</v>
      </c>
      <c r="E1339" t="s">
        <v>3065</v>
      </c>
      <c r="F1339" s="121">
        <v>288.39999999999998</v>
      </c>
      <c r="G1339" s="121">
        <v>288.39999999999998</v>
      </c>
      <c r="H1339" t="s">
        <v>373</v>
      </c>
      <c r="I1339" s="156">
        <v>41089</v>
      </c>
      <c r="K1339" s="153"/>
      <c r="L1339" s="153"/>
      <c r="M1339" s="153"/>
      <c r="N1339" s="153"/>
      <c r="O1339" s="153"/>
      <c r="P1339" s="150"/>
      <c r="Q1339" s="150"/>
      <c r="R1339" s="153"/>
      <c r="S1339" s="154"/>
      <c r="T1339" s="115"/>
    </row>
    <row r="1340" spans="1:20">
      <c r="A1340" t="s">
        <v>1230</v>
      </c>
      <c r="B1340" t="s">
        <v>72</v>
      </c>
      <c r="C1340" t="s">
        <v>55</v>
      </c>
      <c r="D1340" t="s">
        <v>591</v>
      </c>
      <c r="E1340" t="s">
        <v>3066</v>
      </c>
      <c r="F1340" s="121">
        <v>300</v>
      </c>
      <c r="G1340" s="121">
        <v>290</v>
      </c>
      <c r="H1340" t="s">
        <v>373</v>
      </c>
      <c r="I1340" s="156">
        <v>39813</v>
      </c>
      <c r="K1340" s="153"/>
      <c r="L1340" s="153"/>
      <c r="M1340" s="153"/>
      <c r="N1340" s="153"/>
      <c r="O1340" s="153"/>
      <c r="P1340" s="150"/>
      <c r="Q1340" s="150"/>
      <c r="R1340" s="153"/>
      <c r="S1340" s="154"/>
      <c r="T1340" s="115"/>
    </row>
    <row r="1341" spans="1:20">
      <c r="A1341" t="s">
        <v>1230</v>
      </c>
      <c r="B1341" t="s">
        <v>72</v>
      </c>
      <c r="C1341" t="s">
        <v>55</v>
      </c>
      <c r="D1341" t="s">
        <v>588</v>
      </c>
      <c r="E1341" t="s">
        <v>3067</v>
      </c>
      <c r="F1341" s="121">
        <v>288.39999999999998</v>
      </c>
      <c r="G1341" s="121">
        <v>288.39999999999998</v>
      </c>
      <c r="H1341" t="s">
        <v>373</v>
      </c>
      <c r="I1341" s="156">
        <v>41089</v>
      </c>
      <c r="K1341" s="153"/>
      <c r="L1341" s="153"/>
      <c r="M1341" s="153"/>
      <c r="N1341" s="153"/>
      <c r="O1341" s="153"/>
      <c r="P1341" s="150"/>
      <c r="Q1341" s="150"/>
      <c r="R1341" s="153"/>
      <c r="S1341" s="154"/>
      <c r="T1341" s="115"/>
    </row>
    <row r="1342" spans="1:20">
      <c r="A1342" t="s">
        <v>1230</v>
      </c>
      <c r="B1342" t="s">
        <v>72</v>
      </c>
      <c r="C1342" t="s">
        <v>55</v>
      </c>
      <c r="D1342" t="s">
        <v>588</v>
      </c>
      <c r="E1342" t="s">
        <v>3068</v>
      </c>
      <c r="F1342" s="121">
        <v>288.39999999999998</v>
      </c>
      <c r="G1342" s="121">
        <v>288.39999999999998</v>
      </c>
      <c r="H1342" t="s">
        <v>373</v>
      </c>
      <c r="I1342" s="156">
        <v>41089</v>
      </c>
      <c r="K1342" s="153"/>
      <c r="L1342" s="153"/>
      <c r="M1342" s="153"/>
      <c r="N1342" s="153"/>
      <c r="O1342" s="153"/>
      <c r="P1342" s="150"/>
      <c r="Q1342" s="150"/>
      <c r="R1342" s="153"/>
      <c r="S1342" s="154"/>
      <c r="T1342" s="115"/>
    </row>
    <row r="1343" spans="1:20">
      <c r="A1343" t="s">
        <v>1230</v>
      </c>
      <c r="B1343" t="s">
        <v>72</v>
      </c>
      <c r="C1343" t="s">
        <v>55</v>
      </c>
      <c r="D1343" t="s">
        <v>591</v>
      </c>
      <c r="E1343" t="s">
        <v>3069</v>
      </c>
      <c r="F1343" s="121">
        <v>300</v>
      </c>
      <c r="G1343" s="121">
        <v>290</v>
      </c>
      <c r="H1343" t="s">
        <v>373</v>
      </c>
      <c r="I1343" s="156">
        <v>39813</v>
      </c>
      <c r="K1343" s="153"/>
      <c r="L1343" s="153"/>
      <c r="M1343" s="153"/>
      <c r="N1343" s="153"/>
      <c r="O1343" s="153"/>
      <c r="P1343" s="150"/>
      <c r="Q1343" s="150"/>
      <c r="R1343" s="153"/>
      <c r="S1343" s="154"/>
      <c r="T1343" s="115"/>
    </row>
    <row r="1344" spans="1:20">
      <c r="A1344" t="s">
        <v>1230</v>
      </c>
      <c r="B1344" t="s">
        <v>72</v>
      </c>
      <c r="C1344" t="s">
        <v>55</v>
      </c>
      <c r="D1344" t="s">
        <v>588</v>
      </c>
      <c r="E1344" t="s">
        <v>3070</v>
      </c>
      <c r="F1344" s="121">
        <v>288.39999999999998</v>
      </c>
      <c r="G1344" s="121">
        <v>288.39999999999998</v>
      </c>
      <c r="H1344" t="s">
        <v>373</v>
      </c>
      <c r="I1344" s="156">
        <v>41089</v>
      </c>
      <c r="K1344" s="153"/>
      <c r="L1344" s="153"/>
      <c r="M1344" s="153"/>
      <c r="N1344" s="153"/>
      <c r="O1344" s="153"/>
      <c r="P1344" s="150"/>
      <c r="Q1344" s="150"/>
      <c r="R1344" s="153"/>
      <c r="S1344" s="154"/>
      <c r="T1344" s="115"/>
    </row>
    <row r="1345" spans="1:20">
      <c r="A1345" t="s">
        <v>1230</v>
      </c>
      <c r="B1345" t="s">
        <v>72</v>
      </c>
      <c r="C1345" t="s">
        <v>55</v>
      </c>
      <c r="D1345" t="s">
        <v>588</v>
      </c>
      <c r="E1345" t="s">
        <v>3071</v>
      </c>
      <c r="F1345" s="121">
        <v>288.39999999999998</v>
      </c>
      <c r="G1345" s="121">
        <v>288.39999999999998</v>
      </c>
      <c r="H1345" t="s">
        <v>373</v>
      </c>
      <c r="I1345" s="156">
        <v>41089</v>
      </c>
      <c r="K1345" s="153"/>
      <c r="L1345" s="153"/>
      <c r="M1345" s="153"/>
      <c r="N1345" s="153"/>
      <c r="O1345" s="153"/>
      <c r="P1345" s="150"/>
      <c r="Q1345" s="150"/>
      <c r="R1345" s="153"/>
      <c r="S1345" s="154"/>
      <c r="T1345" s="115"/>
    </row>
    <row r="1346" spans="1:20">
      <c r="A1346" t="s">
        <v>1230</v>
      </c>
      <c r="B1346" t="s">
        <v>72</v>
      </c>
      <c r="C1346" t="s">
        <v>55</v>
      </c>
      <c r="D1346" t="s">
        <v>591</v>
      </c>
      <c r="E1346" t="s">
        <v>3072</v>
      </c>
      <c r="F1346" s="121">
        <v>300</v>
      </c>
      <c r="G1346" s="121">
        <v>290</v>
      </c>
      <c r="H1346" t="s">
        <v>373</v>
      </c>
      <c r="I1346" s="156">
        <v>39813</v>
      </c>
      <c r="K1346" s="153"/>
      <c r="L1346" s="153"/>
      <c r="M1346" s="153"/>
      <c r="N1346" s="153"/>
      <c r="O1346" s="153"/>
      <c r="P1346" s="150"/>
      <c r="Q1346" s="150"/>
      <c r="R1346" s="153"/>
      <c r="S1346" s="154"/>
      <c r="T1346" s="115"/>
    </row>
    <row r="1347" spans="1:20">
      <c r="A1347" t="s">
        <v>1230</v>
      </c>
      <c r="B1347" t="s">
        <v>72</v>
      </c>
      <c r="C1347" t="s">
        <v>55</v>
      </c>
      <c r="D1347" t="s">
        <v>588</v>
      </c>
      <c r="E1347" t="s">
        <v>3073</v>
      </c>
      <c r="F1347" s="121">
        <v>288.39999999999998</v>
      </c>
      <c r="G1347" s="121">
        <v>288.39999999999998</v>
      </c>
      <c r="H1347" t="s">
        <v>373</v>
      </c>
      <c r="I1347" s="156">
        <v>41089</v>
      </c>
      <c r="K1347" s="153"/>
      <c r="L1347" s="153"/>
      <c r="M1347" s="153"/>
      <c r="N1347" s="153"/>
      <c r="O1347" s="153"/>
      <c r="P1347" s="150"/>
      <c r="Q1347" s="150"/>
      <c r="R1347" s="153"/>
      <c r="S1347" s="154"/>
      <c r="T1347" s="115"/>
    </row>
    <row r="1348" spans="1:20">
      <c r="A1348" t="s">
        <v>1230</v>
      </c>
      <c r="B1348" t="s">
        <v>72</v>
      </c>
      <c r="C1348" t="s">
        <v>55</v>
      </c>
      <c r="D1348" t="s">
        <v>588</v>
      </c>
      <c r="E1348" t="s">
        <v>3074</v>
      </c>
      <c r="F1348" s="121">
        <v>288.39999999999998</v>
      </c>
      <c r="G1348" s="121">
        <v>288.39999999999998</v>
      </c>
      <c r="H1348" t="s">
        <v>373</v>
      </c>
      <c r="I1348" s="156">
        <v>41089</v>
      </c>
      <c r="K1348" s="153"/>
      <c r="L1348" s="153"/>
      <c r="M1348" s="153"/>
      <c r="N1348" s="153"/>
      <c r="O1348" s="153"/>
      <c r="P1348" s="150"/>
      <c r="Q1348" s="150"/>
      <c r="R1348" s="153"/>
      <c r="S1348" s="154"/>
      <c r="T1348" s="115"/>
    </row>
    <row r="1349" spans="1:20">
      <c r="A1349" t="s">
        <v>1230</v>
      </c>
      <c r="B1349" t="s">
        <v>72</v>
      </c>
      <c r="C1349" t="s">
        <v>55</v>
      </c>
      <c r="D1349" t="s">
        <v>591</v>
      </c>
      <c r="E1349" t="s">
        <v>3075</v>
      </c>
      <c r="F1349" s="121">
        <v>300</v>
      </c>
      <c r="G1349" s="121">
        <v>290</v>
      </c>
      <c r="H1349" t="s">
        <v>373</v>
      </c>
      <c r="I1349" s="156">
        <v>39813</v>
      </c>
      <c r="K1349" s="153"/>
      <c r="L1349" s="153"/>
      <c r="M1349" s="153"/>
      <c r="N1349" s="153"/>
      <c r="O1349" s="153"/>
      <c r="P1349" s="150"/>
      <c r="Q1349" s="150"/>
      <c r="R1349" s="153"/>
      <c r="S1349" s="154"/>
      <c r="T1349" s="115"/>
    </row>
    <row r="1350" spans="1:20">
      <c r="A1350" t="s">
        <v>1230</v>
      </c>
      <c r="B1350" t="s">
        <v>72</v>
      </c>
      <c r="C1350" t="s">
        <v>55</v>
      </c>
      <c r="D1350" t="s">
        <v>588</v>
      </c>
      <c r="E1350" t="s">
        <v>3076</v>
      </c>
      <c r="F1350" s="121">
        <v>288.39999999999998</v>
      </c>
      <c r="G1350" s="121">
        <v>288.39999999999998</v>
      </c>
      <c r="H1350" t="s">
        <v>373</v>
      </c>
      <c r="I1350" s="156">
        <v>41089</v>
      </c>
      <c r="K1350" s="153"/>
      <c r="L1350" s="153"/>
      <c r="M1350" s="153"/>
      <c r="N1350" s="153"/>
      <c r="O1350" s="153"/>
      <c r="P1350" s="150"/>
      <c r="Q1350" s="150"/>
      <c r="R1350" s="153"/>
      <c r="S1350" s="154"/>
      <c r="T1350" s="115"/>
    </row>
    <row r="1351" spans="1:20">
      <c r="A1351" t="s">
        <v>1230</v>
      </c>
      <c r="B1351" t="s">
        <v>72</v>
      </c>
      <c r="C1351" t="s">
        <v>55</v>
      </c>
      <c r="D1351" t="s">
        <v>588</v>
      </c>
      <c r="E1351" t="s">
        <v>3077</v>
      </c>
      <c r="F1351" s="121">
        <v>288.39999999999998</v>
      </c>
      <c r="G1351" s="121">
        <v>288.39999999999998</v>
      </c>
      <c r="H1351" t="s">
        <v>373</v>
      </c>
      <c r="I1351" s="156">
        <v>41089</v>
      </c>
      <c r="K1351" s="153"/>
      <c r="L1351" s="153"/>
      <c r="M1351" s="153"/>
      <c r="N1351" s="153"/>
      <c r="O1351" s="153"/>
      <c r="P1351" s="150"/>
      <c r="Q1351" s="150"/>
      <c r="R1351" s="153"/>
      <c r="S1351" s="154"/>
      <c r="T1351" s="115"/>
    </row>
    <row r="1352" spans="1:20">
      <c r="A1352" t="s">
        <v>1230</v>
      </c>
      <c r="B1352" t="s">
        <v>72</v>
      </c>
      <c r="C1352" t="s">
        <v>55</v>
      </c>
      <c r="D1352" t="s">
        <v>591</v>
      </c>
      <c r="E1352" t="s">
        <v>3078</v>
      </c>
      <c r="F1352" s="121">
        <v>300</v>
      </c>
      <c r="G1352" s="121">
        <v>290</v>
      </c>
      <c r="H1352" t="s">
        <v>373</v>
      </c>
      <c r="I1352" s="156">
        <v>39813</v>
      </c>
      <c r="K1352" s="153"/>
      <c r="L1352" s="153"/>
      <c r="M1352" s="153"/>
      <c r="N1352" s="153"/>
      <c r="O1352" s="153"/>
      <c r="P1352" s="150"/>
      <c r="Q1352" s="150"/>
      <c r="R1352" s="153"/>
      <c r="S1352" s="154"/>
      <c r="T1352" s="115"/>
    </row>
    <row r="1353" spans="1:20">
      <c r="A1353" t="s">
        <v>1230</v>
      </c>
      <c r="B1353" t="s">
        <v>72</v>
      </c>
      <c r="C1353" t="s">
        <v>55</v>
      </c>
      <c r="D1353" t="s">
        <v>588</v>
      </c>
      <c r="E1353" t="s">
        <v>3079</v>
      </c>
      <c r="F1353" s="121">
        <v>288.39999999999998</v>
      </c>
      <c r="G1353" s="121">
        <v>288.39999999999998</v>
      </c>
      <c r="H1353" t="s">
        <v>373</v>
      </c>
      <c r="I1353" s="156">
        <v>41089</v>
      </c>
      <c r="K1353" s="153"/>
      <c r="L1353" s="153"/>
      <c r="M1353" s="153"/>
      <c r="N1353" s="153"/>
      <c r="O1353" s="153"/>
      <c r="P1353" s="150"/>
      <c r="Q1353" s="150"/>
      <c r="R1353" s="153"/>
      <c r="S1353" s="154"/>
      <c r="T1353" s="151"/>
    </row>
    <row r="1354" spans="1:20">
      <c r="A1354" t="s">
        <v>1230</v>
      </c>
      <c r="B1354" t="s">
        <v>72</v>
      </c>
      <c r="C1354" t="s">
        <v>55</v>
      </c>
      <c r="D1354" t="s">
        <v>588</v>
      </c>
      <c r="E1354" t="s">
        <v>3080</v>
      </c>
      <c r="F1354" s="121">
        <v>288.39999999999998</v>
      </c>
      <c r="G1354" s="121">
        <v>288.39999999999998</v>
      </c>
      <c r="H1354" t="s">
        <v>373</v>
      </c>
      <c r="I1354" s="156">
        <v>41089</v>
      </c>
      <c r="K1354" s="153"/>
      <c r="L1354" s="153"/>
      <c r="M1354" s="153"/>
      <c r="N1354" s="153"/>
      <c r="O1354" s="153"/>
      <c r="P1354" s="150"/>
      <c r="Q1354" s="150"/>
      <c r="R1354" s="153"/>
      <c r="S1354" s="154"/>
      <c r="T1354" s="151"/>
    </row>
    <row r="1355" spans="1:20">
      <c r="A1355" t="s">
        <v>1230</v>
      </c>
      <c r="B1355" t="s">
        <v>72</v>
      </c>
      <c r="C1355" t="s">
        <v>55</v>
      </c>
      <c r="D1355" t="s">
        <v>591</v>
      </c>
      <c r="E1355" t="s">
        <v>3081</v>
      </c>
      <c r="F1355" s="121">
        <v>290</v>
      </c>
      <c r="G1355" s="121">
        <v>290</v>
      </c>
      <c r="H1355" t="s">
        <v>373</v>
      </c>
      <c r="I1355" s="156">
        <v>41089</v>
      </c>
      <c r="K1355" s="153"/>
      <c r="L1355" s="153"/>
      <c r="M1355" s="153"/>
      <c r="N1355" s="153"/>
      <c r="O1355" s="153"/>
      <c r="P1355" s="150"/>
      <c r="Q1355" s="150"/>
      <c r="R1355" s="153"/>
      <c r="S1355" s="154"/>
      <c r="T1355" s="151"/>
    </row>
    <row r="1356" spans="1:20">
      <c r="A1356" t="s">
        <v>1230</v>
      </c>
      <c r="B1356" t="s">
        <v>72</v>
      </c>
      <c r="C1356" t="s">
        <v>55</v>
      </c>
      <c r="D1356" t="s">
        <v>588</v>
      </c>
      <c r="E1356" t="s">
        <v>3082</v>
      </c>
      <c r="F1356" s="121">
        <v>288.39999999999998</v>
      </c>
      <c r="G1356" s="121">
        <v>288.39999999999998</v>
      </c>
      <c r="H1356" t="s">
        <v>373</v>
      </c>
      <c r="I1356" s="156">
        <v>41089</v>
      </c>
      <c r="K1356" s="153"/>
      <c r="L1356" s="153"/>
      <c r="M1356" s="153"/>
      <c r="N1356" s="153"/>
      <c r="O1356" s="153"/>
      <c r="P1356" s="150"/>
      <c r="Q1356" s="150"/>
      <c r="R1356" s="153"/>
      <c r="S1356" s="154"/>
      <c r="T1356" s="115"/>
    </row>
    <row r="1357" spans="1:20">
      <c r="A1357" t="s">
        <v>1230</v>
      </c>
      <c r="B1357" t="s">
        <v>72</v>
      </c>
      <c r="C1357" t="s">
        <v>55</v>
      </c>
      <c r="D1357" t="s">
        <v>588</v>
      </c>
      <c r="E1357" t="s">
        <v>3083</v>
      </c>
      <c r="F1357" s="121">
        <v>288.39999999999998</v>
      </c>
      <c r="G1357" s="121">
        <v>288.39999999999998</v>
      </c>
      <c r="H1357" t="s">
        <v>373</v>
      </c>
      <c r="I1357" s="156">
        <v>41089</v>
      </c>
      <c r="K1357" s="153"/>
      <c r="L1357" s="153"/>
      <c r="M1357" s="153"/>
      <c r="N1357" s="153"/>
      <c r="O1357" s="153"/>
      <c r="P1357" s="150"/>
      <c r="Q1357" s="150"/>
      <c r="R1357" s="153"/>
      <c r="S1357" s="154"/>
      <c r="T1357" s="115"/>
    </row>
    <row r="1358" spans="1:20">
      <c r="A1358" t="s">
        <v>1230</v>
      </c>
      <c r="B1358" t="s">
        <v>72</v>
      </c>
      <c r="C1358" t="s">
        <v>55</v>
      </c>
      <c r="D1358" t="s">
        <v>591</v>
      </c>
      <c r="E1358" t="s">
        <v>3084</v>
      </c>
      <c r="F1358" s="121">
        <v>300</v>
      </c>
      <c r="G1358" s="121">
        <v>290</v>
      </c>
      <c r="H1358" t="s">
        <v>373</v>
      </c>
      <c r="I1358" s="156">
        <v>39813</v>
      </c>
      <c r="K1358" s="153"/>
      <c r="L1358" s="153"/>
      <c r="M1358" s="153"/>
      <c r="N1358" s="153"/>
      <c r="O1358" s="153"/>
      <c r="P1358" s="150"/>
      <c r="Q1358" s="150"/>
      <c r="R1358" s="153"/>
      <c r="S1358" s="154"/>
      <c r="T1358" s="151"/>
    </row>
    <row r="1359" spans="1:20">
      <c r="A1359" t="s">
        <v>1230</v>
      </c>
      <c r="B1359" t="s">
        <v>72</v>
      </c>
      <c r="C1359" t="s">
        <v>55</v>
      </c>
      <c r="D1359" t="s">
        <v>588</v>
      </c>
      <c r="E1359" t="s">
        <v>3085</v>
      </c>
      <c r="F1359" s="121">
        <v>288.39999999999998</v>
      </c>
      <c r="G1359" s="121">
        <v>288.39999999999998</v>
      </c>
      <c r="H1359" t="s">
        <v>373</v>
      </c>
      <c r="I1359" s="156">
        <v>41089</v>
      </c>
      <c r="K1359" s="153"/>
      <c r="L1359" s="153"/>
      <c r="M1359" s="153"/>
      <c r="N1359" s="153"/>
      <c r="O1359" s="153"/>
      <c r="P1359" s="150"/>
      <c r="Q1359" s="150"/>
      <c r="R1359" s="153"/>
      <c r="S1359" s="154"/>
      <c r="T1359" s="151"/>
    </row>
    <row r="1360" spans="1:20">
      <c r="A1360" t="s">
        <v>1230</v>
      </c>
      <c r="B1360" t="s">
        <v>72</v>
      </c>
      <c r="C1360" t="s">
        <v>55</v>
      </c>
      <c r="D1360" t="s">
        <v>588</v>
      </c>
      <c r="E1360" t="s">
        <v>3086</v>
      </c>
      <c r="F1360" s="121">
        <v>288.39999999999998</v>
      </c>
      <c r="G1360" s="121">
        <v>288.39999999999998</v>
      </c>
      <c r="H1360" t="s">
        <v>373</v>
      </c>
      <c r="I1360" s="156">
        <v>41089</v>
      </c>
      <c r="K1360" s="153"/>
      <c r="L1360" s="153"/>
      <c r="M1360" s="153"/>
      <c r="N1360" s="153"/>
      <c r="O1360" s="153"/>
      <c r="P1360" s="150"/>
      <c r="Q1360" s="150"/>
      <c r="R1360" s="153"/>
      <c r="S1360" s="154"/>
      <c r="T1360" s="151"/>
    </row>
    <row r="1361" spans="1:20">
      <c r="A1361" t="s">
        <v>1230</v>
      </c>
      <c r="B1361" t="s">
        <v>72</v>
      </c>
      <c r="C1361" t="s">
        <v>55</v>
      </c>
      <c r="D1361" t="s">
        <v>591</v>
      </c>
      <c r="E1361" t="s">
        <v>3087</v>
      </c>
      <c r="F1361" s="121">
        <v>300</v>
      </c>
      <c r="G1361" s="121">
        <v>290</v>
      </c>
      <c r="H1361" t="s">
        <v>373</v>
      </c>
      <c r="I1361" s="156">
        <v>39813</v>
      </c>
      <c r="K1361" s="153"/>
      <c r="L1361" s="153"/>
      <c r="M1361" s="153"/>
      <c r="N1361" s="153"/>
      <c r="O1361" s="153"/>
      <c r="P1361" s="150"/>
      <c r="Q1361" s="150"/>
      <c r="R1361" s="153"/>
      <c r="S1361" s="154"/>
      <c r="T1361" s="151"/>
    </row>
    <row r="1362" spans="1:20">
      <c r="A1362" t="s">
        <v>1230</v>
      </c>
      <c r="B1362" t="s">
        <v>72</v>
      </c>
      <c r="C1362" t="s">
        <v>55</v>
      </c>
      <c r="D1362" t="s">
        <v>588</v>
      </c>
      <c r="E1362" t="s">
        <v>3088</v>
      </c>
      <c r="F1362" s="121">
        <v>288.39999999999998</v>
      </c>
      <c r="G1362" s="121">
        <v>288.39999999999998</v>
      </c>
      <c r="H1362" t="s">
        <v>373</v>
      </c>
      <c r="I1362" s="156">
        <v>41089</v>
      </c>
      <c r="K1362" s="153"/>
      <c r="L1362" s="153"/>
      <c r="M1362" s="153"/>
      <c r="N1362" s="153"/>
      <c r="O1362" s="153"/>
      <c r="P1362" s="150"/>
      <c r="Q1362" s="150"/>
      <c r="R1362" s="153"/>
      <c r="S1362" s="154"/>
      <c r="T1362" s="151"/>
    </row>
    <row r="1363" spans="1:20">
      <c r="A1363" t="s">
        <v>1230</v>
      </c>
      <c r="B1363" t="s">
        <v>72</v>
      </c>
      <c r="C1363" t="s">
        <v>55</v>
      </c>
      <c r="D1363" t="s">
        <v>588</v>
      </c>
      <c r="E1363" t="s">
        <v>3089</v>
      </c>
      <c r="F1363" s="121">
        <v>288.39999999999998</v>
      </c>
      <c r="G1363" s="121">
        <v>288.39999999999998</v>
      </c>
      <c r="H1363" t="s">
        <v>373</v>
      </c>
      <c r="I1363" s="156">
        <v>41089</v>
      </c>
      <c r="K1363" s="153"/>
      <c r="L1363" s="153"/>
      <c r="M1363" s="153"/>
      <c r="N1363" s="153"/>
      <c r="O1363" s="153"/>
      <c r="P1363" s="150"/>
      <c r="Q1363" s="150"/>
      <c r="R1363" s="153"/>
      <c r="S1363" s="154"/>
      <c r="T1363" s="151"/>
    </row>
    <row r="1364" spans="1:20">
      <c r="A1364" t="s">
        <v>1230</v>
      </c>
      <c r="B1364" t="s">
        <v>72</v>
      </c>
      <c r="C1364" t="s">
        <v>55</v>
      </c>
      <c r="D1364" t="s">
        <v>591</v>
      </c>
      <c r="E1364" t="s">
        <v>3090</v>
      </c>
      <c r="F1364" s="121">
        <v>300</v>
      </c>
      <c r="G1364" s="121">
        <v>290</v>
      </c>
      <c r="H1364" t="s">
        <v>373</v>
      </c>
      <c r="I1364" s="156">
        <v>39813</v>
      </c>
      <c r="K1364" s="153"/>
      <c r="L1364" s="153"/>
      <c r="M1364" s="153"/>
      <c r="N1364" s="153"/>
      <c r="O1364" s="153"/>
      <c r="P1364" s="150"/>
      <c r="Q1364" s="150"/>
      <c r="R1364" s="153"/>
      <c r="S1364" s="154"/>
      <c r="T1364" s="115"/>
    </row>
    <row r="1365" spans="1:20">
      <c r="A1365" t="s">
        <v>1230</v>
      </c>
      <c r="B1365" t="s">
        <v>72</v>
      </c>
      <c r="C1365" t="s">
        <v>55</v>
      </c>
      <c r="D1365" t="s">
        <v>588</v>
      </c>
      <c r="E1365" t="s">
        <v>3091</v>
      </c>
      <c r="F1365" s="121">
        <v>288.39999999999998</v>
      </c>
      <c r="G1365" s="121">
        <v>288.39999999999998</v>
      </c>
      <c r="H1365" t="s">
        <v>373</v>
      </c>
      <c r="I1365" s="156">
        <v>41089</v>
      </c>
      <c r="K1365" s="153"/>
      <c r="L1365" s="153"/>
      <c r="M1365" s="153"/>
      <c r="N1365" s="153"/>
      <c r="O1365" s="153"/>
      <c r="P1365" s="150"/>
      <c r="Q1365" s="150"/>
      <c r="R1365" s="153"/>
      <c r="S1365" s="154"/>
      <c r="T1365" s="115"/>
    </row>
    <row r="1366" spans="1:20">
      <c r="A1366" t="s">
        <v>1230</v>
      </c>
      <c r="B1366" t="s">
        <v>72</v>
      </c>
      <c r="C1366" t="s">
        <v>55</v>
      </c>
      <c r="D1366" t="s">
        <v>588</v>
      </c>
      <c r="E1366" t="s">
        <v>3092</v>
      </c>
      <c r="F1366" s="121">
        <v>288.39999999999998</v>
      </c>
      <c r="G1366" s="121">
        <v>288.39999999999998</v>
      </c>
      <c r="H1366" t="s">
        <v>373</v>
      </c>
      <c r="I1366" s="156">
        <v>41089</v>
      </c>
      <c r="K1366" s="153"/>
      <c r="L1366" s="153"/>
      <c r="M1366" s="153"/>
      <c r="N1366" s="153"/>
      <c r="O1366" s="153"/>
      <c r="P1366" s="152"/>
      <c r="Q1366" s="152"/>
      <c r="R1366" s="153"/>
      <c r="S1366" s="154"/>
      <c r="T1366" s="115"/>
    </row>
    <row r="1367" spans="1:20">
      <c r="A1367" t="s">
        <v>1230</v>
      </c>
      <c r="B1367" t="s">
        <v>72</v>
      </c>
      <c r="C1367" t="s">
        <v>55</v>
      </c>
      <c r="D1367" t="s">
        <v>551</v>
      </c>
      <c r="E1367" t="s">
        <v>3093</v>
      </c>
      <c r="F1367" s="121">
        <v>300</v>
      </c>
      <c r="G1367" s="121">
        <v>290</v>
      </c>
      <c r="H1367" t="s">
        <v>373</v>
      </c>
      <c r="I1367" s="156">
        <v>39813</v>
      </c>
      <c r="K1367" s="153"/>
      <c r="L1367" s="153"/>
      <c r="M1367" s="153"/>
      <c r="N1367" s="153"/>
      <c r="O1367" s="153"/>
      <c r="P1367" s="150"/>
      <c r="Q1367" s="150"/>
      <c r="R1367" s="153"/>
      <c r="S1367" s="154"/>
      <c r="T1367" s="115"/>
    </row>
    <row r="1368" spans="1:20">
      <c r="A1368" t="s">
        <v>1230</v>
      </c>
      <c r="B1368" t="s">
        <v>72</v>
      </c>
      <c r="C1368" t="s">
        <v>55</v>
      </c>
      <c r="D1368" t="s">
        <v>588</v>
      </c>
      <c r="E1368" t="s">
        <v>3094</v>
      </c>
      <c r="F1368" s="121">
        <v>288.39999999999998</v>
      </c>
      <c r="G1368" s="121">
        <v>288.39999999999998</v>
      </c>
      <c r="H1368" t="s">
        <v>373</v>
      </c>
      <c r="I1368" s="156">
        <v>41089</v>
      </c>
      <c r="K1368" s="153"/>
      <c r="L1368" s="153"/>
      <c r="M1368" s="153"/>
      <c r="N1368" s="153"/>
      <c r="O1368" s="153"/>
      <c r="P1368" s="150"/>
      <c r="Q1368" s="150"/>
      <c r="R1368" s="153"/>
      <c r="S1368" s="154"/>
      <c r="T1368" s="115"/>
    </row>
    <row r="1369" spans="1:20">
      <c r="A1369" t="s">
        <v>1230</v>
      </c>
      <c r="B1369" t="s">
        <v>72</v>
      </c>
      <c r="C1369" t="s">
        <v>55</v>
      </c>
      <c r="D1369" t="s">
        <v>588</v>
      </c>
      <c r="E1369" t="s">
        <v>3095</v>
      </c>
      <c r="F1369" s="121">
        <v>288.39999999999998</v>
      </c>
      <c r="G1369" s="121">
        <v>288.39999999999998</v>
      </c>
      <c r="H1369" t="s">
        <v>373</v>
      </c>
      <c r="I1369" s="156">
        <v>41089</v>
      </c>
      <c r="K1369" s="153"/>
      <c r="L1369" s="153"/>
      <c r="M1369" s="153"/>
      <c r="N1369" s="153"/>
      <c r="O1369" s="153"/>
      <c r="P1369" s="150"/>
      <c r="Q1369" s="150"/>
      <c r="R1369" s="153"/>
      <c r="S1369" s="154"/>
      <c r="T1369" s="115"/>
    </row>
    <row r="1370" spans="1:20">
      <c r="A1370" t="s">
        <v>1230</v>
      </c>
      <c r="B1370" t="s">
        <v>72</v>
      </c>
      <c r="C1370" t="s">
        <v>55</v>
      </c>
      <c r="D1370" t="s">
        <v>591</v>
      </c>
      <c r="E1370" t="s">
        <v>3096</v>
      </c>
      <c r="F1370" s="121">
        <v>300</v>
      </c>
      <c r="G1370" s="121">
        <v>290</v>
      </c>
      <c r="H1370" t="s">
        <v>373</v>
      </c>
      <c r="I1370" s="156">
        <v>39813</v>
      </c>
      <c r="K1370" s="153"/>
      <c r="L1370" s="153"/>
      <c r="M1370" s="153"/>
      <c r="N1370" s="153"/>
      <c r="O1370" s="153"/>
      <c r="P1370" s="150"/>
      <c r="Q1370" s="150"/>
      <c r="R1370" s="153"/>
      <c r="S1370" s="154"/>
      <c r="T1370" s="115"/>
    </row>
    <row r="1371" spans="1:20">
      <c r="A1371" t="s">
        <v>1230</v>
      </c>
      <c r="B1371" t="s">
        <v>72</v>
      </c>
      <c r="C1371" t="s">
        <v>55</v>
      </c>
      <c r="D1371" t="s">
        <v>588</v>
      </c>
      <c r="E1371" t="s">
        <v>3097</v>
      </c>
      <c r="F1371" s="121">
        <v>288.39999999999998</v>
      </c>
      <c r="G1371" s="121">
        <v>288.39999999999998</v>
      </c>
      <c r="H1371" t="s">
        <v>373</v>
      </c>
      <c r="I1371" s="156">
        <v>41089</v>
      </c>
      <c r="K1371" s="153"/>
      <c r="L1371" s="153"/>
      <c r="M1371" s="153"/>
      <c r="N1371" s="153"/>
      <c r="O1371" s="153"/>
      <c r="P1371" s="150"/>
      <c r="Q1371" s="150"/>
      <c r="R1371" s="153"/>
      <c r="S1371" s="154"/>
      <c r="T1371" s="115"/>
    </row>
    <row r="1372" spans="1:20">
      <c r="A1372" t="s">
        <v>1230</v>
      </c>
      <c r="B1372" t="s">
        <v>72</v>
      </c>
      <c r="C1372" t="s">
        <v>55</v>
      </c>
      <c r="D1372" t="s">
        <v>588</v>
      </c>
      <c r="E1372" t="s">
        <v>3098</v>
      </c>
      <c r="F1372" s="121">
        <v>288.39999999999998</v>
      </c>
      <c r="G1372" s="121">
        <v>288.39999999999998</v>
      </c>
      <c r="H1372" t="s">
        <v>373</v>
      </c>
      <c r="I1372" s="156">
        <v>41089</v>
      </c>
      <c r="K1372" s="153"/>
      <c r="L1372" s="153"/>
      <c r="M1372" s="153"/>
      <c r="N1372" s="153"/>
      <c r="O1372" s="153"/>
      <c r="P1372" s="150"/>
      <c r="Q1372" s="150"/>
      <c r="R1372" s="153"/>
      <c r="S1372" s="154"/>
      <c r="T1372" s="115"/>
    </row>
    <row r="1373" spans="1:20">
      <c r="A1373" t="s">
        <v>1230</v>
      </c>
      <c r="B1373" t="s">
        <v>72</v>
      </c>
      <c r="C1373" t="s">
        <v>55</v>
      </c>
      <c r="D1373" t="s">
        <v>591</v>
      </c>
      <c r="E1373" t="s">
        <v>3099</v>
      </c>
      <c r="F1373" s="121">
        <v>300</v>
      </c>
      <c r="G1373" s="121">
        <v>290</v>
      </c>
      <c r="H1373" t="s">
        <v>373</v>
      </c>
      <c r="I1373" s="156">
        <v>39813</v>
      </c>
      <c r="K1373" s="153"/>
      <c r="L1373" s="153"/>
      <c r="M1373" s="153"/>
      <c r="N1373" s="153"/>
      <c r="O1373" s="153"/>
      <c r="P1373" s="150"/>
      <c r="Q1373" s="150"/>
      <c r="R1373" s="153"/>
      <c r="S1373" s="154"/>
      <c r="T1373" s="115"/>
    </row>
    <row r="1374" spans="1:20">
      <c r="A1374" t="s">
        <v>1230</v>
      </c>
      <c r="B1374" t="s">
        <v>72</v>
      </c>
      <c r="C1374" t="s">
        <v>55</v>
      </c>
      <c r="D1374" t="s">
        <v>588</v>
      </c>
      <c r="E1374" t="s">
        <v>3100</v>
      </c>
      <c r="F1374" s="121">
        <v>288.39999999999998</v>
      </c>
      <c r="G1374" s="121">
        <v>288.39999999999998</v>
      </c>
      <c r="H1374" t="s">
        <v>373</v>
      </c>
      <c r="I1374" s="156">
        <v>41089</v>
      </c>
      <c r="K1374" s="153"/>
      <c r="L1374" s="153"/>
      <c r="M1374" s="153"/>
      <c r="N1374" s="153"/>
      <c r="O1374" s="153"/>
      <c r="P1374" s="150"/>
      <c r="Q1374" s="150"/>
      <c r="R1374" s="153"/>
      <c r="S1374" s="154"/>
      <c r="T1374" s="115"/>
    </row>
    <row r="1375" spans="1:20">
      <c r="A1375" t="s">
        <v>1230</v>
      </c>
      <c r="B1375" t="s">
        <v>72</v>
      </c>
      <c r="C1375" t="s">
        <v>55</v>
      </c>
      <c r="D1375" t="s">
        <v>588</v>
      </c>
      <c r="E1375" t="s">
        <v>3101</v>
      </c>
      <c r="F1375" s="121">
        <v>288.39999999999998</v>
      </c>
      <c r="G1375" s="121">
        <v>288.39999999999998</v>
      </c>
      <c r="H1375" t="s">
        <v>373</v>
      </c>
      <c r="I1375" s="156">
        <v>41089</v>
      </c>
      <c r="K1375" s="153"/>
      <c r="L1375" s="153"/>
      <c r="M1375" s="153"/>
      <c r="N1375" s="153"/>
      <c r="O1375" s="153"/>
      <c r="P1375" s="150"/>
      <c r="Q1375" s="150"/>
      <c r="R1375" s="153"/>
      <c r="S1375" s="154"/>
      <c r="T1375" s="115"/>
    </row>
    <row r="1376" spans="1:20">
      <c r="A1376" t="s">
        <v>1230</v>
      </c>
      <c r="B1376" t="s">
        <v>72</v>
      </c>
      <c r="C1376" t="s">
        <v>55</v>
      </c>
      <c r="D1376" t="s">
        <v>591</v>
      </c>
      <c r="E1376" t="s">
        <v>3102</v>
      </c>
      <c r="F1376" s="121">
        <v>300</v>
      </c>
      <c r="G1376" s="121">
        <v>290</v>
      </c>
      <c r="H1376" t="s">
        <v>373</v>
      </c>
      <c r="I1376" s="156">
        <v>39813</v>
      </c>
      <c r="K1376" s="153"/>
      <c r="L1376" s="153"/>
      <c r="M1376" s="153"/>
      <c r="N1376" s="153"/>
      <c r="O1376" s="153"/>
      <c r="P1376" s="150"/>
      <c r="Q1376" s="150"/>
      <c r="R1376" s="153"/>
      <c r="S1376" s="154"/>
      <c r="T1376" s="115"/>
    </row>
    <row r="1377" spans="1:20">
      <c r="A1377" t="s">
        <v>1230</v>
      </c>
      <c r="B1377" t="s">
        <v>72</v>
      </c>
      <c r="C1377" t="s">
        <v>55</v>
      </c>
      <c r="D1377" t="s">
        <v>588</v>
      </c>
      <c r="E1377" t="s">
        <v>3103</v>
      </c>
      <c r="F1377" s="121">
        <v>288.39999999999998</v>
      </c>
      <c r="G1377" s="121">
        <v>288.39999999999998</v>
      </c>
      <c r="H1377" t="s">
        <v>373</v>
      </c>
      <c r="I1377" s="156">
        <v>41089</v>
      </c>
      <c r="K1377" s="153"/>
      <c r="L1377" s="153"/>
      <c r="M1377" s="153"/>
      <c r="N1377" s="153"/>
      <c r="O1377" s="153"/>
      <c r="P1377" s="150"/>
      <c r="Q1377" s="150"/>
      <c r="R1377" s="153"/>
      <c r="S1377" s="154"/>
      <c r="T1377" s="115"/>
    </row>
    <row r="1378" spans="1:20">
      <c r="A1378" t="s">
        <v>1230</v>
      </c>
      <c r="B1378" t="s">
        <v>72</v>
      </c>
      <c r="C1378" t="s">
        <v>55</v>
      </c>
      <c r="D1378" t="s">
        <v>588</v>
      </c>
      <c r="E1378" t="s">
        <v>3104</v>
      </c>
      <c r="F1378" s="121">
        <v>288.39999999999998</v>
      </c>
      <c r="G1378" s="121">
        <v>288.39999999999998</v>
      </c>
      <c r="H1378" t="s">
        <v>373</v>
      </c>
      <c r="I1378" s="156">
        <v>41089</v>
      </c>
      <c r="K1378" s="153"/>
      <c r="L1378" s="153"/>
      <c r="M1378" s="153"/>
      <c r="N1378" s="153"/>
      <c r="O1378" s="153"/>
      <c r="P1378" s="150"/>
      <c r="Q1378" s="150"/>
      <c r="R1378" s="153"/>
      <c r="S1378" s="154"/>
      <c r="T1378" s="115"/>
    </row>
    <row r="1379" spans="1:20">
      <c r="A1379" t="s">
        <v>1230</v>
      </c>
      <c r="B1379" t="s">
        <v>72</v>
      </c>
      <c r="C1379" t="s">
        <v>55</v>
      </c>
      <c r="D1379" t="s">
        <v>591</v>
      </c>
      <c r="E1379" t="s">
        <v>3105</v>
      </c>
      <c r="F1379" s="121">
        <v>290</v>
      </c>
      <c r="G1379" s="121">
        <v>290</v>
      </c>
      <c r="H1379" t="s">
        <v>373</v>
      </c>
      <c r="I1379" s="156">
        <v>41089</v>
      </c>
      <c r="K1379" s="153"/>
      <c r="L1379" s="153"/>
      <c r="M1379" s="153"/>
      <c r="N1379" s="153"/>
      <c r="O1379" s="153"/>
      <c r="P1379" s="150"/>
      <c r="Q1379" s="150"/>
      <c r="R1379" s="153"/>
      <c r="S1379" s="154"/>
      <c r="T1379" s="115"/>
    </row>
    <row r="1380" spans="1:20">
      <c r="A1380" t="s">
        <v>1230</v>
      </c>
      <c r="B1380" t="s">
        <v>72</v>
      </c>
      <c r="C1380" t="s">
        <v>55</v>
      </c>
      <c r="D1380" t="s">
        <v>588</v>
      </c>
      <c r="E1380" t="s">
        <v>3106</v>
      </c>
      <c r="F1380" s="121">
        <v>288.39999999999998</v>
      </c>
      <c r="G1380" s="121">
        <v>288.39999999999998</v>
      </c>
      <c r="H1380" t="s">
        <v>373</v>
      </c>
      <c r="I1380" s="156">
        <v>41089</v>
      </c>
      <c r="K1380" s="153"/>
      <c r="L1380" s="153"/>
      <c r="M1380" s="153"/>
      <c r="N1380" s="153"/>
      <c r="O1380" s="153"/>
      <c r="P1380" s="150"/>
      <c r="Q1380" s="150"/>
      <c r="R1380" s="153"/>
      <c r="S1380" s="154"/>
      <c r="T1380" s="115"/>
    </row>
    <row r="1381" spans="1:20">
      <c r="A1381" t="s">
        <v>1230</v>
      </c>
      <c r="B1381" t="s">
        <v>72</v>
      </c>
      <c r="C1381" t="s">
        <v>55</v>
      </c>
      <c r="D1381" t="s">
        <v>588</v>
      </c>
      <c r="E1381" t="s">
        <v>3107</v>
      </c>
      <c r="F1381" s="121">
        <v>288.39999999999998</v>
      </c>
      <c r="G1381" s="121">
        <v>288.39999999999998</v>
      </c>
      <c r="H1381" t="s">
        <v>373</v>
      </c>
      <c r="I1381" s="156">
        <v>41089</v>
      </c>
      <c r="K1381" s="153"/>
      <c r="L1381" s="153"/>
      <c r="M1381" s="153"/>
      <c r="N1381" s="153"/>
      <c r="O1381" s="153"/>
      <c r="P1381" s="150"/>
      <c r="Q1381" s="150"/>
      <c r="R1381" s="153"/>
      <c r="S1381" s="154"/>
      <c r="T1381" s="115"/>
    </row>
    <row r="1382" spans="1:20">
      <c r="A1382" t="s">
        <v>1230</v>
      </c>
      <c r="B1382" t="s">
        <v>72</v>
      </c>
      <c r="C1382" t="s">
        <v>55</v>
      </c>
      <c r="D1382" t="s">
        <v>551</v>
      </c>
      <c r="E1382" t="s">
        <v>3108</v>
      </c>
      <c r="F1382" s="121">
        <v>290</v>
      </c>
      <c r="G1382" s="121">
        <v>290</v>
      </c>
      <c r="H1382" t="s">
        <v>373</v>
      </c>
      <c r="I1382" s="156">
        <v>41089</v>
      </c>
      <c r="K1382" s="153"/>
      <c r="L1382" s="153"/>
      <c r="M1382" s="153"/>
      <c r="N1382" s="153"/>
      <c r="O1382" s="153"/>
      <c r="P1382" s="150"/>
      <c r="Q1382" s="150"/>
      <c r="R1382" s="153"/>
      <c r="S1382" s="154"/>
      <c r="T1382" s="115"/>
    </row>
    <row r="1383" spans="1:20">
      <c r="A1383" t="s">
        <v>1230</v>
      </c>
      <c r="B1383" t="s">
        <v>72</v>
      </c>
      <c r="C1383" t="s">
        <v>55</v>
      </c>
      <c r="D1383" t="s">
        <v>588</v>
      </c>
      <c r="E1383" t="s">
        <v>3109</v>
      </c>
      <c r="F1383" s="121">
        <v>288.39999999999998</v>
      </c>
      <c r="G1383" s="121">
        <v>288.39999999999998</v>
      </c>
      <c r="H1383" t="s">
        <v>373</v>
      </c>
      <c r="I1383" s="156">
        <v>41089</v>
      </c>
      <c r="K1383" s="153"/>
      <c r="L1383" s="153"/>
      <c r="M1383" s="153"/>
      <c r="N1383" s="153"/>
      <c r="O1383" s="153"/>
      <c r="P1383" s="150"/>
      <c r="Q1383" s="150"/>
      <c r="R1383" s="153"/>
      <c r="S1383" s="154"/>
      <c r="T1383" s="115"/>
    </row>
    <row r="1384" spans="1:20">
      <c r="A1384" t="s">
        <v>1230</v>
      </c>
      <c r="B1384" t="s">
        <v>72</v>
      </c>
      <c r="C1384" t="s">
        <v>55</v>
      </c>
      <c r="D1384" t="s">
        <v>588</v>
      </c>
      <c r="E1384" t="s">
        <v>3110</v>
      </c>
      <c r="F1384" s="121">
        <v>288.39999999999998</v>
      </c>
      <c r="G1384" s="121">
        <v>288.39999999999998</v>
      </c>
      <c r="H1384" t="s">
        <v>373</v>
      </c>
      <c r="I1384" s="156">
        <v>41089</v>
      </c>
      <c r="K1384" s="153"/>
      <c r="L1384" s="153"/>
      <c r="M1384" s="153"/>
      <c r="N1384" s="153"/>
      <c r="O1384" s="153"/>
      <c r="P1384" s="150"/>
      <c r="Q1384" s="150"/>
      <c r="R1384" s="153"/>
      <c r="S1384" s="154"/>
      <c r="T1384" s="115"/>
    </row>
    <row r="1385" spans="1:20">
      <c r="A1385" t="s">
        <v>1230</v>
      </c>
      <c r="B1385" t="s">
        <v>72</v>
      </c>
      <c r="C1385" t="s">
        <v>55</v>
      </c>
      <c r="D1385" t="s">
        <v>591</v>
      </c>
      <c r="E1385" t="s">
        <v>3111</v>
      </c>
      <c r="F1385" s="121">
        <v>300</v>
      </c>
      <c r="G1385" s="121">
        <v>290</v>
      </c>
      <c r="H1385" t="s">
        <v>373</v>
      </c>
      <c r="I1385" s="156">
        <v>39813</v>
      </c>
      <c r="K1385" s="153"/>
      <c r="L1385" s="153"/>
      <c r="M1385" s="153"/>
      <c r="N1385" s="153"/>
      <c r="O1385" s="153"/>
      <c r="P1385" s="150"/>
      <c r="Q1385" s="150"/>
      <c r="R1385" s="153"/>
      <c r="S1385" s="154"/>
      <c r="T1385" s="115"/>
    </row>
    <row r="1386" spans="1:20">
      <c r="A1386" t="s">
        <v>1230</v>
      </c>
      <c r="B1386" t="s">
        <v>72</v>
      </c>
      <c r="C1386" t="s">
        <v>55</v>
      </c>
      <c r="D1386" t="s">
        <v>588</v>
      </c>
      <c r="E1386" t="s">
        <v>3112</v>
      </c>
      <c r="F1386" s="121">
        <v>288.39999999999998</v>
      </c>
      <c r="G1386" s="121">
        <v>288.39999999999998</v>
      </c>
      <c r="H1386" t="s">
        <v>373</v>
      </c>
      <c r="I1386" s="156">
        <v>41089</v>
      </c>
      <c r="K1386" s="153"/>
      <c r="L1386" s="153"/>
      <c r="M1386" s="153"/>
      <c r="N1386" s="153"/>
      <c r="O1386" s="153"/>
      <c r="P1386" s="150"/>
      <c r="Q1386" s="150"/>
      <c r="R1386" s="153"/>
      <c r="S1386" s="154"/>
      <c r="T1386" s="115"/>
    </row>
    <row r="1387" spans="1:20">
      <c r="A1387" t="s">
        <v>1230</v>
      </c>
      <c r="B1387" t="s">
        <v>72</v>
      </c>
      <c r="C1387" t="s">
        <v>55</v>
      </c>
      <c r="D1387" t="s">
        <v>588</v>
      </c>
      <c r="E1387" t="s">
        <v>3113</v>
      </c>
      <c r="F1387" s="121">
        <v>288.39999999999998</v>
      </c>
      <c r="G1387" s="121">
        <v>288.39999999999998</v>
      </c>
      <c r="H1387" t="s">
        <v>373</v>
      </c>
      <c r="I1387" s="156">
        <v>41089</v>
      </c>
      <c r="K1387" s="153"/>
      <c r="L1387" s="153"/>
      <c r="M1387" s="153"/>
      <c r="N1387" s="153"/>
      <c r="O1387" s="153"/>
      <c r="P1387" s="150"/>
      <c r="Q1387" s="150"/>
      <c r="R1387" s="153"/>
      <c r="S1387" s="154"/>
      <c r="T1387" s="115"/>
    </row>
    <row r="1388" spans="1:20">
      <c r="A1388" t="s">
        <v>1230</v>
      </c>
      <c r="B1388" t="s">
        <v>72</v>
      </c>
      <c r="C1388" t="s">
        <v>55</v>
      </c>
      <c r="D1388" t="s">
        <v>592</v>
      </c>
      <c r="E1388" t="s">
        <v>3114</v>
      </c>
      <c r="F1388" s="121">
        <v>1000</v>
      </c>
      <c r="G1388" s="121">
        <v>566.5</v>
      </c>
      <c r="H1388" t="s">
        <v>373</v>
      </c>
      <c r="I1388" s="156">
        <v>39813</v>
      </c>
      <c r="K1388" s="153"/>
      <c r="L1388" s="153"/>
      <c r="M1388" s="153"/>
      <c r="N1388" s="153"/>
      <c r="O1388" s="153"/>
      <c r="P1388" s="150"/>
      <c r="Q1388" s="150"/>
      <c r="R1388" s="153"/>
      <c r="S1388" s="154"/>
      <c r="T1388" s="115"/>
    </row>
    <row r="1389" spans="1:20">
      <c r="A1389" t="s">
        <v>1230</v>
      </c>
      <c r="B1389" t="s">
        <v>72</v>
      </c>
      <c r="C1389" t="s">
        <v>55</v>
      </c>
      <c r="D1389" t="s">
        <v>593</v>
      </c>
      <c r="E1389" t="s">
        <v>3115</v>
      </c>
      <c r="F1389" s="121">
        <v>500</v>
      </c>
      <c r="G1389" s="121">
        <v>421</v>
      </c>
      <c r="H1389" t="s">
        <v>373</v>
      </c>
      <c r="I1389" s="156">
        <v>39813</v>
      </c>
      <c r="K1389" s="153"/>
      <c r="L1389" s="153"/>
      <c r="M1389" s="153"/>
      <c r="N1389" s="153"/>
      <c r="O1389" s="153"/>
      <c r="P1389" s="150"/>
      <c r="Q1389" s="150"/>
      <c r="R1389" s="153"/>
      <c r="S1389" s="154"/>
      <c r="T1389" s="115"/>
    </row>
    <row r="1390" spans="1:20">
      <c r="A1390" t="s">
        <v>1230</v>
      </c>
      <c r="B1390" t="s">
        <v>72</v>
      </c>
      <c r="C1390" t="s">
        <v>55</v>
      </c>
      <c r="D1390" t="s">
        <v>588</v>
      </c>
      <c r="E1390" t="s">
        <v>3116</v>
      </c>
      <c r="F1390" s="121">
        <v>288.39999999999998</v>
      </c>
      <c r="G1390" s="121">
        <v>288.39999999999998</v>
      </c>
      <c r="H1390" t="s">
        <v>373</v>
      </c>
      <c r="I1390" s="156">
        <v>41089</v>
      </c>
      <c r="K1390" s="153"/>
      <c r="L1390" s="153"/>
      <c r="M1390" s="153"/>
      <c r="N1390" s="153"/>
      <c r="O1390" s="153"/>
      <c r="P1390" s="150"/>
      <c r="Q1390" s="150"/>
      <c r="R1390" s="153"/>
      <c r="S1390" s="154"/>
      <c r="T1390" s="115"/>
    </row>
    <row r="1391" spans="1:20">
      <c r="A1391" t="s">
        <v>1230</v>
      </c>
      <c r="B1391" t="s">
        <v>72</v>
      </c>
      <c r="C1391" t="s">
        <v>55</v>
      </c>
      <c r="D1391" t="s">
        <v>588</v>
      </c>
      <c r="E1391" t="s">
        <v>3117</v>
      </c>
      <c r="F1391" s="121">
        <v>288.39999999999998</v>
      </c>
      <c r="G1391" s="121">
        <v>288.39999999999998</v>
      </c>
      <c r="H1391" t="s">
        <v>373</v>
      </c>
      <c r="I1391" s="156">
        <v>41089</v>
      </c>
      <c r="K1391" s="153"/>
      <c r="L1391" s="153"/>
      <c r="M1391" s="153"/>
      <c r="N1391" s="153"/>
      <c r="O1391" s="153"/>
      <c r="P1391" s="150"/>
      <c r="Q1391" s="150"/>
      <c r="R1391" s="153"/>
      <c r="S1391" s="154"/>
      <c r="T1391" s="115"/>
    </row>
    <row r="1392" spans="1:20">
      <c r="A1392" t="s">
        <v>1230</v>
      </c>
      <c r="B1392" t="s">
        <v>72</v>
      </c>
      <c r="C1392" t="s">
        <v>55</v>
      </c>
      <c r="D1392" t="s">
        <v>588</v>
      </c>
      <c r="E1392" t="s">
        <v>3118</v>
      </c>
      <c r="F1392" s="121">
        <v>288.39999999999998</v>
      </c>
      <c r="G1392" s="121">
        <v>288.39999999999998</v>
      </c>
      <c r="H1392" t="s">
        <v>373</v>
      </c>
      <c r="I1392" s="156">
        <v>41089</v>
      </c>
      <c r="K1392" s="153"/>
      <c r="L1392" s="153"/>
      <c r="M1392" s="153"/>
      <c r="N1392" s="153"/>
      <c r="O1392" s="153"/>
      <c r="P1392" s="152"/>
      <c r="Q1392" s="152"/>
      <c r="R1392" s="153"/>
      <c r="S1392" s="154"/>
      <c r="T1392" s="115"/>
    </row>
    <row r="1393" spans="1:20">
      <c r="A1393" t="s">
        <v>1230</v>
      </c>
      <c r="B1393" t="s">
        <v>72</v>
      </c>
      <c r="C1393" t="s">
        <v>55</v>
      </c>
      <c r="D1393" t="s">
        <v>588</v>
      </c>
      <c r="E1393" t="s">
        <v>3119</v>
      </c>
      <c r="F1393" s="121">
        <v>288.39999999999998</v>
      </c>
      <c r="G1393" s="121">
        <v>288.39999999999998</v>
      </c>
      <c r="H1393" t="s">
        <v>373</v>
      </c>
      <c r="I1393" s="156">
        <v>41089</v>
      </c>
      <c r="K1393" s="153"/>
      <c r="L1393" s="153"/>
      <c r="M1393" s="153"/>
      <c r="N1393" s="153"/>
      <c r="O1393" s="153"/>
      <c r="P1393" s="152"/>
      <c r="Q1393" s="152"/>
      <c r="R1393" s="153"/>
      <c r="S1393" s="154"/>
      <c r="T1393" s="115"/>
    </row>
    <row r="1394" spans="1:20">
      <c r="A1394" t="s">
        <v>1230</v>
      </c>
      <c r="B1394" t="s">
        <v>72</v>
      </c>
      <c r="C1394" t="s">
        <v>55</v>
      </c>
      <c r="D1394" t="s">
        <v>588</v>
      </c>
      <c r="E1394" t="s">
        <v>3120</v>
      </c>
      <c r="F1394" s="121">
        <v>288.39999999999998</v>
      </c>
      <c r="G1394" s="121">
        <v>288.39999999999998</v>
      </c>
      <c r="H1394" t="s">
        <v>373</v>
      </c>
      <c r="I1394" s="156">
        <v>41089</v>
      </c>
      <c r="K1394" s="153"/>
      <c r="L1394" s="153"/>
      <c r="M1394" s="153"/>
      <c r="N1394" s="153"/>
      <c r="O1394" s="153"/>
      <c r="P1394" s="152"/>
      <c r="Q1394" s="152"/>
      <c r="R1394" s="153"/>
      <c r="S1394" s="154"/>
      <c r="T1394" s="115"/>
    </row>
    <row r="1395" spans="1:20">
      <c r="A1395" t="s">
        <v>1230</v>
      </c>
      <c r="B1395" t="s">
        <v>72</v>
      </c>
      <c r="C1395" t="s">
        <v>55</v>
      </c>
      <c r="D1395" t="s">
        <v>588</v>
      </c>
      <c r="E1395" t="s">
        <v>3121</v>
      </c>
      <c r="F1395" s="121">
        <v>288.39999999999998</v>
      </c>
      <c r="G1395" s="121">
        <v>288.39999999999998</v>
      </c>
      <c r="H1395" t="s">
        <v>373</v>
      </c>
      <c r="I1395" s="156">
        <v>41089</v>
      </c>
      <c r="K1395" s="153"/>
      <c r="L1395" s="153"/>
      <c r="M1395" s="153"/>
      <c r="N1395" s="153"/>
      <c r="O1395" s="153"/>
      <c r="P1395" s="150"/>
      <c r="Q1395" s="150"/>
      <c r="R1395" s="153"/>
      <c r="S1395" s="154"/>
      <c r="T1395" s="115"/>
    </row>
    <row r="1396" spans="1:20">
      <c r="A1396" t="s">
        <v>1230</v>
      </c>
      <c r="B1396" t="s">
        <v>72</v>
      </c>
      <c r="C1396" t="s">
        <v>55</v>
      </c>
      <c r="D1396" t="s">
        <v>588</v>
      </c>
      <c r="E1396" t="s">
        <v>3122</v>
      </c>
      <c r="F1396" s="121">
        <v>288.39999999999998</v>
      </c>
      <c r="G1396" s="121">
        <v>288.39999999999998</v>
      </c>
      <c r="H1396" t="s">
        <v>373</v>
      </c>
      <c r="I1396" s="156">
        <v>41089</v>
      </c>
      <c r="K1396" s="153"/>
      <c r="L1396" s="153"/>
      <c r="M1396" s="153"/>
      <c r="N1396" s="153"/>
      <c r="O1396" s="153"/>
      <c r="P1396" s="150"/>
      <c r="Q1396" s="150"/>
      <c r="R1396" s="153"/>
      <c r="S1396" s="154"/>
      <c r="T1396" s="115"/>
    </row>
    <row r="1397" spans="1:20">
      <c r="A1397" t="s">
        <v>1230</v>
      </c>
      <c r="B1397" t="s">
        <v>72</v>
      </c>
      <c r="C1397" t="s">
        <v>55</v>
      </c>
      <c r="D1397" t="s">
        <v>588</v>
      </c>
      <c r="E1397" t="s">
        <v>3123</v>
      </c>
      <c r="F1397" s="121">
        <v>97.85</v>
      </c>
      <c r="G1397" s="121">
        <v>97.85</v>
      </c>
      <c r="H1397" t="s">
        <v>447</v>
      </c>
      <c r="I1397" s="156">
        <v>41089</v>
      </c>
      <c r="K1397" s="153"/>
      <c r="L1397" s="153"/>
      <c r="M1397" s="153"/>
      <c r="N1397" s="153"/>
      <c r="O1397" s="153"/>
      <c r="P1397" s="150"/>
      <c r="Q1397" s="150"/>
      <c r="R1397" s="153"/>
      <c r="S1397" s="154"/>
      <c r="T1397" s="115"/>
    </row>
    <row r="1398" spans="1:20">
      <c r="A1398" t="s">
        <v>1230</v>
      </c>
      <c r="B1398" t="s">
        <v>72</v>
      </c>
      <c r="C1398" t="s">
        <v>55</v>
      </c>
      <c r="D1398" t="s">
        <v>591</v>
      </c>
      <c r="E1398" t="s">
        <v>3124</v>
      </c>
      <c r="F1398" s="121">
        <v>290</v>
      </c>
      <c r="G1398" s="121">
        <v>290</v>
      </c>
      <c r="H1398" t="s">
        <v>373</v>
      </c>
      <c r="I1398" s="156">
        <v>41089</v>
      </c>
      <c r="K1398" s="153"/>
      <c r="L1398" s="153"/>
      <c r="M1398" s="153"/>
      <c r="N1398" s="153"/>
      <c r="O1398" s="153"/>
      <c r="P1398" s="150"/>
      <c r="Q1398" s="150"/>
      <c r="R1398" s="153"/>
      <c r="S1398" s="154"/>
      <c r="T1398" s="115"/>
    </row>
    <row r="1399" spans="1:20">
      <c r="A1399" t="s">
        <v>1230</v>
      </c>
      <c r="B1399" t="s">
        <v>72</v>
      </c>
      <c r="C1399" t="s">
        <v>55</v>
      </c>
      <c r="D1399" t="s">
        <v>588</v>
      </c>
      <c r="E1399" t="s">
        <v>3125</v>
      </c>
      <c r="F1399" s="121">
        <v>288.39999999999998</v>
      </c>
      <c r="G1399" s="121">
        <v>288.39999999999998</v>
      </c>
      <c r="H1399" t="s">
        <v>373</v>
      </c>
      <c r="I1399" s="156">
        <v>41089</v>
      </c>
      <c r="K1399" s="153"/>
      <c r="L1399" s="153"/>
      <c r="M1399" s="153"/>
      <c r="N1399" s="153"/>
      <c r="O1399" s="153"/>
      <c r="P1399" s="150"/>
      <c r="Q1399" s="150"/>
      <c r="R1399" s="153"/>
      <c r="S1399" s="154"/>
      <c r="T1399" s="115"/>
    </row>
    <row r="1400" spans="1:20">
      <c r="A1400" t="s">
        <v>1230</v>
      </c>
      <c r="B1400" t="s">
        <v>72</v>
      </c>
      <c r="C1400" t="s">
        <v>55</v>
      </c>
      <c r="D1400" t="s">
        <v>588</v>
      </c>
      <c r="E1400" t="s">
        <v>3126</v>
      </c>
      <c r="F1400" s="121">
        <v>288.39999999999998</v>
      </c>
      <c r="G1400" s="121">
        <v>288.39999999999998</v>
      </c>
      <c r="H1400" t="s">
        <v>373</v>
      </c>
      <c r="I1400" s="156">
        <v>41089</v>
      </c>
      <c r="K1400" s="153"/>
      <c r="L1400" s="153"/>
      <c r="M1400" s="153"/>
      <c r="N1400" s="153"/>
      <c r="O1400" s="153"/>
      <c r="P1400" s="150"/>
      <c r="Q1400" s="150"/>
      <c r="R1400" s="153"/>
      <c r="S1400" s="154"/>
      <c r="T1400" s="115"/>
    </row>
    <row r="1401" spans="1:20">
      <c r="A1401" t="s">
        <v>1230</v>
      </c>
      <c r="B1401" t="s">
        <v>72</v>
      </c>
      <c r="C1401" t="s">
        <v>55</v>
      </c>
      <c r="D1401" t="s">
        <v>588</v>
      </c>
      <c r="E1401" t="s">
        <v>3127</v>
      </c>
      <c r="F1401" s="121">
        <v>288.39999999999998</v>
      </c>
      <c r="G1401" s="121">
        <v>288.39999999999998</v>
      </c>
      <c r="H1401" t="s">
        <v>373</v>
      </c>
      <c r="I1401" s="156">
        <v>41089</v>
      </c>
      <c r="K1401" s="153"/>
      <c r="L1401" s="153"/>
      <c r="M1401" s="153"/>
      <c r="N1401" s="153"/>
      <c r="O1401" s="153"/>
      <c r="P1401" s="152"/>
      <c r="Q1401" s="152"/>
      <c r="R1401" s="153"/>
      <c r="S1401" s="154"/>
      <c r="T1401" s="115"/>
    </row>
    <row r="1402" spans="1:20">
      <c r="A1402" t="s">
        <v>1230</v>
      </c>
      <c r="B1402" t="s">
        <v>72</v>
      </c>
      <c r="C1402" t="s">
        <v>55</v>
      </c>
      <c r="D1402" t="s">
        <v>588</v>
      </c>
      <c r="E1402" t="s">
        <v>3128</v>
      </c>
      <c r="F1402" s="121">
        <v>288.39999999999998</v>
      </c>
      <c r="G1402" s="121">
        <v>288.39999999999998</v>
      </c>
      <c r="H1402" t="s">
        <v>373</v>
      </c>
      <c r="I1402" s="156">
        <v>41089</v>
      </c>
      <c r="K1402" s="153"/>
      <c r="L1402" s="153"/>
      <c r="M1402" s="153"/>
      <c r="N1402" s="153"/>
      <c r="O1402" s="153"/>
      <c r="P1402" s="152"/>
      <c r="Q1402" s="152"/>
      <c r="R1402" s="153"/>
      <c r="S1402" s="154"/>
      <c r="T1402" s="115"/>
    </row>
    <row r="1403" spans="1:20">
      <c r="A1403" t="s">
        <v>1230</v>
      </c>
      <c r="B1403" t="s">
        <v>72</v>
      </c>
      <c r="C1403" t="s">
        <v>55</v>
      </c>
      <c r="D1403" t="s">
        <v>588</v>
      </c>
      <c r="E1403" t="s">
        <v>3129</v>
      </c>
      <c r="F1403" s="121">
        <v>288.39999999999998</v>
      </c>
      <c r="G1403" s="121">
        <v>288.39999999999998</v>
      </c>
      <c r="H1403" t="s">
        <v>373</v>
      </c>
      <c r="I1403" s="156">
        <v>41089</v>
      </c>
      <c r="K1403" s="153"/>
      <c r="L1403" s="153"/>
      <c r="M1403" s="153"/>
      <c r="N1403" s="153"/>
      <c r="O1403" s="153"/>
      <c r="P1403" s="152"/>
      <c r="Q1403" s="152"/>
      <c r="R1403" s="153"/>
      <c r="S1403" s="154"/>
      <c r="T1403" s="115"/>
    </row>
    <row r="1404" spans="1:20">
      <c r="A1404" t="s">
        <v>1230</v>
      </c>
      <c r="B1404" t="s">
        <v>72</v>
      </c>
      <c r="C1404" t="s">
        <v>55</v>
      </c>
      <c r="D1404" t="s">
        <v>594</v>
      </c>
      <c r="E1404" t="s">
        <v>3130</v>
      </c>
      <c r="F1404" s="121">
        <v>288.39999999999998</v>
      </c>
      <c r="G1404" s="121">
        <v>288.39999999999998</v>
      </c>
      <c r="H1404" t="s">
        <v>373</v>
      </c>
      <c r="I1404" s="156">
        <v>41089</v>
      </c>
      <c r="K1404" s="153"/>
      <c r="L1404" s="153"/>
      <c r="M1404" s="153"/>
      <c r="N1404" s="153"/>
      <c r="O1404" s="153"/>
      <c r="P1404" s="152"/>
      <c r="Q1404" s="152"/>
      <c r="R1404" s="153"/>
      <c r="S1404" s="154"/>
      <c r="T1404" s="115"/>
    </row>
    <row r="1405" spans="1:20">
      <c r="A1405" t="s">
        <v>1230</v>
      </c>
      <c r="B1405" t="s">
        <v>72</v>
      </c>
      <c r="C1405" t="s">
        <v>55</v>
      </c>
      <c r="D1405" t="s">
        <v>588</v>
      </c>
      <c r="E1405" t="s">
        <v>3131</v>
      </c>
      <c r="F1405" s="121">
        <v>288.39999999999998</v>
      </c>
      <c r="G1405" s="121">
        <v>288.39999999999998</v>
      </c>
      <c r="H1405" t="s">
        <v>373</v>
      </c>
      <c r="I1405" s="156">
        <v>41089</v>
      </c>
      <c r="K1405" s="153"/>
      <c r="L1405" s="153"/>
      <c r="M1405" s="153"/>
      <c r="N1405" s="153"/>
      <c r="O1405" s="153"/>
      <c r="P1405" s="152"/>
      <c r="Q1405" s="152"/>
      <c r="R1405" s="153"/>
      <c r="S1405" s="154"/>
      <c r="T1405" s="115"/>
    </row>
    <row r="1406" spans="1:20">
      <c r="A1406" t="s">
        <v>1230</v>
      </c>
      <c r="B1406" t="s">
        <v>72</v>
      </c>
      <c r="C1406" t="s">
        <v>55</v>
      </c>
      <c r="D1406" t="s">
        <v>588</v>
      </c>
      <c r="E1406" t="s">
        <v>3132</v>
      </c>
      <c r="F1406" s="121">
        <v>288.39999999999998</v>
      </c>
      <c r="G1406" s="121">
        <v>288.39999999999998</v>
      </c>
      <c r="H1406" t="s">
        <v>373</v>
      </c>
      <c r="I1406" s="156">
        <v>41089</v>
      </c>
      <c r="K1406" s="153"/>
      <c r="L1406" s="153"/>
      <c r="M1406" s="153"/>
      <c r="N1406" s="153"/>
      <c r="O1406" s="153"/>
      <c r="P1406" s="152"/>
      <c r="Q1406" s="152"/>
      <c r="R1406" s="153"/>
      <c r="S1406" s="154"/>
      <c r="T1406" s="115"/>
    </row>
    <row r="1407" spans="1:20">
      <c r="A1407" t="s">
        <v>1230</v>
      </c>
      <c r="B1407" t="s">
        <v>72</v>
      </c>
      <c r="C1407" t="s">
        <v>55</v>
      </c>
      <c r="D1407" t="s">
        <v>588</v>
      </c>
      <c r="E1407" t="s">
        <v>3133</v>
      </c>
      <c r="F1407" s="121">
        <v>288.39999999999998</v>
      </c>
      <c r="G1407" s="121">
        <v>288.39999999999998</v>
      </c>
      <c r="H1407" t="s">
        <v>373</v>
      </c>
      <c r="I1407" s="156">
        <v>41089</v>
      </c>
      <c r="K1407" s="153"/>
      <c r="L1407" s="153"/>
      <c r="M1407" s="153"/>
      <c r="N1407" s="153"/>
      <c r="O1407" s="153"/>
      <c r="P1407" s="152"/>
      <c r="Q1407" s="152"/>
      <c r="R1407" s="153"/>
      <c r="S1407" s="154"/>
      <c r="T1407" s="115"/>
    </row>
    <row r="1408" spans="1:20">
      <c r="A1408" t="s">
        <v>1230</v>
      </c>
      <c r="B1408" t="s">
        <v>72</v>
      </c>
      <c r="C1408" t="s">
        <v>55</v>
      </c>
      <c r="D1408" t="s">
        <v>588</v>
      </c>
      <c r="E1408" t="s">
        <v>3134</v>
      </c>
      <c r="F1408" s="121">
        <v>288.39999999999998</v>
      </c>
      <c r="G1408" s="121">
        <v>288.39999999999998</v>
      </c>
      <c r="H1408" t="s">
        <v>373</v>
      </c>
      <c r="I1408" s="156">
        <v>41089</v>
      </c>
      <c r="K1408" s="153"/>
      <c r="L1408" s="153"/>
      <c r="M1408" s="153"/>
      <c r="N1408" s="153"/>
      <c r="O1408" s="153"/>
      <c r="P1408" s="150"/>
      <c r="Q1408" s="150"/>
      <c r="R1408" s="153"/>
      <c r="S1408" s="154"/>
      <c r="T1408" s="115"/>
    </row>
    <row r="1409" spans="1:20">
      <c r="A1409" t="s">
        <v>1230</v>
      </c>
      <c r="B1409" t="s">
        <v>72</v>
      </c>
      <c r="C1409" t="s">
        <v>55</v>
      </c>
      <c r="D1409" t="s">
        <v>588</v>
      </c>
      <c r="E1409" t="s">
        <v>3135</v>
      </c>
      <c r="F1409" s="121">
        <v>288.39999999999998</v>
      </c>
      <c r="G1409" s="121">
        <v>288.39999999999998</v>
      </c>
      <c r="H1409" t="s">
        <v>373</v>
      </c>
      <c r="I1409" s="156">
        <v>41089</v>
      </c>
      <c r="K1409" s="153"/>
      <c r="L1409" s="153"/>
      <c r="M1409" s="153"/>
      <c r="N1409" s="153"/>
      <c r="O1409" s="153"/>
      <c r="P1409" s="150"/>
      <c r="Q1409" s="150"/>
      <c r="R1409" s="153"/>
      <c r="S1409" s="154"/>
      <c r="T1409" s="115"/>
    </row>
    <row r="1410" spans="1:20">
      <c r="A1410" t="s">
        <v>1230</v>
      </c>
      <c r="B1410" t="s">
        <v>72</v>
      </c>
      <c r="C1410" t="s">
        <v>55</v>
      </c>
      <c r="D1410" t="s">
        <v>588</v>
      </c>
      <c r="E1410" t="s">
        <v>3136</v>
      </c>
      <c r="F1410" s="121">
        <v>288.39999999999998</v>
      </c>
      <c r="G1410" s="121">
        <v>288.39999999999998</v>
      </c>
      <c r="H1410" t="s">
        <v>373</v>
      </c>
      <c r="I1410" s="156">
        <v>41089</v>
      </c>
      <c r="K1410" s="153"/>
      <c r="L1410" s="153"/>
      <c r="M1410" s="153"/>
      <c r="N1410" s="153"/>
      <c r="O1410" s="153"/>
      <c r="P1410" s="150"/>
      <c r="Q1410" s="150"/>
      <c r="R1410" s="153"/>
      <c r="S1410" s="154"/>
      <c r="T1410" s="115"/>
    </row>
    <row r="1411" spans="1:20">
      <c r="A1411" t="s">
        <v>1230</v>
      </c>
      <c r="B1411" t="s">
        <v>72</v>
      </c>
      <c r="C1411" t="s">
        <v>55</v>
      </c>
      <c r="D1411" t="s">
        <v>588</v>
      </c>
      <c r="E1411" t="s">
        <v>3137</v>
      </c>
      <c r="F1411" s="121">
        <v>288.39999999999998</v>
      </c>
      <c r="G1411" s="121">
        <v>288.39999999999998</v>
      </c>
      <c r="H1411" t="s">
        <v>373</v>
      </c>
      <c r="I1411" s="156">
        <v>41089</v>
      </c>
      <c r="K1411" s="153"/>
      <c r="L1411" s="153"/>
      <c r="M1411" s="153"/>
      <c r="N1411" s="153"/>
      <c r="O1411" s="153"/>
      <c r="P1411" s="150"/>
      <c r="Q1411" s="150"/>
      <c r="R1411" s="153"/>
      <c r="S1411" s="154"/>
      <c r="T1411" s="115"/>
    </row>
    <row r="1412" spans="1:20">
      <c r="A1412" t="s">
        <v>1230</v>
      </c>
      <c r="B1412" t="s">
        <v>72</v>
      </c>
      <c r="C1412" t="s">
        <v>55</v>
      </c>
      <c r="D1412" t="s">
        <v>588</v>
      </c>
      <c r="E1412" t="s">
        <v>3138</v>
      </c>
      <c r="F1412" s="121">
        <v>288.39999999999998</v>
      </c>
      <c r="G1412" s="121">
        <v>288.39999999999998</v>
      </c>
      <c r="H1412" t="s">
        <v>373</v>
      </c>
      <c r="I1412" s="156">
        <v>41089</v>
      </c>
      <c r="K1412" s="153"/>
      <c r="L1412" s="153"/>
      <c r="M1412" s="153"/>
      <c r="N1412" s="153"/>
      <c r="O1412" s="153"/>
      <c r="P1412" s="150"/>
      <c r="Q1412" s="150"/>
      <c r="R1412" s="153"/>
      <c r="S1412" s="154"/>
      <c r="T1412" s="115"/>
    </row>
    <row r="1413" spans="1:20">
      <c r="A1413" t="s">
        <v>1230</v>
      </c>
      <c r="B1413" t="s">
        <v>72</v>
      </c>
      <c r="C1413" t="s">
        <v>55</v>
      </c>
      <c r="D1413" t="s">
        <v>588</v>
      </c>
      <c r="E1413" t="s">
        <v>3139</v>
      </c>
      <c r="F1413" s="121">
        <v>288.39999999999998</v>
      </c>
      <c r="G1413" s="121">
        <v>288.39999999999998</v>
      </c>
      <c r="H1413" t="s">
        <v>373</v>
      </c>
      <c r="I1413" s="156">
        <v>41089</v>
      </c>
      <c r="K1413" s="153"/>
      <c r="L1413" s="153"/>
      <c r="M1413" s="153"/>
      <c r="N1413" s="153"/>
      <c r="O1413" s="153"/>
      <c r="P1413" s="150"/>
      <c r="Q1413" s="152"/>
      <c r="R1413" s="153"/>
      <c r="S1413" s="154"/>
      <c r="T1413" s="115"/>
    </row>
    <row r="1414" spans="1:20">
      <c r="A1414" t="s">
        <v>1230</v>
      </c>
      <c r="B1414" t="s">
        <v>72</v>
      </c>
      <c r="C1414" t="s">
        <v>55</v>
      </c>
      <c r="D1414" t="s">
        <v>588</v>
      </c>
      <c r="E1414" t="s">
        <v>3140</v>
      </c>
      <c r="F1414" s="121">
        <v>288.39999999999998</v>
      </c>
      <c r="G1414" s="121">
        <v>288.39999999999998</v>
      </c>
      <c r="H1414" t="s">
        <v>373</v>
      </c>
      <c r="I1414" s="156">
        <v>41089</v>
      </c>
      <c r="K1414" s="153"/>
      <c r="L1414" s="153"/>
      <c r="M1414" s="153"/>
      <c r="N1414" s="153"/>
      <c r="O1414" s="153"/>
      <c r="P1414" s="152"/>
      <c r="Q1414" s="152"/>
      <c r="R1414" s="153"/>
      <c r="S1414" s="154"/>
      <c r="T1414" s="115"/>
    </row>
    <row r="1415" spans="1:20">
      <c r="A1415" t="s">
        <v>1230</v>
      </c>
      <c r="B1415" t="s">
        <v>72</v>
      </c>
      <c r="C1415" t="s">
        <v>55</v>
      </c>
      <c r="D1415" t="s">
        <v>588</v>
      </c>
      <c r="E1415" t="s">
        <v>3141</v>
      </c>
      <c r="F1415" s="121">
        <v>97.85</v>
      </c>
      <c r="G1415" s="121">
        <v>97.85</v>
      </c>
      <c r="H1415" t="s">
        <v>373</v>
      </c>
      <c r="I1415" s="156">
        <v>41089</v>
      </c>
      <c r="K1415" s="153"/>
      <c r="L1415" s="153"/>
      <c r="M1415" s="153"/>
      <c r="N1415" s="153"/>
      <c r="O1415" s="153"/>
      <c r="P1415" s="152"/>
      <c r="Q1415" s="152"/>
      <c r="R1415" s="153"/>
      <c r="S1415" s="154"/>
      <c r="T1415" s="115"/>
    </row>
    <row r="1416" spans="1:20">
      <c r="A1416" t="s">
        <v>1230</v>
      </c>
      <c r="B1416" t="s">
        <v>72</v>
      </c>
      <c r="C1416" t="s">
        <v>55</v>
      </c>
      <c r="D1416" t="s">
        <v>588</v>
      </c>
      <c r="E1416" t="s">
        <v>3142</v>
      </c>
      <c r="F1416" s="121">
        <v>288.39999999999998</v>
      </c>
      <c r="G1416" s="121">
        <v>288.39999999999998</v>
      </c>
      <c r="H1416" t="s">
        <v>373</v>
      </c>
      <c r="I1416" s="156">
        <v>41089</v>
      </c>
      <c r="K1416" s="153"/>
      <c r="L1416" s="153"/>
      <c r="M1416" s="153"/>
      <c r="N1416" s="153"/>
      <c r="O1416" s="153"/>
      <c r="P1416" s="152"/>
      <c r="Q1416" s="152"/>
      <c r="R1416" s="153"/>
      <c r="S1416" s="154"/>
      <c r="T1416" s="115"/>
    </row>
    <row r="1417" spans="1:20">
      <c r="A1417" t="s">
        <v>1230</v>
      </c>
      <c r="B1417" t="s">
        <v>72</v>
      </c>
      <c r="C1417" t="s">
        <v>55</v>
      </c>
      <c r="D1417" t="s">
        <v>588</v>
      </c>
      <c r="E1417" t="s">
        <v>3143</v>
      </c>
      <c r="F1417" s="121">
        <v>288.39999999999998</v>
      </c>
      <c r="G1417" s="121">
        <v>288.39999999999998</v>
      </c>
      <c r="H1417" t="s">
        <v>373</v>
      </c>
      <c r="I1417" s="156">
        <v>41089</v>
      </c>
      <c r="K1417" s="153"/>
      <c r="L1417" s="153"/>
      <c r="M1417" s="153"/>
      <c r="N1417" s="153"/>
      <c r="O1417" s="153"/>
      <c r="P1417" s="150"/>
      <c r="Q1417" s="150"/>
      <c r="R1417" s="153"/>
      <c r="S1417" s="154"/>
      <c r="T1417" s="115"/>
    </row>
    <row r="1418" spans="1:20">
      <c r="A1418" t="s">
        <v>1230</v>
      </c>
      <c r="B1418" t="s">
        <v>72</v>
      </c>
      <c r="C1418" t="s">
        <v>55</v>
      </c>
      <c r="D1418" t="s">
        <v>588</v>
      </c>
      <c r="E1418" t="s">
        <v>3144</v>
      </c>
      <c r="F1418" s="121">
        <v>288.39999999999998</v>
      </c>
      <c r="G1418" s="121">
        <v>288.39999999999998</v>
      </c>
      <c r="H1418" t="s">
        <v>373</v>
      </c>
      <c r="I1418" s="156">
        <v>41089</v>
      </c>
      <c r="K1418" s="153"/>
      <c r="L1418" s="153"/>
      <c r="M1418" s="153"/>
      <c r="N1418" s="153"/>
      <c r="O1418" s="153"/>
      <c r="P1418" s="150"/>
      <c r="Q1418" s="150"/>
      <c r="R1418" s="153"/>
      <c r="S1418" s="154"/>
      <c r="T1418" s="115"/>
    </row>
    <row r="1419" spans="1:20">
      <c r="A1419" t="s">
        <v>1230</v>
      </c>
      <c r="B1419" t="s">
        <v>72</v>
      </c>
      <c r="C1419" t="s">
        <v>55</v>
      </c>
      <c r="D1419" t="s">
        <v>588</v>
      </c>
      <c r="E1419" t="s">
        <v>3145</v>
      </c>
      <c r="F1419" s="121">
        <v>288.39999999999998</v>
      </c>
      <c r="G1419" s="121">
        <v>288.39999999999998</v>
      </c>
      <c r="H1419" t="s">
        <v>373</v>
      </c>
      <c r="I1419" s="156">
        <v>41089</v>
      </c>
      <c r="K1419" s="153"/>
      <c r="L1419" s="153"/>
      <c r="M1419" s="153"/>
      <c r="N1419" s="153"/>
      <c r="O1419" s="153"/>
      <c r="P1419" s="150"/>
      <c r="Q1419" s="150"/>
      <c r="R1419" s="153"/>
      <c r="S1419" s="154"/>
      <c r="T1419" s="115"/>
    </row>
    <row r="1420" spans="1:20">
      <c r="A1420" t="s">
        <v>1230</v>
      </c>
      <c r="B1420" t="s">
        <v>72</v>
      </c>
      <c r="C1420" t="s">
        <v>55</v>
      </c>
      <c r="D1420" t="s">
        <v>588</v>
      </c>
      <c r="E1420" t="s">
        <v>3146</v>
      </c>
      <c r="F1420" s="121">
        <v>288.39999999999998</v>
      </c>
      <c r="G1420" s="121">
        <v>288.39999999999998</v>
      </c>
      <c r="H1420" t="s">
        <v>373</v>
      </c>
      <c r="I1420" s="156">
        <v>41089</v>
      </c>
      <c r="K1420" s="153"/>
      <c r="L1420" s="153"/>
      <c r="M1420" s="153"/>
      <c r="N1420" s="153"/>
      <c r="O1420" s="153"/>
      <c r="P1420" s="150"/>
      <c r="Q1420" s="150"/>
      <c r="R1420" s="153"/>
      <c r="S1420" s="154"/>
      <c r="T1420" s="115"/>
    </row>
    <row r="1421" spans="1:20">
      <c r="A1421" t="s">
        <v>1230</v>
      </c>
      <c r="B1421" t="s">
        <v>72</v>
      </c>
      <c r="C1421" t="s">
        <v>55</v>
      </c>
      <c r="D1421" t="s">
        <v>588</v>
      </c>
      <c r="E1421" t="s">
        <v>3147</v>
      </c>
      <c r="F1421" s="121">
        <v>288.39999999999998</v>
      </c>
      <c r="G1421" s="121">
        <v>288.39999999999998</v>
      </c>
      <c r="H1421" t="s">
        <v>373</v>
      </c>
      <c r="I1421" s="156">
        <v>41089</v>
      </c>
      <c r="K1421" s="153"/>
      <c r="L1421" s="153"/>
      <c r="M1421" s="153"/>
      <c r="N1421" s="153"/>
      <c r="O1421" s="153"/>
      <c r="P1421" s="150"/>
      <c r="Q1421" s="150"/>
      <c r="R1421" s="153"/>
      <c r="S1421" s="154"/>
      <c r="T1421" s="115"/>
    </row>
    <row r="1422" spans="1:20">
      <c r="A1422" t="s">
        <v>1230</v>
      </c>
      <c r="B1422" t="s">
        <v>72</v>
      </c>
      <c r="C1422" t="s">
        <v>55</v>
      </c>
      <c r="D1422" t="s">
        <v>588</v>
      </c>
      <c r="E1422" t="s">
        <v>3148</v>
      </c>
      <c r="F1422" s="121">
        <v>288.39999999999998</v>
      </c>
      <c r="G1422" s="121">
        <v>288.39999999999998</v>
      </c>
      <c r="H1422" t="s">
        <v>373</v>
      </c>
      <c r="I1422" s="156">
        <v>41089</v>
      </c>
      <c r="K1422" s="153"/>
      <c r="L1422" s="153"/>
      <c r="M1422" s="153"/>
      <c r="N1422" s="153"/>
      <c r="O1422" s="153"/>
      <c r="P1422" s="150"/>
      <c r="Q1422" s="150"/>
      <c r="R1422" s="153"/>
      <c r="S1422" s="154"/>
      <c r="T1422" s="115"/>
    </row>
    <row r="1423" spans="1:20">
      <c r="A1423" t="s">
        <v>1230</v>
      </c>
      <c r="B1423" t="s">
        <v>72</v>
      </c>
      <c r="C1423" t="s">
        <v>55</v>
      </c>
      <c r="D1423" t="s">
        <v>588</v>
      </c>
      <c r="E1423" t="s">
        <v>3149</v>
      </c>
      <c r="F1423" s="121">
        <v>288.39999999999998</v>
      </c>
      <c r="G1423" s="121">
        <v>288.39999999999998</v>
      </c>
      <c r="H1423" t="s">
        <v>373</v>
      </c>
      <c r="I1423" s="156">
        <v>41089</v>
      </c>
      <c r="K1423" s="153"/>
      <c r="L1423" s="153"/>
      <c r="M1423" s="153"/>
      <c r="N1423" s="153"/>
      <c r="O1423" s="153"/>
      <c r="P1423" s="150"/>
      <c r="Q1423" s="150"/>
      <c r="R1423" s="153"/>
      <c r="S1423" s="154"/>
      <c r="T1423" s="115"/>
    </row>
    <row r="1424" spans="1:20">
      <c r="A1424" t="s">
        <v>1230</v>
      </c>
      <c r="B1424" t="s">
        <v>72</v>
      </c>
      <c r="C1424" t="s">
        <v>55</v>
      </c>
      <c r="D1424" t="s">
        <v>588</v>
      </c>
      <c r="E1424" t="s">
        <v>3150</v>
      </c>
      <c r="F1424" s="121">
        <v>288.39999999999998</v>
      </c>
      <c r="G1424" s="121">
        <v>288.39999999999998</v>
      </c>
      <c r="H1424" t="s">
        <v>373</v>
      </c>
      <c r="I1424" s="156">
        <v>41089</v>
      </c>
      <c r="K1424" s="153"/>
      <c r="L1424" s="153"/>
      <c r="M1424" s="153"/>
      <c r="N1424" s="153"/>
      <c r="O1424" s="153"/>
      <c r="P1424" s="150"/>
      <c r="Q1424" s="150"/>
      <c r="R1424" s="153"/>
      <c r="S1424" s="154"/>
      <c r="T1424" s="115"/>
    </row>
    <row r="1425" spans="1:20">
      <c r="A1425" t="s">
        <v>1230</v>
      </c>
      <c r="B1425" t="s">
        <v>72</v>
      </c>
      <c r="C1425" t="s">
        <v>55</v>
      </c>
      <c r="D1425" t="s">
        <v>588</v>
      </c>
      <c r="E1425" t="s">
        <v>3151</v>
      </c>
      <c r="F1425" s="121">
        <v>288.39999999999998</v>
      </c>
      <c r="G1425" s="121">
        <v>288.39999999999998</v>
      </c>
      <c r="H1425" t="s">
        <v>373</v>
      </c>
      <c r="I1425" s="156">
        <v>41089</v>
      </c>
      <c r="K1425" s="153"/>
      <c r="L1425" s="153"/>
      <c r="M1425" s="153"/>
      <c r="N1425" s="153"/>
      <c r="O1425" s="153"/>
      <c r="P1425" s="150"/>
      <c r="Q1425" s="150"/>
      <c r="R1425" s="153"/>
      <c r="S1425" s="154"/>
      <c r="T1425" s="115"/>
    </row>
    <row r="1426" spans="1:20">
      <c r="A1426" t="s">
        <v>1230</v>
      </c>
      <c r="B1426" t="s">
        <v>72</v>
      </c>
      <c r="C1426" t="s">
        <v>55</v>
      </c>
      <c r="D1426" t="s">
        <v>588</v>
      </c>
      <c r="E1426" t="s">
        <v>3152</v>
      </c>
      <c r="F1426" s="121">
        <v>288.39999999999998</v>
      </c>
      <c r="G1426" s="121">
        <v>288.39999999999998</v>
      </c>
      <c r="H1426" t="s">
        <v>373</v>
      </c>
      <c r="I1426" s="156">
        <v>41089</v>
      </c>
      <c r="K1426" s="153"/>
      <c r="L1426" s="153"/>
      <c r="M1426" s="153"/>
      <c r="N1426" s="153"/>
      <c r="O1426" s="153"/>
      <c r="P1426" s="150"/>
      <c r="Q1426" s="150"/>
      <c r="R1426" s="153"/>
      <c r="S1426" s="154"/>
      <c r="T1426" s="115"/>
    </row>
    <row r="1427" spans="1:20">
      <c r="A1427" t="s">
        <v>1230</v>
      </c>
      <c r="B1427" t="s">
        <v>72</v>
      </c>
      <c r="C1427" t="s">
        <v>55</v>
      </c>
      <c r="D1427" t="s">
        <v>591</v>
      </c>
      <c r="E1427" t="s">
        <v>3153</v>
      </c>
      <c r="F1427" s="121">
        <v>290</v>
      </c>
      <c r="G1427" s="121">
        <v>290</v>
      </c>
      <c r="H1427" t="s">
        <v>373</v>
      </c>
      <c r="I1427" s="156">
        <v>41089</v>
      </c>
      <c r="K1427" s="153"/>
      <c r="L1427" s="153"/>
      <c r="M1427" s="153"/>
      <c r="N1427" s="153"/>
      <c r="O1427" s="153"/>
      <c r="P1427" s="150"/>
      <c r="Q1427" s="150"/>
      <c r="R1427" s="153"/>
      <c r="S1427" s="154"/>
      <c r="T1427" s="115"/>
    </row>
    <row r="1428" spans="1:20">
      <c r="A1428" t="s">
        <v>1230</v>
      </c>
      <c r="B1428" t="s">
        <v>72</v>
      </c>
      <c r="C1428" t="s">
        <v>55</v>
      </c>
      <c r="D1428" t="s">
        <v>588</v>
      </c>
      <c r="E1428" t="s">
        <v>3154</v>
      </c>
      <c r="F1428" s="121">
        <v>288.39999999999998</v>
      </c>
      <c r="G1428" s="121">
        <v>288.39999999999998</v>
      </c>
      <c r="H1428" t="s">
        <v>373</v>
      </c>
      <c r="I1428" s="156">
        <v>41089</v>
      </c>
      <c r="K1428" s="153"/>
      <c r="L1428" s="153"/>
      <c r="M1428" s="153"/>
      <c r="N1428" s="153"/>
      <c r="O1428" s="153"/>
      <c r="P1428" s="150"/>
      <c r="Q1428" s="150"/>
      <c r="R1428" s="153"/>
      <c r="S1428" s="154"/>
      <c r="T1428" s="115"/>
    </row>
    <row r="1429" spans="1:20">
      <c r="A1429" t="s">
        <v>1230</v>
      </c>
      <c r="B1429" t="s">
        <v>72</v>
      </c>
      <c r="C1429" t="s">
        <v>55</v>
      </c>
      <c r="D1429" t="s">
        <v>588</v>
      </c>
      <c r="E1429" t="s">
        <v>3155</v>
      </c>
      <c r="F1429" s="121">
        <v>97.85</v>
      </c>
      <c r="G1429" s="121">
        <v>97.85</v>
      </c>
      <c r="H1429" t="s">
        <v>373</v>
      </c>
      <c r="I1429" s="156">
        <v>41089</v>
      </c>
      <c r="K1429" s="153"/>
      <c r="L1429" s="153"/>
      <c r="M1429" s="153"/>
      <c r="N1429" s="153"/>
      <c r="O1429" s="153"/>
      <c r="P1429" s="150"/>
      <c r="Q1429" s="150"/>
      <c r="R1429" s="153"/>
      <c r="S1429" s="154"/>
      <c r="T1429" s="115"/>
    </row>
    <row r="1430" spans="1:20">
      <c r="A1430" t="s">
        <v>1230</v>
      </c>
      <c r="B1430" t="s">
        <v>72</v>
      </c>
      <c r="C1430" t="s">
        <v>55</v>
      </c>
      <c r="D1430" t="s">
        <v>591</v>
      </c>
      <c r="E1430" t="s">
        <v>3156</v>
      </c>
      <c r="F1430" s="121">
        <v>300</v>
      </c>
      <c r="G1430" s="121">
        <v>290</v>
      </c>
      <c r="H1430" t="s">
        <v>373</v>
      </c>
      <c r="I1430" s="156">
        <v>39813</v>
      </c>
      <c r="K1430" s="153"/>
      <c r="L1430" s="153"/>
      <c r="M1430" s="153"/>
      <c r="N1430" s="153"/>
      <c r="O1430" s="153"/>
      <c r="P1430" s="150"/>
      <c r="Q1430" s="150"/>
      <c r="R1430" s="153"/>
      <c r="S1430" s="154"/>
      <c r="T1430" s="115"/>
    </row>
    <row r="1431" spans="1:20">
      <c r="A1431" t="s">
        <v>1230</v>
      </c>
      <c r="B1431" t="s">
        <v>72</v>
      </c>
      <c r="C1431" t="s">
        <v>55</v>
      </c>
      <c r="D1431" t="s">
        <v>588</v>
      </c>
      <c r="E1431" t="s">
        <v>3157</v>
      </c>
      <c r="F1431" s="121">
        <v>288.39999999999998</v>
      </c>
      <c r="G1431" s="121">
        <v>288.39999999999998</v>
      </c>
      <c r="H1431" t="s">
        <v>373</v>
      </c>
      <c r="I1431" s="156">
        <v>41089</v>
      </c>
      <c r="K1431" s="153"/>
      <c r="L1431" s="153"/>
      <c r="M1431" s="153"/>
      <c r="N1431" s="153"/>
      <c r="O1431" s="153"/>
      <c r="P1431" s="150"/>
      <c r="Q1431" s="150"/>
      <c r="R1431" s="153"/>
      <c r="S1431" s="154"/>
      <c r="T1431" s="115"/>
    </row>
    <row r="1432" spans="1:20">
      <c r="A1432" t="s">
        <v>1230</v>
      </c>
      <c r="B1432" t="s">
        <v>72</v>
      </c>
      <c r="C1432" t="s">
        <v>55</v>
      </c>
      <c r="D1432" t="s">
        <v>588</v>
      </c>
      <c r="E1432" t="s">
        <v>3158</v>
      </c>
      <c r="F1432" s="121">
        <v>288.39999999999998</v>
      </c>
      <c r="G1432" s="121">
        <v>288.39999999999998</v>
      </c>
      <c r="H1432" t="s">
        <v>373</v>
      </c>
      <c r="I1432" s="156">
        <v>41089</v>
      </c>
      <c r="K1432" s="153"/>
      <c r="L1432" s="153"/>
      <c r="M1432" s="153"/>
      <c r="N1432" s="153"/>
      <c r="O1432" s="153"/>
      <c r="P1432" s="150"/>
      <c r="Q1432" s="150"/>
      <c r="R1432" s="153"/>
      <c r="S1432" s="154"/>
      <c r="T1432" s="115"/>
    </row>
    <row r="1433" spans="1:20">
      <c r="A1433" t="s">
        <v>1230</v>
      </c>
      <c r="B1433" t="s">
        <v>72</v>
      </c>
      <c r="C1433" t="s">
        <v>55</v>
      </c>
      <c r="D1433" t="s">
        <v>591</v>
      </c>
      <c r="E1433" t="s">
        <v>3159</v>
      </c>
      <c r="F1433" s="121">
        <v>300</v>
      </c>
      <c r="G1433" s="121">
        <v>290</v>
      </c>
      <c r="H1433" t="s">
        <v>373</v>
      </c>
      <c r="I1433" s="156">
        <v>39813</v>
      </c>
      <c r="K1433" s="153"/>
      <c r="L1433" s="153"/>
      <c r="M1433" s="153"/>
      <c r="N1433" s="153"/>
      <c r="O1433" s="153"/>
      <c r="P1433" s="150"/>
      <c r="Q1433" s="150"/>
      <c r="R1433" s="153"/>
      <c r="S1433" s="154"/>
      <c r="T1433" s="115"/>
    </row>
    <row r="1434" spans="1:20">
      <c r="A1434" t="s">
        <v>1230</v>
      </c>
      <c r="B1434" t="s">
        <v>72</v>
      </c>
      <c r="C1434" t="s">
        <v>55</v>
      </c>
      <c r="D1434" t="s">
        <v>588</v>
      </c>
      <c r="E1434" t="s">
        <v>3160</v>
      </c>
      <c r="F1434" s="121">
        <v>288.39999999999998</v>
      </c>
      <c r="G1434" s="121">
        <v>288.39999999999998</v>
      </c>
      <c r="H1434" t="s">
        <v>336</v>
      </c>
      <c r="I1434" s="156">
        <v>41089</v>
      </c>
      <c r="K1434" s="153"/>
      <c r="L1434" s="153"/>
      <c r="M1434" s="153"/>
      <c r="N1434" s="153"/>
      <c r="O1434" s="153"/>
      <c r="P1434" s="150"/>
      <c r="Q1434" s="150"/>
      <c r="R1434" s="153"/>
      <c r="S1434" s="154"/>
      <c r="T1434" s="115"/>
    </row>
    <row r="1435" spans="1:20">
      <c r="A1435" t="s">
        <v>1230</v>
      </c>
      <c r="B1435" t="s">
        <v>72</v>
      </c>
      <c r="C1435" t="s">
        <v>55</v>
      </c>
      <c r="D1435" t="s">
        <v>588</v>
      </c>
      <c r="E1435" t="s">
        <v>3161</v>
      </c>
      <c r="F1435" s="121">
        <v>288.39999999999998</v>
      </c>
      <c r="G1435" s="121">
        <v>288.39999999999998</v>
      </c>
      <c r="H1435" t="s">
        <v>373</v>
      </c>
      <c r="I1435" s="156">
        <v>41089</v>
      </c>
      <c r="K1435" s="153"/>
      <c r="L1435" s="153"/>
      <c r="M1435" s="153"/>
      <c r="N1435" s="153"/>
      <c r="O1435" s="153"/>
      <c r="P1435" s="150"/>
      <c r="Q1435" s="150"/>
      <c r="R1435" s="153"/>
      <c r="S1435" s="154"/>
      <c r="T1435" s="115"/>
    </row>
    <row r="1436" spans="1:20">
      <c r="A1436" t="s">
        <v>1230</v>
      </c>
      <c r="B1436" t="s">
        <v>72</v>
      </c>
      <c r="C1436" t="s">
        <v>55</v>
      </c>
      <c r="D1436" t="s">
        <v>591</v>
      </c>
      <c r="E1436" t="s">
        <v>3162</v>
      </c>
      <c r="F1436" s="121">
        <v>300</v>
      </c>
      <c r="G1436" s="121">
        <v>290</v>
      </c>
      <c r="H1436" t="s">
        <v>373</v>
      </c>
      <c r="I1436" s="156">
        <v>39813</v>
      </c>
      <c r="K1436" s="153"/>
      <c r="L1436" s="153"/>
      <c r="M1436" s="153"/>
      <c r="N1436" s="153"/>
      <c r="O1436" s="153"/>
      <c r="P1436" s="150"/>
      <c r="Q1436" s="150"/>
      <c r="R1436" s="153"/>
      <c r="S1436" s="154"/>
      <c r="T1436" s="115"/>
    </row>
    <row r="1437" spans="1:20">
      <c r="A1437" t="s">
        <v>1230</v>
      </c>
      <c r="B1437" t="s">
        <v>72</v>
      </c>
      <c r="C1437" t="s">
        <v>55</v>
      </c>
      <c r="D1437" t="s">
        <v>588</v>
      </c>
      <c r="E1437" t="s">
        <v>3163</v>
      </c>
      <c r="F1437" s="121">
        <v>288.39999999999998</v>
      </c>
      <c r="G1437" s="121">
        <v>288.39999999999998</v>
      </c>
      <c r="H1437" t="s">
        <v>373</v>
      </c>
      <c r="I1437" s="156">
        <v>41089</v>
      </c>
      <c r="K1437" s="153"/>
      <c r="L1437" s="153"/>
      <c r="M1437" s="153"/>
      <c r="N1437" s="153"/>
      <c r="O1437" s="153"/>
      <c r="P1437" s="152"/>
      <c r="Q1437" s="152"/>
      <c r="R1437" s="153"/>
      <c r="S1437" s="154"/>
      <c r="T1437" s="115"/>
    </row>
    <row r="1438" spans="1:20">
      <c r="A1438" t="s">
        <v>1230</v>
      </c>
      <c r="B1438" t="s">
        <v>72</v>
      </c>
      <c r="C1438" t="s">
        <v>55</v>
      </c>
      <c r="D1438" t="s">
        <v>591</v>
      </c>
      <c r="E1438" t="s">
        <v>3164</v>
      </c>
      <c r="F1438" s="121">
        <v>300</v>
      </c>
      <c r="G1438" s="121">
        <v>290</v>
      </c>
      <c r="H1438" t="s">
        <v>373</v>
      </c>
      <c r="I1438" s="156">
        <v>39813</v>
      </c>
      <c r="K1438" s="153"/>
      <c r="L1438" s="153"/>
      <c r="M1438" s="153"/>
      <c r="N1438" s="153"/>
      <c r="O1438" s="153"/>
      <c r="P1438" s="150"/>
      <c r="Q1438" s="150"/>
      <c r="R1438" s="153"/>
      <c r="S1438" s="154"/>
      <c r="T1438" s="115"/>
    </row>
    <row r="1439" spans="1:20">
      <c r="A1439" t="s">
        <v>1230</v>
      </c>
      <c r="B1439" t="s">
        <v>72</v>
      </c>
      <c r="C1439" t="s">
        <v>55</v>
      </c>
      <c r="D1439" t="s">
        <v>588</v>
      </c>
      <c r="E1439" t="s">
        <v>3165</v>
      </c>
      <c r="F1439" s="121">
        <v>288.39999999999998</v>
      </c>
      <c r="G1439" s="121">
        <v>288.39999999999998</v>
      </c>
      <c r="H1439" t="s">
        <v>373</v>
      </c>
      <c r="I1439" s="156">
        <v>41089</v>
      </c>
      <c r="K1439" s="153"/>
      <c r="L1439" s="153"/>
      <c r="M1439" s="153"/>
      <c r="N1439" s="153"/>
      <c r="O1439" s="153"/>
      <c r="P1439" s="150"/>
      <c r="Q1439" s="150"/>
      <c r="R1439" s="153"/>
      <c r="S1439" s="154"/>
      <c r="T1439" s="115"/>
    </row>
    <row r="1440" spans="1:20">
      <c r="A1440" t="s">
        <v>1230</v>
      </c>
      <c r="B1440" t="s">
        <v>72</v>
      </c>
      <c r="C1440" t="s">
        <v>55</v>
      </c>
      <c r="D1440" t="s">
        <v>588</v>
      </c>
      <c r="E1440" t="s">
        <v>3166</v>
      </c>
      <c r="F1440" s="121">
        <v>288.39999999999998</v>
      </c>
      <c r="G1440" s="121">
        <v>288.39999999999998</v>
      </c>
      <c r="H1440" t="s">
        <v>373</v>
      </c>
      <c r="I1440" s="156">
        <v>41089</v>
      </c>
      <c r="K1440" s="153"/>
      <c r="L1440" s="153"/>
      <c r="M1440" s="153"/>
      <c r="N1440" s="153"/>
      <c r="O1440" s="153"/>
      <c r="P1440" s="150"/>
      <c r="Q1440" s="150"/>
      <c r="R1440" s="153"/>
      <c r="S1440" s="154"/>
      <c r="T1440" s="115"/>
    </row>
    <row r="1441" spans="1:20">
      <c r="A1441" t="s">
        <v>1230</v>
      </c>
      <c r="B1441" t="s">
        <v>72</v>
      </c>
      <c r="C1441" t="s">
        <v>55</v>
      </c>
      <c r="D1441" t="s">
        <v>591</v>
      </c>
      <c r="E1441" t="s">
        <v>3167</v>
      </c>
      <c r="F1441" s="121">
        <v>300</v>
      </c>
      <c r="G1441" s="121">
        <v>290</v>
      </c>
      <c r="H1441" t="s">
        <v>373</v>
      </c>
      <c r="I1441" s="156">
        <v>39813</v>
      </c>
      <c r="K1441" s="153"/>
      <c r="L1441" s="153"/>
      <c r="M1441" s="153"/>
      <c r="N1441" s="153"/>
      <c r="O1441" s="153"/>
      <c r="P1441" s="150"/>
      <c r="Q1441" s="150"/>
      <c r="R1441" s="153"/>
      <c r="S1441" s="154"/>
      <c r="T1441" s="115"/>
    </row>
    <row r="1442" spans="1:20">
      <c r="A1442" t="s">
        <v>1230</v>
      </c>
      <c r="B1442" t="s">
        <v>72</v>
      </c>
      <c r="C1442" t="s">
        <v>55</v>
      </c>
      <c r="D1442" t="s">
        <v>588</v>
      </c>
      <c r="E1442" t="s">
        <v>3168</v>
      </c>
      <c r="F1442" s="121">
        <v>288.39999999999998</v>
      </c>
      <c r="G1442" s="121">
        <v>288.39999999999998</v>
      </c>
      <c r="H1442" t="s">
        <v>373</v>
      </c>
      <c r="I1442" s="156">
        <v>41089</v>
      </c>
      <c r="K1442" s="153"/>
      <c r="L1442" s="153"/>
      <c r="M1442" s="153"/>
      <c r="N1442" s="153"/>
      <c r="O1442" s="153"/>
      <c r="P1442" s="150"/>
      <c r="Q1442" s="150"/>
      <c r="R1442" s="153"/>
      <c r="S1442" s="154"/>
      <c r="T1442" s="115"/>
    </row>
    <row r="1443" spans="1:20">
      <c r="A1443" t="s">
        <v>1230</v>
      </c>
      <c r="B1443" t="s">
        <v>72</v>
      </c>
      <c r="C1443" t="s">
        <v>55</v>
      </c>
      <c r="D1443" t="s">
        <v>588</v>
      </c>
      <c r="E1443" t="s">
        <v>3169</v>
      </c>
      <c r="F1443" s="121">
        <v>288.39999999999998</v>
      </c>
      <c r="G1443" s="121">
        <v>288.39999999999998</v>
      </c>
      <c r="H1443" t="s">
        <v>373</v>
      </c>
      <c r="I1443" s="156">
        <v>41089</v>
      </c>
      <c r="K1443" s="153"/>
      <c r="L1443" s="153"/>
      <c r="M1443" s="153"/>
      <c r="N1443" s="153"/>
      <c r="O1443" s="153"/>
      <c r="P1443" s="150"/>
      <c r="Q1443" s="150"/>
      <c r="R1443" s="153"/>
      <c r="S1443" s="154"/>
      <c r="T1443" s="115"/>
    </row>
    <row r="1444" spans="1:20">
      <c r="A1444" t="s">
        <v>1230</v>
      </c>
      <c r="B1444" t="s">
        <v>72</v>
      </c>
      <c r="C1444" t="s">
        <v>55</v>
      </c>
      <c r="D1444" t="s">
        <v>588</v>
      </c>
      <c r="E1444" t="s">
        <v>3170</v>
      </c>
      <c r="F1444" s="121">
        <v>288.39999999999998</v>
      </c>
      <c r="G1444" s="121">
        <v>288.39999999999998</v>
      </c>
      <c r="H1444" t="s">
        <v>373</v>
      </c>
      <c r="I1444" s="156">
        <v>41089</v>
      </c>
      <c r="K1444" s="153"/>
      <c r="L1444" s="153"/>
      <c r="M1444" s="153"/>
      <c r="N1444" s="153"/>
      <c r="O1444" s="153"/>
      <c r="P1444" s="152"/>
      <c r="Q1444" s="152"/>
      <c r="R1444" s="153"/>
      <c r="S1444" s="154"/>
      <c r="T1444" s="115"/>
    </row>
    <row r="1445" spans="1:20">
      <c r="A1445" t="s">
        <v>1230</v>
      </c>
      <c r="B1445" t="s">
        <v>72</v>
      </c>
      <c r="C1445" t="s">
        <v>55</v>
      </c>
      <c r="D1445" t="s">
        <v>588</v>
      </c>
      <c r="E1445" t="s">
        <v>3171</v>
      </c>
      <c r="F1445" s="121">
        <v>288.39999999999998</v>
      </c>
      <c r="G1445" s="121">
        <v>288.39999999999998</v>
      </c>
      <c r="H1445" t="s">
        <v>373</v>
      </c>
      <c r="I1445" s="156">
        <v>41089</v>
      </c>
      <c r="K1445" s="153"/>
      <c r="L1445" s="153"/>
      <c r="M1445" s="153"/>
      <c r="N1445" s="153"/>
      <c r="O1445" s="153"/>
      <c r="P1445" s="150"/>
      <c r="Q1445" s="150"/>
      <c r="R1445" s="153"/>
      <c r="S1445" s="154"/>
      <c r="T1445" s="115"/>
    </row>
    <row r="1446" spans="1:20">
      <c r="A1446" t="s">
        <v>1230</v>
      </c>
      <c r="B1446" t="s">
        <v>72</v>
      </c>
      <c r="C1446" t="s">
        <v>55</v>
      </c>
      <c r="D1446" t="s">
        <v>588</v>
      </c>
      <c r="E1446" t="s">
        <v>3172</v>
      </c>
      <c r="F1446" s="121">
        <v>288.39999999999998</v>
      </c>
      <c r="G1446" s="121">
        <v>288.39999999999998</v>
      </c>
      <c r="H1446" t="s">
        <v>373</v>
      </c>
      <c r="I1446" s="156">
        <v>41089</v>
      </c>
      <c r="K1446" s="153"/>
      <c r="L1446" s="153"/>
      <c r="M1446" s="153"/>
      <c r="N1446" s="153"/>
      <c r="O1446" s="153"/>
      <c r="P1446" s="152"/>
      <c r="Q1446" s="152"/>
      <c r="R1446" s="153"/>
      <c r="S1446" s="154"/>
      <c r="T1446" s="115"/>
    </row>
    <row r="1447" spans="1:20">
      <c r="A1447" t="s">
        <v>1230</v>
      </c>
      <c r="B1447" t="s">
        <v>72</v>
      </c>
      <c r="C1447" t="s">
        <v>55</v>
      </c>
      <c r="D1447" t="s">
        <v>588</v>
      </c>
      <c r="E1447" t="s">
        <v>3173</v>
      </c>
      <c r="F1447" s="121">
        <v>288.39999999999998</v>
      </c>
      <c r="G1447" s="121">
        <v>288.39999999999998</v>
      </c>
      <c r="H1447" t="s">
        <v>373</v>
      </c>
      <c r="I1447" s="156">
        <v>41089</v>
      </c>
      <c r="K1447" s="153"/>
      <c r="L1447" s="153"/>
      <c r="M1447" s="153"/>
      <c r="N1447" s="153"/>
      <c r="O1447" s="153"/>
      <c r="P1447" s="150"/>
      <c r="Q1447" s="150"/>
      <c r="R1447" s="153"/>
      <c r="S1447" s="154"/>
      <c r="T1447" s="115"/>
    </row>
    <row r="1448" spans="1:20">
      <c r="A1448" t="s">
        <v>1230</v>
      </c>
      <c r="B1448" t="s">
        <v>72</v>
      </c>
      <c r="C1448" t="s">
        <v>43</v>
      </c>
      <c r="D1448" t="s">
        <v>548</v>
      </c>
      <c r="E1448" t="s">
        <v>3174</v>
      </c>
      <c r="F1448" s="121">
        <v>3429.65</v>
      </c>
      <c r="G1448" s="121">
        <v>3429.65</v>
      </c>
      <c r="H1448" t="s">
        <v>373</v>
      </c>
      <c r="I1448" s="156">
        <v>41089</v>
      </c>
      <c r="K1448" s="153"/>
      <c r="L1448" s="153"/>
      <c r="M1448" s="153"/>
      <c r="N1448" s="153"/>
      <c r="O1448" s="153"/>
      <c r="P1448" s="150"/>
      <c r="Q1448" s="150"/>
      <c r="R1448" s="153"/>
      <c r="S1448" s="154"/>
      <c r="T1448" s="115"/>
    </row>
    <row r="1449" spans="1:20">
      <c r="A1449" t="s">
        <v>1230</v>
      </c>
      <c r="B1449" t="s">
        <v>72</v>
      </c>
      <c r="C1449" t="s">
        <v>55</v>
      </c>
      <c r="D1449" t="s">
        <v>588</v>
      </c>
      <c r="E1449" t="s">
        <v>3175</v>
      </c>
      <c r="F1449" s="121">
        <v>97.85</v>
      </c>
      <c r="G1449" s="121">
        <v>97.85</v>
      </c>
      <c r="H1449" t="s">
        <v>373</v>
      </c>
      <c r="I1449" s="156">
        <v>41089</v>
      </c>
      <c r="K1449" s="153"/>
      <c r="L1449" s="153"/>
      <c r="M1449" s="153"/>
      <c r="N1449" s="153"/>
      <c r="O1449" s="153"/>
      <c r="P1449" s="150"/>
      <c r="Q1449" s="150"/>
      <c r="R1449" s="153"/>
      <c r="S1449" s="154"/>
      <c r="T1449" s="115"/>
    </row>
    <row r="1450" spans="1:20">
      <c r="A1450" t="s">
        <v>1230</v>
      </c>
      <c r="B1450" t="s">
        <v>72</v>
      </c>
      <c r="C1450" t="s">
        <v>55</v>
      </c>
      <c r="D1450" t="s">
        <v>588</v>
      </c>
      <c r="E1450" t="s">
        <v>3176</v>
      </c>
      <c r="F1450" s="121">
        <v>97.85</v>
      </c>
      <c r="G1450" s="121">
        <v>97.85</v>
      </c>
      <c r="H1450" t="s">
        <v>373</v>
      </c>
      <c r="I1450" s="156">
        <v>41089</v>
      </c>
      <c r="K1450" s="153"/>
      <c r="L1450" s="153"/>
      <c r="M1450" s="153"/>
      <c r="N1450" s="153"/>
      <c r="O1450" s="153"/>
      <c r="P1450" s="150"/>
      <c r="Q1450" s="150"/>
      <c r="R1450" s="153"/>
      <c r="S1450" s="154"/>
      <c r="T1450" s="115"/>
    </row>
    <row r="1451" spans="1:20">
      <c r="A1451" t="s">
        <v>1230</v>
      </c>
      <c r="B1451" t="s">
        <v>72</v>
      </c>
      <c r="C1451" t="s">
        <v>55</v>
      </c>
      <c r="D1451" t="s">
        <v>595</v>
      </c>
      <c r="E1451" t="s">
        <v>3177</v>
      </c>
      <c r="F1451" s="121">
        <v>736.45</v>
      </c>
      <c r="G1451" s="121">
        <v>736.45</v>
      </c>
      <c r="H1451" t="s">
        <v>373</v>
      </c>
      <c r="I1451" s="156">
        <v>41089</v>
      </c>
      <c r="K1451" s="153"/>
      <c r="L1451" s="153"/>
      <c r="M1451" s="153"/>
      <c r="N1451" s="153"/>
      <c r="O1451" s="153"/>
      <c r="P1451" s="150"/>
      <c r="Q1451" s="150"/>
      <c r="R1451" s="153"/>
      <c r="S1451" s="154"/>
      <c r="T1451" s="115"/>
    </row>
    <row r="1452" spans="1:20">
      <c r="A1452" t="s">
        <v>1230</v>
      </c>
      <c r="B1452" t="s">
        <v>72</v>
      </c>
      <c r="C1452" t="s">
        <v>55</v>
      </c>
      <c r="D1452" t="s">
        <v>551</v>
      </c>
      <c r="E1452" t="s">
        <v>3178</v>
      </c>
      <c r="F1452" s="121">
        <v>290</v>
      </c>
      <c r="G1452" s="121">
        <v>290</v>
      </c>
      <c r="H1452" t="s">
        <v>373</v>
      </c>
      <c r="I1452" s="156">
        <v>41089</v>
      </c>
      <c r="K1452" s="153"/>
      <c r="L1452" s="153"/>
      <c r="M1452" s="153"/>
      <c r="N1452" s="153"/>
      <c r="O1452" s="153"/>
      <c r="P1452" s="150"/>
      <c r="Q1452" s="150"/>
      <c r="R1452" s="153"/>
      <c r="S1452" s="154"/>
      <c r="T1452" s="115"/>
    </row>
    <row r="1453" spans="1:20">
      <c r="A1453" t="s">
        <v>1230</v>
      </c>
      <c r="B1453" t="s">
        <v>72</v>
      </c>
      <c r="C1453" t="s">
        <v>55</v>
      </c>
      <c r="D1453" t="s">
        <v>596</v>
      </c>
      <c r="E1453" t="s">
        <v>3179</v>
      </c>
      <c r="F1453" s="121">
        <v>288.39999999999998</v>
      </c>
      <c r="G1453" s="121">
        <v>288.39999999999998</v>
      </c>
      <c r="H1453" t="s">
        <v>373</v>
      </c>
      <c r="I1453" s="156">
        <v>41089</v>
      </c>
      <c r="K1453" s="153"/>
      <c r="L1453" s="153"/>
      <c r="M1453" s="153"/>
      <c r="N1453" s="153"/>
      <c r="O1453" s="153"/>
      <c r="P1453" s="150"/>
      <c r="Q1453" s="150"/>
      <c r="R1453" s="153"/>
      <c r="S1453" s="154"/>
      <c r="T1453" s="115"/>
    </row>
    <row r="1454" spans="1:20">
      <c r="A1454" t="s">
        <v>1230</v>
      </c>
      <c r="B1454" t="s">
        <v>72</v>
      </c>
      <c r="C1454" t="s">
        <v>55</v>
      </c>
      <c r="D1454" t="s">
        <v>588</v>
      </c>
      <c r="E1454" t="s">
        <v>3180</v>
      </c>
      <c r="F1454" s="121">
        <v>288.39999999999998</v>
      </c>
      <c r="G1454" s="121">
        <v>288.39999999999998</v>
      </c>
      <c r="H1454" t="s">
        <v>373</v>
      </c>
      <c r="I1454" s="156">
        <v>41089</v>
      </c>
      <c r="K1454" s="153"/>
      <c r="L1454" s="153"/>
      <c r="M1454" s="153"/>
      <c r="N1454" s="153"/>
      <c r="O1454" s="153"/>
      <c r="P1454" s="150"/>
      <c r="Q1454" s="150"/>
      <c r="R1454" s="153"/>
      <c r="S1454" s="154"/>
      <c r="T1454" s="115"/>
    </row>
    <row r="1455" spans="1:20">
      <c r="A1455" t="s">
        <v>1230</v>
      </c>
      <c r="B1455" t="s">
        <v>72</v>
      </c>
      <c r="C1455" t="s">
        <v>55</v>
      </c>
      <c r="D1455" t="s">
        <v>569</v>
      </c>
      <c r="E1455" t="s">
        <v>3181</v>
      </c>
      <c r="F1455" s="121">
        <v>386.25</v>
      </c>
      <c r="G1455" s="121">
        <v>386.25</v>
      </c>
      <c r="H1455" t="s">
        <v>373</v>
      </c>
      <c r="I1455" s="156">
        <v>41089</v>
      </c>
      <c r="K1455" s="153"/>
      <c r="L1455" s="153"/>
      <c r="M1455" s="153"/>
      <c r="N1455" s="153"/>
      <c r="O1455" s="153"/>
      <c r="P1455" s="150"/>
      <c r="Q1455" s="150"/>
      <c r="R1455" s="153"/>
      <c r="S1455" s="154"/>
      <c r="T1455" s="115"/>
    </row>
    <row r="1456" spans="1:20">
      <c r="A1456" t="s">
        <v>1230</v>
      </c>
      <c r="B1456" t="s">
        <v>72</v>
      </c>
      <c r="C1456" t="s">
        <v>55</v>
      </c>
      <c r="D1456" t="s">
        <v>547</v>
      </c>
      <c r="E1456" t="s">
        <v>3182</v>
      </c>
      <c r="F1456" s="121">
        <v>566.5</v>
      </c>
      <c r="G1456" s="121">
        <v>566.5</v>
      </c>
      <c r="H1456" t="s">
        <v>373</v>
      </c>
      <c r="I1456" s="156">
        <v>41089</v>
      </c>
      <c r="K1456" s="153"/>
      <c r="L1456" s="153"/>
      <c r="M1456" s="153"/>
      <c r="N1456" s="153"/>
      <c r="O1456" s="153"/>
      <c r="P1456" s="150"/>
      <c r="Q1456" s="150"/>
      <c r="R1456" s="153"/>
      <c r="S1456" s="154"/>
      <c r="T1456" s="115"/>
    </row>
    <row r="1457" spans="1:20">
      <c r="A1457" t="s">
        <v>1230</v>
      </c>
      <c r="B1457" t="s">
        <v>72</v>
      </c>
      <c r="C1457" t="s">
        <v>55</v>
      </c>
      <c r="D1457" t="s">
        <v>597</v>
      </c>
      <c r="E1457" t="s">
        <v>3183</v>
      </c>
      <c r="F1457" s="121">
        <v>399</v>
      </c>
      <c r="G1457" s="121">
        <v>329.6</v>
      </c>
      <c r="H1457" t="s">
        <v>373</v>
      </c>
      <c r="I1457" s="156">
        <v>40968</v>
      </c>
      <c r="K1457" s="153"/>
      <c r="L1457" s="153"/>
      <c r="M1457" s="153"/>
      <c r="N1457" s="153"/>
      <c r="O1457" s="153"/>
      <c r="P1457" s="150"/>
      <c r="Q1457" s="150"/>
      <c r="R1457" s="153"/>
      <c r="S1457" s="154"/>
      <c r="T1457" s="115"/>
    </row>
    <row r="1458" spans="1:20">
      <c r="A1458" t="s">
        <v>1230</v>
      </c>
      <c r="B1458" t="s">
        <v>72</v>
      </c>
      <c r="C1458" t="s">
        <v>55</v>
      </c>
      <c r="D1458" t="s">
        <v>539</v>
      </c>
      <c r="E1458" t="s">
        <v>7280</v>
      </c>
      <c r="F1458" s="121">
        <v>50</v>
      </c>
      <c r="G1458" s="121">
        <v>45</v>
      </c>
      <c r="H1458" t="s">
        <v>373</v>
      </c>
      <c r="I1458" s="156">
        <v>39813</v>
      </c>
      <c r="K1458" s="153"/>
      <c r="L1458" s="153"/>
      <c r="M1458" s="153"/>
      <c r="N1458" s="153"/>
      <c r="O1458" s="153"/>
      <c r="P1458" s="150"/>
      <c r="Q1458" s="150"/>
      <c r="R1458" s="153"/>
      <c r="S1458" s="154"/>
      <c r="T1458" s="115"/>
    </row>
    <row r="1459" spans="1:20">
      <c r="A1459" t="s">
        <v>1230</v>
      </c>
      <c r="B1459" t="s">
        <v>72</v>
      </c>
      <c r="C1459" t="s">
        <v>55</v>
      </c>
      <c r="D1459" t="s">
        <v>539</v>
      </c>
      <c r="E1459" t="s">
        <v>7281</v>
      </c>
      <c r="F1459" s="121">
        <v>50</v>
      </c>
      <c r="G1459" s="121">
        <v>45</v>
      </c>
      <c r="H1459" t="s">
        <v>373</v>
      </c>
      <c r="I1459" s="156">
        <v>39813</v>
      </c>
      <c r="K1459" s="153"/>
      <c r="L1459" s="153"/>
      <c r="M1459" s="153"/>
      <c r="N1459" s="153"/>
      <c r="O1459" s="153"/>
      <c r="P1459" s="150"/>
      <c r="Q1459" s="150"/>
      <c r="R1459" s="153"/>
      <c r="S1459" s="154"/>
      <c r="T1459" s="115"/>
    </row>
    <row r="1460" spans="1:20">
      <c r="A1460" t="s">
        <v>1230</v>
      </c>
      <c r="B1460" t="s">
        <v>72</v>
      </c>
      <c r="C1460" t="s">
        <v>55</v>
      </c>
      <c r="D1460" t="s">
        <v>539</v>
      </c>
      <c r="E1460" t="s">
        <v>7282</v>
      </c>
      <c r="F1460" s="121">
        <v>50</v>
      </c>
      <c r="G1460" s="121">
        <v>45</v>
      </c>
      <c r="H1460" t="s">
        <v>373</v>
      </c>
      <c r="I1460" s="156">
        <v>39813</v>
      </c>
      <c r="K1460" s="153"/>
      <c r="L1460" s="153"/>
      <c r="M1460" s="153"/>
      <c r="N1460" s="153"/>
      <c r="O1460" s="153"/>
      <c r="P1460" s="150"/>
      <c r="Q1460" s="150"/>
      <c r="R1460" s="153"/>
      <c r="S1460" s="154"/>
      <c r="T1460" s="115"/>
    </row>
    <row r="1461" spans="1:20">
      <c r="A1461" t="s">
        <v>1230</v>
      </c>
      <c r="B1461" t="s">
        <v>72</v>
      </c>
      <c r="C1461" t="s">
        <v>55</v>
      </c>
      <c r="D1461" t="s">
        <v>598</v>
      </c>
      <c r="E1461" t="s">
        <v>3184</v>
      </c>
      <c r="F1461" s="121">
        <v>229</v>
      </c>
      <c r="G1461" s="121">
        <v>164.8</v>
      </c>
      <c r="H1461" t="s">
        <v>373</v>
      </c>
      <c r="I1461" s="156">
        <v>40968</v>
      </c>
      <c r="K1461" s="153"/>
      <c r="L1461" s="153"/>
      <c r="M1461" s="153"/>
      <c r="N1461" s="153"/>
      <c r="O1461" s="153"/>
      <c r="P1461" s="150"/>
      <c r="Q1461" s="150"/>
      <c r="R1461" s="153"/>
      <c r="S1461" s="154"/>
      <c r="T1461" s="115"/>
    </row>
    <row r="1462" spans="1:20">
      <c r="A1462" t="s">
        <v>1230</v>
      </c>
      <c r="B1462" t="s">
        <v>72</v>
      </c>
      <c r="C1462" t="s">
        <v>55</v>
      </c>
      <c r="D1462" t="s">
        <v>591</v>
      </c>
      <c r="E1462" t="s">
        <v>3185</v>
      </c>
      <c r="F1462" s="121">
        <v>300</v>
      </c>
      <c r="G1462" s="121">
        <v>290</v>
      </c>
      <c r="H1462" t="s">
        <v>373</v>
      </c>
      <c r="I1462" s="156">
        <v>39813</v>
      </c>
      <c r="K1462" s="153"/>
      <c r="L1462" s="153"/>
      <c r="M1462" s="153"/>
      <c r="N1462" s="153"/>
      <c r="O1462" s="153"/>
      <c r="P1462" s="150"/>
      <c r="Q1462" s="150"/>
      <c r="R1462" s="153"/>
      <c r="S1462" s="154"/>
      <c r="T1462" s="115"/>
    </row>
    <row r="1463" spans="1:20">
      <c r="A1463" t="s">
        <v>1230</v>
      </c>
      <c r="B1463" t="s">
        <v>72</v>
      </c>
      <c r="C1463" t="s">
        <v>55</v>
      </c>
      <c r="D1463" t="s">
        <v>591</v>
      </c>
      <c r="E1463" t="s">
        <v>3186</v>
      </c>
      <c r="F1463" s="121">
        <v>300</v>
      </c>
      <c r="G1463" s="121">
        <v>290</v>
      </c>
      <c r="H1463" t="s">
        <v>373</v>
      </c>
      <c r="I1463" s="156">
        <v>39813</v>
      </c>
      <c r="K1463" s="153"/>
      <c r="L1463" s="153"/>
      <c r="M1463" s="153"/>
      <c r="N1463" s="153"/>
      <c r="O1463" s="153"/>
      <c r="P1463" s="150"/>
      <c r="Q1463" s="150"/>
      <c r="R1463" s="153"/>
      <c r="S1463" s="154"/>
      <c r="T1463" s="115"/>
    </row>
    <row r="1464" spans="1:20">
      <c r="A1464" t="s">
        <v>1230</v>
      </c>
      <c r="B1464" t="s">
        <v>72</v>
      </c>
      <c r="C1464" t="s">
        <v>55</v>
      </c>
      <c r="D1464" t="s">
        <v>591</v>
      </c>
      <c r="E1464" t="s">
        <v>3187</v>
      </c>
      <c r="F1464" s="121">
        <v>300</v>
      </c>
      <c r="G1464" s="121">
        <v>290</v>
      </c>
      <c r="H1464" t="s">
        <v>373</v>
      </c>
      <c r="I1464" s="156">
        <v>39813</v>
      </c>
      <c r="K1464" s="153"/>
      <c r="L1464" s="153"/>
      <c r="M1464" s="153"/>
      <c r="N1464" s="153"/>
      <c r="O1464" s="153"/>
      <c r="P1464" s="150"/>
      <c r="Q1464" s="150"/>
      <c r="R1464" s="153"/>
      <c r="S1464" s="154"/>
      <c r="T1464" s="115"/>
    </row>
    <row r="1465" spans="1:20">
      <c r="A1465" t="s">
        <v>1230</v>
      </c>
      <c r="B1465" t="s">
        <v>72</v>
      </c>
      <c r="C1465" t="s">
        <v>55</v>
      </c>
      <c r="D1465" t="s">
        <v>599</v>
      </c>
      <c r="E1465" t="s">
        <v>3188</v>
      </c>
      <c r="F1465" s="121">
        <v>772.5</v>
      </c>
      <c r="G1465" s="121">
        <v>772.5</v>
      </c>
      <c r="H1465" t="s">
        <v>373</v>
      </c>
      <c r="I1465" s="156">
        <v>41089</v>
      </c>
      <c r="K1465" s="153"/>
      <c r="L1465" s="153"/>
      <c r="M1465" s="153"/>
      <c r="N1465" s="153"/>
      <c r="O1465" s="153"/>
      <c r="P1465" s="150"/>
      <c r="Q1465" s="150"/>
      <c r="R1465" s="153"/>
      <c r="S1465" s="154"/>
      <c r="T1465" s="115"/>
    </row>
    <row r="1466" spans="1:20">
      <c r="A1466" t="s">
        <v>1230</v>
      </c>
      <c r="B1466" t="s">
        <v>72</v>
      </c>
      <c r="C1466" t="s">
        <v>55</v>
      </c>
      <c r="D1466" t="s">
        <v>7283</v>
      </c>
      <c r="E1466" t="s">
        <v>7284</v>
      </c>
      <c r="F1466" s="121">
        <v>800</v>
      </c>
      <c r="G1466" s="121">
        <v>625.70000000000005</v>
      </c>
      <c r="H1466" t="s">
        <v>373</v>
      </c>
      <c r="I1466" s="156">
        <v>39813</v>
      </c>
      <c r="K1466" s="153"/>
      <c r="L1466" s="153"/>
      <c r="M1466" s="153"/>
      <c r="N1466" s="153"/>
      <c r="O1466" s="153"/>
      <c r="P1466" s="150"/>
      <c r="Q1466" s="150"/>
      <c r="R1466" s="153"/>
      <c r="S1466" s="154"/>
      <c r="T1466" s="115"/>
    </row>
    <row r="1467" spans="1:20">
      <c r="A1467" t="s">
        <v>1230</v>
      </c>
      <c r="B1467" t="s">
        <v>72</v>
      </c>
      <c r="C1467" t="s">
        <v>55</v>
      </c>
      <c r="D1467" t="s">
        <v>7283</v>
      </c>
      <c r="E1467" t="s">
        <v>7285</v>
      </c>
      <c r="F1467" s="121">
        <v>800</v>
      </c>
      <c r="G1467" s="121">
        <v>625.70000000000005</v>
      </c>
      <c r="H1467" t="s">
        <v>373</v>
      </c>
      <c r="I1467" s="156">
        <v>39813</v>
      </c>
      <c r="K1467" s="153"/>
      <c r="L1467" s="153"/>
      <c r="M1467" s="153"/>
      <c r="N1467" s="153"/>
      <c r="O1467" s="153"/>
      <c r="P1467" s="150"/>
      <c r="Q1467" s="150"/>
      <c r="R1467" s="153"/>
      <c r="S1467" s="154"/>
      <c r="T1467" s="115"/>
    </row>
    <row r="1468" spans="1:20">
      <c r="A1468" t="s">
        <v>1230</v>
      </c>
      <c r="B1468" t="s">
        <v>72</v>
      </c>
      <c r="C1468" t="s">
        <v>55</v>
      </c>
      <c r="D1468" t="s">
        <v>7283</v>
      </c>
      <c r="E1468" t="s">
        <v>7286</v>
      </c>
      <c r="F1468" s="121">
        <v>800</v>
      </c>
      <c r="G1468" s="121">
        <v>625.70000000000005</v>
      </c>
      <c r="H1468" t="s">
        <v>373</v>
      </c>
      <c r="I1468" s="156">
        <v>39813</v>
      </c>
      <c r="K1468" s="153"/>
      <c r="L1468" s="153"/>
      <c r="M1468" s="153"/>
      <c r="N1468" s="153"/>
      <c r="O1468" s="153"/>
      <c r="P1468" s="150"/>
      <c r="Q1468" s="150"/>
      <c r="R1468" s="153"/>
      <c r="S1468" s="154"/>
      <c r="T1468" s="115"/>
    </row>
    <row r="1469" spans="1:20">
      <c r="A1469" t="s">
        <v>1230</v>
      </c>
      <c r="B1469" t="s">
        <v>72</v>
      </c>
      <c r="C1469" t="s">
        <v>55</v>
      </c>
      <c r="D1469" t="s">
        <v>7283</v>
      </c>
      <c r="E1469" t="s">
        <v>7287</v>
      </c>
      <c r="F1469" s="121">
        <v>800</v>
      </c>
      <c r="G1469" s="121">
        <v>625.70000000000005</v>
      </c>
      <c r="H1469" t="s">
        <v>373</v>
      </c>
      <c r="I1469" s="156">
        <v>39813</v>
      </c>
      <c r="K1469" s="153"/>
      <c r="L1469" s="153"/>
      <c r="M1469" s="153"/>
      <c r="N1469" s="153"/>
      <c r="O1469" s="153"/>
      <c r="P1469" s="150"/>
      <c r="Q1469" s="150"/>
      <c r="R1469" s="153"/>
      <c r="S1469" s="154"/>
      <c r="T1469" s="115"/>
    </row>
    <row r="1470" spans="1:20">
      <c r="A1470" t="s">
        <v>1230</v>
      </c>
      <c r="B1470" t="s">
        <v>72</v>
      </c>
      <c r="C1470" t="s">
        <v>55</v>
      </c>
      <c r="D1470" t="s">
        <v>7283</v>
      </c>
      <c r="E1470" t="s">
        <v>7288</v>
      </c>
      <c r="F1470" s="121">
        <v>800</v>
      </c>
      <c r="G1470" s="121">
        <v>625.70000000000005</v>
      </c>
      <c r="H1470" t="s">
        <v>373</v>
      </c>
      <c r="I1470" s="156">
        <v>39813</v>
      </c>
      <c r="K1470" s="153"/>
      <c r="L1470" s="153"/>
      <c r="M1470" s="153"/>
      <c r="N1470" s="153"/>
      <c r="O1470" s="153"/>
      <c r="P1470" s="150"/>
      <c r="Q1470" s="150"/>
      <c r="R1470" s="153"/>
      <c r="S1470" s="154"/>
      <c r="T1470" s="115"/>
    </row>
    <row r="1471" spans="1:20">
      <c r="A1471" t="s">
        <v>1230</v>
      </c>
      <c r="B1471" t="s">
        <v>72</v>
      </c>
      <c r="C1471" t="s">
        <v>55</v>
      </c>
      <c r="D1471" t="s">
        <v>7283</v>
      </c>
      <c r="E1471" t="s">
        <v>7289</v>
      </c>
      <c r="F1471" s="121">
        <v>800</v>
      </c>
      <c r="G1471" s="121">
        <v>625.70000000000005</v>
      </c>
      <c r="H1471" t="s">
        <v>373</v>
      </c>
      <c r="I1471" s="156">
        <v>39813</v>
      </c>
      <c r="K1471" s="153"/>
      <c r="L1471" s="153"/>
      <c r="M1471" s="153"/>
      <c r="N1471" s="153"/>
      <c r="O1471" s="153"/>
      <c r="P1471" s="150"/>
      <c r="Q1471" s="150"/>
      <c r="R1471" s="153"/>
      <c r="S1471" s="154"/>
      <c r="T1471" s="115"/>
    </row>
    <row r="1472" spans="1:20">
      <c r="A1472" t="s">
        <v>1230</v>
      </c>
      <c r="B1472" t="s">
        <v>72</v>
      </c>
      <c r="C1472" t="s">
        <v>55</v>
      </c>
      <c r="D1472" t="s">
        <v>7283</v>
      </c>
      <c r="E1472" t="s">
        <v>7290</v>
      </c>
      <c r="F1472" s="121">
        <v>800</v>
      </c>
      <c r="G1472" s="121">
        <v>625.70000000000005</v>
      </c>
      <c r="H1472" t="s">
        <v>373</v>
      </c>
      <c r="I1472" s="156">
        <v>39813</v>
      </c>
      <c r="K1472" s="153"/>
      <c r="L1472" s="153"/>
      <c r="M1472" s="153"/>
      <c r="N1472" s="153"/>
      <c r="O1472" s="153"/>
      <c r="P1472" s="152"/>
      <c r="Q1472" s="152"/>
      <c r="R1472" s="153"/>
      <c r="S1472" s="154"/>
      <c r="T1472" s="115"/>
    </row>
    <row r="1473" spans="1:20">
      <c r="A1473" t="s">
        <v>1230</v>
      </c>
      <c r="B1473" t="s">
        <v>72</v>
      </c>
      <c r="C1473" t="s">
        <v>55</v>
      </c>
      <c r="D1473" t="s">
        <v>7283</v>
      </c>
      <c r="E1473" t="s">
        <v>7291</v>
      </c>
      <c r="F1473" s="121">
        <v>800</v>
      </c>
      <c r="G1473" s="121">
        <v>625.70000000000005</v>
      </c>
      <c r="H1473" t="s">
        <v>373</v>
      </c>
      <c r="I1473" s="156">
        <v>39813</v>
      </c>
      <c r="K1473" s="153"/>
      <c r="L1473" s="153"/>
      <c r="M1473" s="153"/>
      <c r="N1473" s="153"/>
      <c r="O1473" s="153"/>
      <c r="P1473" s="152"/>
      <c r="Q1473" s="152"/>
      <c r="R1473" s="153"/>
      <c r="S1473" s="154"/>
      <c r="T1473" s="115"/>
    </row>
    <row r="1474" spans="1:20">
      <c r="A1474" t="s">
        <v>1230</v>
      </c>
      <c r="B1474" t="s">
        <v>72</v>
      </c>
      <c r="C1474" t="s">
        <v>51</v>
      </c>
      <c r="D1474" t="s">
        <v>600</v>
      </c>
      <c r="E1474" t="s">
        <v>3189</v>
      </c>
      <c r="F1474" s="121">
        <v>6695</v>
      </c>
      <c r="G1474" s="121">
        <v>6695</v>
      </c>
      <c r="H1474" t="s">
        <v>373</v>
      </c>
      <c r="I1474" s="156">
        <v>41089</v>
      </c>
      <c r="K1474" s="153"/>
      <c r="L1474" s="153"/>
      <c r="M1474" s="153"/>
      <c r="N1474" s="153"/>
      <c r="O1474" s="153"/>
      <c r="P1474" s="152"/>
      <c r="Q1474" s="152"/>
      <c r="R1474" s="153"/>
      <c r="S1474" s="154"/>
      <c r="T1474" s="115"/>
    </row>
    <row r="1475" spans="1:20">
      <c r="A1475" t="s">
        <v>1230</v>
      </c>
      <c r="B1475" t="s">
        <v>72</v>
      </c>
      <c r="C1475" t="s">
        <v>51</v>
      </c>
      <c r="D1475" t="s">
        <v>600</v>
      </c>
      <c r="E1475" t="s">
        <v>3190</v>
      </c>
      <c r="F1475" s="121">
        <v>6695</v>
      </c>
      <c r="G1475" s="121">
        <v>6695</v>
      </c>
      <c r="H1475" t="s">
        <v>373</v>
      </c>
      <c r="I1475" s="156">
        <v>41089</v>
      </c>
      <c r="K1475" s="153"/>
      <c r="L1475" s="153"/>
      <c r="M1475" s="153"/>
      <c r="N1475" s="153"/>
      <c r="O1475" s="153"/>
      <c r="P1475" s="150"/>
      <c r="Q1475" s="150"/>
      <c r="R1475" s="153"/>
      <c r="S1475" s="154"/>
      <c r="T1475" s="115"/>
    </row>
    <row r="1476" spans="1:20">
      <c r="A1476" t="s">
        <v>1230</v>
      </c>
      <c r="B1476" t="s">
        <v>72</v>
      </c>
      <c r="C1476" t="s">
        <v>51</v>
      </c>
      <c r="D1476" t="s">
        <v>601</v>
      </c>
      <c r="E1476" t="s">
        <v>3191</v>
      </c>
      <c r="F1476" s="121">
        <v>6283</v>
      </c>
      <c r="G1476" s="121">
        <v>6283</v>
      </c>
      <c r="H1476" t="s">
        <v>373</v>
      </c>
      <c r="I1476" s="156">
        <v>41089</v>
      </c>
      <c r="K1476" s="153"/>
      <c r="L1476" s="153"/>
      <c r="M1476" s="153"/>
      <c r="N1476" s="153"/>
      <c r="O1476" s="153"/>
      <c r="P1476" s="150"/>
      <c r="Q1476" s="150"/>
      <c r="R1476" s="153"/>
      <c r="S1476" s="154"/>
      <c r="T1476" s="115"/>
    </row>
    <row r="1477" spans="1:20">
      <c r="A1477" t="s">
        <v>1230</v>
      </c>
      <c r="B1477" t="s">
        <v>72</v>
      </c>
      <c r="C1477" t="s">
        <v>43</v>
      </c>
      <c r="D1477" t="s">
        <v>537</v>
      </c>
      <c r="E1477" t="s">
        <v>7292</v>
      </c>
      <c r="F1477" s="121">
        <v>767.35</v>
      </c>
      <c r="G1477" s="121">
        <v>767.35</v>
      </c>
      <c r="H1477" t="s">
        <v>373</v>
      </c>
      <c r="I1477" s="156">
        <v>41089</v>
      </c>
      <c r="K1477" s="153"/>
      <c r="L1477" s="153"/>
      <c r="M1477" s="153"/>
      <c r="N1477" s="153"/>
      <c r="O1477" s="153"/>
      <c r="P1477" s="150"/>
      <c r="Q1477" s="150"/>
      <c r="R1477" s="153"/>
      <c r="S1477" s="154"/>
      <c r="T1477" s="115"/>
    </row>
    <row r="1478" spans="1:20">
      <c r="A1478" t="s">
        <v>1230</v>
      </c>
      <c r="B1478" t="s">
        <v>72</v>
      </c>
      <c r="C1478" t="s">
        <v>55</v>
      </c>
      <c r="D1478" t="s">
        <v>573</v>
      </c>
      <c r="E1478" t="s">
        <v>3192</v>
      </c>
      <c r="F1478" s="121">
        <v>250</v>
      </c>
      <c r="G1478" s="121">
        <v>103</v>
      </c>
      <c r="H1478" t="s">
        <v>373</v>
      </c>
      <c r="I1478" s="156">
        <v>39813</v>
      </c>
      <c r="K1478" s="153"/>
      <c r="L1478" s="153"/>
      <c r="M1478" s="153"/>
      <c r="N1478" s="153"/>
      <c r="O1478" s="153"/>
      <c r="P1478" s="150"/>
      <c r="Q1478" s="150"/>
      <c r="R1478" s="153"/>
      <c r="S1478" s="154"/>
      <c r="T1478" s="115"/>
    </row>
    <row r="1479" spans="1:20">
      <c r="A1479" t="s">
        <v>1230</v>
      </c>
      <c r="B1479" t="s">
        <v>72</v>
      </c>
      <c r="C1479" t="s">
        <v>55</v>
      </c>
      <c r="D1479" t="s">
        <v>573</v>
      </c>
      <c r="E1479" t="s">
        <v>3193</v>
      </c>
      <c r="F1479" s="121">
        <v>250</v>
      </c>
      <c r="G1479" s="121">
        <v>92.7</v>
      </c>
      <c r="H1479" t="s">
        <v>373</v>
      </c>
      <c r="I1479" s="156">
        <v>39813</v>
      </c>
      <c r="K1479" s="153"/>
      <c r="L1479" s="153"/>
      <c r="M1479" s="153"/>
      <c r="N1479" s="153"/>
      <c r="O1479" s="153"/>
      <c r="P1479" s="150"/>
      <c r="Q1479" s="150"/>
      <c r="R1479" s="153"/>
      <c r="S1479" s="154"/>
      <c r="T1479" s="115"/>
    </row>
    <row r="1480" spans="1:20">
      <c r="A1480" t="s">
        <v>1230</v>
      </c>
      <c r="B1480" t="s">
        <v>72</v>
      </c>
      <c r="C1480" t="s">
        <v>55</v>
      </c>
      <c r="D1480" t="s">
        <v>569</v>
      </c>
      <c r="E1480" t="s">
        <v>3194</v>
      </c>
      <c r="F1480" s="121">
        <v>386.25</v>
      </c>
      <c r="G1480" s="121">
        <v>386.25</v>
      </c>
      <c r="H1480" t="s">
        <v>373</v>
      </c>
      <c r="I1480" s="156">
        <v>41089</v>
      </c>
      <c r="K1480" s="153"/>
      <c r="L1480" s="153"/>
      <c r="M1480" s="153"/>
      <c r="N1480" s="153"/>
      <c r="O1480" s="153"/>
      <c r="P1480" s="150"/>
      <c r="Q1480" s="150"/>
      <c r="R1480" s="153"/>
      <c r="S1480" s="154"/>
      <c r="T1480" s="115"/>
    </row>
    <row r="1481" spans="1:20">
      <c r="A1481" t="s">
        <v>1230</v>
      </c>
      <c r="B1481" t="s">
        <v>72</v>
      </c>
      <c r="C1481" t="s">
        <v>55</v>
      </c>
      <c r="D1481" t="s">
        <v>7293</v>
      </c>
      <c r="E1481" t="s">
        <v>7294</v>
      </c>
      <c r="F1481" s="121">
        <v>947.6</v>
      </c>
      <c r="G1481" s="121">
        <v>947.6</v>
      </c>
      <c r="H1481" t="s">
        <v>373</v>
      </c>
      <c r="I1481" s="156">
        <v>41089</v>
      </c>
      <c r="K1481" s="153"/>
      <c r="L1481" s="153"/>
      <c r="M1481" s="153"/>
      <c r="N1481" s="153"/>
      <c r="O1481" s="153"/>
      <c r="P1481" s="150"/>
      <c r="Q1481" s="150"/>
      <c r="R1481" s="153"/>
      <c r="S1481" s="154"/>
      <c r="T1481" s="115"/>
    </row>
    <row r="1482" spans="1:20">
      <c r="A1482" t="s">
        <v>1230</v>
      </c>
      <c r="B1482" t="s">
        <v>72</v>
      </c>
      <c r="C1482" t="s">
        <v>55</v>
      </c>
      <c r="D1482" t="s">
        <v>589</v>
      </c>
      <c r="E1482" t="s">
        <v>7295</v>
      </c>
      <c r="F1482" s="121">
        <v>103</v>
      </c>
      <c r="G1482" s="121">
        <v>103</v>
      </c>
      <c r="H1482" t="s">
        <v>373</v>
      </c>
      <c r="I1482" s="156">
        <v>41089</v>
      </c>
      <c r="K1482" s="153"/>
      <c r="L1482" s="153"/>
      <c r="M1482" s="153"/>
      <c r="N1482" s="153"/>
      <c r="O1482" s="153"/>
      <c r="P1482" s="150"/>
      <c r="Q1482" s="150"/>
      <c r="R1482" s="153"/>
      <c r="S1482" s="154"/>
      <c r="T1482" s="115"/>
    </row>
    <row r="1483" spans="1:20">
      <c r="A1483" t="s">
        <v>1230</v>
      </c>
      <c r="B1483" t="s">
        <v>72</v>
      </c>
      <c r="C1483" t="s">
        <v>43</v>
      </c>
      <c r="D1483" t="s">
        <v>548</v>
      </c>
      <c r="E1483" t="s">
        <v>3195</v>
      </c>
      <c r="F1483" s="121">
        <v>1957</v>
      </c>
      <c r="G1483" s="121">
        <v>1957</v>
      </c>
      <c r="H1483" t="s">
        <v>373</v>
      </c>
      <c r="I1483" s="156">
        <v>41089</v>
      </c>
      <c r="K1483" s="153"/>
      <c r="L1483" s="153"/>
      <c r="M1483" s="153"/>
      <c r="N1483" s="153"/>
      <c r="O1483" s="153"/>
      <c r="P1483" s="150"/>
      <c r="Q1483" s="150"/>
      <c r="R1483" s="153"/>
      <c r="S1483" s="154"/>
      <c r="T1483" s="115"/>
    </row>
    <row r="1484" spans="1:20">
      <c r="A1484" t="s">
        <v>1230</v>
      </c>
      <c r="B1484" t="s">
        <v>72</v>
      </c>
      <c r="C1484" t="s">
        <v>43</v>
      </c>
      <c r="D1484" t="s">
        <v>548</v>
      </c>
      <c r="E1484" t="s">
        <v>3196</v>
      </c>
      <c r="F1484" s="121">
        <v>1957</v>
      </c>
      <c r="G1484" s="121">
        <v>1957</v>
      </c>
      <c r="H1484" t="s">
        <v>373</v>
      </c>
      <c r="I1484" s="156">
        <v>41089</v>
      </c>
      <c r="K1484" s="153"/>
      <c r="L1484" s="153"/>
      <c r="M1484" s="153"/>
      <c r="N1484" s="153"/>
      <c r="O1484" s="153"/>
      <c r="P1484" s="150"/>
      <c r="Q1484" s="150"/>
      <c r="R1484" s="153"/>
      <c r="S1484" s="154"/>
      <c r="T1484" s="115"/>
    </row>
    <row r="1485" spans="1:20">
      <c r="A1485" t="s">
        <v>1230</v>
      </c>
      <c r="B1485" t="s">
        <v>72</v>
      </c>
      <c r="C1485" t="s">
        <v>43</v>
      </c>
      <c r="D1485" t="s">
        <v>548</v>
      </c>
      <c r="E1485" t="s">
        <v>3197</v>
      </c>
      <c r="F1485" s="121">
        <v>1957</v>
      </c>
      <c r="G1485" s="121">
        <v>1957</v>
      </c>
      <c r="H1485" t="s">
        <v>373</v>
      </c>
      <c r="I1485" s="156">
        <v>41089</v>
      </c>
      <c r="K1485" s="153"/>
      <c r="L1485" s="153"/>
      <c r="M1485" s="153"/>
      <c r="N1485" s="153"/>
      <c r="O1485" s="153"/>
      <c r="P1485" s="150"/>
      <c r="Q1485" s="150"/>
      <c r="R1485" s="153"/>
      <c r="S1485" s="154"/>
      <c r="T1485" s="115"/>
    </row>
    <row r="1486" spans="1:20">
      <c r="A1486" t="s">
        <v>1230</v>
      </c>
      <c r="B1486" t="s">
        <v>72</v>
      </c>
      <c r="C1486" t="s">
        <v>43</v>
      </c>
      <c r="D1486" t="s">
        <v>566</v>
      </c>
      <c r="E1486" t="s">
        <v>3198</v>
      </c>
      <c r="F1486" s="121">
        <v>1957</v>
      </c>
      <c r="G1486" s="121">
        <v>1957</v>
      </c>
      <c r="H1486" t="s">
        <v>373</v>
      </c>
      <c r="I1486" s="156">
        <v>41089</v>
      </c>
      <c r="K1486" s="153"/>
      <c r="L1486" s="153"/>
      <c r="M1486" s="153"/>
      <c r="N1486" s="153"/>
      <c r="O1486" s="153"/>
      <c r="P1486" s="150"/>
      <c r="Q1486" s="150"/>
      <c r="R1486" s="153"/>
      <c r="S1486" s="154"/>
      <c r="T1486" s="115"/>
    </row>
    <row r="1487" spans="1:20">
      <c r="A1487" t="s">
        <v>1230</v>
      </c>
      <c r="B1487" t="s">
        <v>72</v>
      </c>
      <c r="C1487" t="s">
        <v>43</v>
      </c>
      <c r="D1487" t="s">
        <v>566</v>
      </c>
      <c r="E1487" t="s">
        <v>3199</v>
      </c>
      <c r="F1487" s="121">
        <v>1957</v>
      </c>
      <c r="G1487" s="121">
        <v>1957</v>
      </c>
      <c r="H1487" t="s">
        <v>373</v>
      </c>
      <c r="I1487" s="156">
        <v>41089</v>
      </c>
      <c r="K1487" s="153"/>
      <c r="L1487" s="153"/>
      <c r="M1487" s="153"/>
      <c r="N1487" s="153"/>
      <c r="O1487" s="153"/>
      <c r="P1487" s="150"/>
      <c r="Q1487" s="150"/>
      <c r="R1487" s="153"/>
      <c r="S1487" s="154"/>
      <c r="T1487" s="115"/>
    </row>
    <row r="1488" spans="1:20">
      <c r="A1488" t="s">
        <v>1230</v>
      </c>
      <c r="B1488" t="s">
        <v>72</v>
      </c>
      <c r="C1488" t="s">
        <v>43</v>
      </c>
      <c r="D1488" t="s">
        <v>566</v>
      </c>
      <c r="E1488" t="s">
        <v>3200</v>
      </c>
      <c r="F1488" s="121">
        <v>1957</v>
      </c>
      <c r="G1488" s="121">
        <v>1957</v>
      </c>
      <c r="H1488" t="s">
        <v>373</v>
      </c>
      <c r="I1488" s="156">
        <v>41089</v>
      </c>
      <c r="K1488" s="153"/>
      <c r="L1488" s="153"/>
      <c r="M1488" s="153"/>
      <c r="N1488" s="153"/>
      <c r="O1488" s="153"/>
      <c r="P1488" s="150"/>
      <c r="Q1488" s="150"/>
      <c r="R1488" s="153"/>
      <c r="S1488" s="154"/>
      <c r="T1488" s="115"/>
    </row>
    <row r="1489" spans="1:20">
      <c r="A1489" t="s">
        <v>1230</v>
      </c>
      <c r="B1489" t="s">
        <v>72</v>
      </c>
      <c r="C1489" t="s">
        <v>43</v>
      </c>
      <c r="D1489" t="s">
        <v>566</v>
      </c>
      <c r="E1489" t="s">
        <v>3201</v>
      </c>
      <c r="F1489" s="121">
        <v>1957</v>
      </c>
      <c r="G1489" s="121">
        <v>1957</v>
      </c>
      <c r="H1489" t="s">
        <v>373</v>
      </c>
      <c r="I1489" s="156">
        <v>41089</v>
      </c>
      <c r="K1489" s="153"/>
      <c r="L1489" s="153"/>
      <c r="M1489" s="153"/>
      <c r="N1489" s="153"/>
      <c r="O1489" s="153"/>
      <c r="P1489" s="150"/>
      <c r="Q1489" s="150"/>
      <c r="R1489" s="153"/>
      <c r="S1489" s="154"/>
      <c r="T1489" s="115"/>
    </row>
    <row r="1490" spans="1:20">
      <c r="A1490" t="s">
        <v>1230</v>
      </c>
      <c r="B1490" t="s">
        <v>72</v>
      </c>
      <c r="C1490" t="s">
        <v>55</v>
      </c>
      <c r="D1490" t="s">
        <v>7189</v>
      </c>
      <c r="E1490" t="s">
        <v>7296</v>
      </c>
      <c r="F1490" s="121">
        <v>250</v>
      </c>
      <c r="G1490" s="121">
        <v>113.3</v>
      </c>
      <c r="H1490" t="s">
        <v>373</v>
      </c>
      <c r="I1490" s="156">
        <v>39813</v>
      </c>
      <c r="K1490" s="153"/>
      <c r="L1490" s="153"/>
      <c r="M1490" s="153"/>
      <c r="N1490" s="153"/>
      <c r="O1490" s="153"/>
      <c r="P1490" s="150"/>
      <c r="Q1490" s="150"/>
      <c r="R1490" s="153"/>
      <c r="S1490" s="154"/>
      <c r="T1490" s="115"/>
    </row>
    <row r="1491" spans="1:20">
      <c r="A1491" t="s">
        <v>1230</v>
      </c>
      <c r="B1491" t="s">
        <v>72</v>
      </c>
      <c r="C1491" t="s">
        <v>55</v>
      </c>
      <c r="D1491" t="s">
        <v>568</v>
      </c>
      <c r="E1491" t="s">
        <v>7297</v>
      </c>
      <c r="F1491" s="121">
        <v>350</v>
      </c>
      <c r="G1491" s="121">
        <v>298.7</v>
      </c>
      <c r="H1491" t="s">
        <v>373</v>
      </c>
      <c r="I1491" s="156">
        <v>39813</v>
      </c>
      <c r="K1491" s="153"/>
      <c r="L1491" s="153"/>
      <c r="M1491" s="153"/>
      <c r="N1491" s="153"/>
      <c r="O1491" s="153"/>
      <c r="P1491" s="150"/>
      <c r="Q1491" s="150"/>
      <c r="R1491" s="153"/>
      <c r="S1491" s="154"/>
      <c r="T1491" s="115"/>
    </row>
    <row r="1492" spans="1:20">
      <c r="A1492" t="s">
        <v>1230</v>
      </c>
      <c r="B1492" t="s">
        <v>72</v>
      </c>
      <c r="C1492" t="s">
        <v>55</v>
      </c>
      <c r="D1492" t="s">
        <v>602</v>
      </c>
      <c r="E1492" t="s">
        <v>3202</v>
      </c>
      <c r="F1492" s="121">
        <v>990</v>
      </c>
      <c r="G1492" s="121">
        <v>597.4</v>
      </c>
      <c r="H1492" t="s">
        <v>373</v>
      </c>
      <c r="I1492" s="156">
        <v>40742</v>
      </c>
      <c r="K1492" s="153"/>
      <c r="L1492" s="153"/>
      <c r="M1492" s="153"/>
      <c r="N1492" s="153"/>
      <c r="O1492" s="153"/>
      <c r="P1492" s="150"/>
      <c r="Q1492" s="150"/>
      <c r="R1492" s="153"/>
      <c r="S1492" s="154"/>
      <c r="T1492" s="115"/>
    </row>
    <row r="1493" spans="1:20">
      <c r="A1493" t="s">
        <v>1230</v>
      </c>
      <c r="B1493" t="s">
        <v>72</v>
      </c>
      <c r="C1493" t="s">
        <v>55</v>
      </c>
      <c r="D1493" t="s">
        <v>589</v>
      </c>
      <c r="E1493" t="s">
        <v>7298</v>
      </c>
      <c r="F1493" s="121">
        <v>92.7</v>
      </c>
      <c r="G1493" s="121">
        <v>92.7</v>
      </c>
      <c r="H1493" t="s">
        <v>373</v>
      </c>
      <c r="I1493" s="156">
        <v>41089</v>
      </c>
      <c r="K1493" s="153"/>
      <c r="L1493" s="153"/>
      <c r="M1493" s="153"/>
      <c r="N1493" s="153"/>
      <c r="O1493" s="153"/>
      <c r="P1493" s="150"/>
      <c r="Q1493" s="150"/>
      <c r="R1493" s="153"/>
      <c r="S1493" s="154"/>
      <c r="T1493" s="115"/>
    </row>
    <row r="1494" spans="1:20">
      <c r="A1494" t="s">
        <v>1230</v>
      </c>
      <c r="B1494" t="s">
        <v>72</v>
      </c>
      <c r="C1494" t="s">
        <v>55</v>
      </c>
      <c r="D1494" t="s">
        <v>7196</v>
      </c>
      <c r="E1494" t="s">
        <v>7299</v>
      </c>
      <c r="F1494" s="121">
        <v>70</v>
      </c>
      <c r="G1494" s="121">
        <v>55</v>
      </c>
      <c r="H1494" t="s">
        <v>373</v>
      </c>
      <c r="I1494" s="156">
        <v>39813</v>
      </c>
      <c r="K1494" s="153"/>
      <c r="L1494" s="153"/>
      <c r="M1494" s="153"/>
      <c r="N1494" s="153"/>
      <c r="O1494" s="153"/>
      <c r="P1494" s="152"/>
      <c r="Q1494" s="152"/>
      <c r="R1494" s="153"/>
      <c r="S1494" s="154"/>
      <c r="T1494" s="115"/>
    </row>
    <row r="1495" spans="1:20">
      <c r="A1495" t="s">
        <v>1230</v>
      </c>
      <c r="B1495" t="s">
        <v>72</v>
      </c>
      <c r="C1495" t="s">
        <v>43</v>
      </c>
      <c r="D1495" t="s">
        <v>7300</v>
      </c>
      <c r="E1495" t="s">
        <v>7301</v>
      </c>
      <c r="F1495" s="121">
        <v>250</v>
      </c>
      <c r="G1495" s="121">
        <v>1500</v>
      </c>
      <c r="H1495" t="s">
        <v>373</v>
      </c>
      <c r="I1495" s="156">
        <v>39813</v>
      </c>
      <c r="K1495" s="153"/>
      <c r="L1495" s="153"/>
      <c r="M1495" s="153"/>
      <c r="N1495" s="153"/>
      <c r="O1495" s="153"/>
      <c r="P1495" s="150"/>
      <c r="Q1495" s="150"/>
      <c r="R1495" s="153"/>
      <c r="S1495" s="154"/>
      <c r="T1495" s="115"/>
    </row>
    <row r="1496" spans="1:20">
      <c r="A1496" t="s">
        <v>1230</v>
      </c>
      <c r="B1496" t="s">
        <v>72</v>
      </c>
      <c r="C1496" t="s">
        <v>43</v>
      </c>
      <c r="D1496" t="s">
        <v>603</v>
      </c>
      <c r="E1496" t="s">
        <v>7302</v>
      </c>
      <c r="F1496" s="121">
        <v>2884</v>
      </c>
      <c r="G1496" s="121">
        <v>2884</v>
      </c>
      <c r="H1496" t="s">
        <v>373</v>
      </c>
      <c r="I1496" s="156">
        <v>41089</v>
      </c>
      <c r="K1496" s="153"/>
      <c r="L1496" s="153"/>
      <c r="M1496" s="153"/>
      <c r="N1496" s="153"/>
      <c r="O1496" s="153"/>
      <c r="P1496" s="152"/>
      <c r="Q1496" s="152"/>
      <c r="R1496" s="153"/>
      <c r="S1496" s="154"/>
      <c r="T1496" s="115"/>
    </row>
    <row r="1497" spans="1:20">
      <c r="A1497" t="s">
        <v>1230</v>
      </c>
      <c r="B1497" t="s">
        <v>72</v>
      </c>
      <c r="C1497" t="s">
        <v>43</v>
      </c>
      <c r="D1497" t="s">
        <v>7300</v>
      </c>
      <c r="E1497" t="s">
        <v>7303</v>
      </c>
      <c r="F1497" s="121">
        <v>1450</v>
      </c>
      <c r="G1497" s="121">
        <v>1450</v>
      </c>
      <c r="H1497" t="s">
        <v>373</v>
      </c>
      <c r="I1497" s="156">
        <v>41089</v>
      </c>
      <c r="K1497" s="153"/>
      <c r="L1497" s="153"/>
      <c r="M1497" s="153"/>
      <c r="N1497" s="153"/>
      <c r="O1497" s="153"/>
      <c r="P1497" s="152"/>
      <c r="Q1497" s="152"/>
      <c r="R1497" s="153"/>
      <c r="S1497" s="154"/>
      <c r="T1497" s="115"/>
    </row>
    <row r="1498" spans="1:20">
      <c r="A1498" t="s">
        <v>1230</v>
      </c>
      <c r="B1498" t="s">
        <v>72</v>
      </c>
      <c r="C1498" t="s">
        <v>43</v>
      </c>
      <c r="D1498" t="s">
        <v>566</v>
      </c>
      <c r="E1498" t="s">
        <v>3203</v>
      </c>
      <c r="F1498" s="121">
        <v>1957</v>
      </c>
      <c r="G1498" s="121">
        <v>1957</v>
      </c>
      <c r="H1498" t="s">
        <v>373</v>
      </c>
      <c r="I1498" s="156">
        <v>41089</v>
      </c>
      <c r="K1498" s="153"/>
      <c r="L1498" s="153"/>
      <c r="M1498" s="153"/>
      <c r="N1498" s="153"/>
      <c r="O1498" s="153"/>
      <c r="P1498" s="150"/>
      <c r="Q1498" s="150"/>
      <c r="R1498" s="153"/>
      <c r="S1498" s="154"/>
      <c r="T1498" s="115"/>
    </row>
    <row r="1499" spans="1:20">
      <c r="A1499" t="s">
        <v>1230</v>
      </c>
      <c r="B1499" t="s">
        <v>72</v>
      </c>
      <c r="C1499" t="s">
        <v>43</v>
      </c>
      <c r="D1499" t="s">
        <v>537</v>
      </c>
      <c r="E1499" t="s">
        <v>7304</v>
      </c>
      <c r="F1499" s="121">
        <v>906.4</v>
      </c>
      <c r="G1499" s="121">
        <v>906.4</v>
      </c>
      <c r="H1499" t="s">
        <v>373</v>
      </c>
      <c r="I1499" s="156">
        <v>41089</v>
      </c>
      <c r="K1499" s="153"/>
      <c r="L1499" s="153"/>
      <c r="M1499" s="153"/>
      <c r="N1499" s="153"/>
      <c r="O1499" s="153"/>
      <c r="P1499" s="150"/>
      <c r="Q1499" s="150"/>
      <c r="R1499" s="153"/>
      <c r="S1499" s="154"/>
      <c r="T1499" s="115"/>
    </row>
    <row r="1500" spans="1:20">
      <c r="A1500" t="s">
        <v>1230</v>
      </c>
      <c r="B1500" t="s">
        <v>72</v>
      </c>
      <c r="C1500" t="s">
        <v>55</v>
      </c>
      <c r="D1500" t="s">
        <v>591</v>
      </c>
      <c r="E1500" t="s">
        <v>3204</v>
      </c>
      <c r="F1500" s="121">
        <v>300</v>
      </c>
      <c r="G1500" s="121">
        <v>290</v>
      </c>
      <c r="H1500" t="s">
        <v>373</v>
      </c>
      <c r="I1500" s="156">
        <v>39813</v>
      </c>
      <c r="K1500" s="153"/>
      <c r="L1500" s="153"/>
      <c r="M1500" s="153"/>
      <c r="N1500" s="153"/>
      <c r="O1500" s="153"/>
      <c r="P1500" s="152"/>
      <c r="Q1500" s="152"/>
      <c r="R1500" s="153"/>
      <c r="S1500" s="154"/>
      <c r="T1500" s="115"/>
    </row>
    <row r="1501" spans="1:20">
      <c r="A1501" t="s">
        <v>1230</v>
      </c>
      <c r="B1501" t="s">
        <v>72</v>
      </c>
      <c r="C1501" t="s">
        <v>55</v>
      </c>
      <c r="D1501" t="s">
        <v>588</v>
      </c>
      <c r="E1501" t="s">
        <v>3205</v>
      </c>
      <c r="F1501" s="121">
        <v>288.39999999999998</v>
      </c>
      <c r="G1501" s="121">
        <v>288.39999999999998</v>
      </c>
      <c r="H1501" t="s">
        <v>373</v>
      </c>
      <c r="I1501" s="156">
        <v>41089</v>
      </c>
      <c r="K1501" s="153"/>
      <c r="L1501" s="153"/>
      <c r="M1501" s="153"/>
      <c r="N1501" s="153"/>
      <c r="O1501" s="153"/>
      <c r="P1501" s="150"/>
      <c r="Q1501" s="150"/>
      <c r="R1501" s="153"/>
      <c r="S1501" s="154"/>
      <c r="T1501" s="115"/>
    </row>
    <row r="1502" spans="1:20">
      <c r="A1502" t="s">
        <v>1230</v>
      </c>
      <c r="B1502" t="s">
        <v>72</v>
      </c>
      <c r="C1502" t="s">
        <v>55</v>
      </c>
      <c r="D1502" t="s">
        <v>588</v>
      </c>
      <c r="E1502" t="s">
        <v>3206</v>
      </c>
      <c r="F1502" s="121">
        <v>288.39999999999998</v>
      </c>
      <c r="G1502" s="121">
        <v>288.39999999999998</v>
      </c>
      <c r="H1502" t="s">
        <v>373</v>
      </c>
      <c r="I1502" s="156">
        <v>41089</v>
      </c>
      <c r="K1502" s="153"/>
      <c r="L1502" s="153"/>
      <c r="M1502" s="153"/>
      <c r="N1502" s="153"/>
      <c r="O1502" s="153"/>
      <c r="P1502" s="152"/>
      <c r="Q1502" s="152"/>
      <c r="R1502" s="153"/>
      <c r="S1502" s="154"/>
      <c r="T1502" s="115"/>
    </row>
    <row r="1503" spans="1:20">
      <c r="A1503" t="s">
        <v>1230</v>
      </c>
      <c r="B1503" t="s">
        <v>72</v>
      </c>
      <c r="C1503" t="s">
        <v>55</v>
      </c>
      <c r="D1503" t="s">
        <v>588</v>
      </c>
      <c r="E1503" t="s">
        <v>3207</v>
      </c>
      <c r="F1503" s="121">
        <v>288.39999999999998</v>
      </c>
      <c r="G1503" s="121">
        <v>288.39999999999998</v>
      </c>
      <c r="H1503" t="s">
        <v>373</v>
      </c>
      <c r="I1503" s="156">
        <v>41089</v>
      </c>
      <c r="K1503" s="153"/>
      <c r="L1503" s="153"/>
      <c r="M1503" s="153"/>
      <c r="N1503" s="153"/>
      <c r="O1503" s="153"/>
      <c r="P1503" s="150"/>
      <c r="Q1503" s="150"/>
      <c r="R1503" s="153"/>
      <c r="S1503" s="154"/>
      <c r="T1503" s="115"/>
    </row>
    <row r="1504" spans="1:20">
      <c r="A1504" t="s">
        <v>1230</v>
      </c>
      <c r="B1504" t="s">
        <v>72</v>
      </c>
      <c r="C1504" t="s">
        <v>55</v>
      </c>
      <c r="D1504" t="s">
        <v>588</v>
      </c>
      <c r="E1504" t="s">
        <v>3208</v>
      </c>
      <c r="F1504" s="121">
        <v>288.39999999999998</v>
      </c>
      <c r="G1504" s="121">
        <v>288.39999999999998</v>
      </c>
      <c r="H1504" t="s">
        <v>373</v>
      </c>
      <c r="I1504" s="156">
        <v>41089</v>
      </c>
      <c r="K1504" s="153"/>
      <c r="L1504" s="153"/>
      <c r="M1504" s="153"/>
      <c r="N1504" s="153"/>
      <c r="O1504" s="153"/>
      <c r="P1504" s="150"/>
      <c r="Q1504" s="150"/>
      <c r="R1504" s="153"/>
      <c r="S1504" s="154"/>
      <c r="T1504" s="115"/>
    </row>
    <row r="1505" spans="1:20">
      <c r="A1505" t="s">
        <v>1230</v>
      </c>
      <c r="B1505" t="s">
        <v>72</v>
      </c>
      <c r="C1505" t="s">
        <v>55</v>
      </c>
      <c r="D1505" t="s">
        <v>588</v>
      </c>
      <c r="E1505" t="s">
        <v>3209</v>
      </c>
      <c r="F1505" s="121">
        <v>288.39999999999998</v>
      </c>
      <c r="G1505" s="121">
        <v>288.39999999999998</v>
      </c>
      <c r="H1505" t="s">
        <v>373</v>
      </c>
      <c r="I1505" s="156">
        <v>41089</v>
      </c>
      <c r="K1505" s="153"/>
      <c r="L1505" s="153"/>
      <c r="M1505" s="153"/>
      <c r="N1505" s="153"/>
      <c r="O1505" s="153"/>
      <c r="P1505" s="150"/>
      <c r="Q1505" s="150"/>
      <c r="R1505" s="153"/>
      <c r="S1505" s="154"/>
      <c r="T1505" s="115"/>
    </row>
    <row r="1506" spans="1:20">
      <c r="A1506" t="s">
        <v>1230</v>
      </c>
      <c r="B1506" t="s">
        <v>72</v>
      </c>
      <c r="C1506" t="s">
        <v>55</v>
      </c>
      <c r="D1506" t="s">
        <v>588</v>
      </c>
      <c r="E1506" t="s">
        <v>3210</v>
      </c>
      <c r="F1506" s="121">
        <v>97.85</v>
      </c>
      <c r="G1506" s="121">
        <v>97.85</v>
      </c>
      <c r="H1506" t="s">
        <v>373</v>
      </c>
      <c r="I1506" s="156">
        <v>41089</v>
      </c>
      <c r="K1506" s="153"/>
      <c r="L1506" s="153"/>
      <c r="M1506" s="153"/>
      <c r="N1506" s="153"/>
      <c r="O1506" s="153"/>
      <c r="P1506" s="150"/>
      <c r="Q1506" s="150"/>
      <c r="R1506" s="153"/>
      <c r="S1506" s="154"/>
      <c r="T1506" s="115"/>
    </row>
    <row r="1507" spans="1:20">
      <c r="A1507" t="s">
        <v>1230</v>
      </c>
      <c r="B1507" t="s">
        <v>72</v>
      </c>
      <c r="C1507" t="s">
        <v>55</v>
      </c>
      <c r="D1507" t="s">
        <v>588</v>
      </c>
      <c r="E1507" t="s">
        <v>3211</v>
      </c>
      <c r="F1507" s="121">
        <v>288.39999999999998</v>
      </c>
      <c r="G1507" s="121">
        <v>288.39999999999998</v>
      </c>
      <c r="H1507" t="s">
        <v>373</v>
      </c>
      <c r="I1507" s="156">
        <v>41089</v>
      </c>
      <c r="K1507" s="153"/>
      <c r="L1507" s="153"/>
      <c r="M1507" s="153"/>
      <c r="N1507" s="153"/>
      <c r="O1507" s="153"/>
      <c r="P1507" s="150"/>
      <c r="Q1507" s="150"/>
      <c r="R1507" s="153"/>
      <c r="S1507" s="154"/>
      <c r="T1507" s="115"/>
    </row>
    <row r="1508" spans="1:20">
      <c r="A1508" t="s">
        <v>1230</v>
      </c>
      <c r="B1508" t="s">
        <v>72</v>
      </c>
      <c r="C1508" t="s">
        <v>55</v>
      </c>
      <c r="D1508" t="s">
        <v>588</v>
      </c>
      <c r="E1508" t="s">
        <v>3212</v>
      </c>
      <c r="F1508" s="121">
        <v>288.39999999999998</v>
      </c>
      <c r="G1508" s="121">
        <v>288.39999999999998</v>
      </c>
      <c r="H1508" t="s">
        <v>336</v>
      </c>
      <c r="I1508" s="156">
        <v>41089</v>
      </c>
      <c r="K1508" s="153"/>
      <c r="L1508" s="153"/>
      <c r="M1508" s="153"/>
      <c r="N1508" s="153"/>
      <c r="O1508" s="153"/>
      <c r="P1508" s="150"/>
      <c r="Q1508" s="150"/>
      <c r="R1508" s="153"/>
      <c r="S1508" s="154"/>
      <c r="T1508" s="115"/>
    </row>
    <row r="1509" spans="1:20">
      <c r="A1509" t="s">
        <v>1230</v>
      </c>
      <c r="B1509" t="s">
        <v>72</v>
      </c>
      <c r="C1509" t="s">
        <v>55</v>
      </c>
      <c r="D1509" t="s">
        <v>588</v>
      </c>
      <c r="E1509" t="s">
        <v>3213</v>
      </c>
      <c r="F1509" s="121">
        <v>288.39999999999998</v>
      </c>
      <c r="G1509" s="121">
        <v>288.39999999999998</v>
      </c>
      <c r="H1509" t="s">
        <v>604</v>
      </c>
      <c r="I1509" s="156">
        <v>41089</v>
      </c>
      <c r="K1509" s="153"/>
      <c r="L1509" s="153"/>
      <c r="M1509" s="153"/>
      <c r="N1509" s="153"/>
      <c r="O1509" s="153"/>
      <c r="P1509" s="150"/>
      <c r="Q1509" s="150"/>
      <c r="R1509" s="153"/>
      <c r="S1509" s="154"/>
      <c r="T1509" s="115"/>
    </row>
    <row r="1510" spans="1:20">
      <c r="A1510" t="s">
        <v>1230</v>
      </c>
      <c r="B1510" t="s">
        <v>72</v>
      </c>
      <c r="C1510" t="s">
        <v>55</v>
      </c>
      <c r="D1510" t="s">
        <v>588</v>
      </c>
      <c r="E1510" t="s">
        <v>3214</v>
      </c>
      <c r="F1510" s="121">
        <v>288.39999999999998</v>
      </c>
      <c r="G1510" s="121">
        <v>288.39999999999998</v>
      </c>
      <c r="H1510" t="s">
        <v>604</v>
      </c>
      <c r="I1510" s="156">
        <v>41089</v>
      </c>
      <c r="K1510" s="153"/>
      <c r="L1510" s="153"/>
      <c r="M1510" s="153"/>
      <c r="N1510" s="153"/>
      <c r="O1510" s="153"/>
      <c r="P1510" s="150"/>
      <c r="Q1510" s="150"/>
      <c r="R1510" s="153"/>
      <c r="S1510" s="154"/>
      <c r="T1510" s="115"/>
    </row>
    <row r="1511" spans="1:20">
      <c r="A1511" t="s">
        <v>1230</v>
      </c>
      <c r="B1511" t="s">
        <v>72</v>
      </c>
      <c r="C1511" t="s">
        <v>55</v>
      </c>
      <c r="D1511" t="s">
        <v>588</v>
      </c>
      <c r="E1511" t="s">
        <v>1740</v>
      </c>
      <c r="F1511" s="121">
        <v>288.39999999999998</v>
      </c>
      <c r="G1511" s="121">
        <v>288.39999999999998</v>
      </c>
      <c r="H1511" t="s">
        <v>604</v>
      </c>
      <c r="I1511" s="156">
        <v>41089</v>
      </c>
      <c r="K1511" s="153"/>
      <c r="L1511" s="153"/>
      <c r="M1511" s="153"/>
      <c r="N1511" s="153"/>
      <c r="O1511" s="153"/>
      <c r="P1511" s="150"/>
      <c r="Q1511" s="150"/>
      <c r="R1511" s="153"/>
      <c r="S1511" s="154"/>
      <c r="T1511" s="115"/>
    </row>
    <row r="1512" spans="1:20">
      <c r="A1512" t="s">
        <v>1230</v>
      </c>
      <c r="B1512" t="s">
        <v>72</v>
      </c>
      <c r="C1512" t="s">
        <v>55</v>
      </c>
      <c r="D1512" t="s">
        <v>588</v>
      </c>
      <c r="E1512" t="s">
        <v>3215</v>
      </c>
      <c r="F1512" s="121">
        <v>288.39999999999998</v>
      </c>
      <c r="G1512" s="121">
        <v>288.39999999999998</v>
      </c>
      <c r="H1512" t="s">
        <v>604</v>
      </c>
      <c r="I1512" s="156">
        <v>41089</v>
      </c>
      <c r="K1512" s="153"/>
      <c r="L1512" s="153"/>
      <c r="M1512" s="153"/>
      <c r="N1512" s="153"/>
      <c r="O1512" s="153"/>
      <c r="P1512" s="150"/>
      <c r="Q1512" s="150"/>
      <c r="R1512" s="153"/>
      <c r="S1512" s="154"/>
      <c r="T1512" s="115"/>
    </row>
    <row r="1513" spans="1:20">
      <c r="A1513" t="s">
        <v>1230</v>
      </c>
      <c r="B1513" t="s">
        <v>72</v>
      </c>
      <c r="C1513" t="s">
        <v>55</v>
      </c>
      <c r="D1513" t="s">
        <v>588</v>
      </c>
      <c r="E1513" t="s">
        <v>3216</v>
      </c>
      <c r="F1513" s="121">
        <v>97.85</v>
      </c>
      <c r="G1513" s="121">
        <v>97.85</v>
      </c>
      <c r="H1513" t="s">
        <v>604</v>
      </c>
      <c r="I1513" s="156">
        <v>41089</v>
      </c>
      <c r="K1513" s="153"/>
      <c r="L1513" s="153"/>
      <c r="M1513" s="153"/>
      <c r="N1513" s="153"/>
      <c r="O1513" s="153"/>
      <c r="P1513" s="150"/>
      <c r="Q1513" s="150"/>
      <c r="R1513" s="153"/>
      <c r="S1513" s="154"/>
      <c r="T1513" s="115"/>
    </row>
    <row r="1514" spans="1:20">
      <c r="A1514" t="s">
        <v>1230</v>
      </c>
      <c r="B1514" t="s">
        <v>72</v>
      </c>
      <c r="C1514" t="s">
        <v>55</v>
      </c>
      <c r="D1514" t="s">
        <v>588</v>
      </c>
      <c r="E1514" t="s">
        <v>3217</v>
      </c>
      <c r="F1514" s="121">
        <v>97.85</v>
      </c>
      <c r="G1514" s="121">
        <v>97.85</v>
      </c>
      <c r="H1514" t="s">
        <v>604</v>
      </c>
      <c r="I1514" s="156">
        <v>41089</v>
      </c>
      <c r="K1514" s="153"/>
      <c r="L1514" s="153"/>
      <c r="M1514" s="153"/>
      <c r="N1514" s="153"/>
      <c r="O1514" s="153"/>
      <c r="P1514" s="152"/>
      <c r="Q1514" s="152"/>
      <c r="R1514" s="153"/>
      <c r="S1514" s="154"/>
      <c r="T1514" s="115"/>
    </row>
    <row r="1515" spans="1:20">
      <c r="A1515" t="s">
        <v>1230</v>
      </c>
      <c r="B1515" t="s">
        <v>72</v>
      </c>
      <c r="C1515" t="s">
        <v>55</v>
      </c>
      <c r="D1515" t="s">
        <v>588</v>
      </c>
      <c r="E1515" t="s">
        <v>3218</v>
      </c>
      <c r="F1515" s="121">
        <v>97.85</v>
      </c>
      <c r="G1515" s="121">
        <v>97.85</v>
      </c>
      <c r="H1515" t="s">
        <v>604</v>
      </c>
      <c r="I1515" s="156">
        <v>41089</v>
      </c>
      <c r="K1515" s="153"/>
      <c r="L1515" s="153"/>
      <c r="M1515" s="153"/>
      <c r="N1515" s="153"/>
      <c r="O1515" s="153"/>
      <c r="P1515" s="152"/>
      <c r="Q1515" s="152"/>
      <c r="R1515" s="153"/>
      <c r="S1515" s="154"/>
      <c r="T1515" s="115"/>
    </row>
    <row r="1516" spans="1:20">
      <c r="A1516" t="s">
        <v>1230</v>
      </c>
      <c r="B1516" t="s">
        <v>72</v>
      </c>
      <c r="C1516" t="s">
        <v>55</v>
      </c>
      <c r="D1516" t="s">
        <v>605</v>
      </c>
      <c r="E1516" t="s">
        <v>3219</v>
      </c>
      <c r="F1516" s="121">
        <v>412</v>
      </c>
      <c r="G1516" s="121">
        <v>412</v>
      </c>
      <c r="H1516" t="s">
        <v>604</v>
      </c>
      <c r="I1516" s="156">
        <v>41089</v>
      </c>
      <c r="K1516" s="153"/>
      <c r="L1516" s="153"/>
      <c r="M1516" s="153"/>
      <c r="N1516" s="153"/>
      <c r="O1516" s="153"/>
      <c r="P1516" s="150"/>
      <c r="Q1516" s="150"/>
      <c r="R1516" s="153"/>
      <c r="S1516" s="154"/>
      <c r="T1516" s="115"/>
    </row>
    <row r="1517" spans="1:20">
      <c r="A1517" t="s">
        <v>1230</v>
      </c>
      <c r="B1517" t="s">
        <v>72</v>
      </c>
      <c r="C1517" t="s">
        <v>55</v>
      </c>
      <c r="D1517" t="s">
        <v>588</v>
      </c>
      <c r="E1517" t="s">
        <v>3220</v>
      </c>
      <c r="F1517" s="121">
        <v>288.39999999999998</v>
      </c>
      <c r="G1517" s="121">
        <v>288.39999999999998</v>
      </c>
      <c r="H1517" t="s">
        <v>604</v>
      </c>
      <c r="I1517" s="156">
        <v>41089</v>
      </c>
      <c r="K1517" s="153"/>
      <c r="L1517" s="153"/>
      <c r="M1517" s="153"/>
      <c r="N1517" s="153"/>
      <c r="O1517" s="153"/>
      <c r="P1517" s="150"/>
      <c r="Q1517" s="150"/>
      <c r="R1517" s="153"/>
      <c r="S1517" s="154"/>
      <c r="T1517" s="115"/>
    </row>
    <row r="1518" spans="1:20">
      <c r="A1518" t="s">
        <v>1230</v>
      </c>
      <c r="B1518" t="s">
        <v>72</v>
      </c>
      <c r="C1518" t="s">
        <v>55</v>
      </c>
      <c r="D1518" t="s">
        <v>606</v>
      </c>
      <c r="E1518" t="s">
        <v>3221</v>
      </c>
      <c r="F1518" s="121">
        <v>437.75</v>
      </c>
      <c r="G1518" s="121">
        <v>437.75</v>
      </c>
      <c r="H1518" t="s">
        <v>604</v>
      </c>
      <c r="I1518" s="156">
        <v>41089</v>
      </c>
      <c r="K1518" s="153"/>
      <c r="L1518" s="153"/>
      <c r="M1518" s="153"/>
      <c r="N1518" s="153"/>
      <c r="O1518" s="153"/>
      <c r="P1518" s="150"/>
      <c r="Q1518" s="150"/>
      <c r="R1518" s="153"/>
      <c r="S1518" s="154"/>
      <c r="T1518" s="115"/>
    </row>
    <row r="1519" spans="1:20">
      <c r="A1519" t="s">
        <v>1230</v>
      </c>
      <c r="B1519" t="s">
        <v>72</v>
      </c>
      <c r="C1519" t="s">
        <v>55</v>
      </c>
      <c r="D1519" t="s">
        <v>607</v>
      </c>
      <c r="E1519" t="s">
        <v>3222</v>
      </c>
      <c r="F1519" s="121">
        <v>2575</v>
      </c>
      <c r="G1519" s="121">
        <v>2575</v>
      </c>
      <c r="H1519" t="s">
        <v>604</v>
      </c>
      <c r="I1519" s="156">
        <v>41089</v>
      </c>
      <c r="K1519" s="153"/>
      <c r="L1519" s="153"/>
      <c r="M1519" s="153"/>
      <c r="N1519" s="153"/>
      <c r="O1519" s="153"/>
      <c r="P1519" s="150"/>
      <c r="Q1519" s="150"/>
      <c r="R1519" s="153"/>
      <c r="S1519" s="154"/>
      <c r="T1519" s="115"/>
    </row>
    <row r="1520" spans="1:20">
      <c r="A1520" t="s">
        <v>1230</v>
      </c>
      <c r="B1520" t="s">
        <v>72</v>
      </c>
      <c r="C1520" t="s">
        <v>55</v>
      </c>
      <c r="D1520" t="s">
        <v>608</v>
      </c>
      <c r="E1520" t="s">
        <v>3223</v>
      </c>
      <c r="F1520" s="121">
        <v>412</v>
      </c>
      <c r="G1520" s="121">
        <v>412</v>
      </c>
      <c r="H1520" t="s">
        <v>604</v>
      </c>
      <c r="I1520" s="156">
        <v>41089</v>
      </c>
      <c r="K1520" s="153"/>
      <c r="L1520" s="153"/>
      <c r="M1520" s="153"/>
      <c r="N1520" s="153"/>
      <c r="O1520" s="153"/>
      <c r="P1520" s="152"/>
      <c r="Q1520" s="152"/>
      <c r="R1520" s="153"/>
      <c r="S1520" s="154"/>
      <c r="T1520" s="115"/>
    </row>
    <row r="1521" spans="1:20">
      <c r="A1521" t="s">
        <v>1230</v>
      </c>
      <c r="B1521" t="s">
        <v>72</v>
      </c>
      <c r="C1521" t="s">
        <v>55</v>
      </c>
      <c r="D1521" t="s">
        <v>588</v>
      </c>
      <c r="E1521" t="s">
        <v>3224</v>
      </c>
      <c r="F1521" s="121">
        <v>288.39999999999998</v>
      </c>
      <c r="G1521" s="121">
        <v>288.39999999999998</v>
      </c>
      <c r="H1521" t="s">
        <v>604</v>
      </c>
      <c r="I1521" s="156">
        <v>41089</v>
      </c>
      <c r="K1521" s="153"/>
      <c r="L1521" s="153"/>
      <c r="M1521" s="153"/>
      <c r="N1521" s="153"/>
      <c r="O1521" s="153"/>
      <c r="P1521" s="150"/>
      <c r="Q1521" s="150"/>
      <c r="R1521" s="153"/>
      <c r="S1521" s="154"/>
      <c r="T1521" s="115"/>
    </row>
    <row r="1522" spans="1:20">
      <c r="A1522" t="s">
        <v>1230</v>
      </c>
      <c r="B1522" t="s">
        <v>72</v>
      </c>
      <c r="C1522" t="s">
        <v>55</v>
      </c>
      <c r="D1522" t="s">
        <v>588</v>
      </c>
      <c r="E1522" t="s">
        <v>3225</v>
      </c>
      <c r="F1522" s="121">
        <v>288.39999999999998</v>
      </c>
      <c r="G1522" s="121">
        <v>288.39999999999998</v>
      </c>
      <c r="H1522" t="s">
        <v>604</v>
      </c>
      <c r="I1522" s="156">
        <v>41089</v>
      </c>
      <c r="K1522" s="153"/>
      <c r="L1522" s="153"/>
      <c r="M1522" s="153"/>
      <c r="N1522" s="153"/>
      <c r="O1522" s="153"/>
      <c r="P1522" s="150"/>
      <c r="Q1522" s="150"/>
      <c r="R1522" s="153"/>
      <c r="S1522" s="154"/>
      <c r="T1522" s="115"/>
    </row>
    <row r="1523" spans="1:20">
      <c r="A1523" t="s">
        <v>1230</v>
      </c>
      <c r="B1523" t="s">
        <v>72</v>
      </c>
      <c r="C1523" t="s">
        <v>55</v>
      </c>
      <c r="D1523" t="s">
        <v>588</v>
      </c>
      <c r="E1523" t="s">
        <v>3226</v>
      </c>
      <c r="F1523" s="121">
        <v>288.39999999999998</v>
      </c>
      <c r="G1523" s="121">
        <v>288.39999999999998</v>
      </c>
      <c r="H1523" t="s">
        <v>604</v>
      </c>
      <c r="I1523" s="156">
        <v>41089</v>
      </c>
      <c r="K1523" s="153"/>
      <c r="L1523" s="153"/>
      <c r="M1523" s="153"/>
      <c r="N1523" s="153"/>
      <c r="O1523" s="153"/>
      <c r="P1523" s="150"/>
      <c r="Q1523" s="150"/>
      <c r="R1523" s="153"/>
      <c r="S1523" s="154"/>
      <c r="T1523" s="115"/>
    </row>
    <row r="1524" spans="1:20">
      <c r="A1524" t="s">
        <v>1230</v>
      </c>
      <c r="B1524" t="s">
        <v>72</v>
      </c>
      <c r="C1524" t="s">
        <v>55</v>
      </c>
      <c r="D1524" t="s">
        <v>609</v>
      </c>
      <c r="E1524" t="s">
        <v>3227</v>
      </c>
      <c r="F1524" s="121">
        <v>721</v>
      </c>
      <c r="G1524" s="121">
        <v>721</v>
      </c>
      <c r="H1524" t="s">
        <v>604</v>
      </c>
      <c r="I1524" s="156">
        <v>41089</v>
      </c>
      <c r="K1524" s="153"/>
      <c r="L1524" s="153"/>
      <c r="M1524" s="153"/>
      <c r="N1524" s="153"/>
      <c r="O1524" s="153"/>
      <c r="P1524" s="150"/>
      <c r="Q1524" s="150"/>
      <c r="R1524" s="153"/>
      <c r="S1524" s="154"/>
      <c r="T1524" s="115"/>
    </row>
    <row r="1525" spans="1:20">
      <c r="A1525" t="s">
        <v>1230</v>
      </c>
      <c r="B1525" t="s">
        <v>72</v>
      </c>
      <c r="C1525" t="s">
        <v>55</v>
      </c>
      <c r="D1525" t="s">
        <v>588</v>
      </c>
      <c r="E1525" t="s">
        <v>3228</v>
      </c>
      <c r="F1525" s="121">
        <v>97.85</v>
      </c>
      <c r="G1525" s="121">
        <v>97.85</v>
      </c>
      <c r="H1525" t="s">
        <v>604</v>
      </c>
      <c r="I1525" s="156">
        <v>41089</v>
      </c>
      <c r="K1525" s="153"/>
      <c r="L1525" s="153"/>
      <c r="M1525" s="153"/>
      <c r="N1525" s="153"/>
      <c r="O1525" s="153"/>
      <c r="P1525" s="150"/>
      <c r="Q1525" s="150"/>
      <c r="R1525" s="153"/>
      <c r="S1525" s="154"/>
      <c r="T1525" s="115"/>
    </row>
    <row r="1526" spans="1:20">
      <c r="A1526" t="s">
        <v>1230</v>
      </c>
      <c r="B1526" t="s">
        <v>72</v>
      </c>
      <c r="C1526" t="s">
        <v>43</v>
      </c>
      <c r="D1526" t="s">
        <v>566</v>
      </c>
      <c r="E1526" t="s">
        <v>3229</v>
      </c>
      <c r="F1526" s="121">
        <v>1957</v>
      </c>
      <c r="G1526" s="121">
        <v>1957</v>
      </c>
      <c r="H1526" t="s">
        <v>604</v>
      </c>
      <c r="I1526" s="156">
        <v>41089</v>
      </c>
      <c r="K1526" s="153"/>
      <c r="L1526" s="153"/>
      <c r="M1526" s="153"/>
      <c r="N1526" s="153"/>
      <c r="O1526" s="153"/>
      <c r="P1526" s="150"/>
      <c r="Q1526" s="150"/>
      <c r="R1526" s="153"/>
      <c r="S1526" s="154"/>
      <c r="T1526" s="115"/>
    </row>
    <row r="1527" spans="1:20">
      <c r="A1527" t="s">
        <v>1230</v>
      </c>
      <c r="B1527" t="s">
        <v>72</v>
      </c>
      <c r="C1527" t="s">
        <v>55</v>
      </c>
      <c r="D1527" t="s">
        <v>610</v>
      </c>
      <c r="E1527" t="s">
        <v>3230</v>
      </c>
      <c r="F1527" s="121">
        <v>391.4</v>
      </c>
      <c r="G1527" s="121">
        <v>391.4</v>
      </c>
      <c r="H1527" t="s">
        <v>604</v>
      </c>
      <c r="I1527" s="156">
        <v>41089</v>
      </c>
      <c r="K1527" s="153"/>
      <c r="L1527" s="153"/>
      <c r="M1527" s="153"/>
      <c r="N1527" s="153"/>
      <c r="O1527" s="153"/>
      <c r="P1527" s="150"/>
      <c r="Q1527" s="150"/>
      <c r="R1527" s="153"/>
      <c r="S1527" s="154"/>
      <c r="T1527" s="115"/>
    </row>
    <row r="1528" spans="1:20">
      <c r="A1528" t="s">
        <v>1230</v>
      </c>
      <c r="B1528" t="s">
        <v>72</v>
      </c>
      <c r="C1528" t="s">
        <v>55</v>
      </c>
      <c r="D1528" t="s">
        <v>559</v>
      </c>
      <c r="E1528" t="s">
        <v>3231</v>
      </c>
      <c r="F1528" s="121">
        <v>2832.5</v>
      </c>
      <c r="G1528" s="121">
        <v>2832.5</v>
      </c>
      <c r="H1528" t="s">
        <v>604</v>
      </c>
      <c r="I1528" s="156">
        <v>41089</v>
      </c>
      <c r="K1528" s="153"/>
      <c r="L1528" s="153"/>
      <c r="M1528" s="153"/>
      <c r="N1528" s="153"/>
      <c r="O1528" s="153"/>
      <c r="P1528" s="152"/>
      <c r="Q1528" s="152"/>
      <c r="R1528" s="153"/>
      <c r="S1528" s="154"/>
      <c r="T1528" s="115"/>
    </row>
    <row r="1529" spans="1:20">
      <c r="A1529" t="s">
        <v>1230</v>
      </c>
      <c r="B1529" t="s">
        <v>72</v>
      </c>
      <c r="C1529" t="s">
        <v>55</v>
      </c>
      <c r="D1529" t="s">
        <v>589</v>
      </c>
      <c r="E1529" t="s">
        <v>7305</v>
      </c>
      <c r="F1529" s="121">
        <v>66.95</v>
      </c>
      <c r="G1529" s="121">
        <v>66.95</v>
      </c>
      <c r="H1529" t="s">
        <v>604</v>
      </c>
      <c r="I1529" s="156">
        <v>41089</v>
      </c>
      <c r="K1529" s="153"/>
      <c r="L1529" s="153"/>
      <c r="M1529" s="153"/>
      <c r="N1529" s="153"/>
      <c r="O1529" s="153"/>
      <c r="P1529" s="150"/>
      <c r="Q1529" s="150"/>
      <c r="R1529" s="153"/>
      <c r="S1529" s="154"/>
      <c r="T1529" s="115"/>
    </row>
    <row r="1530" spans="1:20">
      <c r="A1530" t="s">
        <v>1230</v>
      </c>
      <c r="B1530" t="s">
        <v>72</v>
      </c>
      <c r="C1530" t="s">
        <v>55</v>
      </c>
      <c r="D1530" t="s">
        <v>589</v>
      </c>
      <c r="E1530" t="s">
        <v>7306</v>
      </c>
      <c r="F1530" s="121">
        <v>66.95</v>
      </c>
      <c r="G1530" s="121">
        <v>66.95</v>
      </c>
      <c r="H1530" t="s">
        <v>604</v>
      </c>
      <c r="I1530" s="156">
        <v>41089</v>
      </c>
      <c r="K1530" s="153"/>
      <c r="L1530" s="153"/>
      <c r="M1530" s="153"/>
      <c r="N1530" s="153"/>
      <c r="O1530" s="153"/>
      <c r="P1530" s="150"/>
      <c r="Q1530" s="150"/>
      <c r="R1530" s="153"/>
      <c r="S1530" s="154"/>
      <c r="T1530" s="115"/>
    </row>
    <row r="1531" spans="1:20">
      <c r="A1531" t="s">
        <v>1230</v>
      </c>
      <c r="B1531" t="s">
        <v>72</v>
      </c>
      <c r="C1531" t="s">
        <v>55</v>
      </c>
      <c r="D1531" t="s">
        <v>589</v>
      </c>
      <c r="E1531" t="s">
        <v>7307</v>
      </c>
      <c r="F1531" s="121">
        <v>66.95</v>
      </c>
      <c r="G1531" s="121">
        <v>66.95</v>
      </c>
      <c r="H1531" t="s">
        <v>604</v>
      </c>
      <c r="I1531" s="156">
        <v>41089</v>
      </c>
      <c r="K1531" s="153"/>
      <c r="L1531" s="153"/>
      <c r="M1531" s="153"/>
      <c r="N1531" s="153"/>
      <c r="O1531" s="153"/>
      <c r="P1531" s="150"/>
      <c r="Q1531" s="150"/>
      <c r="R1531" s="153"/>
      <c r="S1531" s="154"/>
      <c r="T1531" s="115"/>
    </row>
    <row r="1532" spans="1:20">
      <c r="A1532" t="s">
        <v>1230</v>
      </c>
      <c r="B1532" t="s">
        <v>72</v>
      </c>
      <c r="C1532" t="s">
        <v>55</v>
      </c>
      <c r="D1532" t="s">
        <v>589</v>
      </c>
      <c r="E1532" t="s">
        <v>7308</v>
      </c>
      <c r="F1532" s="121">
        <v>66.95</v>
      </c>
      <c r="G1532" s="121">
        <v>66.95</v>
      </c>
      <c r="H1532" t="s">
        <v>604</v>
      </c>
      <c r="I1532" s="156">
        <v>41089</v>
      </c>
      <c r="K1532" s="153"/>
      <c r="L1532" s="153"/>
      <c r="M1532" s="153"/>
      <c r="N1532" s="153"/>
      <c r="O1532" s="153"/>
      <c r="P1532" s="152"/>
      <c r="Q1532" s="152"/>
      <c r="R1532" s="153"/>
      <c r="S1532" s="154"/>
      <c r="T1532" s="115"/>
    </row>
    <row r="1533" spans="1:20">
      <c r="A1533" t="s">
        <v>1230</v>
      </c>
      <c r="B1533" t="s">
        <v>72</v>
      </c>
      <c r="C1533" t="s">
        <v>55</v>
      </c>
      <c r="D1533" t="s">
        <v>589</v>
      </c>
      <c r="E1533" t="s">
        <v>7309</v>
      </c>
      <c r="F1533" s="121">
        <v>66.95</v>
      </c>
      <c r="G1533" s="121">
        <v>66.95</v>
      </c>
      <c r="H1533" t="s">
        <v>604</v>
      </c>
      <c r="I1533" s="156">
        <v>41089</v>
      </c>
      <c r="K1533" s="153"/>
      <c r="L1533" s="153"/>
      <c r="M1533" s="153"/>
      <c r="N1533" s="153"/>
      <c r="O1533" s="153"/>
      <c r="P1533" s="150"/>
      <c r="Q1533" s="150"/>
      <c r="R1533" s="153"/>
      <c r="S1533" s="154"/>
      <c r="T1533" s="115"/>
    </row>
    <row r="1534" spans="1:20">
      <c r="A1534" t="s">
        <v>1230</v>
      </c>
      <c r="B1534" t="s">
        <v>72</v>
      </c>
      <c r="C1534" t="s">
        <v>55</v>
      </c>
      <c r="D1534" t="s">
        <v>589</v>
      </c>
      <c r="E1534" t="s">
        <v>7310</v>
      </c>
      <c r="F1534" s="121">
        <v>66.95</v>
      </c>
      <c r="G1534" s="121">
        <v>66.95</v>
      </c>
      <c r="H1534" t="s">
        <v>604</v>
      </c>
      <c r="I1534" s="156">
        <v>41089</v>
      </c>
      <c r="K1534" s="153"/>
      <c r="L1534" s="153"/>
      <c r="M1534" s="153"/>
      <c r="N1534" s="153"/>
      <c r="O1534" s="153"/>
      <c r="P1534" s="150"/>
      <c r="Q1534" s="150"/>
      <c r="R1534" s="153"/>
      <c r="S1534" s="154"/>
      <c r="T1534" s="115"/>
    </row>
    <row r="1535" spans="1:20">
      <c r="A1535" t="s">
        <v>1230</v>
      </c>
      <c r="B1535" t="s">
        <v>72</v>
      </c>
      <c r="C1535" t="s">
        <v>55</v>
      </c>
      <c r="D1535" t="s">
        <v>589</v>
      </c>
      <c r="E1535" t="s">
        <v>7311</v>
      </c>
      <c r="F1535" s="121">
        <v>66.95</v>
      </c>
      <c r="G1535" s="121">
        <v>66.95</v>
      </c>
      <c r="H1535" t="s">
        <v>604</v>
      </c>
      <c r="I1535" s="156">
        <v>41089</v>
      </c>
      <c r="K1535" s="153"/>
      <c r="L1535" s="153"/>
      <c r="M1535" s="153"/>
      <c r="N1535" s="153"/>
      <c r="O1535" s="153"/>
      <c r="P1535" s="152"/>
      <c r="Q1535" s="152"/>
      <c r="R1535" s="153"/>
      <c r="S1535" s="154"/>
      <c r="T1535" s="115"/>
    </row>
    <row r="1536" spans="1:20">
      <c r="A1536" t="s">
        <v>1230</v>
      </c>
      <c r="B1536" t="s">
        <v>72</v>
      </c>
      <c r="C1536" t="s">
        <v>55</v>
      </c>
      <c r="D1536" t="s">
        <v>589</v>
      </c>
      <c r="E1536" t="s">
        <v>7312</v>
      </c>
      <c r="F1536" s="121">
        <v>66.95</v>
      </c>
      <c r="G1536" s="121">
        <v>66.95</v>
      </c>
      <c r="H1536" t="s">
        <v>604</v>
      </c>
      <c r="I1536" s="156">
        <v>41089</v>
      </c>
      <c r="K1536" s="153"/>
      <c r="L1536" s="153"/>
      <c r="M1536" s="153"/>
      <c r="N1536" s="153"/>
      <c r="O1536" s="153"/>
      <c r="P1536" s="152"/>
      <c r="Q1536" s="152"/>
      <c r="R1536" s="153"/>
      <c r="S1536" s="154"/>
      <c r="T1536" s="115"/>
    </row>
    <row r="1537" spans="1:20">
      <c r="A1537" t="s">
        <v>1230</v>
      </c>
      <c r="B1537" t="s">
        <v>72</v>
      </c>
      <c r="C1537" t="s">
        <v>53</v>
      </c>
      <c r="D1537" t="s">
        <v>607</v>
      </c>
      <c r="E1537" t="s">
        <v>3232</v>
      </c>
      <c r="F1537" s="121">
        <v>463.5</v>
      </c>
      <c r="G1537" s="121">
        <v>463.5</v>
      </c>
      <c r="H1537" t="s">
        <v>604</v>
      </c>
      <c r="I1537" s="156">
        <v>41089</v>
      </c>
      <c r="K1537" s="153"/>
      <c r="L1537" s="153"/>
      <c r="M1537" s="153"/>
      <c r="N1537" s="153"/>
      <c r="O1537" s="153"/>
      <c r="P1537" s="150"/>
      <c r="Q1537" s="150"/>
      <c r="R1537" s="153"/>
      <c r="S1537" s="154"/>
      <c r="T1537" s="115"/>
    </row>
    <row r="1538" spans="1:20">
      <c r="A1538" t="s">
        <v>1230</v>
      </c>
      <c r="B1538" t="s">
        <v>72</v>
      </c>
      <c r="C1538" t="s">
        <v>53</v>
      </c>
      <c r="D1538" t="s">
        <v>607</v>
      </c>
      <c r="E1538" t="s">
        <v>3233</v>
      </c>
      <c r="F1538" s="121">
        <v>463.5</v>
      </c>
      <c r="G1538" s="121">
        <v>463.5</v>
      </c>
      <c r="H1538" t="s">
        <v>604</v>
      </c>
      <c r="I1538" s="156">
        <v>41089</v>
      </c>
      <c r="K1538" s="153"/>
      <c r="L1538" s="153"/>
      <c r="M1538" s="153"/>
      <c r="N1538" s="153"/>
      <c r="O1538" s="153"/>
      <c r="P1538" s="150"/>
      <c r="Q1538" s="150"/>
      <c r="R1538" s="153"/>
      <c r="S1538" s="154"/>
      <c r="T1538" s="115"/>
    </row>
    <row r="1539" spans="1:20">
      <c r="A1539" t="s">
        <v>1230</v>
      </c>
      <c r="B1539" t="s">
        <v>72</v>
      </c>
      <c r="C1539" t="s">
        <v>53</v>
      </c>
      <c r="D1539" t="s">
        <v>607</v>
      </c>
      <c r="E1539" t="s">
        <v>3234</v>
      </c>
      <c r="F1539" s="121">
        <v>463.5</v>
      </c>
      <c r="G1539" s="121">
        <v>463.5</v>
      </c>
      <c r="H1539" t="s">
        <v>604</v>
      </c>
      <c r="I1539" s="156">
        <v>41089</v>
      </c>
      <c r="K1539" s="153"/>
      <c r="L1539" s="153"/>
      <c r="M1539" s="153"/>
      <c r="N1539" s="153"/>
      <c r="O1539" s="153"/>
      <c r="P1539" s="150"/>
      <c r="Q1539" s="150"/>
      <c r="R1539" s="153"/>
      <c r="S1539" s="154"/>
      <c r="T1539" s="115"/>
    </row>
    <row r="1540" spans="1:20">
      <c r="A1540" t="s">
        <v>1230</v>
      </c>
      <c r="B1540" t="s">
        <v>72</v>
      </c>
      <c r="C1540" t="s">
        <v>53</v>
      </c>
      <c r="D1540" t="s">
        <v>607</v>
      </c>
      <c r="E1540" t="s">
        <v>3235</v>
      </c>
      <c r="F1540" s="121">
        <v>309</v>
      </c>
      <c r="G1540" s="121">
        <v>309</v>
      </c>
      <c r="H1540" t="s">
        <v>604</v>
      </c>
      <c r="I1540" s="156">
        <v>41089</v>
      </c>
      <c r="K1540" s="153"/>
      <c r="L1540" s="153"/>
      <c r="M1540" s="153"/>
      <c r="N1540" s="153"/>
      <c r="O1540" s="153"/>
      <c r="P1540" s="150"/>
      <c r="Q1540" s="150"/>
      <c r="R1540" s="153"/>
      <c r="S1540" s="154"/>
      <c r="T1540" s="115"/>
    </row>
    <row r="1541" spans="1:20">
      <c r="A1541" t="s">
        <v>1230</v>
      </c>
      <c r="B1541" t="s">
        <v>72</v>
      </c>
      <c r="C1541" t="s">
        <v>53</v>
      </c>
      <c r="D1541" t="s">
        <v>606</v>
      </c>
      <c r="E1541" t="s">
        <v>3236</v>
      </c>
      <c r="F1541" s="121">
        <v>355.35</v>
      </c>
      <c r="G1541" s="121">
        <v>355.35</v>
      </c>
      <c r="H1541" t="s">
        <v>604</v>
      </c>
      <c r="I1541" s="156">
        <v>41089</v>
      </c>
      <c r="K1541" s="153"/>
      <c r="L1541" s="153"/>
      <c r="M1541" s="153"/>
      <c r="N1541" s="153"/>
      <c r="O1541" s="153"/>
      <c r="P1541" s="150"/>
      <c r="Q1541" s="150"/>
      <c r="R1541" s="153"/>
      <c r="S1541" s="154"/>
      <c r="T1541" s="115"/>
    </row>
    <row r="1542" spans="1:20">
      <c r="A1542" t="s">
        <v>1230</v>
      </c>
      <c r="B1542" t="s">
        <v>72</v>
      </c>
      <c r="C1542" t="s">
        <v>53</v>
      </c>
      <c r="D1542" t="s">
        <v>606</v>
      </c>
      <c r="E1542" t="s">
        <v>3237</v>
      </c>
      <c r="F1542" s="121">
        <v>355.35</v>
      </c>
      <c r="G1542" s="121">
        <v>355.35</v>
      </c>
      <c r="H1542" t="s">
        <v>604</v>
      </c>
      <c r="I1542" s="156">
        <v>41089</v>
      </c>
      <c r="K1542" s="153"/>
      <c r="L1542" s="153"/>
      <c r="M1542" s="153"/>
      <c r="N1542" s="153"/>
      <c r="O1542" s="153"/>
      <c r="P1542" s="150"/>
      <c r="Q1542" s="150"/>
      <c r="R1542" s="153"/>
      <c r="S1542" s="154"/>
      <c r="T1542" s="115"/>
    </row>
    <row r="1543" spans="1:20">
      <c r="A1543" t="s">
        <v>1230</v>
      </c>
      <c r="B1543" t="s">
        <v>72</v>
      </c>
      <c r="C1543" t="s">
        <v>53</v>
      </c>
      <c r="D1543" t="s">
        <v>606</v>
      </c>
      <c r="E1543" t="s">
        <v>3238</v>
      </c>
      <c r="F1543" s="121">
        <v>355.35</v>
      </c>
      <c r="G1543" s="121">
        <v>355.35</v>
      </c>
      <c r="H1543" t="s">
        <v>604</v>
      </c>
      <c r="I1543" s="156">
        <v>41089</v>
      </c>
      <c r="K1543" s="153"/>
      <c r="L1543" s="153"/>
      <c r="M1543" s="153"/>
      <c r="N1543" s="153"/>
      <c r="O1543" s="153"/>
      <c r="P1543" s="150"/>
      <c r="Q1543" s="150"/>
      <c r="R1543" s="153"/>
      <c r="S1543" s="154"/>
      <c r="T1543" s="115"/>
    </row>
    <row r="1544" spans="1:20">
      <c r="A1544" t="s">
        <v>1230</v>
      </c>
      <c r="B1544" t="s">
        <v>72</v>
      </c>
      <c r="C1544" t="s">
        <v>53</v>
      </c>
      <c r="D1544" t="s">
        <v>574</v>
      </c>
      <c r="E1544" t="s">
        <v>3239</v>
      </c>
      <c r="F1544" s="121">
        <v>865.2</v>
      </c>
      <c r="G1544" s="121">
        <v>865.2</v>
      </c>
      <c r="H1544" t="s">
        <v>604</v>
      </c>
      <c r="I1544" s="156">
        <v>41089</v>
      </c>
      <c r="K1544" s="153"/>
      <c r="L1544" s="153"/>
      <c r="M1544" s="153"/>
      <c r="N1544" s="153"/>
      <c r="O1544" s="153"/>
      <c r="P1544" s="152"/>
      <c r="Q1544" s="152"/>
      <c r="R1544" s="153"/>
      <c r="S1544" s="154"/>
      <c r="T1544" s="115"/>
    </row>
    <row r="1545" spans="1:20">
      <c r="A1545" t="s">
        <v>1230</v>
      </c>
      <c r="B1545" t="s">
        <v>72</v>
      </c>
      <c r="C1545" t="s">
        <v>53</v>
      </c>
      <c r="D1545" t="s">
        <v>611</v>
      </c>
      <c r="E1545" t="s">
        <v>3240</v>
      </c>
      <c r="F1545" s="121">
        <v>442.9</v>
      </c>
      <c r="G1545" s="121">
        <v>442.9</v>
      </c>
      <c r="H1545" t="s">
        <v>604</v>
      </c>
      <c r="I1545" s="156">
        <v>41089</v>
      </c>
      <c r="K1545" s="153"/>
      <c r="L1545" s="153"/>
      <c r="M1545" s="153"/>
      <c r="N1545" s="153"/>
      <c r="O1545" s="153"/>
      <c r="P1545" s="150"/>
      <c r="Q1545" s="150"/>
      <c r="R1545" s="153"/>
      <c r="S1545" s="154"/>
      <c r="T1545" s="115"/>
    </row>
    <row r="1546" spans="1:20">
      <c r="A1546" t="s">
        <v>1230</v>
      </c>
      <c r="B1546" t="s">
        <v>72</v>
      </c>
      <c r="C1546" t="s">
        <v>55</v>
      </c>
      <c r="D1546" t="s">
        <v>612</v>
      </c>
      <c r="E1546" t="s">
        <v>3241</v>
      </c>
      <c r="F1546" s="121">
        <v>324.45</v>
      </c>
      <c r="G1546" s="121">
        <v>324.45</v>
      </c>
      <c r="H1546" t="s">
        <v>604</v>
      </c>
      <c r="I1546" s="156">
        <v>41089</v>
      </c>
      <c r="K1546" s="153"/>
      <c r="L1546" s="153"/>
      <c r="M1546" s="153"/>
      <c r="N1546" s="153"/>
      <c r="O1546" s="153"/>
      <c r="P1546" s="150"/>
      <c r="Q1546" s="150"/>
      <c r="R1546" s="153"/>
      <c r="S1546" s="154"/>
      <c r="T1546" s="115"/>
    </row>
    <row r="1547" spans="1:20">
      <c r="A1547" t="s">
        <v>1230</v>
      </c>
      <c r="B1547" t="s">
        <v>72</v>
      </c>
      <c r="C1547" t="s">
        <v>53</v>
      </c>
      <c r="D1547" t="s">
        <v>586</v>
      </c>
      <c r="E1547" t="s">
        <v>3242</v>
      </c>
      <c r="F1547" s="121">
        <v>515</v>
      </c>
      <c r="G1547" s="121">
        <v>515</v>
      </c>
      <c r="H1547" t="s">
        <v>604</v>
      </c>
      <c r="I1547" s="156">
        <v>41089</v>
      </c>
      <c r="K1547" s="153"/>
      <c r="L1547" s="153"/>
      <c r="M1547" s="153"/>
      <c r="N1547" s="153"/>
      <c r="O1547" s="153"/>
      <c r="P1547" s="150"/>
      <c r="Q1547" s="150"/>
      <c r="R1547" s="153"/>
      <c r="S1547" s="154"/>
      <c r="T1547" s="115"/>
    </row>
    <row r="1548" spans="1:20">
      <c r="A1548" t="s">
        <v>1230</v>
      </c>
      <c r="B1548" t="s">
        <v>72</v>
      </c>
      <c r="C1548" t="s">
        <v>53</v>
      </c>
      <c r="D1548" t="s">
        <v>586</v>
      </c>
      <c r="E1548" t="s">
        <v>3243</v>
      </c>
      <c r="F1548" s="121">
        <v>448.05</v>
      </c>
      <c r="G1548" s="121">
        <v>448.05</v>
      </c>
      <c r="H1548" t="s">
        <v>604</v>
      </c>
      <c r="I1548" s="156">
        <v>41089</v>
      </c>
      <c r="K1548" s="153"/>
      <c r="L1548" s="153"/>
      <c r="M1548" s="153"/>
      <c r="N1548" s="153"/>
      <c r="O1548" s="153"/>
      <c r="P1548" s="150"/>
      <c r="Q1548" s="150"/>
      <c r="R1548" s="153"/>
      <c r="S1548" s="154"/>
      <c r="T1548" s="115"/>
    </row>
    <row r="1549" spans="1:20">
      <c r="A1549" t="s">
        <v>1230</v>
      </c>
      <c r="B1549" t="s">
        <v>72</v>
      </c>
      <c r="C1549" t="s">
        <v>53</v>
      </c>
      <c r="D1549" t="s">
        <v>613</v>
      </c>
      <c r="E1549" t="s">
        <v>3244</v>
      </c>
      <c r="F1549" s="121">
        <v>669.5</v>
      </c>
      <c r="G1549" s="121">
        <v>669.5</v>
      </c>
      <c r="H1549" t="s">
        <v>604</v>
      </c>
      <c r="I1549" s="156">
        <v>41089</v>
      </c>
      <c r="K1549" s="153"/>
      <c r="L1549" s="153"/>
      <c r="M1549" s="153"/>
      <c r="N1549" s="153"/>
      <c r="O1549" s="153"/>
      <c r="P1549" s="150"/>
      <c r="Q1549" s="150"/>
      <c r="R1549" s="153"/>
      <c r="S1549" s="154"/>
      <c r="T1549" s="115"/>
    </row>
    <row r="1550" spans="1:20">
      <c r="A1550" t="s">
        <v>1230</v>
      </c>
      <c r="B1550" t="s">
        <v>72</v>
      </c>
      <c r="C1550" t="s">
        <v>55</v>
      </c>
      <c r="D1550" t="s">
        <v>569</v>
      </c>
      <c r="E1550" t="s">
        <v>3245</v>
      </c>
      <c r="F1550" s="121">
        <v>386.25</v>
      </c>
      <c r="G1550" s="121">
        <v>386.25</v>
      </c>
      <c r="H1550" t="s">
        <v>604</v>
      </c>
      <c r="I1550" s="156">
        <v>41089</v>
      </c>
      <c r="K1550" s="153"/>
      <c r="L1550" s="153"/>
      <c r="M1550" s="153"/>
      <c r="N1550" s="153"/>
      <c r="O1550" s="153"/>
      <c r="P1550" s="150"/>
      <c r="Q1550" s="150"/>
      <c r="R1550" s="153"/>
      <c r="S1550" s="154"/>
      <c r="T1550" s="115"/>
    </row>
    <row r="1551" spans="1:20">
      <c r="A1551" t="s">
        <v>1230</v>
      </c>
      <c r="B1551" t="s">
        <v>72</v>
      </c>
      <c r="C1551" t="s">
        <v>53</v>
      </c>
      <c r="D1551" t="s">
        <v>613</v>
      </c>
      <c r="E1551" t="s">
        <v>3246</v>
      </c>
      <c r="F1551" s="121">
        <v>772.5</v>
      </c>
      <c r="G1551" s="121">
        <v>772.5</v>
      </c>
      <c r="H1551" t="s">
        <v>604</v>
      </c>
      <c r="I1551" s="156">
        <v>41089</v>
      </c>
      <c r="K1551" s="153"/>
      <c r="L1551" s="153"/>
      <c r="M1551" s="153"/>
      <c r="N1551" s="153"/>
      <c r="O1551" s="153"/>
      <c r="P1551" s="152"/>
      <c r="Q1551" s="152"/>
      <c r="R1551" s="153"/>
      <c r="S1551" s="154"/>
      <c r="T1551" s="115"/>
    </row>
    <row r="1552" spans="1:20">
      <c r="A1552" t="s">
        <v>1230</v>
      </c>
      <c r="B1552" t="s">
        <v>72</v>
      </c>
      <c r="C1552" t="s">
        <v>53</v>
      </c>
      <c r="D1552" t="s">
        <v>613</v>
      </c>
      <c r="E1552" t="s">
        <v>3247</v>
      </c>
      <c r="F1552" s="121">
        <v>978.5</v>
      </c>
      <c r="G1552" s="121">
        <v>978.5</v>
      </c>
      <c r="H1552" t="s">
        <v>604</v>
      </c>
      <c r="I1552" s="156">
        <v>41089</v>
      </c>
      <c r="K1552" s="153"/>
      <c r="L1552" s="153"/>
      <c r="M1552" s="153"/>
      <c r="N1552" s="153"/>
      <c r="O1552" s="153"/>
      <c r="P1552" s="152"/>
      <c r="Q1552" s="152"/>
      <c r="R1552" s="153"/>
      <c r="S1552" s="154"/>
      <c r="T1552" s="115"/>
    </row>
    <row r="1553" spans="1:20">
      <c r="A1553" t="s">
        <v>1230</v>
      </c>
      <c r="B1553" t="s">
        <v>72</v>
      </c>
      <c r="C1553" t="s">
        <v>53</v>
      </c>
      <c r="D1553" t="s">
        <v>613</v>
      </c>
      <c r="E1553" t="s">
        <v>3248</v>
      </c>
      <c r="F1553" s="121">
        <v>927</v>
      </c>
      <c r="G1553" s="121">
        <v>927</v>
      </c>
      <c r="H1553" t="s">
        <v>604</v>
      </c>
      <c r="I1553" s="156">
        <v>41089</v>
      </c>
      <c r="K1553" s="153"/>
      <c r="L1553" s="153"/>
      <c r="M1553" s="153"/>
      <c r="N1553" s="153"/>
      <c r="O1553" s="153"/>
      <c r="P1553" s="150"/>
      <c r="Q1553" s="150"/>
      <c r="R1553" s="153"/>
      <c r="S1553" s="154"/>
      <c r="T1553" s="115"/>
    </row>
    <row r="1554" spans="1:20">
      <c r="A1554" t="s">
        <v>1230</v>
      </c>
      <c r="B1554" t="s">
        <v>72</v>
      </c>
      <c r="C1554" t="s">
        <v>53</v>
      </c>
      <c r="D1554" t="s">
        <v>559</v>
      </c>
      <c r="E1554" t="s">
        <v>3249</v>
      </c>
      <c r="F1554" s="121">
        <v>2472</v>
      </c>
      <c r="G1554" s="121">
        <v>2472</v>
      </c>
      <c r="H1554" t="s">
        <v>604</v>
      </c>
      <c r="I1554" s="156">
        <v>41089</v>
      </c>
      <c r="K1554" s="153"/>
      <c r="L1554" s="153"/>
      <c r="M1554" s="153"/>
      <c r="N1554" s="153"/>
      <c r="O1554" s="153"/>
      <c r="P1554" s="150"/>
      <c r="Q1554" s="150"/>
      <c r="R1554" s="153"/>
      <c r="S1554" s="154"/>
      <c r="T1554" s="115"/>
    </row>
    <row r="1555" spans="1:20">
      <c r="A1555" t="s">
        <v>1230</v>
      </c>
      <c r="B1555" t="s">
        <v>72</v>
      </c>
      <c r="C1555" t="s">
        <v>53</v>
      </c>
      <c r="D1555" t="s">
        <v>614</v>
      </c>
      <c r="E1555" t="s">
        <v>3250</v>
      </c>
      <c r="F1555" s="121">
        <v>1009.4</v>
      </c>
      <c r="G1555" s="121">
        <v>1009.4</v>
      </c>
      <c r="H1555" t="s">
        <v>604</v>
      </c>
      <c r="I1555" s="156">
        <v>41089</v>
      </c>
      <c r="K1555" s="153"/>
      <c r="L1555" s="153"/>
      <c r="M1555" s="153"/>
      <c r="N1555" s="153"/>
      <c r="O1555" s="153"/>
      <c r="P1555" s="152"/>
      <c r="Q1555" s="152"/>
      <c r="R1555" s="153"/>
      <c r="S1555" s="154"/>
      <c r="T1555" s="115"/>
    </row>
    <row r="1556" spans="1:20">
      <c r="A1556" t="s">
        <v>1230</v>
      </c>
      <c r="B1556" t="s">
        <v>72</v>
      </c>
      <c r="C1556" t="s">
        <v>53</v>
      </c>
      <c r="D1556" t="s">
        <v>615</v>
      </c>
      <c r="E1556" t="s">
        <v>3251</v>
      </c>
      <c r="F1556" s="121">
        <v>1287.5</v>
      </c>
      <c r="G1556" s="121">
        <v>1287.5</v>
      </c>
      <c r="H1556" t="s">
        <v>604</v>
      </c>
      <c r="I1556" s="156">
        <v>41089</v>
      </c>
      <c r="K1556" s="153"/>
      <c r="L1556" s="153"/>
      <c r="M1556" s="153"/>
      <c r="N1556" s="153"/>
      <c r="O1556" s="153"/>
      <c r="P1556" s="150"/>
      <c r="Q1556" s="150"/>
      <c r="R1556" s="153"/>
      <c r="S1556" s="154"/>
      <c r="T1556" s="115"/>
    </row>
    <row r="1557" spans="1:20">
      <c r="A1557" t="s">
        <v>1230</v>
      </c>
      <c r="B1557" t="s">
        <v>72</v>
      </c>
      <c r="C1557" t="s">
        <v>53</v>
      </c>
      <c r="D1557" t="s">
        <v>616</v>
      </c>
      <c r="E1557" t="s">
        <v>3252</v>
      </c>
      <c r="F1557" s="121">
        <v>807.52</v>
      </c>
      <c r="G1557" s="121">
        <v>807.52</v>
      </c>
      <c r="H1557" t="s">
        <v>604</v>
      </c>
      <c r="I1557" s="156">
        <v>41089</v>
      </c>
      <c r="K1557" s="153"/>
      <c r="L1557" s="153"/>
      <c r="M1557" s="153"/>
      <c r="N1557" s="153"/>
      <c r="O1557" s="153"/>
      <c r="P1557" s="150"/>
      <c r="Q1557" s="150"/>
      <c r="R1557" s="153"/>
      <c r="S1557" s="154"/>
      <c r="T1557" s="115"/>
    </row>
    <row r="1558" spans="1:20">
      <c r="A1558" t="s">
        <v>1230</v>
      </c>
      <c r="B1558" t="s">
        <v>72</v>
      </c>
      <c r="C1558" t="s">
        <v>53</v>
      </c>
      <c r="D1558" t="s">
        <v>561</v>
      </c>
      <c r="E1558" t="s">
        <v>3253</v>
      </c>
      <c r="F1558" s="121">
        <v>463.5</v>
      </c>
      <c r="G1558" s="121">
        <v>463.5</v>
      </c>
      <c r="H1558" t="s">
        <v>604</v>
      </c>
      <c r="I1558" s="156">
        <v>41089</v>
      </c>
      <c r="K1558" s="153"/>
      <c r="L1558" s="153"/>
      <c r="M1558" s="153"/>
      <c r="N1558" s="153"/>
      <c r="O1558" s="153"/>
      <c r="P1558" s="152"/>
      <c r="Q1558" s="152"/>
      <c r="R1558" s="153"/>
      <c r="S1558" s="154"/>
      <c r="T1558" s="115"/>
    </row>
    <row r="1559" spans="1:20">
      <c r="A1559" t="s">
        <v>1230</v>
      </c>
      <c r="B1559" t="s">
        <v>72</v>
      </c>
      <c r="C1559" t="s">
        <v>53</v>
      </c>
      <c r="D1559" t="s">
        <v>561</v>
      </c>
      <c r="E1559" t="s">
        <v>3254</v>
      </c>
      <c r="F1559" s="121">
        <v>618</v>
      </c>
      <c r="G1559" s="121">
        <v>618</v>
      </c>
      <c r="H1559" t="s">
        <v>604</v>
      </c>
      <c r="I1559" s="156">
        <v>41089</v>
      </c>
      <c r="K1559" s="153"/>
      <c r="L1559" s="153"/>
      <c r="M1559" s="153"/>
      <c r="N1559" s="153"/>
      <c r="O1559" s="153"/>
      <c r="P1559" s="150"/>
      <c r="Q1559" s="150"/>
      <c r="R1559" s="153"/>
      <c r="S1559" s="154"/>
      <c r="T1559" s="115"/>
    </row>
    <row r="1560" spans="1:20">
      <c r="A1560" t="s">
        <v>1230</v>
      </c>
      <c r="B1560" t="s">
        <v>72</v>
      </c>
      <c r="C1560" t="s">
        <v>53</v>
      </c>
      <c r="D1560" t="s">
        <v>617</v>
      </c>
      <c r="E1560" t="s">
        <v>3255</v>
      </c>
      <c r="F1560" s="121">
        <v>824</v>
      </c>
      <c r="G1560" s="121">
        <v>824</v>
      </c>
      <c r="H1560" t="s">
        <v>604</v>
      </c>
      <c r="I1560" s="156">
        <v>41089</v>
      </c>
      <c r="K1560" s="153"/>
      <c r="L1560" s="153"/>
      <c r="M1560" s="153"/>
      <c r="N1560" s="153"/>
      <c r="O1560" s="153"/>
      <c r="P1560" s="150"/>
      <c r="Q1560" s="150"/>
      <c r="R1560" s="153"/>
      <c r="S1560" s="154"/>
      <c r="T1560" s="115"/>
    </row>
    <row r="1561" spans="1:20">
      <c r="A1561" t="s">
        <v>1230</v>
      </c>
      <c r="B1561" t="s">
        <v>72</v>
      </c>
      <c r="C1561" t="s">
        <v>55</v>
      </c>
      <c r="D1561" t="s">
        <v>547</v>
      </c>
      <c r="E1561" t="s">
        <v>3256</v>
      </c>
      <c r="F1561" s="121">
        <v>618</v>
      </c>
      <c r="G1561" s="121">
        <v>618</v>
      </c>
      <c r="H1561" t="s">
        <v>604</v>
      </c>
      <c r="I1561" s="156">
        <v>41089</v>
      </c>
      <c r="K1561" s="153"/>
      <c r="L1561" s="153"/>
      <c r="M1561" s="153"/>
      <c r="N1561" s="153"/>
      <c r="O1561" s="153"/>
      <c r="P1561" s="150"/>
      <c r="Q1561" s="150"/>
      <c r="R1561" s="153"/>
      <c r="S1561" s="154"/>
      <c r="T1561" s="115"/>
    </row>
    <row r="1562" spans="1:20">
      <c r="A1562" t="s">
        <v>1230</v>
      </c>
      <c r="B1562" t="s">
        <v>72</v>
      </c>
      <c r="C1562" t="s">
        <v>53</v>
      </c>
      <c r="D1562" t="s">
        <v>586</v>
      </c>
      <c r="E1562" t="s">
        <v>3257</v>
      </c>
      <c r="F1562" s="121">
        <v>412</v>
      </c>
      <c r="G1562" s="121">
        <v>412</v>
      </c>
      <c r="H1562" t="s">
        <v>604</v>
      </c>
      <c r="I1562" s="156">
        <v>41089</v>
      </c>
      <c r="K1562" s="153"/>
      <c r="L1562" s="153"/>
      <c r="M1562" s="153"/>
      <c r="N1562" s="153"/>
      <c r="O1562" s="153"/>
      <c r="P1562" s="150"/>
      <c r="Q1562" s="150"/>
      <c r="R1562" s="153"/>
      <c r="S1562" s="154"/>
      <c r="T1562" s="115"/>
    </row>
    <row r="1563" spans="1:20">
      <c r="A1563" t="s">
        <v>1230</v>
      </c>
      <c r="B1563" t="s">
        <v>72</v>
      </c>
      <c r="C1563" t="s">
        <v>55</v>
      </c>
      <c r="D1563" t="s">
        <v>599</v>
      </c>
      <c r="E1563" t="s">
        <v>3258</v>
      </c>
      <c r="F1563" s="121">
        <v>700.4</v>
      </c>
      <c r="G1563" s="121">
        <v>700.4</v>
      </c>
      <c r="H1563" t="s">
        <v>604</v>
      </c>
      <c r="I1563" s="156">
        <v>41089</v>
      </c>
      <c r="K1563" s="153"/>
      <c r="L1563" s="153"/>
      <c r="M1563" s="153"/>
      <c r="N1563" s="153"/>
      <c r="O1563" s="153"/>
      <c r="P1563" s="150"/>
      <c r="Q1563" s="150"/>
      <c r="R1563" s="153"/>
      <c r="S1563" s="154"/>
      <c r="T1563" s="115"/>
    </row>
    <row r="1564" spans="1:20">
      <c r="A1564" t="s">
        <v>1230</v>
      </c>
      <c r="B1564" t="s">
        <v>72</v>
      </c>
      <c r="C1564" t="s">
        <v>55</v>
      </c>
      <c r="D1564" t="s">
        <v>588</v>
      </c>
      <c r="E1564" t="s">
        <v>3259</v>
      </c>
      <c r="F1564" s="121">
        <v>97.85</v>
      </c>
      <c r="G1564" s="121">
        <v>97.85</v>
      </c>
      <c r="H1564" t="s">
        <v>604</v>
      </c>
      <c r="I1564" s="156">
        <v>41089</v>
      </c>
      <c r="K1564" s="153"/>
      <c r="L1564" s="153"/>
      <c r="M1564" s="153"/>
      <c r="N1564" s="153"/>
      <c r="O1564" s="153"/>
      <c r="P1564" s="152"/>
      <c r="Q1564" s="152"/>
      <c r="R1564" s="153"/>
      <c r="S1564" s="154"/>
      <c r="T1564" s="115"/>
    </row>
    <row r="1565" spans="1:20">
      <c r="A1565" t="s">
        <v>1230</v>
      </c>
      <c r="B1565" t="s">
        <v>72</v>
      </c>
      <c r="C1565" t="s">
        <v>55</v>
      </c>
      <c r="D1565" t="s">
        <v>588</v>
      </c>
      <c r="E1565" t="s">
        <v>3260</v>
      </c>
      <c r="F1565" s="121">
        <v>97.85</v>
      </c>
      <c r="G1565" s="121">
        <v>97.85</v>
      </c>
      <c r="H1565" t="s">
        <v>604</v>
      </c>
      <c r="I1565" s="156">
        <v>41089</v>
      </c>
      <c r="K1565" s="153"/>
      <c r="L1565" s="153"/>
      <c r="M1565" s="153"/>
      <c r="N1565" s="153"/>
      <c r="O1565" s="153"/>
      <c r="P1565" s="150"/>
      <c r="Q1565" s="150"/>
      <c r="R1565" s="153"/>
      <c r="S1565" s="154"/>
      <c r="T1565" s="115"/>
    </row>
    <row r="1566" spans="1:20">
      <c r="A1566" t="s">
        <v>1230</v>
      </c>
      <c r="B1566" t="s">
        <v>72</v>
      </c>
      <c r="C1566" t="s">
        <v>55</v>
      </c>
      <c r="D1566" t="s">
        <v>588</v>
      </c>
      <c r="E1566" t="s">
        <v>3261</v>
      </c>
      <c r="F1566" s="121">
        <v>97.85</v>
      </c>
      <c r="G1566" s="121">
        <v>97.85</v>
      </c>
      <c r="H1566" t="s">
        <v>604</v>
      </c>
      <c r="I1566" s="156">
        <v>41089</v>
      </c>
      <c r="K1566" s="153"/>
      <c r="L1566" s="153"/>
      <c r="M1566" s="153"/>
      <c r="N1566" s="153"/>
      <c r="O1566" s="153"/>
      <c r="P1566" s="150"/>
      <c r="Q1566" s="150"/>
      <c r="R1566" s="153"/>
      <c r="S1566" s="154"/>
      <c r="T1566" s="115"/>
    </row>
    <row r="1567" spans="1:20">
      <c r="A1567" t="s">
        <v>1230</v>
      </c>
      <c r="B1567" t="s">
        <v>72</v>
      </c>
      <c r="C1567" t="s">
        <v>55</v>
      </c>
      <c r="D1567" t="s">
        <v>588</v>
      </c>
      <c r="E1567" t="s">
        <v>3262</v>
      </c>
      <c r="F1567" s="121">
        <v>97.85</v>
      </c>
      <c r="G1567" s="121">
        <v>97.85</v>
      </c>
      <c r="H1567" t="s">
        <v>604</v>
      </c>
      <c r="I1567" s="156">
        <v>41089</v>
      </c>
      <c r="K1567" s="153"/>
      <c r="L1567" s="153"/>
      <c r="M1567" s="153"/>
      <c r="N1567" s="153"/>
      <c r="O1567" s="153"/>
      <c r="P1567" s="150"/>
      <c r="Q1567" s="150"/>
      <c r="R1567" s="153"/>
      <c r="S1567" s="154"/>
      <c r="T1567" s="115"/>
    </row>
    <row r="1568" spans="1:20">
      <c r="A1568" t="s">
        <v>1230</v>
      </c>
      <c r="B1568" t="s">
        <v>72</v>
      </c>
      <c r="C1568" t="s">
        <v>55</v>
      </c>
      <c r="D1568" t="s">
        <v>588</v>
      </c>
      <c r="E1568" t="s">
        <v>3263</v>
      </c>
      <c r="F1568" s="121">
        <v>97.85</v>
      </c>
      <c r="G1568" s="121">
        <v>97.85</v>
      </c>
      <c r="H1568" t="s">
        <v>604</v>
      </c>
      <c r="I1568" s="156">
        <v>41089</v>
      </c>
      <c r="K1568" s="153"/>
      <c r="L1568" s="153"/>
      <c r="M1568" s="153"/>
      <c r="N1568" s="153"/>
      <c r="O1568" s="153"/>
      <c r="P1568" s="150"/>
      <c r="Q1568" s="150"/>
      <c r="R1568" s="153"/>
      <c r="S1568" s="154"/>
      <c r="T1568" s="115"/>
    </row>
    <row r="1569" spans="1:20">
      <c r="A1569" t="s">
        <v>1230</v>
      </c>
      <c r="B1569" t="s">
        <v>72</v>
      </c>
      <c r="C1569" t="s">
        <v>55</v>
      </c>
      <c r="D1569" t="s">
        <v>588</v>
      </c>
      <c r="E1569" t="s">
        <v>3264</v>
      </c>
      <c r="F1569" s="121">
        <v>288.39999999999998</v>
      </c>
      <c r="G1569" s="121">
        <v>288.39999999999998</v>
      </c>
      <c r="H1569" t="s">
        <v>604</v>
      </c>
      <c r="I1569" s="156">
        <v>41089</v>
      </c>
      <c r="K1569" s="153"/>
      <c r="L1569" s="153"/>
      <c r="M1569" s="153"/>
      <c r="N1569" s="153"/>
      <c r="O1569" s="153"/>
      <c r="P1569" s="150"/>
      <c r="Q1569" s="150"/>
      <c r="R1569" s="153"/>
      <c r="S1569" s="154"/>
      <c r="T1569" s="115"/>
    </row>
    <row r="1570" spans="1:20">
      <c r="A1570" t="s">
        <v>1230</v>
      </c>
      <c r="B1570" t="s">
        <v>72</v>
      </c>
      <c r="C1570" t="s">
        <v>55</v>
      </c>
      <c r="D1570" t="s">
        <v>588</v>
      </c>
      <c r="E1570" t="s">
        <v>3265</v>
      </c>
      <c r="F1570" s="121">
        <v>288.39999999999998</v>
      </c>
      <c r="G1570" s="121">
        <v>288.39999999999998</v>
      </c>
      <c r="H1570" t="s">
        <v>604</v>
      </c>
      <c r="I1570" s="156">
        <v>41089</v>
      </c>
      <c r="K1570" s="153"/>
      <c r="L1570" s="153"/>
      <c r="M1570" s="153"/>
      <c r="N1570" s="153"/>
      <c r="O1570" s="153"/>
      <c r="P1570" s="150"/>
      <c r="Q1570" s="150"/>
      <c r="R1570" s="153"/>
      <c r="S1570" s="154"/>
      <c r="T1570" s="115"/>
    </row>
    <row r="1571" spans="1:20">
      <c r="A1571" t="s">
        <v>1230</v>
      </c>
      <c r="B1571" t="s">
        <v>72</v>
      </c>
      <c r="C1571" t="s">
        <v>55</v>
      </c>
      <c r="D1571" t="s">
        <v>588</v>
      </c>
      <c r="E1571" t="s">
        <v>3266</v>
      </c>
      <c r="F1571" s="121">
        <v>288.39999999999998</v>
      </c>
      <c r="G1571" s="121">
        <v>288.39999999999998</v>
      </c>
      <c r="H1571" t="s">
        <v>604</v>
      </c>
      <c r="I1571" s="156">
        <v>41089</v>
      </c>
      <c r="K1571" s="153"/>
      <c r="L1571" s="153"/>
      <c r="M1571" s="153"/>
      <c r="N1571" s="153"/>
      <c r="O1571" s="153"/>
      <c r="P1571" s="150"/>
      <c r="Q1571" s="150"/>
      <c r="R1571" s="153"/>
      <c r="S1571" s="154"/>
      <c r="T1571" s="115"/>
    </row>
    <row r="1572" spans="1:20">
      <c r="A1572" t="s">
        <v>1230</v>
      </c>
      <c r="B1572" t="s">
        <v>72</v>
      </c>
      <c r="C1572" t="s">
        <v>55</v>
      </c>
      <c r="D1572" t="s">
        <v>588</v>
      </c>
      <c r="E1572" t="s">
        <v>3267</v>
      </c>
      <c r="F1572" s="121">
        <v>288.39999999999998</v>
      </c>
      <c r="G1572" s="121">
        <v>288.39999999999998</v>
      </c>
      <c r="H1572" t="s">
        <v>604</v>
      </c>
      <c r="I1572" s="156">
        <v>41089</v>
      </c>
      <c r="K1572" s="153"/>
      <c r="L1572" s="153"/>
      <c r="M1572" s="153"/>
      <c r="N1572" s="153"/>
      <c r="O1572" s="153"/>
      <c r="P1572" s="150"/>
      <c r="Q1572" s="150"/>
      <c r="R1572" s="153"/>
      <c r="S1572" s="154"/>
      <c r="T1572" s="115"/>
    </row>
    <row r="1573" spans="1:20">
      <c r="A1573" t="s">
        <v>1230</v>
      </c>
      <c r="B1573" t="s">
        <v>72</v>
      </c>
      <c r="C1573" t="s">
        <v>55</v>
      </c>
      <c r="D1573" t="s">
        <v>588</v>
      </c>
      <c r="E1573" t="s">
        <v>3268</v>
      </c>
      <c r="F1573" s="121">
        <v>288.39999999999998</v>
      </c>
      <c r="G1573" s="121">
        <v>288.39999999999998</v>
      </c>
      <c r="H1573" t="s">
        <v>604</v>
      </c>
      <c r="I1573" s="156">
        <v>41089</v>
      </c>
      <c r="K1573" s="153"/>
      <c r="L1573" s="153"/>
      <c r="M1573" s="153"/>
      <c r="N1573" s="153"/>
      <c r="O1573" s="153"/>
      <c r="P1573" s="150"/>
      <c r="Q1573" s="150"/>
      <c r="R1573" s="153"/>
      <c r="S1573" s="154"/>
      <c r="T1573" s="115"/>
    </row>
    <row r="1574" spans="1:20">
      <c r="A1574" t="s">
        <v>1230</v>
      </c>
      <c r="B1574" t="s">
        <v>72</v>
      </c>
      <c r="C1574" t="s">
        <v>55</v>
      </c>
      <c r="D1574" t="s">
        <v>594</v>
      </c>
      <c r="E1574" t="s">
        <v>3269</v>
      </c>
      <c r="F1574" s="121">
        <v>288.39999999999998</v>
      </c>
      <c r="G1574" s="121">
        <v>288.39999999999998</v>
      </c>
      <c r="H1574" t="s">
        <v>604</v>
      </c>
      <c r="I1574" s="156">
        <v>41089</v>
      </c>
      <c r="K1574" s="153"/>
      <c r="L1574" s="153"/>
      <c r="M1574" s="153"/>
      <c r="N1574" s="153"/>
      <c r="O1574" s="153"/>
      <c r="P1574" s="150"/>
      <c r="Q1574" s="150"/>
      <c r="R1574" s="153"/>
      <c r="S1574" s="154"/>
      <c r="T1574" s="115"/>
    </row>
    <row r="1575" spans="1:20">
      <c r="A1575" t="s">
        <v>1230</v>
      </c>
      <c r="B1575" t="s">
        <v>72</v>
      </c>
      <c r="C1575" t="s">
        <v>55</v>
      </c>
      <c r="D1575" t="s">
        <v>588</v>
      </c>
      <c r="E1575" t="s">
        <v>3270</v>
      </c>
      <c r="F1575" s="121">
        <v>97.85</v>
      </c>
      <c r="G1575" s="121">
        <v>97.85</v>
      </c>
      <c r="H1575" t="s">
        <v>604</v>
      </c>
      <c r="I1575" s="156">
        <v>41089</v>
      </c>
      <c r="K1575" s="153"/>
      <c r="L1575" s="153"/>
      <c r="M1575" s="153"/>
      <c r="N1575" s="153"/>
      <c r="O1575" s="153"/>
      <c r="P1575" s="150"/>
      <c r="Q1575" s="150"/>
      <c r="R1575" s="153"/>
      <c r="S1575" s="154"/>
      <c r="T1575" s="115"/>
    </row>
    <row r="1576" spans="1:20">
      <c r="A1576" t="s">
        <v>1230</v>
      </c>
      <c r="B1576" t="s">
        <v>72</v>
      </c>
      <c r="C1576" t="s">
        <v>55</v>
      </c>
      <c r="D1576" t="s">
        <v>599</v>
      </c>
      <c r="E1576" t="s">
        <v>3271</v>
      </c>
      <c r="F1576" s="121">
        <v>396.55</v>
      </c>
      <c r="G1576" s="121">
        <v>396.55</v>
      </c>
      <c r="H1576" t="s">
        <v>604</v>
      </c>
      <c r="I1576" s="156">
        <v>41089</v>
      </c>
      <c r="K1576" s="153"/>
      <c r="L1576" s="153"/>
      <c r="M1576" s="153"/>
      <c r="N1576" s="153"/>
      <c r="O1576" s="153"/>
      <c r="P1576" s="150"/>
      <c r="Q1576" s="150"/>
      <c r="R1576" s="153"/>
      <c r="S1576" s="154"/>
      <c r="T1576" s="115"/>
    </row>
    <row r="1577" spans="1:20">
      <c r="A1577" t="s">
        <v>1230</v>
      </c>
      <c r="B1577" t="s">
        <v>72</v>
      </c>
      <c r="C1577" t="s">
        <v>43</v>
      </c>
      <c r="D1577" t="s">
        <v>618</v>
      </c>
      <c r="E1577" t="s">
        <v>3272</v>
      </c>
      <c r="F1577" s="121">
        <v>1390.5</v>
      </c>
      <c r="G1577" s="121">
        <v>1390.5</v>
      </c>
      <c r="H1577" t="s">
        <v>604</v>
      </c>
      <c r="I1577" s="156">
        <v>41089</v>
      </c>
      <c r="K1577" s="153"/>
      <c r="L1577" s="153"/>
      <c r="M1577" s="153"/>
      <c r="N1577" s="153"/>
      <c r="O1577" s="153"/>
      <c r="P1577" s="150"/>
      <c r="Q1577" s="150"/>
      <c r="R1577" s="153"/>
      <c r="S1577" s="154"/>
      <c r="T1577" s="115"/>
    </row>
    <row r="1578" spans="1:20">
      <c r="A1578" t="s">
        <v>1230</v>
      </c>
      <c r="B1578" t="s">
        <v>72</v>
      </c>
      <c r="C1578" t="s">
        <v>43</v>
      </c>
      <c r="D1578" t="s">
        <v>618</v>
      </c>
      <c r="E1578" t="s">
        <v>3273</v>
      </c>
      <c r="F1578" s="121">
        <v>1694.35</v>
      </c>
      <c r="G1578" s="121">
        <v>1694.35</v>
      </c>
      <c r="H1578" t="s">
        <v>604</v>
      </c>
      <c r="I1578" s="156">
        <v>41089</v>
      </c>
      <c r="K1578" s="153"/>
      <c r="L1578" s="153"/>
      <c r="M1578" s="153"/>
      <c r="N1578" s="153"/>
      <c r="O1578" s="153"/>
      <c r="P1578" s="150"/>
      <c r="Q1578" s="150"/>
      <c r="R1578" s="153"/>
      <c r="S1578" s="154"/>
      <c r="T1578" s="115"/>
    </row>
    <row r="1579" spans="1:20">
      <c r="A1579" t="s">
        <v>1230</v>
      </c>
      <c r="B1579" t="s">
        <v>72</v>
      </c>
      <c r="C1579" t="s">
        <v>43</v>
      </c>
      <c r="D1579" t="s">
        <v>619</v>
      </c>
      <c r="E1579" t="s">
        <v>3274</v>
      </c>
      <c r="F1579" s="121">
        <v>257.5</v>
      </c>
      <c r="G1579" s="121">
        <v>257.5</v>
      </c>
      <c r="H1579" t="s">
        <v>604</v>
      </c>
      <c r="I1579" s="156">
        <v>41089</v>
      </c>
      <c r="K1579" s="153"/>
      <c r="L1579" s="153"/>
      <c r="M1579" s="153"/>
      <c r="N1579" s="153"/>
      <c r="O1579" s="153"/>
      <c r="P1579" s="152"/>
      <c r="Q1579" s="152"/>
      <c r="R1579" s="153"/>
      <c r="S1579" s="154"/>
      <c r="T1579" s="115"/>
    </row>
    <row r="1580" spans="1:20">
      <c r="A1580" t="s">
        <v>1230</v>
      </c>
      <c r="B1580" t="s">
        <v>72</v>
      </c>
      <c r="C1580" t="s">
        <v>43</v>
      </c>
      <c r="D1580" t="s">
        <v>620</v>
      </c>
      <c r="E1580" t="s">
        <v>7313</v>
      </c>
      <c r="F1580" s="121">
        <v>824</v>
      </c>
      <c r="G1580" s="121">
        <v>824</v>
      </c>
      <c r="H1580" t="s">
        <v>604</v>
      </c>
      <c r="I1580" s="156">
        <v>41089</v>
      </c>
      <c r="K1580" s="153"/>
      <c r="L1580" s="153"/>
      <c r="M1580" s="153"/>
      <c r="N1580" s="153"/>
      <c r="O1580" s="153"/>
      <c r="P1580" s="152"/>
      <c r="Q1580" s="152"/>
      <c r="R1580" s="153"/>
      <c r="S1580" s="154"/>
      <c r="T1580" s="115"/>
    </row>
    <row r="1581" spans="1:20">
      <c r="A1581" t="s">
        <v>1230</v>
      </c>
      <c r="B1581" t="s">
        <v>72</v>
      </c>
      <c r="C1581" t="s">
        <v>51</v>
      </c>
      <c r="D1581" t="s">
        <v>621</v>
      </c>
      <c r="E1581" t="s">
        <v>3275</v>
      </c>
      <c r="F1581" s="121">
        <v>42230</v>
      </c>
      <c r="G1581" s="121">
        <v>42230</v>
      </c>
      <c r="H1581" t="s">
        <v>604</v>
      </c>
      <c r="I1581" s="156">
        <v>41089</v>
      </c>
      <c r="K1581" s="153"/>
      <c r="L1581" s="153"/>
      <c r="M1581" s="153"/>
      <c r="N1581" s="153"/>
      <c r="O1581" s="153"/>
      <c r="P1581" s="150"/>
      <c r="Q1581" s="150"/>
      <c r="R1581" s="153"/>
      <c r="S1581" s="154"/>
      <c r="T1581" s="115"/>
    </row>
    <row r="1582" spans="1:20">
      <c r="A1582" t="s">
        <v>1230</v>
      </c>
      <c r="B1582" t="s">
        <v>72</v>
      </c>
      <c r="C1582" t="s">
        <v>43</v>
      </c>
      <c r="D1582" t="s">
        <v>622</v>
      </c>
      <c r="E1582" t="s">
        <v>3276</v>
      </c>
      <c r="F1582" s="121">
        <v>515</v>
      </c>
      <c r="G1582" s="121">
        <v>515</v>
      </c>
      <c r="H1582" t="s">
        <v>604</v>
      </c>
      <c r="I1582" s="156">
        <v>41089</v>
      </c>
      <c r="K1582" s="153"/>
      <c r="L1582" s="153"/>
      <c r="M1582" s="153"/>
      <c r="N1582" s="153"/>
      <c r="O1582" s="153"/>
      <c r="P1582" s="150"/>
      <c r="Q1582" s="150"/>
      <c r="R1582" s="153"/>
      <c r="S1582" s="154"/>
      <c r="T1582" s="115"/>
    </row>
    <row r="1583" spans="1:20">
      <c r="A1583" t="s">
        <v>1230</v>
      </c>
      <c r="B1583" t="s">
        <v>72</v>
      </c>
      <c r="C1583" t="s">
        <v>55</v>
      </c>
      <c r="D1583" t="s">
        <v>547</v>
      </c>
      <c r="E1583" t="s">
        <v>3277</v>
      </c>
      <c r="F1583" s="121">
        <v>1390.5</v>
      </c>
      <c r="G1583" s="121">
        <v>1390.5</v>
      </c>
      <c r="H1583" t="s">
        <v>604</v>
      </c>
      <c r="I1583" s="156">
        <v>41089</v>
      </c>
      <c r="K1583" s="153"/>
      <c r="L1583" s="153"/>
      <c r="M1583" s="153"/>
      <c r="N1583" s="153"/>
      <c r="O1583" s="153"/>
      <c r="P1583" s="150"/>
      <c r="Q1583" s="150"/>
      <c r="R1583" s="153"/>
      <c r="S1583" s="154"/>
      <c r="T1583" s="115"/>
    </row>
    <row r="1584" spans="1:20">
      <c r="A1584" t="s">
        <v>1230</v>
      </c>
      <c r="B1584" t="s">
        <v>72</v>
      </c>
      <c r="C1584" t="s">
        <v>55</v>
      </c>
      <c r="D1584" t="s">
        <v>568</v>
      </c>
      <c r="E1584" t="s">
        <v>3278</v>
      </c>
      <c r="F1584" s="121">
        <v>298.7</v>
      </c>
      <c r="G1584" s="121">
        <v>298.7</v>
      </c>
      <c r="H1584" t="s">
        <v>604</v>
      </c>
      <c r="I1584" s="156">
        <v>41089</v>
      </c>
      <c r="K1584" s="153"/>
      <c r="L1584" s="153"/>
      <c r="M1584" s="153"/>
      <c r="N1584" s="153"/>
      <c r="O1584" s="153"/>
      <c r="P1584" s="152"/>
      <c r="Q1584" s="152"/>
      <c r="R1584" s="153"/>
      <c r="S1584" s="154"/>
      <c r="T1584" s="115"/>
    </row>
    <row r="1585" spans="1:20">
      <c r="A1585" t="s">
        <v>1230</v>
      </c>
      <c r="B1585" t="s">
        <v>72</v>
      </c>
      <c r="C1585" t="s">
        <v>55</v>
      </c>
      <c r="D1585" t="s">
        <v>568</v>
      </c>
      <c r="E1585" t="s">
        <v>3279</v>
      </c>
      <c r="F1585" s="121">
        <v>298.7</v>
      </c>
      <c r="G1585" s="121">
        <v>298.7</v>
      </c>
      <c r="H1585" t="s">
        <v>604</v>
      </c>
      <c r="I1585" s="156">
        <v>41089</v>
      </c>
      <c r="K1585" s="153"/>
      <c r="L1585" s="153"/>
      <c r="M1585" s="153"/>
      <c r="N1585" s="153"/>
      <c r="O1585" s="153"/>
      <c r="P1585" s="150"/>
      <c r="Q1585" s="150"/>
      <c r="R1585" s="153"/>
      <c r="S1585" s="154"/>
      <c r="T1585" s="115"/>
    </row>
    <row r="1586" spans="1:20">
      <c r="A1586" t="s">
        <v>1230</v>
      </c>
      <c r="B1586" t="s">
        <v>72</v>
      </c>
      <c r="C1586" t="s">
        <v>55</v>
      </c>
      <c r="D1586" t="s">
        <v>573</v>
      </c>
      <c r="E1586" t="s">
        <v>3280</v>
      </c>
      <c r="F1586" s="121">
        <v>185.4</v>
      </c>
      <c r="G1586" s="121">
        <v>185.4</v>
      </c>
      <c r="H1586" t="s">
        <v>604</v>
      </c>
      <c r="I1586" s="156">
        <v>41089</v>
      </c>
      <c r="K1586" s="153"/>
      <c r="L1586" s="153"/>
      <c r="M1586" s="153"/>
      <c r="N1586" s="153"/>
      <c r="O1586" s="153"/>
      <c r="P1586" s="150"/>
      <c r="Q1586" s="150"/>
      <c r="R1586" s="153"/>
      <c r="S1586" s="154"/>
      <c r="T1586" s="115"/>
    </row>
    <row r="1587" spans="1:20">
      <c r="A1587" t="s">
        <v>1230</v>
      </c>
      <c r="B1587" t="s">
        <v>72</v>
      </c>
      <c r="C1587" t="s">
        <v>55</v>
      </c>
      <c r="D1587" t="s">
        <v>573</v>
      </c>
      <c r="E1587" t="s">
        <v>3281</v>
      </c>
      <c r="F1587" s="121">
        <v>154.5</v>
      </c>
      <c r="G1587" s="121">
        <v>154.5</v>
      </c>
      <c r="H1587" t="s">
        <v>604</v>
      </c>
      <c r="I1587" s="156">
        <v>41089</v>
      </c>
      <c r="K1587" s="153"/>
      <c r="L1587" s="153"/>
      <c r="M1587" s="153"/>
      <c r="N1587" s="153"/>
      <c r="O1587" s="153"/>
      <c r="P1587" s="150"/>
      <c r="Q1587" s="150"/>
      <c r="R1587" s="153"/>
      <c r="S1587" s="154"/>
      <c r="T1587" s="115"/>
    </row>
    <row r="1588" spans="1:20">
      <c r="A1588" t="s">
        <v>1230</v>
      </c>
      <c r="B1588" t="s">
        <v>72</v>
      </c>
      <c r="C1588" t="s">
        <v>55</v>
      </c>
      <c r="D1588" t="s">
        <v>573</v>
      </c>
      <c r="E1588" t="s">
        <v>3282</v>
      </c>
      <c r="F1588" s="121">
        <v>144.19999999999999</v>
      </c>
      <c r="G1588" s="121">
        <v>144.19999999999999</v>
      </c>
      <c r="H1588" t="s">
        <v>604</v>
      </c>
      <c r="I1588" s="156">
        <v>41089</v>
      </c>
      <c r="K1588" s="153"/>
      <c r="L1588" s="153"/>
      <c r="M1588" s="153"/>
      <c r="N1588" s="153"/>
      <c r="O1588" s="153"/>
      <c r="P1588" s="150"/>
      <c r="Q1588" s="150"/>
      <c r="R1588" s="153"/>
      <c r="S1588" s="154"/>
      <c r="T1588" s="115"/>
    </row>
    <row r="1589" spans="1:20">
      <c r="A1589" t="s">
        <v>1230</v>
      </c>
      <c r="B1589" t="s">
        <v>72</v>
      </c>
      <c r="C1589" t="s">
        <v>55</v>
      </c>
      <c r="D1589" t="s">
        <v>573</v>
      </c>
      <c r="E1589" t="s">
        <v>3283</v>
      </c>
      <c r="F1589" s="121">
        <v>257.5</v>
      </c>
      <c r="G1589" s="121">
        <v>257.5</v>
      </c>
      <c r="H1589" t="s">
        <v>604</v>
      </c>
      <c r="I1589" s="156">
        <v>41089</v>
      </c>
      <c r="K1589" s="153"/>
      <c r="L1589" s="153"/>
      <c r="M1589" s="153"/>
      <c r="N1589" s="153"/>
      <c r="O1589" s="153"/>
      <c r="P1589" s="150"/>
      <c r="Q1589" s="150"/>
      <c r="R1589" s="153"/>
      <c r="S1589" s="154"/>
      <c r="T1589" s="115"/>
    </row>
    <row r="1590" spans="1:20">
      <c r="A1590" t="s">
        <v>1230</v>
      </c>
      <c r="B1590" t="s">
        <v>72</v>
      </c>
      <c r="C1590" t="s">
        <v>55</v>
      </c>
      <c r="D1590" t="s">
        <v>589</v>
      </c>
      <c r="E1590" t="s">
        <v>7314</v>
      </c>
      <c r="F1590" s="121">
        <v>154.5</v>
      </c>
      <c r="G1590" s="121">
        <v>154.5</v>
      </c>
      <c r="H1590" t="s">
        <v>604</v>
      </c>
      <c r="I1590" s="156">
        <v>41089</v>
      </c>
      <c r="K1590" s="153"/>
      <c r="L1590" s="153"/>
      <c r="M1590" s="153"/>
      <c r="N1590" s="153"/>
      <c r="O1590" s="153"/>
      <c r="P1590" s="150"/>
      <c r="Q1590" s="150"/>
      <c r="R1590" s="153"/>
      <c r="S1590" s="154"/>
      <c r="T1590" s="115"/>
    </row>
    <row r="1591" spans="1:20">
      <c r="A1591" t="s">
        <v>1230</v>
      </c>
      <c r="B1591" t="s">
        <v>72</v>
      </c>
      <c r="C1591" t="s">
        <v>55</v>
      </c>
      <c r="D1591" t="s">
        <v>589</v>
      </c>
      <c r="E1591" t="s">
        <v>7315</v>
      </c>
      <c r="F1591" s="121">
        <v>61.8</v>
      </c>
      <c r="G1591" s="121">
        <v>61.8</v>
      </c>
      <c r="H1591" t="s">
        <v>604</v>
      </c>
      <c r="I1591" s="156">
        <v>41089</v>
      </c>
      <c r="K1591" s="153"/>
      <c r="L1591" s="153"/>
      <c r="M1591" s="153"/>
      <c r="N1591" s="153"/>
      <c r="O1591" s="153"/>
      <c r="P1591" s="150"/>
      <c r="Q1591" s="150"/>
      <c r="R1591" s="153"/>
      <c r="S1591" s="154"/>
      <c r="T1591" s="115"/>
    </row>
    <row r="1592" spans="1:20">
      <c r="A1592" t="s">
        <v>1230</v>
      </c>
      <c r="B1592" t="s">
        <v>72</v>
      </c>
      <c r="C1592" t="s">
        <v>55</v>
      </c>
      <c r="D1592" t="s">
        <v>589</v>
      </c>
      <c r="E1592" t="s">
        <v>7316</v>
      </c>
      <c r="F1592" s="121">
        <v>61.8</v>
      </c>
      <c r="G1592" s="121">
        <v>61.8</v>
      </c>
      <c r="H1592" t="s">
        <v>604</v>
      </c>
      <c r="I1592" s="156">
        <v>41089</v>
      </c>
      <c r="K1592" s="153"/>
      <c r="L1592" s="153"/>
      <c r="M1592" s="153"/>
      <c r="N1592" s="153"/>
      <c r="O1592" s="153"/>
      <c r="P1592" s="150"/>
      <c r="Q1592" s="150"/>
      <c r="R1592" s="153"/>
      <c r="S1592" s="154"/>
      <c r="T1592" s="115"/>
    </row>
    <row r="1593" spans="1:20">
      <c r="A1593" t="s">
        <v>1230</v>
      </c>
      <c r="B1593" t="s">
        <v>72</v>
      </c>
      <c r="C1593" t="s">
        <v>55</v>
      </c>
      <c r="D1593" t="s">
        <v>589</v>
      </c>
      <c r="E1593" t="s">
        <v>7317</v>
      </c>
      <c r="F1593" s="121">
        <v>61.8</v>
      </c>
      <c r="G1593" s="121">
        <v>61.8</v>
      </c>
      <c r="H1593" t="s">
        <v>604</v>
      </c>
      <c r="I1593" s="156">
        <v>41089</v>
      </c>
      <c r="K1593" s="153"/>
      <c r="L1593" s="153"/>
      <c r="M1593" s="153"/>
      <c r="N1593" s="153"/>
      <c r="O1593" s="153"/>
      <c r="P1593" s="150"/>
      <c r="Q1593" s="150"/>
      <c r="R1593" s="153"/>
      <c r="S1593" s="154"/>
      <c r="T1593" s="115"/>
    </row>
    <row r="1594" spans="1:20">
      <c r="A1594" t="s">
        <v>1230</v>
      </c>
      <c r="B1594" t="s">
        <v>72</v>
      </c>
      <c r="C1594" t="s">
        <v>55</v>
      </c>
      <c r="D1594" t="s">
        <v>589</v>
      </c>
      <c r="E1594" t="s">
        <v>7318</v>
      </c>
      <c r="F1594" s="121">
        <v>66.95</v>
      </c>
      <c r="G1594" s="121">
        <v>66.95</v>
      </c>
      <c r="H1594" t="s">
        <v>604</v>
      </c>
      <c r="I1594" s="156">
        <v>41089</v>
      </c>
      <c r="K1594" s="153"/>
      <c r="L1594" s="153"/>
      <c r="M1594" s="153"/>
      <c r="N1594" s="153"/>
      <c r="O1594" s="153"/>
      <c r="P1594" s="150"/>
      <c r="Q1594" s="150"/>
      <c r="R1594" s="153"/>
      <c r="S1594" s="154"/>
      <c r="T1594" s="115"/>
    </row>
    <row r="1595" spans="1:20">
      <c r="A1595" t="s">
        <v>1230</v>
      </c>
      <c r="B1595" t="s">
        <v>72</v>
      </c>
      <c r="C1595" t="s">
        <v>43</v>
      </c>
      <c r="D1595" t="s">
        <v>566</v>
      </c>
      <c r="E1595" t="s">
        <v>3284</v>
      </c>
      <c r="F1595" s="121">
        <v>1957</v>
      </c>
      <c r="G1595" s="121">
        <v>1957</v>
      </c>
      <c r="H1595" t="s">
        <v>604</v>
      </c>
      <c r="I1595" s="156">
        <v>41089</v>
      </c>
      <c r="K1595" s="153"/>
      <c r="L1595" s="153"/>
      <c r="M1595" s="153"/>
      <c r="N1595" s="153"/>
      <c r="O1595" s="153"/>
      <c r="P1595" s="152"/>
      <c r="Q1595" s="152"/>
      <c r="R1595" s="153"/>
      <c r="S1595" s="154"/>
      <c r="T1595" s="115"/>
    </row>
    <row r="1596" spans="1:20">
      <c r="A1596" t="s">
        <v>1230</v>
      </c>
      <c r="B1596" t="s">
        <v>71</v>
      </c>
      <c r="C1596" t="s">
        <v>43</v>
      </c>
      <c r="D1596" t="s">
        <v>620</v>
      </c>
      <c r="E1596" t="s">
        <v>7319</v>
      </c>
      <c r="F1596" s="121">
        <v>1081.5</v>
      </c>
      <c r="G1596" s="121">
        <v>1081.5</v>
      </c>
      <c r="H1596" t="s">
        <v>450</v>
      </c>
      <c r="I1596" s="156">
        <v>41089</v>
      </c>
      <c r="K1596" s="153"/>
      <c r="L1596" s="153"/>
      <c r="M1596" s="153"/>
      <c r="N1596" s="153"/>
      <c r="O1596" s="153"/>
      <c r="P1596" s="152"/>
      <c r="Q1596" s="152"/>
      <c r="R1596" s="153"/>
      <c r="S1596" s="154"/>
      <c r="T1596" s="115"/>
    </row>
    <row r="1597" spans="1:20">
      <c r="A1597" t="s">
        <v>1230</v>
      </c>
      <c r="B1597" t="s">
        <v>72</v>
      </c>
      <c r="C1597" t="s">
        <v>43</v>
      </c>
      <c r="D1597" t="s">
        <v>623</v>
      </c>
      <c r="E1597" t="s">
        <v>3285</v>
      </c>
      <c r="F1597" s="121">
        <v>638.6</v>
      </c>
      <c r="G1597" s="121">
        <v>638.6</v>
      </c>
      <c r="H1597" t="s">
        <v>624</v>
      </c>
      <c r="I1597" s="156">
        <v>41089</v>
      </c>
      <c r="K1597" s="153"/>
      <c r="L1597" s="153"/>
      <c r="M1597" s="153"/>
      <c r="N1597" s="153"/>
      <c r="O1597" s="153"/>
      <c r="P1597" s="150"/>
      <c r="Q1597" s="150"/>
      <c r="R1597" s="153"/>
      <c r="S1597" s="154"/>
      <c r="T1597" s="115"/>
    </row>
    <row r="1598" spans="1:20">
      <c r="A1598" t="s">
        <v>1230</v>
      </c>
      <c r="B1598" t="s">
        <v>71</v>
      </c>
      <c r="C1598" t="s">
        <v>54</v>
      </c>
      <c r="D1598" t="s">
        <v>573</v>
      </c>
      <c r="E1598" t="s">
        <v>3286</v>
      </c>
      <c r="F1598" s="121">
        <v>139.05000000000001</v>
      </c>
      <c r="G1598" s="121">
        <v>139.05000000000001</v>
      </c>
      <c r="H1598" t="s">
        <v>624</v>
      </c>
      <c r="I1598" s="156">
        <v>41089</v>
      </c>
      <c r="K1598" s="153"/>
      <c r="L1598" s="153"/>
      <c r="M1598" s="153"/>
      <c r="N1598" s="153"/>
      <c r="O1598" s="153"/>
      <c r="P1598" s="150"/>
      <c r="Q1598" s="150"/>
      <c r="R1598" s="153"/>
      <c r="S1598" s="154"/>
      <c r="T1598" s="115"/>
    </row>
    <row r="1599" spans="1:20">
      <c r="A1599" t="s">
        <v>1230</v>
      </c>
      <c r="B1599" t="s">
        <v>71</v>
      </c>
      <c r="C1599" t="s">
        <v>54</v>
      </c>
      <c r="D1599" t="s">
        <v>589</v>
      </c>
      <c r="E1599" t="s">
        <v>7320</v>
      </c>
      <c r="F1599" s="121">
        <v>149.35</v>
      </c>
      <c r="G1599" s="121">
        <v>149.35</v>
      </c>
      <c r="H1599" t="s">
        <v>624</v>
      </c>
      <c r="I1599" s="156">
        <v>41089</v>
      </c>
      <c r="K1599" s="153"/>
      <c r="L1599" s="153"/>
      <c r="M1599" s="153"/>
      <c r="N1599" s="153"/>
      <c r="O1599" s="153"/>
      <c r="P1599" s="150"/>
      <c r="Q1599" s="150"/>
      <c r="R1599" s="153"/>
      <c r="S1599" s="154"/>
      <c r="T1599" s="115"/>
    </row>
    <row r="1600" spans="1:20">
      <c r="A1600" t="s">
        <v>1230</v>
      </c>
      <c r="B1600" t="s">
        <v>71</v>
      </c>
      <c r="C1600" t="s">
        <v>54</v>
      </c>
      <c r="D1600" t="s">
        <v>589</v>
      </c>
      <c r="E1600" t="s">
        <v>7321</v>
      </c>
      <c r="F1600" s="121">
        <v>149.35</v>
      </c>
      <c r="G1600" s="121">
        <v>149.35</v>
      </c>
      <c r="H1600" t="s">
        <v>624</v>
      </c>
      <c r="I1600" s="156">
        <v>41089</v>
      </c>
      <c r="K1600" s="153"/>
      <c r="L1600" s="153"/>
      <c r="M1600" s="153"/>
      <c r="N1600" s="153"/>
      <c r="O1600" s="153"/>
      <c r="P1600" s="150"/>
      <c r="Q1600" s="150"/>
      <c r="R1600" s="153"/>
      <c r="S1600" s="154"/>
      <c r="T1600" s="115"/>
    </row>
    <row r="1601" spans="1:20">
      <c r="A1601" t="s">
        <v>1230</v>
      </c>
      <c r="B1601" t="s">
        <v>71</v>
      </c>
      <c r="C1601" t="s">
        <v>43</v>
      </c>
      <c r="D1601" t="s">
        <v>620</v>
      </c>
      <c r="E1601" t="s">
        <v>7322</v>
      </c>
      <c r="F1601" s="121">
        <v>1081.5</v>
      </c>
      <c r="G1601" s="121">
        <v>1081.5</v>
      </c>
      <c r="H1601" t="s">
        <v>624</v>
      </c>
      <c r="I1601" s="156">
        <v>41089</v>
      </c>
      <c r="K1601" s="153"/>
      <c r="L1601" s="153"/>
      <c r="M1601" s="153"/>
      <c r="N1601" s="153"/>
      <c r="O1601" s="153"/>
      <c r="P1601" s="150"/>
      <c r="Q1601" s="150"/>
      <c r="R1601" s="153"/>
      <c r="S1601" s="154"/>
      <c r="T1601" s="115"/>
    </row>
    <row r="1602" spans="1:20">
      <c r="A1602" t="s">
        <v>1230</v>
      </c>
      <c r="B1602" t="s">
        <v>71</v>
      </c>
      <c r="C1602" t="s">
        <v>54</v>
      </c>
      <c r="D1602" t="s">
        <v>573</v>
      </c>
      <c r="E1602" t="s">
        <v>3287</v>
      </c>
      <c r="F1602" s="121">
        <v>108.15</v>
      </c>
      <c r="G1602" s="121">
        <v>108.15</v>
      </c>
      <c r="H1602" t="s">
        <v>624</v>
      </c>
      <c r="I1602" s="156">
        <v>41089</v>
      </c>
      <c r="K1602" s="153"/>
      <c r="L1602" s="153"/>
      <c r="M1602" s="153"/>
      <c r="N1602" s="153"/>
      <c r="O1602" s="153"/>
      <c r="P1602" s="150"/>
      <c r="Q1602" s="150"/>
      <c r="R1602" s="153"/>
      <c r="S1602" s="154"/>
      <c r="T1602" s="115"/>
    </row>
    <row r="1603" spans="1:20">
      <c r="A1603" t="s">
        <v>1230</v>
      </c>
      <c r="B1603" t="s">
        <v>71</v>
      </c>
      <c r="C1603" t="s">
        <v>54</v>
      </c>
      <c r="D1603" t="s">
        <v>589</v>
      </c>
      <c r="E1603" t="s">
        <v>7323</v>
      </c>
      <c r="F1603" s="121">
        <v>126.69</v>
      </c>
      <c r="G1603" s="121">
        <v>126.69</v>
      </c>
      <c r="H1603" t="s">
        <v>624</v>
      </c>
      <c r="I1603" s="156">
        <v>41089</v>
      </c>
      <c r="K1603" s="153"/>
      <c r="L1603" s="153"/>
      <c r="M1603" s="153"/>
      <c r="N1603" s="153"/>
      <c r="O1603" s="153"/>
      <c r="P1603" s="152"/>
      <c r="Q1603" s="150"/>
      <c r="R1603" s="153"/>
      <c r="S1603" s="154"/>
      <c r="T1603" s="115"/>
    </row>
    <row r="1604" spans="1:20">
      <c r="A1604" t="s">
        <v>1230</v>
      </c>
      <c r="B1604" t="s">
        <v>72</v>
      </c>
      <c r="C1604" t="s">
        <v>54</v>
      </c>
      <c r="D1604" t="s">
        <v>589</v>
      </c>
      <c r="E1604" t="s">
        <v>7324</v>
      </c>
      <c r="F1604" s="121">
        <v>126.69</v>
      </c>
      <c r="G1604" s="121">
        <v>126.69</v>
      </c>
      <c r="H1604" t="s">
        <v>624</v>
      </c>
      <c r="I1604" s="156">
        <v>41089</v>
      </c>
      <c r="K1604" s="153"/>
      <c r="L1604" s="153"/>
      <c r="M1604" s="153"/>
      <c r="N1604" s="153"/>
      <c r="O1604" s="153"/>
      <c r="P1604" s="150"/>
      <c r="Q1604" s="150"/>
      <c r="R1604" s="153"/>
      <c r="S1604" s="154"/>
      <c r="T1604" s="115"/>
    </row>
    <row r="1605" spans="1:20">
      <c r="A1605" t="s">
        <v>1230</v>
      </c>
      <c r="B1605" t="s">
        <v>71</v>
      </c>
      <c r="C1605" t="s">
        <v>54</v>
      </c>
      <c r="D1605" t="s">
        <v>589</v>
      </c>
      <c r="E1605" t="s">
        <v>7325</v>
      </c>
      <c r="F1605" s="121">
        <v>175.1</v>
      </c>
      <c r="G1605" s="121">
        <v>175.1</v>
      </c>
      <c r="H1605" t="s">
        <v>624</v>
      </c>
      <c r="I1605" s="156">
        <v>41089</v>
      </c>
      <c r="K1605" s="153"/>
      <c r="L1605" s="153"/>
      <c r="M1605" s="153"/>
      <c r="N1605" s="153"/>
      <c r="O1605" s="153"/>
      <c r="P1605" s="150"/>
      <c r="Q1605" s="150"/>
      <c r="R1605" s="153"/>
      <c r="S1605" s="154"/>
      <c r="T1605" s="115"/>
    </row>
    <row r="1606" spans="1:20">
      <c r="A1606" t="s">
        <v>1230</v>
      </c>
      <c r="B1606" t="s">
        <v>71</v>
      </c>
      <c r="C1606" t="s">
        <v>54</v>
      </c>
      <c r="D1606" t="s">
        <v>568</v>
      </c>
      <c r="E1606" t="s">
        <v>3288</v>
      </c>
      <c r="F1606" s="121">
        <v>370</v>
      </c>
      <c r="G1606" s="121">
        <v>298.7</v>
      </c>
      <c r="H1606" t="s">
        <v>450</v>
      </c>
      <c r="I1606" s="156">
        <v>40953</v>
      </c>
      <c r="K1606" s="153"/>
      <c r="L1606" s="153"/>
      <c r="M1606" s="153"/>
      <c r="N1606" s="153"/>
      <c r="O1606" s="153"/>
      <c r="P1606" s="150"/>
      <c r="Q1606" s="150"/>
      <c r="R1606" s="153"/>
      <c r="S1606" s="154"/>
      <c r="T1606" s="115"/>
    </row>
    <row r="1607" spans="1:20">
      <c r="A1607" t="s">
        <v>1230</v>
      </c>
      <c r="B1607" t="s">
        <v>71</v>
      </c>
      <c r="C1607" t="s">
        <v>54</v>
      </c>
      <c r="D1607" t="s">
        <v>589</v>
      </c>
      <c r="E1607" t="s">
        <v>7326</v>
      </c>
      <c r="F1607" s="121">
        <v>126.69</v>
      </c>
      <c r="G1607" s="121">
        <v>126.69</v>
      </c>
      <c r="H1607" t="s">
        <v>624</v>
      </c>
      <c r="I1607" s="156">
        <v>41089</v>
      </c>
      <c r="K1607" s="153"/>
      <c r="L1607" s="153"/>
      <c r="M1607" s="153"/>
      <c r="N1607" s="153"/>
      <c r="O1607" s="153"/>
      <c r="P1607" s="150"/>
      <c r="Q1607" s="150"/>
      <c r="R1607" s="153"/>
      <c r="S1607" s="154"/>
      <c r="T1607" s="115"/>
    </row>
    <row r="1608" spans="1:20">
      <c r="A1608" t="s">
        <v>1230</v>
      </c>
      <c r="B1608" t="s">
        <v>72</v>
      </c>
      <c r="C1608" t="s">
        <v>54</v>
      </c>
      <c r="D1608" t="s">
        <v>589</v>
      </c>
      <c r="E1608" t="s">
        <v>7327</v>
      </c>
      <c r="F1608" s="121">
        <v>154.5</v>
      </c>
      <c r="G1608" s="121">
        <v>154.5</v>
      </c>
      <c r="H1608" t="s">
        <v>450</v>
      </c>
      <c r="I1608" s="156">
        <v>41089</v>
      </c>
      <c r="K1608" s="153"/>
      <c r="L1608" s="153"/>
      <c r="M1608" s="153"/>
      <c r="N1608" s="153"/>
      <c r="O1608" s="153"/>
      <c r="P1608" s="150"/>
      <c r="Q1608" s="150"/>
      <c r="R1608" s="153"/>
      <c r="S1608" s="154"/>
      <c r="T1608" s="115"/>
    </row>
    <row r="1609" spans="1:20">
      <c r="A1609" t="s">
        <v>1230</v>
      </c>
      <c r="B1609" t="s">
        <v>71</v>
      </c>
      <c r="C1609" t="s">
        <v>43</v>
      </c>
      <c r="D1609" t="s">
        <v>625</v>
      </c>
      <c r="E1609" t="s">
        <v>3289</v>
      </c>
      <c r="F1609" s="121">
        <v>1854</v>
      </c>
      <c r="G1609" s="121">
        <v>1854</v>
      </c>
      <c r="H1609" t="s">
        <v>624</v>
      </c>
      <c r="I1609" s="156">
        <v>41089</v>
      </c>
      <c r="K1609" s="153"/>
      <c r="L1609" s="153"/>
      <c r="M1609" s="153"/>
      <c r="N1609" s="153"/>
      <c r="O1609" s="153"/>
      <c r="P1609" s="150"/>
      <c r="Q1609" s="150"/>
      <c r="R1609" s="153"/>
      <c r="S1609" s="154"/>
      <c r="T1609" s="115"/>
    </row>
    <row r="1610" spans="1:20">
      <c r="A1610" t="s">
        <v>1230</v>
      </c>
      <c r="B1610" t="s">
        <v>71</v>
      </c>
      <c r="C1610" t="s">
        <v>54</v>
      </c>
      <c r="D1610" t="s">
        <v>595</v>
      </c>
      <c r="E1610" t="s">
        <v>3290</v>
      </c>
      <c r="F1610" s="121">
        <v>470</v>
      </c>
      <c r="G1610" s="121">
        <v>401.7</v>
      </c>
      <c r="H1610" t="s">
        <v>450</v>
      </c>
      <c r="I1610" s="156">
        <v>40953</v>
      </c>
      <c r="K1610" s="153"/>
      <c r="L1610" s="153"/>
      <c r="M1610" s="153"/>
      <c r="N1610" s="153"/>
      <c r="O1610" s="153"/>
      <c r="P1610" s="150"/>
      <c r="Q1610" s="150"/>
      <c r="R1610" s="153"/>
      <c r="S1610" s="154"/>
      <c r="T1610" s="115"/>
    </row>
    <row r="1611" spans="1:20">
      <c r="A1611" t="s">
        <v>1230</v>
      </c>
      <c r="B1611" t="s">
        <v>71</v>
      </c>
      <c r="C1611" t="s">
        <v>43</v>
      </c>
      <c r="D1611" t="s">
        <v>620</v>
      </c>
      <c r="E1611" t="s">
        <v>7328</v>
      </c>
      <c r="F1611" s="121">
        <v>865.2</v>
      </c>
      <c r="G1611" s="121">
        <v>865.2</v>
      </c>
      <c r="H1611" t="s">
        <v>624</v>
      </c>
      <c r="I1611" s="156">
        <v>41089</v>
      </c>
      <c r="K1611" s="153"/>
      <c r="L1611" s="153"/>
      <c r="M1611" s="153"/>
      <c r="N1611" s="153"/>
      <c r="O1611" s="153"/>
      <c r="P1611" s="150"/>
      <c r="Q1611" s="150"/>
      <c r="R1611" s="153"/>
      <c r="S1611" s="154"/>
      <c r="T1611" s="115"/>
    </row>
    <row r="1612" spans="1:20">
      <c r="A1612" t="s">
        <v>1230</v>
      </c>
      <c r="B1612" t="s">
        <v>71</v>
      </c>
      <c r="C1612" t="s">
        <v>54</v>
      </c>
      <c r="D1612" t="s">
        <v>573</v>
      </c>
      <c r="E1612" t="s">
        <v>3291</v>
      </c>
      <c r="F1612" s="121">
        <v>144.19999999999999</v>
      </c>
      <c r="G1612" s="121">
        <v>144.19999999999999</v>
      </c>
      <c r="H1612" t="s">
        <v>450</v>
      </c>
      <c r="I1612" s="156">
        <v>41089</v>
      </c>
      <c r="K1612" s="153"/>
      <c r="L1612" s="153"/>
      <c r="M1612" s="153"/>
      <c r="N1612" s="153"/>
      <c r="O1612" s="153"/>
      <c r="P1612" s="150"/>
      <c r="Q1612" s="150"/>
      <c r="R1612" s="153"/>
      <c r="S1612" s="154"/>
      <c r="T1612" s="115"/>
    </row>
    <row r="1613" spans="1:20">
      <c r="A1613" t="s">
        <v>1230</v>
      </c>
      <c r="B1613" t="s">
        <v>71</v>
      </c>
      <c r="C1613" t="s">
        <v>43</v>
      </c>
      <c r="D1613" t="s">
        <v>620</v>
      </c>
      <c r="E1613" t="s">
        <v>7329</v>
      </c>
      <c r="F1613" s="121">
        <v>1133</v>
      </c>
      <c r="G1613" s="121">
        <v>1133</v>
      </c>
      <c r="H1613" t="s">
        <v>624</v>
      </c>
      <c r="I1613" s="156">
        <v>41089</v>
      </c>
      <c r="K1613" s="153"/>
      <c r="L1613" s="153"/>
      <c r="M1613" s="153"/>
      <c r="N1613" s="153"/>
      <c r="O1613" s="153"/>
      <c r="P1613" s="150"/>
      <c r="Q1613" s="150"/>
      <c r="R1613" s="153"/>
      <c r="S1613" s="154"/>
      <c r="T1613" s="115"/>
    </row>
    <row r="1614" spans="1:20">
      <c r="A1614" t="s">
        <v>1230</v>
      </c>
      <c r="B1614" t="s">
        <v>71</v>
      </c>
      <c r="C1614" t="s">
        <v>54</v>
      </c>
      <c r="D1614" t="s">
        <v>573</v>
      </c>
      <c r="E1614" t="s">
        <v>3292</v>
      </c>
      <c r="F1614" s="121">
        <v>149.35</v>
      </c>
      <c r="G1614" s="121">
        <v>149.35</v>
      </c>
      <c r="H1614" t="s">
        <v>624</v>
      </c>
      <c r="I1614" s="156">
        <v>41089</v>
      </c>
      <c r="K1614" s="153"/>
      <c r="L1614" s="153"/>
      <c r="M1614" s="153"/>
      <c r="N1614" s="153"/>
      <c r="O1614" s="153"/>
      <c r="P1614" s="150"/>
      <c r="Q1614" s="150"/>
      <c r="R1614" s="153"/>
      <c r="S1614" s="154"/>
      <c r="T1614" s="115"/>
    </row>
    <row r="1615" spans="1:20">
      <c r="A1615" t="s">
        <v>1230</v>
      </c>
      <c r="B1615" t="s">
        <v>71</v>
      </c>
      <c r="C1615" t="s">
        <v>54</v>
      </c>
      <c r="D1615" t="s">
        <v>547</v>
      </c>
      <c r="E1615" t="s">
        <v>3293</v>
      </c>
      <c r="F1615" s="121">
        <v>648.9</v>
      </c>
      <c r="G1615" s="121">
        <v>648.9</v>
      </c>
      <c r="H1615" t="s">
        <v>624</v>
      </c>
      <c r="I1615" s="156">
        <v>41089</v>
      </c>
      <c r="K1615" s="153"/>
      <c r="L1615" s="153"/>
      <c r="M1615" s="153"/>
      <c r="N1615" s="153"/>
      <c r="O1615" s="153"/>
      <c r="P1615" s="150"/>
      <c r="Q1615" s="150"/>
      <c r="R1615" s="153"/>
      <c r="S1615" s="154"/>
      <c r="T1615" s="115"/>
    </row>
    <row r="1616" spans="1:20">
      <c r="A1616" t="s">
        <v>1230</v>
      </c>
      <c r="B1616" t="s">
        <v>71</v>
      </c>
      <c r="C1616" t="s">
        <v>54</v>
      </c>
      <c r="D1616" t="s">
        <v>547</v>
      </c>
      <c r="E1616" t="s">
        <v>3294</v>
      </c>
      <c r="F1616" s="121">
        <v>1277.2</v>
      </c>
      <c r="G1616" s="121">
        <v>1277.2</v>
      </c>
      <c r="H1616" t="s">
        <v>624</v>
      </c>
      <c r="I1616" s="156">
        <v>41089</v>
      </c>
      <c r="K1616" s="153"/>
      <c r="L1616" s="153"/>
      <c r="M1616" s="153"/>
      <c r="N1616" s="153"/>
      <c r="O1616" s="153"/>
      <c r="P1616" s="150"/>
      <c r="Q1616" s="150"/>
      <c r="R1616" s="153"/>
      <c r="S1616" s="154"/>
      <c r="T1616" s="115"/>
    </row>
    <row r="1617" spans="1:20">
      <c r="A1617" t="s">
        <v>1230</v>
      </c>
      <c r="B1617" t="s">
        <v>72</v>
      </c>
      <c r="C1617" t="s">
        <v>43</v>
      </c>
      <c r="D1617" t="s">
        <v>618</v>
      </c>
      <c r="E1617" t="s">
        <v>3295</v>
      </c>
      <c r="F1617" s="121">
        <v>1957</v>
      </c>
      <c r="G1617" s="121">
        <v>1957</v>
      </c>
      <c r="H1617" t="s">
        <v>604</v>
      </c>
      <c r="I1617" s="156">
        <v>41089</v>
      </c>
      <c r="K1617" s="153"/>
      <c r="L1617" s="153"/>
      <c r="M1617" s="153"/>
      <c r="N1617" s="153"/>
      <c r="O1617" s="153"/>
      <c r="P1617" s="150"/>
      <c r="Q1617" s="150"/>
      <c r="R1617" s="153"/>
      <c r="S1617" s="154"/>
      <c r="T1617" s="115"/>
    </row>
    <row r="1618" spans="1:20">
      <c r="A1618" t="s">
        <v>1230</v>
      </c>
      <c r="B1618" t="s">
        <v>72</v>
      </c>
      <c r="C1618" t="s">
        <v>55</v>
      </c>
      <c r="D1618" t="s">
        <v>573</v>
      </c>
      <c r="E1618" t="s">
        <v>3296</v>
      </c>
      <c r="F1618" s="121">
        <v>412</v>
      </c>
      <c r="G1618" s="121">
        <v>412</v>
      </c>
      <c r="H1618" t="s">
        <v>604</v>
      </c>
      <c r="I1618" s="156">
        <v>41089</v>
      </c>
      <c r="K1618" s="153"/>
      <c r="L1618" s="153"/>
      <c r="M1618" s="153"/>
      <c r="N1618" s="153"/>
      <c r="O1618" s="153"/>
      <c r="P1618" s="150"/>
      <c r="Q1618" s="150"/>
      <c r="R1618" s="153"/>
      <c r="S1618" s="154"/>
      <c r="T1618" s="115"/>
    </row>
    <row r="1619" spans="1:20">
      <c r="A1619" t="s">
        <v>1230</v>
      </c>
      <c r="B1619" t="s">
        <v>72</v>
      </c>
      <c r="C1619" t="s">
        <v>55</v>
      </c>
      <c r="D1619" t="s">
        <v>589</v>
      </c>
      <c r="E1619" t="s">
        <v>7330</v>
      </c>
      <c r="F1619" s="121">
        <v>139.05000000000001</v>
      </c>
      <c r="G1619" s="121">
        <v>139.05000000000001</v>
      </c>
      <c r="H1619" t="s">
        <v>604</v>
      </c>
      <c r="I1619" s="156">
        <v>41089</v>
      </c>
      <c r="K1619" s="153"/>
      <c r="L1619" s="153"/>
      <c r="M1619" s="153"/>
      <c r="N1619" s="153"/>
      <c r="O1619" s="153"/>
      <c r="P1619" s="150"/>
      <c r="Q1619" s="150"/>
      <c r="R1619" s="153"/>
      <c r="S1619" s="154"/>
      <c r="T1619" s="115"/>
    </row>
    <row r="1620" spans="1:20">
      <c r="A1620" t="s">
        <v>1230</v>
      </c>
      <c r="B1620" t="s">
        <v>72</v>
      </c>
      <c r="C1620" t="s">
        <v>55</v>
      </c>
      <c r="D1620" t="s">
        <v>573</v>
      </c>
      <c r="E1620" t="s">
        <v>3297</v>
      </c>
      <c r="F1620" s="121">
        <v>133.9</v>
      </c>
      <c r="G1620" s="121">
        <v>133.9</v>
      </c>
      <c r="H1620" t="s">
        <v>604</v>
      </c>
      <c r="I1620" s="156">
        <v>41089</v>
      </c>
      <c r="K1620" s="153"/>
      <c r="L1620" s="153"/>
      <c r="M1620" s="153"/>
      <c r="N1620" s="153"/>
      <c r="O1620" s="153"/>
      <c r="P1620" s="150"/>
      <c r="Q1620" s="150"/>
      <c r="R1620" s="153"/>
      <c r="S1620" s="154"/>
      <c r="T1620" s="115"/>
    </row>
    <row r="1621" spans="1:20">
      <c r="A1621" t="s">
        <v>1230</v>
      </c>
      <c r="B1621" t="s">
        <v>72</v>
      </c>
      <c r="C1621" t="s">
        <v>55</v>
      </c>
      <c r="D1621" t="s">
        <v>589</v>
      </c>
      <c r="E1621" t="s">
        <v>7331</v>
      </c>
      <c r="F1621" s="121">
        <v>108.15</v>
      </c>
      <c r="G1621" s="121">
        <v>108.15</v>
      </c>
      <c r="H1621" t="s">
        <v>604</v>
      </c>
      <c r="I1621" s="156">
        <v>41089</v>
      </c>
      <c r="K1621" s="153"/>
      <c r="L1621" s="153"/>
      <c r="M1621" s="153"/>
      <c r="N1621" s="153"/>
      <c r="O1621" s="153"/>
      <c r="P1621" s="152"/>
      <c r="Q1621" s="152"/>
      <c r="R1621" s="153"/>
      <c r="S1621" s="154"/>
      <c r="T1621" s="115"/>
    </row>
    <row r="1622" spans="1:20">
      <c r="A1622" t="s">
        <v>1230</v>
      </c>
      <c r="B1622" t="s">
        <v>72</v>
      </c>
      <c r="C1622" t="s">
        <v>55</v>
      </c>
      <c r="D1622" t="s">
        <v>589</v>
      </c>
      <c r="E1622" t="s">
        <v>7332</v>
      </c>
      <c r="F1622" s="121">
        <v>97.85</v>
      </c>
      <c r="G1622" s="121">
        <v>97.85</v>
      </c>
      <c r="H1622" t="s">
        <v>604</v>
      </c>
      <c r="I1622" s="156">
        <v>41089</v>
      </c>
      <c r="K1622" s="153"/>
      <c r="L1622" s="153"/>
      <c r="M1622" s="153"/>
      <c r="N1622" s="153"/>
      <c r="O1622" s="153"/>
      <c r="P1622" s="152"/>
      <c r="Q1622" s="152"/>
      <c r="R1622" s="153"/>
      <c r="S1622" s="154"/>
      <c r="T1622" s="115"/>
    </row>
    <row r="1623" spans="1:20">
      <c r="A1623" t="s">
        <v>1230</v>
      </c>
      <c r="B1623" t="s">
        <v>72</v>
      </c>
      <c r="C1623" t="s">
        <v>55</v>
      </c>
      <c r="D1623" t="s">
        <v>573</v>
      </c>
      <c r="E1623" t="s">
        <v>3298</v>
      </c>
      <c r="F1623" s="121">
        <v>139.05000000000001</v>
      </c>
      <c r="G1623" s="121">
        <v>139.05000000000001</v>
      </c>
      <c r="H1623" t="s">
        <v>604</v>
      </c>
      <c r="I1623" s="156">
        <v>41089</v>
      </c>
      <c r="K1623" s="153"/>
      <c r="L1623" s="153"/>
      <c r="M1623" s="153"/>
      <c r="N1623" s="153"/>
      <c r="O1623" s="153"/>
      <c r="P1623" s="150"/>
      <c r="Q1623" s="150"/>
      <c r="R1623" s="153"/>
      <c r="S1623" s="154"/>
      <c r="T1623" s="115"/>
    </row>
    <row r="1624" spans="1:20">
      <c r="A1624" t="s">
        <v>1230</v>
      </c>
      <c r="B1624" t="s">
        <v>72</v>
      </c>
      <c r="C1624" t="s">
        <v>55</v>
      </c>
      <c r="D1624" t="s">
        <v>573</v>
      </c>
      <c r="E1624" t="s">
        <v>3299</v>
      </c>
      <c r="F1624" s="121">
        <v>149.35</v>
      </c>
      <c r="G1624" s="121">
        <v>149.35</v>
      </c>
      <c r="H1624" t="s">
        <v>604</v>
      </c>
      <c r="I1624" s="156">
        <v>41089</v>
      </c>
      <c r="K1624" s="153"/>
      <c r="L1624" s="153"/>
      <c r="M1624" s="153"/>
      <c r="N1624" s="153"/>
      <c r="O1624" s="153"/>
      <c r="P1624" s="152"/>
      <c r="Q1624" s="152"/>
      <c r="R1624" s="153"/>
      <c r="S1624" s="154"/>
      <c r="T1624" s="115"/>
    </row>
    <row r="1625" spans="1:20">
      <c r="A1625" t="s">
        <v>1230</v>
      </c>
      <c r="B1625" t="s">
        <v>72</v>
      </c>
      <c r="C1625" t="s">
        <v>55</v>
      </c>
      <c r="D1625" t="s">
        <v>573</v>
      </c>
      <c r="E1625" t="s">
        <v>3300</v>
      </c>
      <c r="F1625" s="121">
        <v>1854</v>
      </c>
      <c r="G1625" s="121">
        <v>1854</v>
      </c>
      <c r="H1625" t="s">
        <v>604</v>
      </c>
      <c r="I1625" s="156">
        <v>41089</v>
      </c>
      <c r="K1625" s="153"/>
      <c r="L1625" s="153"/>
      <c r="M1625" s="153"/>
      <c r="N1625" s="153"/>
      <c r="O1625" s="153"/>
      <c r="P1625" s="150"/>
      <c r="Q1625" s="150"/>
      <c r="R1625" s="153"/>
      <c r="S1625" s="154"/>
      <c r="T1625" s="115"/>
    </row>
    <row r="1626" spans="1:20">
      <c r="A1626" t="s">
        <v>1230</v>
      </c>
      <c r="B1626" t="s">
        <v>72</v>
      </c>
      <c r="C1626" t="s">
        <v>55</v>
      </c>
      <c r="D1626" t="s">
        <v>547</v>
      </c>
      <c r="E1626" t="s">
        <v>3301</v>
      </c>
      <c r="F1626" s="121">
        <v>690.1</v>
      </c>
      <c r="G1626" s="121">
        <v>690.1</v>
      </c>
      <c r="H1626" t="s">
        <v>604</v>
      </c>
      <c r="I1626" s="156">
        <v>41089</v>
      </c>
      <c r="K1626" s="153"/>
      <c r="L1626" s="153"/>
      <c r="M1626" s="153"/>
      <c r="N1626" s="153"/>
      <c r="O1626" s="153"/>
      <c r="P1626" s="150"/>
      <c r="Q1626" s="150"/>
      <c r="R1626" s="153"/>
      <c r="S1626" s="154"/>
      <c r="T1626" s="115"/>
    </row>
    <row r="1627" spans="1:20">
      <c r="A1627" t="s">
        <v>1230</v>
      </c>
      <c r="B1627" t="s">
        <v>72</v>
      </c>
      <c r="C1627" t="s">
        <v>55</v>
      </c>
      <c r="D1627" t="s">
        <v>589</v>
      </c>
      <c r="E1627" t="s">
        <v>7333</v>
      </c>
      <c r="F1627" s="121">
        <v>77.25</v>
      </c>
      <c r="G1627" s="121">
        <v>77.25</v>
      </c>
      <c r="H1627" t="s">
        <v>604</v>
      </c>
      <c r="I1627" s="156">
        <v>41089</v>
      </c>
      <c r="K1627" s="153"/>
      <c r="L1627" s="153"/>
      <c r="M1627" s="153"/>
      <c r="N1627" s="153"/>
      <c r="O1627" s="153"/>
      <c r="P1627" s="150"/>
      <c r="Q1627" s="150"/>
      <c r="R1627" s="153"/>
      <c r="S1627" s="154"/>
      <c r="T1627" s="115"/>
    </row>
    <row r="1628" spans="1:20">
      <c r="A1628" t="s">
        <v>1230</v>
      </c>
      <c r="B1628" t="s">
        <v>72</v>
      </c>
      <c r="C1628" t="s">
        <v>55</v>
      </c>
      <c r="D1628" t="s">
        <v>589</v>
      </c>
      <c r="E1628" t="s">
        <v>7334</v>
      </c>
      <c r="F1628" s="121">
        <v>82.4</v>
      </c>
      <c r="G1628" s="121">
        <v>82.4</v>
      </c>
      <c r="H1628" t="s">
        <v>604</v>
      </c>
      <c r="I1628" s="156">
        <v>41089</v>
      </c>
      <c r="K1628" s="153"/>
      <c r="L1628" s="153"/>
      <c r="M1628" s="153"/>
      <c r="N1628" s="153"/>
      <c r="O1628" s="153"/>
      <c r="P1628" s="150"/>
      <c r="Q1628" s="150"/>
      <c r="R1628" s="153"/>
      <c r="S1628" s="154"/>
      <c r="T1628" s="115"/>
    </row>
    <row r="1629" spans="1:20">
      <c r="A1629" t="s">
        <v>1230</v>
      </c>
      <c r="B1629" t="s">
        <v>72</v>
      </c>
      <c r="C1629" t="s">
        <v>55</v>
      </c>
      <c r="D1629" t="s">
        <v>589</v>
      </c>
      <c r="E1629" t="s">
        <v>7335</v>
      </c>
      <c r="F1629" s="121">
        <v>82.4</v>
      </c>
      <c r="G1629" s="121">
        <v>82.4</v>
      </c>
      <c r="H1629" t="s">
        <v>604</v>
      </c>
      <c r="I1629" s="156">
        <v>41089</v>
      </c>
      <c r="K1629" s="153"/>
      <c r="L1629" s="153"/>
      <c r="M1629" s="153"/>
      <c r="N1629" s="153"/>
      <c r="O1629" s="153"/>
      <c r="P1629" s="150"/>
      <c r="Q1629" s="150"/>
      <c r="R1629" s="153"/>
      <c r="S1629" s="154"/>
      <c r="T1629" s="115"/>
    </row>
    <row r="1630" spans="1:20">
      <c r="A1630" t="s">
        <v>1230</v>
      </c>
      <c r="B1630" t="s">
        <v>72</v>
      </c>
      <c r="C1630" t="s">
        <v>55</v>
      </c>
      <c r="D1630" t="s">
        <v>589</v>
      </c>
      <c r="E1630" t="s">
        <v>7336</v>
      </c>
      <c r="F1630" s="121">
        <v>82.4</v>
      </c>
      <c r="G1630" s="121">
        <v>82.4</v>
      </c>
      <c r="H1630" t="s">
        <v>604</v>
      </c>
      <c r="I1630" s="156">
        <v>41089</v>
      </c>
      <c r="K1630" s="153"/>
      <c r="L1630" s="153"/>
      <c r="M1630" s="153"/>
      <c r="N1630" s="153"/>
      <c r="O1630" s="153"/>
      <c r="P1630" s="150"/>
      <c r="Q1630" s="150"/>
      <c r="R1630" s="153"/>
      <c r="S1630" s="154"/>
      <c r="T1630" s="115"/>
    </row>
    <row r="1631" spans="1:20">
      <c r="A1631" t="s">
        <v>1230</v>
      </c>
      <c r="B1631" t="s">
        <v>72</v>
      </c>
      <c r="C1631" t="s">
        <v>55</v>
      </c>
      <c r="D1631" t="s">
        <v>589</v>
      </c>
      <c r="E1631" t="s">
        <v>7337</v>
      </c>
      <c r="F1631" s="121">
        <v>87.55</v>
      </c>
      <c r="G1631" s="121">
        <v>87.55</v>
      </c>
      <c r="H1631" t="s">
        <v>604</v>
      </c>
      <c r="I1631" s="156">
        <v>41089</v>
      </c>
      <c r="K1631" s="153"/>
      <c r="L1631" s="153"/>
      <c r="M1631" s="153"/>
      <c r="N1631" s="153"/>
      <c r="O1631" s="153"/>
      <c r="P1631" s="150"/>
      <c r="Q1631" s="150"/>
      <c r="R1631" s="153"/>
      <c r="S1631" s="154"/>
      <c r="T1631" s="115"/>
    </row>
    <row r="1632" spans="1:20">
      <c r="A1632" t="s">
        <v>1230</v>
      </c>
      <c r="B1632" t="s">
        <v>72</v>
      </c>
      <c r="C1632" t="s">
        <v>43</v>
      </c>
      <c r="D1632" t="s">
        <v>566</v>
      </c>
      <c r="E1632" t="s">
        <v>3302</v>
      </c>
      <c r="F1632" s="121">
        <v>1957</v>
      </c>
      <c r="G1632" s="121">
        <v>1957</v>
      </c>
      <c r="H1632" t="s">
        <v>604</v>
      </c>
      <c r="I1632" s="156">
        <v>41089</v>
      </c>
      <c r="K1632" s="153"/>
      <c r="L1632" s="153"/>
      <c r="M1632" s="153"/>
      <c r="N1632" s="153"/>
      <c r="O1632" s="153"/>
      <c r="P1632" s="150"/>
      <c r="Q1632" s="150"/>
      <c r="R1632" s="153"/>
      <c r="S1632" s="154"/>
      <c r="T1632" s="115"/>
    </row>
    <row r="1633" spans="1:20">
      <c r="A1633" t="s">
        <v>1230</v>
      </c>
      <c r="B1633" t="s">
        <v>72</v>
      </c>
      <c r="C1633" t="s">
        <v>43</v>
      </c>
      <c r="D1633" t="s">
        <v>566</v>
      </c>
      <c r="E1633" t="s">
        <v>3303</v>
      </c>
      <c r="F1633" s="121">
        <v>1957</v>
      </c>
      <c r="G1633" s="121">
        <v>1957</v>
      </c>
      <c r="H1633" t="s">
        <v>604</v>
      </c>
      <c r="I1633" s="156">
        <v>41089</v>
      </c>
      <c r="K1633" s="153"/>
      <c r="L1633" s="153"/>
      <c r="M1633" s="153"/>
      <c r="N1633" s="153"/>
      <c r="O1633" s="153"/>
      <c r="P1633" s="150"/>
      <c r="Q1633" s="150"/>
      <c r="R1633" s="153"/>
      <c r="S1633" s="154"/>
      <c r="T1633" s="115"/>
    </row>
    <row r="1634" spans="1:20">
      <c r="A1634" t="s">
        <v>1230</v>
      </c>
      <c r="B1634" t="s">
        <v>72</v>
      </c>
      <c r="C1634" t="s">
        <v>55</v>
      </c>
      <c r="D1634" t="s">
        <v>591</v>
      </c>
      <c r="E1634" t="s">
        <v>3304</v>
      </c>
      <c r="F1634" s="121">
        <v>360.5</v>
      </c>
      <c r="G1634" s="121">
        <v>360.5</v>
      </c>
      <c r="H1634" t="s">
        <v>604</v>
      </c>
      <c r="I1634" s="156">
        <v>41089</v>
      </c>
      <c r="K1634" s="153"/>
      <c r="L1634" s="153"/>
      <c r="M1634" s="153"/>
      <c r="N1634" s="153"/>
      <c r="O1634" s="153"/>
      <c r="P1634" s="152"/>
      <c r="Q1634" s="152"/>
      <c r="R1634" s="153"/>
      <c r="S1634" s="154"/>
      <c r="T1634" s="115"/>
    </row>
    <row r="1635" spans="1:20">
      <c r="A1635" t="s">
        <v>1230</v>
      </c>
      <c r="B1635" t="s">
        <v>72</v>
      </c>
      <c r="C1635" t="s">
        <v>55</v>
      </c>
      <c r="D1635" t="s">
        <v>591</v>
      </c>
      <c r="E1635" t="s">
        <v>3305</v>
      </c>
      <c r="F1635" s="121">
        <v>412</v>
      </c>
      <c r="G1635" s="121">
        <v>412</v>
      </c>
      <c r="H1635" t="s">
        <v>604</v>
      </c>
      <c r="I1635" s="156">
        <v>41089</v>
      </c>
      <c r="K1635" s="153"/>
      <c r="L1635" s="153"/>
      <c r="M1635" s="153"/>
      <c r="N1635" s="153"/>
      <c r="O1635" s="153"/>
      <c r="P1635" s="150"/>
      <c r="Q1635" s="150"/>
      <c r="R1635" s="153"/>
      <c r="S1635" s="154"/>
      <c r="T1635" s="115"/>
    </row>
    <row r="1636" spans="1:20">
      <c r="A1636" t="s">
        <v>1230</v>
      </c>
      <c r="B1636" t="s">
        <v>72</v>
      </c>
      <c r="C1636" t="s">
        <v>55</v>
      </c>
      <c r="D1636" t="s">
        <v>626</v>
      </c>
      <c r="E1636" t="s">
        <v>3306</v>
      </c>
      <c r="F1636" s="121">
        <v>2472</v>
      </c>
      <c r="G1636" s="121">
        <v>2472</v>
      </c>
      <c r="H1636" t="s">
        <v>604</v>
      </c>
      <c r="I1636" s="156">
        <v>41089</v>
      </c>
      <c r="K1636" s="153"/>
      <c r="L1636" s="153"/>
      <c r="M1636" s="153"/>
      <c r="N1636" s="153"/>
      <c r="O1636" s="153"/>
      <c r="P1636" s="150"/>
      <c r="Q1636" s="150"/>
      <c r="R1636" s="153"/>
      <c r="S1636" s="154"/>
      <c r="T1636" s="115"/>
    </row>
    <row r="1637" spans="1:20">
      <c r="A1637" t="s">
        <v>1230</v>
      </c>
      <c r="B1637" t="s">
        <v>72</v>
      </c>
      <c r="C1637" t="s">
        <v>55</v>
      </c>
      <c r="D1637" t="s">
        <v>627</v>
      </c>
      <c r="E1637" t="s">
        <v>3307</v>
      </c>
      <c r="F1637" s="121">
        <v>422.3</v>
      </c>
      <c r="G1637" s="121">
        <v>422.3</v>
      </c>
      <c r="H1637" t="s">
        <v>604</v>
      </c>
      <c r="I1637" s="156">
        <v>41089</v>
      </c>
      <c r="K1637" s="153"/>
      <c r="L1637" s="153"/>
      <c r="M1637" s="153"/>
      <c r="N1637" s="153"/>
      <c r="O1637" s="153"/>
      <c r="P1637" s="150"/>
      <c r="Q1637" s="150"/>
      <c r="R1637" s="153"/>
      <c r="S1637" s="154"/>
      <c r="T1637" s="115"/>
    </row>
    <row r="1638" spans="1:20">
      <c r="A1638" t="s">
        <v>1230</v>
      </c>
      <c r="B1638" t="s">
        <v>72</v>
      </c>
      <c r="C1638" t="s">
        <v>55</v>
      </c>
      <c r="D1638" t="s">
        <v>628</v>
      </c>
      <c r="E1638" t="s">
        <v>3308</v>
      </c>
      <c r="F1638" s="121">
        <v>422.9</v>
      </c>
      <c r="G1638" s="121">
        <v>442.9</v>
      </c>
      <c r="H1638" t="s">
        <v>604</v>
      </c>
      <c r="I1638" s="156">
        <v>41089</v>
      </c>
      <c r="K1638" s="153"/>
      <c r="L1638" s="153"/>
      <c r="M1638" s="153"/>
      <c r="N1638" s="153"/>
      <c r="O1638" s="153"/>
      <c r="P1638" s="150"/>
      <c r="Q1638" s="150"/>
      <c r="R1638" s="153"/>
      <c r="S1638" s="154"/>
      <c r="T1638" s="115"/>
    </row>
    <row r="1639" spans="1:20">
      <c r="A1639" t="s">
        <v>1230</v>
      </c>
      <c r="B1639" t="s">
        <v>72</v>
      </c>
      <c r="C1639" t="s">
        <v>55</v>
      </c>
      <c r="D1639" t="s">
        <v>547</v>
      </c>
      <c r="E1639" t="s">
        <v>3309</v>
      </c>
      <c r="F1639" s="121">
        <v>1236</v>
      </c>
      <c r="G1639" s="121">
        <v>1236</v>
      </c>
      <c r="H1639" t="s">
        <v>604</v>
      </c>
      <c r="I1639" s="156">
        <v>41089</v>
      </c>
      <c r="K1639" s="153"/>
      <c r="L1639" s="153"/>
      <c r="M1639" s="153"/>
      <c r="N1639" s="153"/>
      <c r="O1639" s="153"/>
      <c r="P1639" s="150"/>
      <c r="Q1639" s="150"/>
      <c r="R1639" s="153"/>
      <c r="S1639" s="154"/>
      <c r="T1639" s="115"/>
    </row>
    <row r="1640" spans="1:20">
      <c r="A1640" t="s">
        <v>1230</v>
      </c>
      <c r="B1640" t="s">
        <v>72</v>
      </c>
      <c r="C1640" t="s">
        <v>55</v>
      </c>
      <c r="D1640" t="s">
        <v>589</v>
      </c>
      <c r="E1640" t="s">
        <v>7338</v>
      </c>
      <c r="F1640" s="121">
        <v>82.4</v>
      </c>
      <c r="G1640" s="121">
        <v>82.4</v>
      </c>
      <c r="H1640" t="s">
        <v>604</v>
      </c>
      <c r="I1640" s="156">
        <v>41089</v>
      </c>
      <c r="K1640" s="153"/>
      <c r="L1640" s="153"/>
      <c r="M1640" s="153"/>
      <c r="N1640" s="153"/>
      <c r="O1640" s="153"/>
      <c r="P1640" s="150"/>
      <c r="Q1640" s="150"/>
      <c r="R1640" s="153"/>
      <c r="S1640" s="154"/>
      <c r="T1640" s="115"/>
    </row>
    <row r="1641" spans="1:20">
      <c r="A1641" t="s">
        <v>1230</v>
      </c>
      <c r="B1641" t="s">
        <v>72</v>
      </c>
      <c r="C1641" t="s">
        <v>55</v>
      </c>
      <c r="D1641" t="s">
        <v>589</v>
      </c>
      <c r="E1641" t="s">
        <v>7339</v>
      </c>
      <c r="F1641" s="121">
        <v>82.4</v>
      </c>
      <c r="G1641" s="121">
        <v>82.4</v>
      </c>
      <c r="H1641" t="s">
        <v>604</v>
      </c>
      <c r="I1641" s="156">
        <v>41089</v>
      </c>
      <c r="K1641" s="153"/>
      <c r="L1641" s="153"/>
      <c r="M1641" s="153"/>
      <c r="N1641" s="153"/>
      <c r="O1641" s="153"/>
      <c r="P1641" s="150"/>
      <c r="Q1641" s="150"/>
      <c r="R1641" s="153"/>
      <c r="S1641" s="154"/>
      <c r="T1641" s="115"/>
    </row>
    <row r="1642" spans="1:20">
      <c r="A1642" t="s">
        <v>1230</v>
      </c>
      <c r="B1642" t="s">
        <v>72</v>
      </c>
      <c r="C1642" t="s">
        <v>55</v>
      </c>
      <c r="D1642" t="s">
        <v>589</v>
      </c>
      <c r="E1642" t="s">
        <v>7340</v>
      </c>
      <c r="F1642" s="121">
        <v>108.15</v>
      </c>
      <c r="G1642" s="121">
        <v>108.15</v>
      </c>
      <c r="H1642" t="s">
        <v>604</v>
      </c>
      <c r="I1642" s="156">
        <v>41089</v>
      </c>
      <c r="K1642" s="153"/>
      <c r="L1642" s="153"/>
      <c r="M1642" s="153"/>
      <c r="N1642" s="153"/>
      <c r="O1642" s="153"/>
      <c r="P1642" s="150"/>
      <c r="Q1642" s="150"/>
      <c r="R1642" s="153"/>
      <c r="S1642" s="154"/>
      <c r="T1642" s="115"/>
    </row>
    <row r="1643" spans="1:20">
      <c r="A1643" t="s">
        <v>1230</v>
      </c>
      <c r="B1643" t="s">
        <v>72</v>
      </c>
      <c r="C1643" t="s">
        <v>55</v>
      </c>
      <c r="D1643" t="s">
        <v>607</v>
      </c>
      <c r="E1643" t="s">
        <v>3310</v>
      </c>
      <c r="F1643" s="121">
        <v>206</v>
      </c>
      <c r="G1643" s="121">
        <v>206</v>
      </c>
      <c r="H1643" t="s">
        <v>604</v>
      </c>
      <c r="I1643" s="156">
        <v>41089</v>
      </c>
      <c r="K1643" s="153"/>
      <c r="L1643" s="153"/>
      <c r="M1643" s="153"/>
      <c r="N1643" s="153"/>
      <c r="O1643" s="153"/>
      <c r="P1643" s="150"/>
      <c r="Q1643" s="150"/>
      <c r="R1643" s="153"/>
      <c r="S1643" s="154"/>
      <c r="T1643" s="115"/>
    </row>
    <row r="1644" spans="1:20">
      <c r="A1644" t="s">
        <v>1230</v>
      </c>
      <c r="B1644" t="s">
        <v>72</v>
      </c>
      <c r="C1644" t="s">
        <v>55</v>
      </c>
      <c r="D1644" t="s">
        <v>547</v>
      </c>
      <c r="E1644" t="s">
        <v>3311</v>
      </c>
      <c r="F1644" s="121">
        <v>824</v>
      </c>
      <c r="G1644" s="121">
        <v>824</v>
      </c>
      <c r="H1644" t="s">
        <v>604</v>
      </c>
      <c r="I1644" s="156">
        <v>41089</v>
      </c>
      <c r="K1644" s="153"/>
      <c r="L1644" s="153"/>
      <c r="M1644" s="153"/>
      <c r="N1644" s="153"/>
      <c r="O1644" s="153"/>
      <c r="P1644" s="150"/>
      <c r="Q1644" s="150"/>
      <c r="R1644" s="153"/>
      <c r="S1644" s="154"/>
      <c r="T1644" s="115"/>
    </row>
    <row r="1645" spans="1:20">
      <c r="A1645" t="s">
        <v>1230</v>
      </c>
      <c r="B1645" t="s">
        <v>72</v>
      </c>
      <c r="C1645" t="s">
        <v>43</v>
      </c>
      <c r="D1645" t="s">
        <v>566</v>
      </c>
      <c r="E1645" t="s">
        <v>3312</v>
      </c>
      <c r="F1645" s="121">
        <v>1957</v>
      </c>
      <c r="G1645" s="121">
        <v>1957</v>
      </c>
      <c r="H1645" t="s">
        <v>604</v>
      </c>
      <c r="I1645" s="156">
        <v>41089</v>
      </c>
      <c r="K1645" s="153"/>
      <c r="L1645" s="153"/>
      <c r="M1645" s="153"/>
      <c r="N1645" s="153"/>
      <c r="O1645" s="153"/>
      <c r="P1645" s="150"/>
      <c r="Q1645" s="150"/>
      <c r="R1645" s="153"/>
      <c r="S1645" s="154"/>
      <c r="T1645" s="115"/>
    </row>
    <row r="1646" spans="1:20">
      <c r="A1646" t="s">
        <v>1230</v>
      </c>
      <c r="B1646" t="s">
        <v>72</v>
      </c>
      <c r="C1646" t="s">
        <v>55</v>
      </c>
      <c r="D1646" t="s">
        <v>7270</v>
      </c>
      <c r="E1646" t="s">
        <v>7341</v>
      </c>
      <c r="F1646" s="121">
        <v>551.04999999999995</v>
      </c>
      <c r="G1646" s="121">
        <v>551.04999999999995</v>
      </c>
      <c r="H1646" t="s">
        <v>604</v>
      </c>
      <c r="I1646" s="156">
        <v>41089</v>
      </c>
      <c r="K1646" s="153"/>
      <c r="L1646" s="153"/>
      <c r="M1646" s="153"/>
      <c r="N1646" s="153"/>
      <c r="O1646" s="153"/>
      <c r="P1646" s="150"/>
      <c r="Q1646" s="150"/>
      <c r="R1646" s="153"/>
      <c r="S1646" s="154"/>
      <c r="T1646" s="115"/>
    </row>
    <row r="1647" spans="1:20">
      <c r="A1647" t="s">
        <v>1230</v>
      </c>
      <c r="B1647" t="s">
        <v>72</v>
      </c>
      <c r="C1647" t="s">
        <v>55</v>
      </c>
      <c r="D1647" t="s">
        <v>547</v>
      </c>
      <c r="E1647" t="s">
        <v>3313</v>
      </c>
      <c r="F1647" s="121">
        <v>628.29999999999995</v>
      </c>
      <c r="G1647" s="121">
        <v>628.29999999999995</v>
      </c>
      <c r="H1647" t="s">
        <v>604</v>
      </c>
      <c r="I1647" s="156">
        <v>41089</v>
      </c>
      <c r="K1647" s="153"/>
      <c r="L1647" s="153"/>
      <c r="M1647" s="153"/>
      <c r="N1647" s="153"/>
      <c r="O1647" s="153"/>
      <c r="P1647" s="150"/>
      <c r="Q1647" s="150"/>
      <c r="R1647" s="153"/>
      <c r="S1647" s="154"/>
      <c r="T1647" s="115"/>
    </row>
    <row r="1648" spans="1:20">
      <c r="A1648" t="s">
        <v>1230</v>
      </c>
      <c r="B1648" t="s">
        <v>72</v>
      </c>
      <c r="C1648" t="s">
        <v>55</v>
      </c>
      <c r="D1648" t="s">
        <v>569</v>
      </c>
      <c r="E1648" t="s">
        <v>3314</v>
      </c>
      <c r="F1648" s="121">
        <v>386.25</v>
      </c>
      <c r="G1648" s="121">
        <v>386.25</v>
      </c>
      <c r="H1648" t="s">
        <v>604</v>
      </c>
      <c r="I1648" s="156">
        <v>41089</v>
      </c>
      <c r="K1648" s="153"/>
      <c r="L1648" s="153"/>
      <c r="M1648" s="153"/>
      <c r="N1648" s="153"/>
      <c r="O1648" s="153"/>
      <c r="P1648" s="152"/>
      <c r="Q1648" s="152"/>
      <c r="R1648" s="153"/>
      <c r="S1648" s="154"/>
      <c r="T1648" s="115"/>
    </row>
    <row r="1649" spans="1:20">
      <c r="A1649" t="s">
        <v>1230</v>
      </c>
      <c r="B1649" t="s">
        <v>72</v>
      </c>
      <c r="C1649" t="s">
        <v>55</v>
      </c>
      <c r="D1649" t="s">
        <v>573</v>
      </c>
      <c r="E1649" t="s">
        <v>3315</v>
      </c>
      <c r="F1649" s="121">
        <v>97.85</v>
      </c>
      <c r="G1649" s="121">
        <v>97.85</v>
      </c>
      <c r="H1649" t="s">
        <v>604</v>
      </c>
      <c r="I1649" s="156">
        <v>41089</v>
      </c>
      <c r="K1649" s="153"/>
      <c r="L1649" s="153"/>
      <c r="M1649" s="153"/>
      <c r="N1649" s="153"/>
      <c r="O1649" s="153"/>
      <c r="P1649" s="150"/>
      <c r="Q1649" s="150"/>
      <c r="R1649" s="153"/>
      <c r="S1649" s="154"/>
      <c r="T1649" s="115"/>
    </row>
    <row r="1650" spans="1:20">
      <c r="A1650" t="s">
        <v>1230</v>
      </c>
      <c r="B1650" t="s">
        <v>72</v>
      </c>
      <c r="C1650" t="s">
        <v>55</v>
      </c>
      <c r="D1650" t="s">
        <v>573</v>
      </c>
      <c r="E1650" t="s">
        <v>3316</v>
      </c>
      <c r="F1650" s="121">
        <v>92.7</v>
      </c>
      <c r="G1650" s="121">
        <v>92.7</v>
      </c>
      <c r="H1650" t="s">
        <v>604</v>
      </c>
      <c r="I1650" s="156">
        <v>41089</v>
      </c>
      <c r="K1650" s="153"/>
      <c r="L1650" s="153"/>
      <c r="M1650" s="153"/>
      <c r="N1650" s="153"/>
      <c r="O1650" s="153"/>
      <c r="P1650" s="150"/>
      <c r="Q1650" s="150"/>
      <c r="R1650" s="153"/>
      <c r="S1650" s="154"/>
      <c r="T1650" s="115"/>
    </row>
    <row r="1651" spans="1:20">
      <c r="A1651" t="s">
        <v>1230</v>
      </c>
      <c r="B1651" t="s">
        <v>72</v>
      </c>
      <c r="C1651" t="s">
        <v>55</v>
      </c>
      <c r="D1651" t="s">
        <v>573</v>
      </c>
      <c r="E1651" t="s">
        <v>3317</v>
      </c>
      <c r="F1651" s="121">
        <v>92.7</v>
      </c>
      <c r="G1651" s="121">
        <v>92.7</v>
      </c>
      <c r="H1651" t="s">
        <v>604</v>
      </c>
      <c r="I1651" s="156">
        <v>41089</v>
      </c>
      <c r="K1651" s="153"/>
      <c r="L1651" s="153"/>
      <c r="M1651" s="153"/>
      <c r="N1651" s="153"/>
      <c r="O1651" s="153"/>
      <c r="P1651" s="150"/>
      <c r="Q1651" s="150"/>
      <c r="R1651" s="153"/>
      <c r="S1651" s="154"/>
      <c r="T1651" s="115"/>
    </row>
    <row r="1652" spans="1:20">
      <c r="A1652" t="s">
        <v>1230</v>
      </c>
      <c r="B1652" t="s">
        <v>72</v>
      </c>
      <c r="C1652" t="s">
        <v>55</v>
      </c>
      <c r="D1652" t="s">
        <v>573</v>
      </c>
      <c r="E1652" t="s">
        <v>3318</v>
      </c>
      <c r="F1652" s="121">
        <v>97.85</v>
      </c>
      <c r="G1652" s="121">
        <v>97.85</v>
      </c>
      <c r="H1652" t="s">
        <v>604</v>
      </c>
      <c r="I1652" s="156">
        <v>41089</v>
      </c>
      <c r="K1652" s="153"/>
      <c r="L1652" s="153"/>
      <c r="M1652" s="153"/>
      <c r="N1652" s="153"/>
      <c r="O1652" s="153"/>
      <c r="P1652" s="150"/>
      <c r="Q1652" s="150"/>
      <c r="R1652" s="153"/>
      <c r="S1652" s="154"/>
      <c r="T1652" s="115"/>
    </row>
    <row r="1653" spans="1:20">
      <c r="A1653" t="s">
        <v>1230</v>
      </c>
      <c r="B1653" t="s">
        <v>72</v>
      </c>
      <c r="C1653" t="s">
        <v>55</v>
      </c>
      <c r="D1653" t="s">
        <v>589</v>
      </c>
      <c r="E1653" t="s">
        <v>7342</v>
      </c>
      <c r="F1653" s="121">
        <v>87.55</v>
      </c>
      <c r="G1653" s="121">
        <v>87.55</v>
      </c>
      <c r="H1653" t="s">
        <v>604</v>
      </c>
      <c r="I1653" s="156">
        <v>41089</v>
      </c>
      <c r="K1653" s="153"/>
      <c r="L1653" s="153"/>
      <c r="M1653" s="153"/>
      <c r="N1653" s="153"/>
      <c r="O1653" s="153"/>
      <c r="P1653" s="150"/>
      <c r="Q1653" s="150"/>
      <c r="R1653" s="153"/>
      <c r="S1653" s="154"/>
      <c r="T1653" s="115"/>
    </row>
    <row r="1654" spans="1:20">
      <c r="A1654" t="s">
        <v>1230</v>
      </c>
      <c r="B1654" t="s">
        <v>72</v>
      </c>
      <c r="C1654" t="s">
        <v>55</v>
      </c>
      <c r="D1654" t="s">
        <v>589</v>
      </c>
      <c r="E1654" t="s">
        <v>7343</v>
      </c>
      <c r="F1654" s="121">
        <v>66.95</v>
      </c>
      <c r="G1654" s="121">
        <v>66.95</v>
      </c>
      <c r="H1654" t="s">
        <v>604</v>
      </c>
      <c r="I1654" s="156">
        <v>41089</v>
      </c>
      <c r="K1654" s="153"/>
      <c r="L1654" s="153"/>
      <c r="M1654" s="153"/>
      <c r="N1654" s="153"/>
      <c r="O1654" s="153"/>
      <c r="P1654" s="150"/>
      <c r="Q1654" s="150"/>
      <c r="R1654" s="153"/>
      <c r="S1654" s="154"/>
      <c r="T1654" s="115"/>
    </row>
    <row r="1655" spans="1:20">
      <c r="A1655" t="s">
        <v>1230</v>
      </c>
      <c r="B1655" t="s">
        <v>72</v>
      </c>
      <c r="C1655" t="s">
        <v>55</v>
      </c>
      <c r="D1655" t="s">
        <v>589</v>
      </c>
      <c r="E1655" t="s">
        <v>7344</v>
      </c>
      <c r="F1655" s="121">
        <v>66.95</v>
      </c>
      <c r="G1655" s="121">
        <v>66.95</v>
      </c>
      <c r="H1655" t="s">
        <v>604</v>
      </c>
      <c r="I1655" s="156">
        <v>41089</v>
      </c>
      <c r="K1655" s="153"/>
      <c r="L1655" s="153"/>
      <c r="M1655" s="153"/>
      <c r="N1655" s="153"/>
      <c r="O1655" s="153"/>
      <c r="P1655" s="152"/>
      <c r="Q1655" s="152"/>
      <c r="R1655" s="153"/>
      <c r="S1655" s="154"/>
      <c r="T1655" s="115"/>
    </row>
    <row r="1656" spans="1:20">
      <c r="A1656" t="s">
        <v>1230</v>
      </c>
      <c r="B1656" t="s">
        <v>72</v>
      </c>
      <c r="C1656" t="s">
        <v>43</v>
      </c>
      <c r="D1656" t="s">
        <v>622</v>
      </c>
      <c r="E1656" t="s">
        <v>3319</v>
      </c>
      <c r="F1656" s="121">
        <v>515</v>
      </c>
      <c r="G1656" s="121">
        <v>515</v>
      </c>
      <c r="H1656" t="s">
        <v>604</v>
      </c>
      <c r="I1656" s="156">
        <v>41089</v>
      </c>
      <c r="K1656" s="153"/>
      <c r="L1656" s="153"/>
      <c r="M1656" s="153"/>
      <c r="N1656" s="153"/>
      <c r="O1656" s="153"/>
      <c r="P1656" s="150"/>
      <c r="Q1656" s="150"/>
      <c r="R1656" s="153"/>
      <c r="S1656" s="154"/>
      <c r="T1656" s="115"/>
    </row>
    <row r="1657" spans="1:20">
      <c r="A1657" t="s">
        <v>1230</v>
      </c>
      <c r="B1657" t="s">
        <v>72</v>
      </c>
      <c r="C1657" t="s">
        <v>43</v>
      </c>
      <c r="D1657" t="s">
        <v>620</v>
      </c>
      <c r="E1657" t="s">
        <v>7345</v>
      </c>
      <c r="F1657" s="121">
        <v>937.3</v>
      </c>
      <c r="G1657" s="121">
        <v>937.3</v>
      </c>
      <c r="H1657" t="s">
        <v>604</v>
      </c>
      <c r="I1657" s="156">
        <v>41089</v>
      </c>
      <c r="K1657" s="153"/>
      <c r="L1657" s="153"/>
      <c r="M1657" s="153"/>
      <c r="N1657" s="153"/>
      <c r="O1657" s="153"/>
      <c r="P1657" s="150"/>
      <c r="Q1657" s="150"/>
      <c r="R1657" s="153"/>
      <c r="S1657" s="154"/>
      <c r="T1657" s="115"/>
    </row>
    <row r="1658" spans="1:20">
      <c r="A1658" t="s">
        <v>1230</v>
      </c>
      <c r="B1658" t="s">
        <v>72</v>
      </c>
      <c r="C1658" t="s">
        <v>55</v>
      </c>
      <c r="D1658" t="s">
        <v>589</v>
      </c>
      <c r="E1658" t="s">
        <v>7346</v>
      </c>
      <c r="F1658" s="121">
        <v>118.45</v>
      </c>
      <c r="G1658" s="121">
        <v>118.45</v>
      </c>
      <c r="H1658" t="s">
        <v>604</v>
      </c>
      <c r="I1658" s="156">
        <v>41089</v>
      </c>
      <c r="K1658" s="153"/>
      <c r="L1658" s="153"/>
      <c r="M1658" s="153"/>
      <c r="N1658" s="153"/>
      <c r="O1658" s="153"/>
      <c r="P1658" s="150"/>
      <c r="Q1658" s="150"/>
      <c r="R1658" s="153"/>
      <c r="S1658" s="154"/>
      <c r="T1658" s="115"/>
    </row>
    <row r="1659" spans="1:20">
      <c r="A1659" t="s">
        <v>1230</v>
      </c>
      <c r="B1659" t="s">
        <v>72</v>
      </c>
      <c r="C1659" t="s">
        <v>55</v>
      </c>
      <c r="D1659" t="s">
        <v>589</v>
      </c>
      <c r="E1659" t="s">
        <v>7347</v>
      </c>
      <c r="F1659" s="121">
        <v>123.6</v>
      </c>
      <c r="G1659" s="121">
        <v>123.6</v>
      </c>
      <c r="H1659" t="s">
        <v>604</v>
      </c>
      <c r="I1659" s="156">
        <v>41089</v>
      </c>
      <c r="K1659" s="153"/>
      <c r="L1659" s="153"/>
      <c r="M1659" s="153"/>
      <c r="N1659" s="153"/>
      <c r="O1659" s="153"/>
      <c r="P1659" s="150"/>
      <c r="Q1659" s="150"/>
      <c r="R1659" s="153"/>
      <c r="S1659" s="154"/>
      <c r="T1659" s="115"/>
    </row>
    <row r="1660" spans="1:20">
      <c r="A1660" t="s">
        <v>1230</v>
      </c>
      <c r="B1660" t="s">
        <v>72</v>
      </c>
      <c r="C1660" t="s">
        <v>51</v>
      </c>
      <c r="D1660" t="s">
        <v>621</v>
      </c>
      <c r="E1660" t="s">
        <v>3320</v>
      </c>
      <c r="F1660" s="121">
        <v>42230</v>
      </c>
      <c r="G1660" s="121">
        <v>42230</v>
      </c>
      <c r="H1660" t="s">
        <v>604</v>
      </c>
      <c r="I1660" s="156">
        <v>41089</v>
      </c>
      <c r="K1660" s="153"/>
      <c r="L1660" s="153"/>
      <c r="M1660" s="153"/>
      <c r="N1660" s="153"/>
      <c r="O1660" s="153"/>
      <c r="P1660" s="150"/>
      <c r="Q1660" s="150"/>
      <c r="R1660" s="153"/>
      <c r="S1660" s="154"/>
      <c r="T1660" s="115"/>
    </row>
    <row r="1661" spans="1:20">
      <c r="A1661" t="s">
        <v>1230</v>
      </c>
      <c r="B1661" t="s">
        <v>72</v>
      </c>
      <c r="C1661" t="s">
        <v>51</v>
      </c>
      <c r="D1661" t="s">
        <v>621</v>
      </c>
      <c r="E1661" t="s">
        <v>3321</v>
      </c>
      <c r="F1661" s="121">
        <v>38625</v>
      </c>
      <c r="G1661" s="121">
        <v>38625</v>
      </c>
      <c r="H1661" t="s">
        <v>604</v>
      </c>
      <c r="I1661" s="156">
        <v>41089</v>
      </c>
      <c r="K1661" s="153"/>
      <c r="L1661" s="153"/>
      <c r="M1661" s="153"/>
      <c r="N1661" s="153"/>
      <c r="O1661" s="153"/>
      <c r="P1661" s="150"/>
      <c r="Q1661" s="150"/>
      <c r="R1661" s="153"/>
      <c r="S1661" s="154"/>
      <c r="T1661" s="115"/>
    </row>
    <row r="1662" spans="1:20">
      <c r="A1662" t="s">
        <v>1230</v>
      </c>
      <c r="B1662" t="s">
        <v>72</v>
      </c>
      <c r="C1662" t="s">
        <v>43</v>
      </c>
      <c r="D1662" t="s">
        <v>629</v>
      </c>
      <c r="E1662" t="s">
        <v>3322</v>
      </c>
      <c r="F1662" s="121">
        <v>329.6</v>
      </c>
      <c r="G1662" s="121">
        <v>329.6</v>
      </c>
      <c r="H1662" t="s">
        <v>604</v>
      </c>
      <c r="I1662" s="156">
        <v>41089</v>
      </c>
      <c r="K1662" s="153"/>
      <c r="L1662" s="153"/>
      <c r="M1662" s="153"/>
      <c r="N1662" s="153"/>
      <c r="O1662" s="153"/>
      <c r="P1662" s="150"/>
      <c r="Q1662" s="150"/>
      <c r="R1662" s="153"/>
      <c r="S1662" s="154"/>
      <c r="T1662" s="115"/>
    </row>
    <row r="1663" spans="1:20">
      <c r="A1663" t="s">
        <v>1230</v>
      </c>
      <c r="B1663" t="s">
        <v>72</v>
      </c>
      <c r="C1663" t="s">
        <v>43</v>
      </c>
      <c r="D1663" t="s">
        <v>629</v>
      </c>
      <c r="E1663" t="s">
        <v>3323</v>
      </c>
      <c r="F1663" s="121">
        <v>288.39999999999998</v>
      </c>
      <c r="G1663" s="121">
        <v>288.39999999999998</v>
      </c>
      <c r="H1663" t="s">
        <v>604</v>
      </c>
      <c r="I1663" s="156">
        <v>41089</v>
      </c>
      <c r="K1663" s="153"/>
      <c r="L1663" s="153"/>
      <c r="M1663" s="153"/>
      <c r="N1663" s="153"/>
      <c r="O1663" s="153"/>
      <c r="P1663" s="150"/>
      <c r="Q1663" s="150"/>
      <c r="R1663" s="153"/>
      <c r="S1663" s="154"/>
      <c r="T1663" s="115"/>
    </row>
    <row r="1664" spans="1:20">
      <c r="A1664" t="s">
        <v>1230</v>
      </c>
      <c r="B1664" t="s">
        <v>72</v>
      </c>
      <c r="C1664" t="s">
        <v>43</v>
      </c>
      <c r="D1664" t="s">
        <v>623</v>
      </c>
      <c r="E1664" t="s">
        <v>3324</v>
      </c>
      <c r="F1664" s="121">
        <v>463.5</v>
      </c>
      <c r="G1664" s="121">
        <v>463.5</v>
      </c>
      <c r="H1664" t="s">
        <v>604</v>
      </c>
      <c r="I1664" s="156">
        <v>41089</v>
      </c>
      <c r="K1664" s="153"/>
      <c r="L1664" s="153"/>
      <c r="M1664" s="153"/>
      <c r="N1664" s="153"/>
      <c r="O1664" s="153"/>
      <c r="P1664" s="150"/>
      <c r="Q1664" s="150"/>
      <c r="R1664" s="153"/>
      <c r="S1664" s="154"/>
      <c r="T1664" s="115"/>
    </row>
    <row r="1665" spans="1:20">
      <c r="A1665" t="s">
        <v>1230</v>
      </c>
      <c r="B1665" t="s">
        <v>72</v>
      </c>
      <c r="C1665" t="s">
        <v>43</v>
      </c>
      <c r="D1665" t="s">
        <v>625</v>
      </c>
      <c r="E1665" t="s">
        <v>3325</v>
      </c>
      <c r="F1665" s="121">
        <v>1854</v>
      </c>
      <c r="G1665" s="121">
        <v>1854</v>
      </c>
      <c r="H1665" t="s">
        <v>604</v>
      </c>
      <c r="I1665" s="156">
        <v>41089</v>
      </c>
      <c r="K1665" s="153"/>
      <c r="L1665" s="153"/>
      <c r="M1665" s="153"/>
      <c r="N1665" s="153"/>
      <c r="O1665" s="153"/>
      <c r="P1665" s="150"/>
      <c r="Q1665" s="150"/>
      <c r="R1665" s="153"/>
      <c r="S1665" s="154"/>
      <c r="T1665" s="115"/>
    </row>
    <row r="1666" spans="1:20">
      <c r="A1666" t="s">
        <v>1230</v>
      </c>
      <c r="B1666" t="s">
        <v>72</v>
      </c>
      <c r="C1666" t="s">
        <v>43</v>
      </c>
      <c r="D1666" t="s">
        <v>630</v>
      </c>
      <c r="E1666" t="s">
        <v>3326</v>
      </c>
      <c r="F1666" s="121">
        <v>463.5</v>
      </c>
      <c r="G1666" s="121">
        <v>463.5</v>
      </c>
      <c r="H1666" t="s">
        <v>604</v>
      </c>
      <c r="I1666" s="156">
        <v>41089</v>
      </c>
      <c r="K1666" s="153"/>
      <c r="L1666" s="153"/>
      <c r="M1666" s="153"/>
      <c r="N1666" s="153"/>
      <c r="O1666" s="153"/>
      <c r="P1666" s="150"/>
      <c r="Q1666" s="150"/>
      <c r="R1666" s="153"/>
      <c r="S1666" s="154"/>
      <c r="T1666" s="115"/>
    </row>
    <row r="1667" spans="1:20">
      <c r="A1667" t="s">
        <v>1230</v>
      </c>
      <c r="B1667" t="s">
        <v>72</v>
      </c>
      <c r="C1667" t="s">
        <v>53</v>
      </c>
      <c r="D1667" t="s">
        <v>631</v>
      </c>
      <c r="E1667" t="s">
        <v>3327</v>
      </c>
      <c r="F1667" s="121">
        <v>448.05</v>
      </c>
      <c r="G1667" s="121">
        <v>448.05</v>
      </c>
      <c r="H1667" t="s">
        <v>604</v>
      </c>
      <c r="I1667" s="156">
        <v>41089</v>
      </c>
      <c r="K1667" s="153"/>
      <c r="L1667" s="153"/>
      <c r="M1667" s="153"/>
      <c r="N1667" s="153"/>
      <c r="O1667" s="153"/>
      <c r="P1667" s="150"/>
      <c r="Q1667" s="150"/>
      <c r="R1667" s="153"/>
      <c r="S1667" s="154"/>
      <c r="T1667" s="115"/>
    </row>
    <row r="1668" spans="1:20">
      <c r="A1668" t="s">
        <v>1230</v>
      </c>
      <c r="B1668" t="s">
        <v>72</v>
      </c>
      <c r="C1668" t="s">
        <v>55</v>
      </c>
      <c r="D1668" t="s">
        <v>569</v>
      </c>
      <c r="E1668" t="s">
        <v>3328</v>
      </c>
      <c r="F1668" s="121">
        <v>375.95</v>
      </c>
      <c r="G1668" s="121">
        <v>375.95</v>
      </c>
      <c r="H1668" t="s">
        <v>604</v>
      </c>
      <c r="I1668" s="156">
        <v>41089</v>
      </c>
      <c r="K1668" s="153"/>
      <c r="L1668" s="153"/>
      <c r="M1668" s="153"/>
      <c r="N1668" s="153"/>
      <c r="O1668" s="153"/>
      <c r="P1668" s="150"/>
      <c r="Q1668" s="150"/>
      <c r="R1668" s="153"/>
      <c r="S1668" s="154"/>
      <c r="T1668" s="115"/>
    </row>
    <row r="1669" spans="1:20">
      <c r="A1669" t="s">
        <v>1230</v>
      </c>
      <c r="B1669" t="s">
        <v>72</v>
      </c>
      <c r="C1669" t="s">
        <v>53</v>
      </c>
      <c r="D1669" t="s">
        <v>586</v>
      </c>
      <c r="E1669" t="s">
        <v>3329</v>
      </c>
      <c r="F1669" s="121">
        <v>257.5</v>
      </c>
      <c r="G1669" s="121">
        <v>257.5</v>
      </c>
      <c r="H1669" t="s">
        <v>604</v>
      </c>
      <c r="I1669" s="156">
        <v>41089</v>
      </c>
      <c r="K1669" s="153"/>
      <c r="L1669" s="153"/>
      <c r="M1669" s="153"/>
      <c r="N1669" s="153"/>
      <c r="O1669" s="153"/>
      <c r="P1669" s="150"/>
      <c r="Q1669" s="150"/>
      <c r="R1669" s="153"/>
      <c r="S1669" s="154"/>
      <c r="T1669" s="115"/>
    </row>
    <row r="1670" spans="1:20">
      <c r="A1670" t="s">
        <v>1230</v>
      </c>
      <c r="B1670" t="s">
        <v>72</v>
      </c>
      <c r="C1670" t="s">
        <v>55</v>
      </c>
      <c r="D1670" t="s">
        <v>591</v>
      </c>
      <c r="E1670" t="s">
        <v>3330</v>
      </c>
      <c r="F1670" s="121">
        <v>674.65</v>
      </c>
      <c r="G1670" s="121">
        <v>674.65</v>
      </c>
      <c r="H1670" t="s">
        <v>604</v>
      </c>
      <c r="I1670" s="156">
        <v>41089</v>
      </c>
      <c r="K1670" s="153"/>
      <c r="L1670" s="153"/>
      <c r="M1670" s="153"/>
      <c r="N1670" s="153"/>
      <c r="O1670" s="153"/>
      <c r="P1670" s="150"/>
      <c r="Q1670" s="150"/>
      <c r="R1670" s="153"/>
      <c r="S1670" s="154"/>
      <c r="T1670" s="115"/>
    </row>
    <row r="1671" spans="1:20">
      <c r="A1671" t="s">
        <v>1230</v>
      </c>
      <c r="B1671" t="s">
        <v>72</v>
      </c>
      <c r="C1671" t="s">
        <v>55</v>
      </c>
      <c r="D1671" t="s">
        <v>599</v>
      </c>
      <c r="E1671" t="s">
        <v>3331</v>
      </c>
      <c r="F1671" s="121">
        <v>422.3</v>
      </c>
      <c r="G1671" s="121">
        <v>422.3</v>
      </c>
      <c r="H1671" t="s">
        <v>604</v>
      </c>
      <c r="I1671" s="156">
        <v>41089</v>
      </c>
      <c r="K1671" s="153"/>
      <c r="L1671" s="153"/>
      <c r="M1671" s="153"/>
      <c r="N1671" s="153"/>
      <c r="O1671" s="153"/>
      <c r="P1671" s="150"/>
      <c r="Q1671" s="150"/>
      <c r="R1671" s="153"/>
      <c r="S1671" s="154"/>
      <c r="T1671" s="115"/>
    </row>
    <row r="1672" spans="1:20">
      <c r="A1672" t="s">
        <v>1230</v>
      </c>
      <c r="B1672" t="s">
        <v>72</v>
      </c>
      <c r="C1672" t="s">
        <v>55</v>
      </c>
      <c r="D1672" t="s">
        <v>547</v>
      </c>
      <c r="E1672" t="s">
        <v>3332</v>
      </c>
      <c r="F1672" s="121">
        <v>566.5</v>
      </c>
      <c r="G1672" s="121">
        <v>566.5</v>
      </c>
      <c r="H1672" t="s">
        <v>604</v>
      </c>
      <c r="I1672" s="156">
        <v>41089</v>
      </c>
      <c r="K1672" s="153"/>
      <c r="L1672" s="153"/>
      <c r="M1672" s="153"/>
      <c r="N1672" s="153"/>
      <c r="O1672" s="153"/>
      <c r="P1672" s="150"/>
      <c r="Q1672" s="150"/>
      <c r="R1672" s="153"/>
      <c r="S1672" s="154"/>
      <c r="T1672" s="115"/>
    </row>
    <row r="1673" spans="1:20">
      <c r="A1673" t="s">
        <v>1230</v>
      </c>
      <c r="B1673" t="s">
        <v>72</v>
      </c>
      <c r="C1673" t="s">
        <v>55</v>
      </c>
      <c r="D1673" t="s">
        <v>588</v>
      </c>
      <c r="E1673" t="s">
        <v>3333</v>
      </c>
      <c r="F1673" s="121">
        <v>288.39999999999998</v>
      </c>
      <c r="G1673" s="121">
        <v>288.39999999999998</v>
      </c>
      <c r="H1673" t="s">
        <v>604</v>
      </c>
      <c r="I1673" s="156">
        <v>41089</v>
      </c>
      <c r="K1673" s="153"/>
      <c r="L1673" s="153"/>
      <c r="M1673" s="153"/>
      <c r="N1673" s="153"/>
      <c r="O1673" s="153"/>
      <c r="P1673" s="150"/>
      <c r="Q1673" s="150"/>
      <c r="R1673" s="153"/>
      <c r="S1673" s="154"/>
      <c r="T1673" s="115"/>
    </row>
    <row r="1674" spans="1:20">
      <c r="A1674" t="s">
        <v>1230</v>
      </c>
      <c r="B1674" t="s">
        <v>72</v>
      </c>
      <c r="C1674" t="s">
        <v>55</v>
      </c>
      <c r="D1674" t="s">
        <v>588</v>
      </c>
      <c r="E1674" t="s">
        <v>3334</v>
      </c>
      <c r="F1674" s="121">
        <v>288.39999999999998</v>
      </c>
      <c r="G1674" s="121">
        <v>288.39999999999998</v>
      </c>
      <c r="H1674" t="s">
        <v>604</v>
      </c>
      <c r="I1674" s="156">
        <v>41089</v>
      </c>
      <c r="K1674" s="153"/>
      <c r="L1674" s="153"/>
      <c r="M1674" s="153"/>
      <c r="N1674" s="153"/>
      <c r="O1674" s="153"/>
      <c r="P1674" s="150"/>
      <c r="Q1674" s="150"/>
      <c r="R1674" s="153"/>
      <c r="S1674" s="154"/>
      <c r="T1674" s="115"/>
    </row>
    <row r="1675" spans="1:20">
      <c r="A1675" t="s">
        <v>1230</v>
      </c>
      <c r="B1675" t="s">
        <v>72</v>
      </c>
      <c r="C1675" t="s">
        <v>51</v>
      </c>
      <c r="D1675" t="s">
        <v>632</v>
      </c>
      <c r="E1675" t="s">
        <v>3335</v>
      </c>
      <c r="F1675" s="121">
        <v>1493.5</v>
      </c>
      <c r="G1675" s="121">
        <v>1493.5</v>
      </c>
      <c r="H1675" t="s">
        <v>604</v>
      </c>
      <c r="I1675" s="156">
        <v>41089</v>
      </c>
      <c r="K1675" s="153"/>
      <c r="L1675" s="153"/>
      <c r="M1675" s="153"/>
      <c r="N1675" s="153"/>
      <c r="O1675" s="153"/>
      <c r="P1675" s="150"/>
      <c r="Q1675" s="150"/>
      <c r="R1675" s="153"/>
      <c r="S1675" s="154"/>
      <c r="T1675" s="115"/>
    </row>
    <row r="1676" spans="1:20">
      <c r="A1676" t="s">
        <v>1230</v>
      </c>
      <c r="B1676" t="s">
        <v>72</v>
      </c>
      <c r="C1676" t="s">
        <v>51</v>
      </c>
      <c r="D1676" t="s">
        <v>633</v>
      </c>
      <c r="E1676" t="s">
        <v>3336</v>
      </c>
      <c r="F1676" s="121">
        <v>1472.9</v>
      </c>
      <c r="G1676" s="121">
        <v>1472.9</v>
      </c>
      <c r="H1676" t="s">
        <v>604</v>
      </c>
      <c r="I1676" s="156">
        <v>41089</v>
      </c>
      <c r="K1676" s="153"/>
      <c r="L1676" s="153"/>
      <c r="M1676" s="153"/>
      <c r="N1676" s="153"/>
      <c r="O1676" s="153"/>
      <c r="P1676" s="150"/>
      <c r="Q1676" s="150"/>
      <c r="R1676" s="153"/>
      <c r="S1676" s="154"/>
      <c r="T1676" s="115"/>
    </row>
    <row r="1677" spans="1:20">
      <c r="A1677" t="s">
        <v>1230</v>
      </c>
      <c r="B1677" t="s">
        <v>72</v>
      </c>
      <c r="C1677" t="s">
        <v>51</v>
      </c>
      <c r="D1677" t="s">
        <v>634</v>
      </c>
      <c r="E1677" t="s">
        <v>3337</v>
      </c>
      <c r="F1677" s="121">
        <v>669.5</v>
      </c>
      <c r="G1677" s="121">
        <v>669.5</v>
      </c>
      <c r="H1677" t="s">
        <v>604</v>
      </c>
      <c r="I1677" s="156">
        <v>41089</v>
      </c>
      <c r="K1677" s="153"/>
      <c r="L1677" s="153"/>
      <c r="M1677" s="153"/>
      <c r="N1677" s="153"/>
      <c r="O1677" s="153"/>
      <c r="P1677" s="150"/>
      <c r="Q1677" s="150"/>
      <c r="R1677" s="153"/>
      <c r="S1677" s="154"/>
      <c r="T1677" s="115"/>
    </row>
    <row r="1678" spans="1:20">
      <c r="A1678" t="s">
        <v>1230</v>
      </c>
      <c r="B1678" t="s">
        <v>72</v>
      </c>
      <c r="C1678" t="s">
        <v>55</v>
      </c>
      <c r="D1678" t="s">
        <v>599</v>
      </c>
      <c r="E1678" t="s">
        <v>7348</v>
      </c>
      <c r="F1678" s="121">
        <v>633.45000000000005</v>
      </c>
      <c r="G1678" s="121">
        <v>633.45000000000005</v>
      </c>
      <c r="H1678" t="s">
        <v>604</v>
      </c>
      <c r="I1678" s="156">
        <v>41089</v>
      </c>
      <c r="K1678" s="153"/>
      <c r="L1678" s="153"/>
      <c r="M1678" s="153"/>
      <c r="N1678" s="153"/>
      <c r="O1678" s="153"/>
      <c r="P1678" s="150"/>
      <c r="Q1678" s="150"/>
      <c r="R1678" s="153"/>
      <c r="S1678" s="154"/>
      <c r="T1678" s="115"/>
    </row>
    <row r="1679" spans="1:20">
      <c r="A1679" t="s">
        <v>1230</v>
      </c>
      <c r="B1679" t="s">
        <v>71</v>
      </c>
      <c r="C1679" t="s">
        <v>54</v>
      </c>
      <c r="D1679" t="s">
        <v>573</v>
      </c>
      <c r="E1679" t="s">
        <v>3338</v>
      </c>
      <c r="F1679" s="121">
        <v>463.5</v>
      </c>
      <c r="G1679" s="121">
        <v>463.5</v>
      </c>
      <c r="H1679" t="s">
        <v>446</v>
      </c>
      <c r="I1679" s="156">
        <v>41089</v>
      </c>
      <c r="K1679" s="153"/>
      <c r="L1679" s="153"/>
      <c r="M1679" s="153"/>
      <c r="N1679" s="153"/>
      <c r="O1679" s="153"/>
      <c r="P1679" s="150"/>
      <c r="Q1679" s="150"/>
      <c r="R1679" s="153"/>
      <c r="S1679" s="154"/>
      <c r="T1679" s="115"/>
    </row>
    <row r="1680" spans="1:20">
      <c r="A1680" t="s">
        <v>1230</v>
      </c>
      <c r="B1680" t="s">
        <v>71</v>
      </c>
      <c r="C1680" t="s">
        <v>54</v>
      </c>
      <c r="D1680" t="s">
        <v>635</v>
      </c>
      <c r="E1680" t="s">
        <v>3339</v>
      </c>
      <c r="F1680" s="121">
        <v>150</v>
      </c>
      <c r="G1680" s="121">
        <v>195.7</v>
      </c>
      <c r="H1680" t="s">
        <v>446</v>
      </c>
      <c r="I1680" s="156">
        <v>40036</v>
      </c>
      <c r="K1680" s="153"/>
      <c r="L1680" s="153"/>
      <c r="M1680" s="153"/>
      <c r="N1680" s="153"/>
      <c r="O1680" s="153"/>
      <c r="P1680" s="150"/>
      <c r="Q1680" s="150"/>
      <c r="R1680" s="153"/>
      <c r="S1680" s="154"/>
      <c r="T1680" s="115"/>
    </row>
    <row r="1681" spans="1:20">
      <c r="A1681" t="s">
        <v>1230</v>
      </c>
      <c r="B1681" t="s">
        <v>71</v>
      </c>
      <c r="C1681" t="s">
        <v>54</v>
      </c>
      <c r="D1681" t="s">
        <v>636</v>
      </c>
      <c r="E1681" t="s">
        <v>3340</v>
      </c>
      <c r="F1681" s="121">
        <v>60</v>
      </c>
      <c r="G1681" s="121">
        <v>92.7</v>
      </c>
      <c r="H1681" t="s">
        <v>446</v>
      </c>
      <c r="I1681" s="156">
        <v>40178</v>
      </c>
      <c r="K1681" s="153"/>
      <c r="L1681" s="153"/>
      <c r="M1681" s="153"/>
      <c r="N1681" s="153"/>
      <c r="O1681" s="153"/>
      <c r="P1681" s="150"/>
      <c r="Q1681" s="150"/>
      <c r="R1681" s="153"/>
      <c r="S1681" s="154"/>
      <c r="T1681" s="115"/>
    </row>
    <row r="1682" spans="1:20">
      <c r="A1682" t="s">
        <v>1230</v>
      </c>
      <c r="B1682" t="s">
        <v>71</v>
      </c>
      <c r="C1682" t="s">
        <v>54</v>
      </c>
      <c r="D1682" t="s">
        <v>636</v>
      </c>
      <c r="E1682" t="s">
        <v>3341</v>
      </c>
      <c r="F1682" s="121">
        <v>60</v>
      </c>
      <c r="G1682" s="121">
        <v>92.7</v>
      </c>
      <c r="H1682" t="s">
        <v>446</v>
      </c>
      <c r="I1682" s="156">
        <v>40178</v>
      </c>
      <c r="K1682" s="153"/>
      <c r="L1682" s="153"/>
      <c r="M1682" s="153"/>
      <c r="N1682" s="153"/>
      <c r="O1682" s="153"/>
      <c r="P1682" s="150"/>
      <c r="Q1682" s="150"/>
      <c r="R1682" s="153"/>
      <c r="S1682" s="154"/>
      <c r="T1682" s="115"/>
    </row>
    <row r="1683" spans="1:20">
      <c r="A1683" t="s">
        <v>1230</v>
      </c>
      <c r="B1683" t="s">
        <v>71</v>
      </c>
      <c r="C1683" t="s">
        <v>54</v>
      </c>
      <c r="D1683" t="s">
        <v>637</v>
      </c>
      <c r="E1683" t="s">
        <v>3342</v>
      </c>
      <c r="F1683" s="121">
        <v>1760</v>
      </c>
      <c r="G1683" s="121">
        <v>463.5</v>
      </c>
      <c r="H1683" t="s">
        <v>446</v>
      </c>
      <c r="I1683" s="156">
        <v>40835</v>
      </c>
      <c r="K1683" s="153"/>
      <c r="L1683" s="153"/>
      <c r="M1683" s="153"/>
      <c r="N1683" s="153"/>
      <c r="O1683" s="153"/>
      <c r="P1683" s="150"/>
      <c r="Q1683" s="150"/>
      <c r="R1683" s="153"/>
      <c r="S1683" s="154"/>
      <c r="T1683" s="115"/>
    </row>
    <row r="1684" spans="1:20">
      <c r="A1684" t="s">
        <v>1230</v>
      </c>
      <c r="B1684" t="s">
        <v>71</v>
      </c>
      <c r="C1684" t="s">
        <v>54</v>
      </c>
      <c r="D1684" t="s">
        <v>638</v>
      </c>
      <c r="E1684" t="s">
        <v>3343</v>
      </c>
      <c r="F1684" s="121">
        <v>252</v>
      </c>
      <c r="G1684" s="121">
        <v>242.05</v>
      </c>
      <c r="H1684" t="s">
        <v>446</v>
      </c>
      <c r="I1684" s="156">
        <v>40843</v>
      </c>
      <c r="K1684" s="153"/>
      <c r="L1684" s="153"/>
      <c r="M1684" s="153"/>
      <c r="N1684" s="153"/>
      <c r="O1684" s="153"/>
      <c r="P1684" s="150"/>
      <c r="Q1684" s="150"/>
      <c r="R1684" s="153"/>
      <c r="S1684" s="154"/>
      <c r="T1684" s="115"/>
    </row>
    <row r="1685" spans="1:20">
      <c r="A1685" t="s">
        <v>1230</v>
      </c>
      <c r="B1685" t="s">
        <v>71</v>
      </c>
      <c r="C1685" t="s">
        <v>54</v>
      </c>
      <c r="D1685" t="s">
        <v>639</v>
      </c>
      <c r="E1685" t="s">
        <v>3344</v>
      </c>
      <c r="F1685" s="121">
        <v>500</v>
      </c>
      <c r="G1685" s="121">
        <v>772.5</v>
      </c>
      <c r="H1685" t="s">
        <v>446</v>
      </c>
      <c r="I1685" s="156">
        <v>40178</v>
      </c>
      <c r="K1685" s="153"/>
      <c r="L1685" s="153"/>
      <c r="M1685" s="153"/>
      <c r="N1685" s="153"/>
      <c r="O1685" s="153"/>
      <c r="P1685" s="150"/>
      <c r="Q1685" s="150"/>
      <c r="R1685" s="153"/>
      <c r="S1685" s="154"/>
      <c r="T1685" s="115"/>
    </row>
    <row r="1686" spans="1:20">
      <c r="A1686" t="s">
        <v>1230</v>
      </c>
      <c r="B1686" t="s">
        <v>72</v>
      </c>
      <c r="C1686" t="s">
        <v>55</v>
      </c>
      <c r="D1686" t="s">
        <v>640</v>
      </c>
      <c r="E1686" t="s">
        <v>3345</v>
      </c>
      <c r="F1686" s="121">
        <v>300</v>
      </c>
      <c r="G1686" s="121">
        <v>442.9</v>
      </c>
      <c r="H1686" t="s">
        <v>604</v>
      </c>
      <c r="I1686" s="156">
        <v>39813</v>
      </c>
      <c r="K1686" s="153"/>
      <c r="L1686" s="153"/>
      <c r="M1686" s="153"/>
      <c r="N1686" s="153"/>
      <c r="O1686" s="153"/>
      <c r="P1686" s="150"/>
      <c r="Q1686" s="150"/>
      <c r="R1686" s="153"/>
      <c r="S1686" s="154"/>
      <c r="T1686" s="115"/>
    </row>
    <row r="1687" spans="1:20">
      <c r="A1687" t="s">
        <v>1230</v>
      </c>
      <c r="B1687" t="s">
        <v>72</v>
      </c>
      <c r="C1687" t="s">
        <v>55</v>
      </c>
      <c r="D1687" t="s">
        <v>588</v>
      </c>
      <c r="E1687" t="s">
        <v>3346</v>
      </c>
      <c r="F1687" s="121">
        <v>288.39999999999998</v>
      </c>
      <c r="G1687" s="121">
        <v>288.39999999999998</v>
      </c>
      <c r="H1687" t="s">
        <v>604</v>
      </c>
      <c r="I1687" s="156">
        <v>41089</v>
      </c>
      <c r="K1687" s="153"/>
      <c r="L1687" s="153"/>
      <c r="M1687" s="153"/>
      <c r="N1687" s="153"/>
      <c r="O1687" s="153"/>
      <c r="P1687" s="152"/>
      <c r="Q1687" s="152"/>
      <c r="R1687" s="153"/>
      <c r="S1687" s="154"/>
      <c r="T1687" s="115"/>
    </row>
    <row r="1688" spans="1:20">
      <c r="A1688" t="s">
        <v>1230</v>
      </c>
      <c r="B1688" t="s">
        <v>72</v>
      </c>
      <c r="C1688" t="s">
        <v>55</v>
      </c>
      <c r="D1688" t="s">
        <v>588</v>
      </c>
      <c r="E1688" t="s">
        <v>3347</v>
      </c>
      <c r="F1688" s="121">
        <v>288.39999999999998</v>
      </c>
      <c r="G1688" s="121">
        <v>288.39999999999998</v>
      </c>
      <c r="H1688" t="s">
        <v>604</v>
      </c>
      <c r="I1688" s="156">
        <v>41089</v>
      </c>
      <c r="K1688" s="153"/>
      <c r="L1688" s="153"/>
      <c r="M1688" s="153"/>
      <c r="N1688" s="153"/>
      <c r="O1688" s="153"/>
      <c r="P1688" s="152"/>
      <c r="Q1688" s="152"/>
      <c r="R1688" s="153"/>
      <c r="S1688" s="154"/>
      <c r="T1688" s="115"/>
    </row>
    <row r="1689" spans="1:20">
      <c r="A1689" t="s">
        <v>1230</v>
      </c>
      <c r="B1689" t="s">
        <v>72</v>
      </c>
      <c r="C1689" t="s">
        <v>55</v>
      </c>
      <c r="D1689" t="s">
        <v>591</v>
      </c>
      <c r="E1689" t="s">
        <v>7349</v>
      </c>
      <c r="F1689" s="121">
        <v>442.9</v>
      </c>
      <c r="G1689" s="121">
        <v>442.9</v>
      </c>
      <c r="H1689" t="s">
        <v>604</v>
      </c>
      <c r="I1689" s="156">
        <v>41089</v>
      </c>
      <c r="K1689" s="153"/>
      <c r="L1689" s="153"/>
      <c r="M1689" s="153"/>
      <c r="N1689" s="153"/>
      <c r="O1689" s="153"/>
      <c r="P1689" s="152"/>
      <c r="Q1689" s="152"/>
      <c r="R1689" s="153"/>
      <c r="S1689" s="154"/>
      <c r="T1689" s="115"/>
    </row>
    <row r="1690" spans="1:20">
      <c r="A1690" t="s">
        <v>1230</v>
      </c>
      <c r="B1690" t="s">
        <v>72</v>
      </c>
      <c r="C1690" t="s">
        <v>55</v>
      </c>
      <c r="D1690" t="s">
        <v>588</v>
      </c>
      <c r="E1690" t="s">
        <v>3348</v>
      </c>
      <c r="F1690" s="121">
        <v>288.39999999999998</v>
      </c>
      <c r="G1690" s="121">
        <v>288.39999999999998</v>
      </c>
      <c r="H1690" t="s">
        <v>604</v>
      </c>
      <c r="I1690" s="156">
        <v>41089</v>
      </c>
      <c r="K1690" s="153"/>
      <c r="L1690" s="153"/>
      <c r="M1690" s="153"/>
      <c r="N1690" s="153"/>
      <c r="O1690" s="153"/>
      <c r="P1690" s="152"/>
      <c r="Q1690" s="152"/>
      <c r="R1690" s="153"/>
      <c r="S1690" s="154"/>
      <c r="T1690" s="115"/>
    </row>
    <row r="1691" spans="1:20">
      <c r="A1691" t="s">
        <v>1230</v>
      </c>
      <c r="B1691" t="s">
        <v>72</v>
      </c>
      <c r="C1691" t="s">
        <v>55</v>
      </c>
      <c r="D1691" t="s">
        <v>588</v>
      </c>
      <c r="E1691" t="s">
        <v>3349</v>
      </c>
      <c r="F1691" s="121">
        <v>288.39999999999998</v>
      </c>
      <c r="G1691" s="121">
        <v>288.39999999999998</v>
      </c>
      <c r="H1691" t="s">
        <v>604</v>
      </c>
      <c r="I1691" s="156">
        <v>41089</v>
      </c>
      <c r="K1691" s="153"/>
      <c r="L1691" s="153"/>
      <c r="M1691" s="153"/>
      <c r="N1691" s="153"/>
      <c r="O1691" s="153"/>
      <c r="P1691" s="150"/>
      <c r="Q1691" s="150"/>
      <c r="R1691" s="153"/>
      <c r="S1691" s="154"/>
      <c r="T1691" s="115"/>
    </row>
    <row r="1692" spans="1:20">
      <c r="A1692" t="s">
        <v>1230</v>
      </c>
      <c r="B1692" t="s">
        <v>72</v>
      </c>
      <c r="C1692" t="s">
        <v>43</v>
      </c>
      <c r="D1692" t="s">
        <v>641</v>
      </c>
      <c r="E1692" t="s">
        <v>3350</v>
      </c>
      <c r="F1692" s="121">
        <v>100</v>
      </c>
      <c r="G1692" s="121">
        <v>92.7</v>
      </c>
      <c r="H1692" t="s">
        <v>604</v>
      </c>
      <c r="I1692" s="156">
        <v>39813</v>
      </c>
      <c r="K1692" s="153"/>
      <c r="L1692" s="153"/>
      <c r="M1692" s="153"/>
      <c r="N1692" s="153"/>
      <c r="O1692" s="153"/>
      <c r="P1692" s="150"/>
      <c r="Q1692" s="150"/>
      <c r="R1692" s="153"/>
      <c r="S1692" s="154"/>
      <c r="T1692" s="115"/>
    </row>
    <row r="1693" spans="1:20">
      <c r="A1693" t="s">
        <v>1230</v>
      </c>
      <c r="B1693" t="s">
        <v>72</v>
      </c>
      <c r="C1693" t="s">
        <v>43</v>
      </c>
      <c r="D1693" t="s">
        <v>7350</v>
      </c>
      <c r="E1693" t="s">
        <v>7351</v>
      </c>
      <c r="F1693" s="121">
        <v>250</v>
      </c>
      <c r="G1693" s="121">
        <v>860.05</v>
      </c>
      <c r="H1693" t="s">
        <v>604</v>
      </c>
      <c r="I1693" s="156">
        <v>39813</v>
      </c>
      <c r="K1693" s="153"/>
      <c r="L1693" s="153"/>
      <c r="M1693" s="153"/>
      <c r="N1693" s="153"/>
      <c r="O1693" s="153"/>
      <c r="P1693" s="150"/>
      <c r="Q1693" s="150"/>
      <c r="R1693" s="153"/>
      <c r="S1693" s="154"/>
      <c r="T1693" s="115"/>
    </row>
    <row r="1694" spans="1:20">
      <c r="A1694" t="s">
        <v>1230</v>
      </c>
      <c r="B1694" t="s">
        <v>72</v>
      </c>
      <c r="C1694" t="s">
        <v>55</v>
      </c>
      <c r="D1694" t="s">
        <v>642</v>
      </c>
      <c r="E1694" t="s">
        <v>3351</v>
      </c>
      <c r="F1694" s="121">
        <v>515</v>
      </c>
      <c r="G1694" s="121">
        <v>515</v>
      </c>
      <c r="H1694" t="s">
        <v>604</v>
      </c>
      <c r="I1694" s="156">
        <v>41089</v>
      </c>
      <c r="K1694" s="153"/>
      <c r="L1694" s="153"/>
      <c r="M1694" s="153"/>
      <c r="N1694" s="153"/>
      <c r="O1694" s="153"/>
      <c r="P1694" s="150"/>
      <c r="Q1694" s="150"/>
      <c r="R1694" s="153"/>
      <c r="S1694" s="154"/>
      <c r="T1694" s="115"/>
    </row>
    <row r="1695" spans="1:20">
      <c r="A1695" t="s">
        <v>1230</v>
      </c>
      <c r="B1695" t="s">
        <v>72</v>
      </c>
      <c r="C1695" t="s">
        <v>55</v>
      </c>
      <c r="D1695" t="s">
        <v>573</v>
      </c>
      <c r="E1695" t="s">
        <v>3352</v>
      </c>
      <c r="F1695" s="121">
        <v>250</v>
      </c>
      <c r="G1695" s="121">
        <v>103</v>
      </c>
      <c r="H1695" t="s">
        <v>604</v>
      </c>
      <c r="I1695" s="156">
        <v>39813</v>
      </c>
      <c r="K1695" s="153"/>
      <c r="L1695" s="153"/>
      <c r="M1695" s="153"/>
      <c r="N1695" s="153"/>
      <c r="O1695" s="153"/>
      <c r="P1695" s="150"/>
      <c r="Q1695" s="150"/>
      <c r="R1695" s="153"/>
      <c r="S1695" s="154"/>
      <c r="T1695" s="115"/>
    </row>
    <row r="1696" spans="1:20">
      <c r="A1696" t="s">
        <v>1230</v>
      </c>
      <c r="B1696" t="s">
        <v>72</v>
      </c>
      <c r="C1696" t="s">
        <v>55</v>
      </c>
      <c r="D1696" t="s">
        <v>643</v>
      </c>
      <c r="E1696" t="s">
        <v>3353</v>
      </c>
      <c r="F1696" s="121">
        <v>350</v>
      </c>
      <c r="G1696" s="121">
        <v>298.7</v>
      </c>
      <c r="H1696" t="s">
        <v>604</v>
      </c>
      <c r="I1696" s="156">
        <v>39813</v>
      </c>
      <c r="K1696" s="153"/>
      <c r="L1696" s="153"/>
      <c r="M1696" s="153"/>
      <c r="N1696" s="153"/>
      <c r="O1696" s="153"/>
      <c r="P1696" s="150"/>
      <c r="Q1696" s="150"/>
      <c r="R1696" s="153"/>
      <c r="S1696" s="154"/>
      <c r="T1696" s="115"/>
    </row>
    <row r="1697" spans="1:20">
      <c r="A1697" t="s">
        <v>1230</v>
      </c>
      <c r="B1697" t="s">
        <v>72</v>
      </c>
      <c r="C1697" t="s">
        <v>55</v>
      </c>
      <c r="D1697" t="s">
        <v>591</v>
      </c>
      <c r="E1697" t="s">
        <v>3354</v>
      </c>
      <c r="F1697" s="121">
        <v>300</v>
      </c>
      <c r="G1697" s="121">
        <v>679.8</v>
      </c>
      <c r="H1697" t="s">
        <v>604</v>
      </c>
      <c r="I1697" s="156">
        <v>39813</v>
      </c>
      <c r="K1697" s="153"/>
      <c r="L1697" s="153"/>
      <c r="M1697" s="153"/>
      <c r="N1697" s="153"/>
      <c r="O1697" s="153"/>
      <c r="P1697" s="152"/>
      <c r="Q1697" s="152"/>
      <c r="R1697" s="153"/>
      <c r="S1697" s="154"/>
      <c r="T1697" s="115"/>
    </row>
    <row r="1698" spans="1:20">
      <c r="A1698" t="s">
        <v>1230</v>
      </c>
      <c r="B1698" t="s">
        <v>72</v>
      </c>
      <c r="C1698" t="s">
        <v>55</v>
      </c>
      <c r="D1698" t="s">
        <v>644</v>
      </c>
      <c r="E1698" t="s">
        <v>3355</v>
      </c>
      <c r="F1698" s="121">
        <v>288.39999999999998</v>
      </c>
      <c r="G1698" s="121">
        <v>288.39999999999998</v>
      </c>
      <c r="H1698" t="s">
        <v>604</v>
      </c>
      <c r="I1698" s="156">
        <v>41089</v>
      </c>
      <c r="K1698" s="153"/>
      <c r="L1698" s="153"/>
      <c r="M1698" s="153"/>
      <c r="N1698" s="153"/>
      <c r="O1698" s="153"/>
      <c r="P1698" s="152"/>
      <c r="Q1698" s="152"/>
      <c r="R1698" s="153"/>
      <c r="S1698" s="154"/>
      <c r="T1698" s="115"/>
    </row>
    <row r="1699" spans="1:20">
      <c r="A1699" t="s">
        <v>1230</v>
      </c>
      <c r="B1699" t="s">
        <v>72</v>
      </c>
      <c r="C1699" t="s">
        <v>55</v>
      </c>
      <c r="D1699" t="s">
        <v>588</v>
      </c>
      <c r="E1699" t="s">
        <v>3356</v>
      </c>
      <c r="F1699" s="121">
        <v>288.39999999999998</v>
      </c>
      <c r="G1699" s="121">
        <v>288.39999999999998</v>
      </c>
      <c r="H1699" t="s">
        <v>604</v>
      </c>
      <c r="I1699" s="156">
        <v>41089</v>
      </c>
      <c r="K1699" s="153"/>
      <c r="L1699" s="153"/>
      <c r="M1699" s="153"/>
      <c r="N1699" s="153"/>
      <c r="O1699" s="153"/>
      <c r="P1699" s="150"/>
      <c r="Q1699" s="150"/>
      <c r="R1699" s="153"/>
      <c r="S1699" s="154"/>
      <c r="T1699" s="115"/>
    </row>
    <row r="1700" spans="1:20">
      <c r="A1700" t="s">
        <v>1230</v>
      </c>
      <c r="B1700" t="s">
        <v>72</v>
      </c>
      <c r="C1700" t="s">
        <v>43</v>
      </c>
      <c r="D1700" t="s">
        <v>566</v>
      </c>
      <c r="E1700" t="s">
        <v>3357</v>
      </c>
      <c r="F1700" s="121">
        <v>927</v>
      </c>
      <c r="G1700" s="121">
        <v>927</v>
      </c>
      <c r="H1700" t="s">
        <v>604</v>
      </c>
      <c r="I1700" s="156">
        <v>41089</v>
      </c>
      <c r="K1700" s="153"/>
      <c r="L1700" s="153"/>
      <c r="M1700" s="153"/>
      <c r="N1700" s="153"/>
      <c r="O1700" s="153"/>
      <c r="P1700" s="152"/>
      <c r="Q1700" s="152"/>
      <c r="R1700" s="153"/>
      <c r="S1700" s="154"/>
      <c r="T1700" s="115"/>
    </row>
    <row r="1701" spans="1:20">
      <c r="A1701" t="s">
        <v>1230</v>
      </c>
      <c r="B1701" t="s">
        <v>72</v>
      </c>
      <c r="C1701" t="s">
        <v>43</v>
      </c>
      <c r="D1701" t="s">
        <v>566</v>
      </c>
      <c r="E1701" t="s">
        <v>3358</v>
      </c>
      <c r="F1701" s="121">
        <v>1957</v>
      </c>
      <c r="G1701" s="121">
        <v>1957</v>
      </c>
      <c r="H1701" t="s">
        <v>604</v>
      </c>
      <c r="I1701" s="156">
        <v>41089</v>
      </c>
      <c r="K1701" s="153"/>
      <c r="L1701" s="153"/>
      <c r="M1701" s="153"/>
      <c r="N1701" s="153"/>
      <c r="O1701" s="153"/>
      <c r="P1701" s="152"/>
      <c r="Q1701" s="152"/>
      <c r="R1701" s="153"/>
      <c r="S1701" s="154"/>
      <c r="T1701" s="115"/>
    </row>
    <row r="1702" spans="1:20">
      <c r="A1702" t="s">
        <v>1230</v>
      </c>
      <c r="B1702" t="s">
        <v>72</v>
      </c>
      <c r="C1702" t="s">
        <v>43</v>
      </c>
      <c r="D1702" t="s">
        <v>566</v>
      </c>
      <c r="E1702" t="s">
        <v>3359</v>
      </c>
      <c r="F1702" s="121">
        <v>1957</v>
      </c>
      <c r="G1702" s="121">
        <v>1957</v>
      </c>
      <c r="H1702" t="s">
        <v>604</v>
      </c>
      <c r="I1702" s="156">
        <v>41089</v>
      </c>
      <c r="K1702" s="153"/>
      <c r="L1702" s="153"/>
      <c r="M1702" s="153"/>
      <c r="N1702" s="153"/>
      <c r="O1702" s="153"/>
      <c r="P1702" s="152"/>
      <c r="Q1702" s="152"/>
      <c r="R1702" s="153"/>
      <c r="S1702" s="154"/>
      <c r="T1702" s="115"/>
    </row>
    <row r="1703" spans="1:20">
      <c r="A1703" t="s">
        <v>1230</v>
      </c>
      <c r="B1703" t="s">
        <v>74</v>
      </c>
      <c r="C1703" t="s">
        <v>55</v>
      </c>
      <c r="D1703" t="s">
        <v>599</v>
      </c>
      <c r="E1703" t="s">
        <v>3360</v>
      </c>
      <c r="F1703" s="121">
        <v>824</v>
      </c>
      <c r="G1703" s="121">
        <v>824</v>
      </c>
      <c r="H1703" t="s">
        <v>398</v>
      </c>
      <c r="I1703" s="156">
        <v>41089</v>
      </c>
      <c r="K1703" s="153"/>
      <c r="L1703" s="153"/>
      <c r="M1703" s="153"/>
      <c r="N1703" s="153"/>
      <c r="O1703" s="153"/>
      <c r="P1703" s="150"/>
      <c r="Q1703" s="150"/>
      <c r="R1703" s="153"/>
      <c r="S1703" s="154"/>
      <c r="T1703" s="115"/>
    </row>
    <row r="1704" spans="1:20">
      <c r="A1704" t="s">
        <v>1230</v>
      </c>
      <c r="B1704" t="s">
        <v>74</v>
      </c>
      <c r="C1704" t="s">
        <v>43</v>
      </c>
      <c r="D1704" t="s">
        <v>566</v>
      </c>
      <c r="E1704" t="s">
        <v>3361</v>
      </c>
      <c r="F1704" s="121">
        <v>1957</v>
      </c>
      <c r="G1704" s="121">
        <v>1957</v>
      </c>
      <c r="H1704" t="s">
        <v>398</v>
      </c>
      <c r="I1704" s="156">
        <v>41089</v>
      </c>
      <c r="K1704" s="153"/>
      <c r="L1704" s="153"/>
      <c r="M1704" s="153"/>
      <c r="N1704" s="153"/>
      <c r="O1704" s="153"/>
      <c r="P1704" s="150"/>
      <c r="Q1704" s="150"/>
      <c r="R1704" s="153"/>
      <c r="S1704" s="154"/>
      <c r="T1704" s="115"/>
    </row>
    <row r="1705" spans="1:20">
      <c r="A1705" t="s">
        <v>1230</v>
      </c>
      <c r="B1705" t="s">
        <v>74</v>
      </c>
      <c r="C1705" t="s">
        <v>55</v>
      </c>
      <c r="D1705" t="s">
        <v>569</v>
      </c>
      <c r="E1705" t="s">
        <v>3362</v>
      </c>
      <c r="F1705" s="121">
        <v>386.25</v>
      </c>
      <c r="G1705" s="121">
        <v>386.25</v>
      </c>
      <c r="H1705" t="s">
        <v>645</v>
      </c>
      <c r="I1705" s="156">
        <v>41089</v>
      </c>
      <c r="K1705" s="153"/>
      <c r="L1705" s="153"/>
      <c r="M1705" s="153"/>
      <c r="N1705" s="153"/>
      <c r="O1705" s="153"/>
      <c r="P1705" s="150"/>
      <c r="Q1705" s="150"/>
      <c r="R1705" s="153"/>
      <c r="S1705" s="154"/>
      <c r="T1705" s="115"/>
    </row>
    <row r="1706" spans="1:20">
      <c r="A1706" t="s">
        <v>1230</v>
      </c>
      <c r="B1706" t="s">
        <v>74</v>
      </c>
      <c r="C1706" t="s">
        <v>55</v>
      </c>
      <c r="D1706" t="s">
        <v>589</v>
      </c>
      <c r="E1706" t="s">
        <v>7352</v>
      </c>
      <c r="F1706" s="121">
        <v>61.8</v>
      </c>
      <c r="G1706" s="121">
        <v>61.8</v>
      </c>
      <c r="H1706" t="s">
        <v>645</v>
      </c>
      <c r="I1706" s="156">
        <v>41089</v>
      </c>
      <c r="K1706" s="153"/>
      <c r="L1706" s="153"/>
      <c r="M1706" s="153"/>
      <c r="N1706" s="153"/>
      <c r="O1706" s="153"/>
      <c r="P1706" s="150"/>
      <c r="Q1706" s="150"/>
      <c r="R1706" s="153"/>
      <c r="S1706" s="154"/>
      <c r="T1706" s="115"/>
    </row>
    <row r="1707" spans="1:20">
      <c r="A1707" t="s">
        <v>1230</v>
      </c>
      <c r="B1707" t="s">
        <v>74</v>
      </c>
      <c r="C1707" t="s">
        <v>43</v>
      </c>
      <c r="D1707" t="s">
        <v>620</v>
      </c>
      <c r="E1707" t="s">
        <v>7353</v>
      </c>
      <c r="F1707" s="121">
        <v>100</v>
      </c>
      <c r="G1707" s="121">
        <v>973.35</v>
      </c>
      <c r="H1707" t="s">
        <v>645</v>
      </c>
      <c r="I1707" s="156">
        <v>39813</v>
      </c>
      <c r="K1707" s="153"/>
      <c r="L1707" s="153"/>
      <c r="M1707" s="153"/>
      <c r="N1707" s="153"/>
      <c r="O1707" s="153"/>
      <c r="P1707" s="150"/>
      <c r="Q1707" s="150"/>
      <c r="R1707" s="153"/>
      <c r="S1707" s="154"/>
      <c r="T1707" s="115"/>
    </row>
    <row r="1708" spans="1:20">
      <c r="A1708" t="s">
        <v>1230</v>
      </c>
      <c r="B1708" t="s">
        <v>74</v>
      </c>
      <c r="C1708" t="s">
        <v>55</v>
      </c>
      <c r="D1708" t="s">
        <v>568</v>
      </c>
      <c r="E1708" t="s">
        <v>3363</v>
      </c>
      <c r="F1708" s="121">
        <v>400</v>
      </c>
      <c r="G1708" s="121">
        <v>298.7</v>
      </c>
      <c r="H1708" t="s">
        <v>645</v>
      </c>
      <c r="I1708" s="156">
        <v>39813</v>
      </c>
      <c r="K1708" s="153"/>
      <c r="L1708" s="153"/>
      <c r="M1708" s="153"/>
      <c r="N1708" s="153"/>
      <c r="O1708" s="153"/>
      <c r="P1708" s="152"/>
      <c r="Q1708" s="152"/>
      <c r="R1708" s="153"/>
      <c r="S1708" s="154"/>
      <c r="T1708" s="115"/>
    </row>
    <row r="1709" spans="1:20">
      <c r="A1709" t="s">
        <v>1230</v>
      </c>
      <c r="B1709" t="s">
        <v>74</v>
      </c>
      <c r="C1709" t="s">
        <v>55</v>
      </c>
      <c r="D1709" t="s">
        <v>568</v>
      </c>
      <c r="E1709" t="s">
        <v>3364</v>
      </c>
      <c r="F1709" s="121">
        <v>400</v>
      </c>
      <c r="G1709" s="121">
        <v>298.7</v>
      </c>
      <c r="H1709" t="s">
        <v>645</v>
      </c>
      <c r="I1709" s="156">
        <v>39813</v>
      </c>
      <c r="K1709" s="153"/>
      <c r="L1709" s="153"/>
      <c r="M1709" s="153"/>
      <c r="N1709" s="153"/>
      <c r="O1709" s="153"/>
      <c r="P1709" s="150"/>
      <c r="Q1709" s="150"/>
      <c r="R1709" s="153"/>
      <c r="S1709" s="154"/>
      <c r="T1709" s="115"/>
    </row>
    <row r="1710" spans="1:20">
      <c r="A1710" t="s">
        <v>1230</v>
      </c>
      <c r="B1710" t="s">
        <v>74</v>
      </c>
      <c r="C1710" t="s">
        <v>55</v>
      </c>
      <c r="D1710" t="s">
        <v>646</v>
      </c>
      <c r="E1710" t="s">
        <v>3365</v>
      </c>
      <c r="F1710" s="121">
        <v>300</v>
      </c>
      <c r="G1710" s="121">
        <v>386.25</v>
      </c>
      <c r="H1710" t="s">
        <v>645</v>
      </c>
      <c r="I1710" s="156">
        <v>39813</v>
      </c>
      <c r="K1710" s="153"/>
      <c r="L1710" s="153"/>
      <c r="M1710" s="153"/>
      <c r="N1710" s="153"/>
      <c r="O1710" s="153"/>
      <c r="P1710" s="150"/>
      <c r="Q1710" s="150"/>
      <c r="R1710" s="153"/>
      <c r="S1710" s="154"/>
      <c r="T1710" s="115"/>
    </row>
    <row r="1711" spans="1:20">
      <c r="A1711" t="s">
        <v>1230</v>
      </c>
      <c r="B1711" t="s">
        <v>74</v>
      </c>
      <c r="C1711" t="s">
        <v>55</v>
      </c>
      <c r="D1711" t="s">
        <v>647</v>
      </c>
      <c r="E1711" t="s">
        <v>3366</v>
      </c>
      <c r="F1711" s="121">
        <v>400</v>
      </c>
      <c r="G1711" s="121">
        <v>731.3</v>
      </c>
      <c r="H1711" t="s">
        <v>645</v>
      </c>
      <c r="I1711" s="156">
        <v>39813</v>
      </c>
      <c r="K1711" s="153"/>
      <c r="L1711" s="153"/>
      <c r="M1711" s="153"/>
      <c r="N1711" s="153"/>
      <c r="O1711" s="153"/>
      <c r="P1711" s="150"/>
      <c r="Q1711" s="150"/>
      <c r="R1711" s="153"/>
      <c r="S1711" s="154"/>
      <c r="T1711" s="115"/>
    </row>
    <row r="1712" spans="1:20">
      <c r="A1712" t="s">
        <v>1230</v>
      </c>
      <c r="B1712" t="s">
        <v>74</v>
      </c>
      <c r="C1712" t="s">
        <v>55</v>
      </c>
      <c r="D1712" t="s">
        <v>648</v>
      </c>
      <c r="E1712" t="s">
        <v>3367</v>
      </c>
      <c r="F1712" s="121">
        <v>990</v>
      </c>
      <c r="G1712" s="121">
        <v>741.6</v>
      </c>
      <c r="H1712" t="s">
        <v>398</v>
      </c>
      <c r="I1712" s="156">
        <v>40742</v>
      </c>
      <c r="K1712" s="153"/>
      <c r="L1712" s="153"/>
      <c r="M1712" s="153"/>
      <c r="N1712" s="153"/>
      <c r="O1712" s="153"/>
      <c r="P1712" s="150"/>
      <c r="Q1712" s="150"/>
      <c r="R1712" s="153"/>
      <c r="S1712" s="154"/>
      <c r="T1712" s="115"/>
    </row>
    <row r="1713" spans="1:20">
      <c r="A1713" t="s">
        <v>1230</v>
      </c>
      <c r="B1713" t="s">
        <v>74</v>
      </c>
      <c r="C1713" t="s">
        <v>43</v>
      </c>
      <c r="D1713" t="s">
        <v>558</v>
      </c>
      <c r="E1713" t="s">
        <v>3368</v>
      </c>
      <c r="F1713" s="121">
        <v>100</v>
      </c>
      <c r="G1713" s="121">
        <v>375.95</v>
      </c>
      <c r="H1713" t="s">
        <v>645</v>
      </c>
      <c r="I1713" s="156">
        <v>39813</v>
      </c>
      <c r="K1713" s="153"/>
      <c r="L1713" s="153"/>
      <c r="M1713" s="153"/>
      <c r="N1713" s="153"/>
      <c r="O1713" s="153"/>
      <c r="P1713" s="150"/>
      <c r="Q1713" s="150"/>
      <c r="R1713" s="153"/>
      <c r="S1713" s="154"/>
      <c r="T1713" s="115"/>
    </row>
    <row r="1714" spans="1:20">
      <c r="A1714" t="s">
        <v>1230</v>
      </c>
      <c r="B1714" t="s">
        <v>74</v>
      </c>
      <c r="C1714" t="s">
        <v>43</v>
      </c>
      <c r="D1714" t="s">
        <v>649</v>
      </c>
      <c r="E1714" t="s">
        <v>7354</v>
      </c>
      <c r="F1714" s="121">
        <v>2000</v>
      </c>
      <c r="G1714" s="121">
        <v>2000</v>
      </c>
      <c r="H1714" t="s">
        <v>645</v>
      </c>
      <c r="I1714" s="156">
        <v>41089</v>
      </c>
      <c r="K1714" s="153"/>
      <c r="L1714" s="153"/>
      <c r="M1714" s="153"/>
      <c r="N1714" s="153"/>
      <c r="O1714" s="153"/>
      <c r="P1714" s="150"/>
      <c r="Q1714" s="150"/>
      <c r="R1714" s="153"/>
      <c r="S1714" s="154"/>
      <c r="T1714" s="115"/>
    </row>
    <row r="1715" spans="1:20">
      <c r="A1715" t="s">
        <v>1230</v>
      </c>
      <c r="B1715" t="s">
        <v>74</v>
      </c>
      <c r="C1715" t="s">
        <v>43</v>
      </c>
      <c r="D1715" t="s">
        <v>620</v>
      </c>
      <c r="E1715" t="s">
        <v>7355</v>
      </c>
      <c r="F1715" s="121">
        <v>860.05</v>
      </c>
      <c r="G1715" s="121">
        <v>860.05</v>
      </c>
      <c r="H1715" t="s">
        <v>645</v>
      </c>
      <c r="I1715" s="156">
        <v>41089</v>
      </c>
      <c r="K1715" s="153"/>
      <c r="L1715" s="153"/>
      <c r="M1715" s="153"/>
      <c r="N1715" s="153"/>
      <c r="O1715" s="153"/>
      <c r="P1715" s="150"/>
      <c r="Q1715" s="150"/>
      <c r="R1715" s="153"/>
      <c r="S1715" s="154"/>
      <c r="T1715" s="115"/>
    </row>
    <row r="1716" spans="1:20">
      <c r="A1716" t="s">
        <v>1230</v>
      </c>
      <c r="B1716" t="s">
        <v>74</v>
      </c>
      <c r="C1716" t="s">
        <v>55</v>
      </c>
      <c r="D1716" t="s">
        <v>573</v>
      </c>
      <c r="E1716" t="s">
        <v>3369</v>
      </c>
      <c r="F1716" s="121">
        <v>82.4</v>
      </c>
      <c r="G1716" s="121">
        <v>82.4</v>
      </c>
      <c r="H1716" t="s">
        <v>645</v>
      </c>
      <c r="I1716" s="156">
        <v>41089</v>
      </c>
      <c r="K1716" s="153"/>
      <c r="L1716" s="153"/>
      <c r="M1716" s="153"/>
      <c r="N1716" s="153"/>
      <c r="O1716" s="153"/>
      <c r="P1716" s="150"/>
      <c r="Q1716" s="150"/>
      <c r="R1716" s="153"/>
      <c r="S1716" s="154"/>
      <c r="T1716" s="115"/>
    </row>
    <row r="1717" spans="1:20">
      <c r="A1717" t="s">
        <v>1230</v>
      </c>
      <c r="B1717" t="s">
        <v>74</v>
      </c>
      <c r="C1717" t="s">
        <v>55</v>
      </c>
      <c r="D1717" t="s">
        <v>573</v>
      </c>
      <c r="E1717" t="s">
        <v>3370</v>
      </c>
      <c r="F1717" s="121">
        <v>133.9</v>
      </c>
      <c r="G1717" s="121">
        <v>133.9</v>
      </c>
      <c r="H1717" t="s">
        <v>645</v>
      </c>
      <c r="I1717" s="156">
        <v>41089</v>
      </c>
      <c r="K1717" s="153"/>
      <c r="L1717" s="153"/>
      <c r="M1717" s="153"/>
      <c r="N1717" s="153"/>
      <c r="O1717" s="153"/>
      <c r="P1717" s="150"/>
      <c r="Q1717" s="150"/>
      <c r="R1717" s="153"/>
      <c r="S1717" s="154"/>
      <c r="T1717" s="115"/>
    </row>
    <row r="1718" spans="1:20">
      <c r="A1718" t="s">
        <v>1230</v>
      </c>
      <c r="B1718" t="s">
        <v>74</v>
      </c>
      <c r="C1718" t="s">
        <v>55</v>
      </c>
      <c r="D1718" t="s">
        <v>573</v>
      </c>
      <c r="E1718" t="s">
        <v>3371</v>
      </c>
      <c r="F1718" s="121">
        <v>103</v>
      </c>
      <c r="G1718" s="121">
        <v>103</v>
      </c>
      <c r="H1718" t="s">
        <v>645</v>
      </c>
      <c r="I1718" s="156">
        <v>41089</v>
      </c>
      <c r="K1718" s="153"/>
      <c r="L1718" s="153"/>
      <c r="M1718" s="153"/>
      <c r="N1718" s="153"/>
      <c r="O1718" s="153"/>
      <c r="P1718" s="150"/>
      <c r="Q1718" s="150"/>
      <c r="R1718" s="153"/>
      <c r="S1718" s="154"/>
      <c r="T1718" s="115"/>
    </row>
    <row r="1719" spans="1:20">
      <c r="A1719" t="s">
        <v>1230</v>
      </c>
      <c r="B1719" t="s">
        <v>74</v>
      </c>
      <c r="C1719" t="s">
        <v>55</v>
      </c>
      <c r="D1719" t="s">
        <v>573</v>
      </c>
      <c r="E1719" t="s">
        <v>3372</v>
      </c>
      <c r="F1719" s="121">
        <v>77.25</v>
      </c>
      <c r="G1719" s="121">
        <v>77.25</v>
      </c>
      <c r="H1719" t="s">
        <v>645</v>
      </c>
      <c r="I1719" s="156">
        <v>41089</v>
      </c>
      <c r="K1719" s="153"/>
      <c r="L1719" s="153"/>
      <c r="M1719" s="153"/>
      <c r="N1719" s="153"/>
      <c r="O1719" s="153"/>
      <c r="P1719" s="150"/>
      <c r="Q1719" s="150"/>
      <c r="R1719" s="153"/>
      <c r="S1719" s="154"/>
      <c r="T1719" s="115"/>
    </row>
    <row r="1720" spans="1:20">
      <c r="A1720" t="s">
        <v>1230</v>
      </c>
      <c r="B1720" t="s">
        <v>74</v>
      </c>
      <c r="C1720" t="s">
        <v>55</v>
      </c>
      <c r="D1720" t="s">
        <v>589</v>
      </c>
      <c r="E1720" t="s">
        <v>7356</v>
      </c>
      <c r="F1720" s="121">
        <v>216.3</v>
      </c>
      <c r="G1720" s="121">
        <v>216.3</v>
      </c>
      <c r="H1720" t="s">
        <v>645</v>
      </c>
      <c r="I1720" s="156">
        <v>41089</v>
      </c>
      <c r="K1720" s="153"/>
      <c r="L1720" s="153"/>
      <c r="M1720" s="153"/>
      <c r="N1720" s="153"/>
      <c r="O1720" s="153"/>
      <c r="P1720" s="150"/>
      <c r="Q1720" s="150"/>
      <c r="R1720" s="153"/>
      <c r="S1720" s="154"/>
      <c r="T1720" s="115"/>
    </row>
    <row r="1721" spans="1:20">
      <c r="A1721" t="s">
        <v>1230</v>
      </c>
      <c r="B1721" t="s">
        <v>74</v>
      </c>
      <c r="C1721" t="s">
        <v>55</v>
      </c>
      <c r="D1721" t="s">
        <v>589</v>
      </c>
      <c r="E1721" t="s">
        <v>7357</v>
      </c>
      <c r="F1721" s="121">
        <v>85.49</v>
      </c>
      <c r="G1721" s="121">
        <v>85.49</v>
      </c>
      <c r="H1721" t="s">
        <v>645</v>
      </c>
      <c r="I1721" s="156">
        <v>41089</v>
      </c>
      <c r="K1721" s="153"/>
      <c r="L1721" s="153"/>
      <c r="M1721" s="153"/>
      <c r="N1721" s="153"/>
      <c r="O1721" s="153"/>
      <c r="P1721" s="150"/>
      <c r="Q1721" s="150"/>
      <c r="R1721" s="153"/>
      <c r="S1721" s="154"/>
      <c r="T1721" s="115"/>
    </row>
    <row r="1722" spans="1:20">
      <c r="A1722" t="s">
        <v>1230</v>
      </c>
      <c r="B1722" t="s">
        <v>74</v>
      </c>
      <c r="C1722" t="s">
        <v>55</v>
      </c>
      <c r="D1722" t="s">
        <v>589</v>
      </c>
      <c r="E1722" t="s">
        <v>7358</v>
      </c>
      <c r="F1722" s="121">
        <v>92.7</v>
      </c>
      <c r="G1722" s="121">
        <v>92.7</v>
      </c>
      <c r="H1722" t="s">
        <v>645</v>
      </c>
      <c r="I1722" s="156">
        <v>41089</v>
      </c>
      <c r="K1722" s="153"/>
      <c r="L1722" s="153"/>
      <c r="M1722" s="153"/>
      <c r="N1722" s="153"/>
      <c r="O1722" s="153"/>
      <c r="P1722" s="150"/>
      <c r="Q1722" s="150"/>
      <c r="R1722" s="153"/>
      <c r="S1722" s="154"/>
      <c r="T1722" s="115"/>
    </row>
    <row r="1723" spans="1:20">
      <c r="A1723" t="s">
        <v>1230</v>
      </c>
      <c r="B1723" t="s">
        <v>74</v>
      </c>
      <c r="C1723" t="s">
        <v>55</v>
      </c>
      <c r="D1723" t="s">
        <v>589</v>
      </c>
      <c r="E1723" t="s">
        <v>7359</v>
      </c>
      <c r="F1723" s="121">
        <v>92.7</v>
      </c>
      <c r="G1723" s="121">
        <v>92.7</v>
      </c>
      <c r="H1723" t="s">
        <v>645</v>
      </c>
      <c r="I1723" s="156">
        <v>41089</v>
      </c>
      <c r="K1723" s="153"/>
      <c r="L1723" s="153"/>
      <c r="M1723" s="153"/>
      <c r="N1723" s="153"/>
      <c r="O1723" s="153"/>
      <c r="P1723" s="150"/>
      <c r="Q1723" s="150"/>
      <c r="R1723" s="153"/>
      <c r="S1723" s="154"/>
      <c r="T1723" s="115"/>
    </row>
    <row r="1724" spans="1:20">
      <c r="A1724" t="s">
        <v>1230</v>
      </c>
      <c r="B1724" t="s">
        <v>74</v>
      </c>
      <c r="C1724" t="s">
        <v>55</v>
      </c>
      <c r="D1724" t="s">
        <v>647</v>
      </c>
      <c r="E1724" t="s">
        <v>7360</v>
      </c>
      <c r="F1724" s="121">
        <v>731.3</v>
      </c>
      <c r="G1724" s="121">
        <v>731.3</v>
      </c>
      <c r="H1724" t="s">
        <v>645</v>
      </c>
      <c r="I1724" s="156">
        <v>41089</v>
      </c>
      <c r="K1724" s="153"/>
      <c r="L1724" s="153"/>
      <c r="M1724" s="153"/>
      <c r="N1724" s="153"/>
      <c r="O1724" s="153"/>
      <c r="P1724" s="150"/>
      <c r="Q1724" s="150"/>
      <c r="R1724" s="153"/>
      <c r="S1724" s="154"/>
      <c r="T1724" s="115"/>
    </row>
    <row r="1725" spans="1:20">
      <c r="A1725" t="s">
        <v>1230</v>
      </c>
      <c r="B1725" t="s">
        <v>74</v>
      </c>
      <c r="C1725" t="s">
        <v>43</v>
      </c>
      <c r="D1725" t="s">
        <v>620</v>
      </c>
      <c r="E1725" t="s">
        <v>7361</v>
      </c>
      <c r="F1725" s="121">
        <v>499</v>
      </c>
      <c r="G1725" s="121">
        <v>937.3</v>
      </c>
      <c r="H1725" t="s">
        <v>645</v>
      </c>
      <c r="I1725" s="156">
        <v>40051</v>
      </c>
      <c r="K1725" s="153"/>
      <c r="L1725" s="153"/>
      <c r="M1725" s="153"/>
      <c r="N1725" s="153"/>
      <c r="O1725" s="153"/>
      <c r="P1725" s="150"/>
      <c r="Q1725" s="150"/>
      <c r="R1725" s="153"/>
      <c r="S1725" s="154"/>
      <c r="T1725" s="115"/>
    </row>
    <row r="1726" spans="1:20">
      <c r="A1726" t="s">
        <v>1230</v>
      </c>
      <c r="B1726" t="s">
        <v>74</v>
      </c>
      <c r="C1726" t="s">
        <v>55</v>
      </c>
      <c r="D1726" t="s">
        <v>573</v>
      </c>
      <c r="E1726" t="s">
        <v>3373</v>
      </c>
      <c r="F1726" s="121">
        <v>309</v>
      </c>
      <c r="G1726" s="121">
        <v>309</v>
      </c>
      <c r="H1726" t="s">
        <v>645</v>
      </c>
      <c r="I1726" s="156">
        <v>41089</v>
      </c>
      <c r="K1726" s="153"/>
      <c r="L1726" s="153"/>
      <c r="M1726" s="153"/>
      <c r="N1726" s="153"/>
      <c r="O1726" s="153"/>
      <c r="P1726" s="150"/>
      <c r="Q1726" s="150"/>
      <c r="R1726" s="153"/>
      <c r="S1726" s="154"/>
      <c r="T1726" s="115"/>
    </row>
    <row r="1727" spans="1:20">
      <c r="A1727" t="s">
        <v>1230</v>
      </c>
      <c r="B1727" t="s">
        <v>74</v>
      </c>
      <c r="C1727" t="s">
        <v>55</v>
      </c>
      <c r="D1727" t="s">
        <v>589</v>
      </c>
      <c r="E1727" t="s">
        <v>7362</v>
      </c>
      <c r="F1727" s="121">
        <v>139.05000000000001</v>
      </c>
      <c r="G1727" s="121">
        <v>139.05000000000001</v>
      </c>
      <c r="H1727" t="s">
        <v>645</v>
      </c>
      <c r="I1727" s="156">
        <v>41089</v>
      </c>
      <c r="K1727" s="153"/>
      <c r="L1727" s="153"/>
      <c r="M1727" s="153"/>
      <c r="N1727" s="153"/>
      <c r="O1727" s="153"/>
      <c r="P1727" s="150"/>
      <c r="Q1727" s="150"/>
      <c r="R1727" s="153"/>
      <c r="S1727" s="154"/>
      <c r="T1727" s="115"/>
    </row>
    <row r="1728" spans="1:20">
      <c r="A1728" t="s">
        <v>1230</v>
      </c>
      <c r="B1728" t="s">
        <v>74</v>
      </c>
      <c r="C1728" t="s">
        <v>43</v>
      </c>
      <c r="D1728" t="s">
        <v>630</v>
      </c>
      <c r="E1728" t="s">
        <v>3374</v>
      </c>
      <c r="F1728" s="121">
        <v>1236</v>
      </c>
      <c r="G1728" s="121">
        <v>1236</v>
      </c>
      <c r="H1728" t="s">
        <v>645</v>
      </c>
      <c r="I1728" s="156">
        <v>41089</v>
      </c>
      <c r="K1728" s="153"/>
      <c r="L1728" s="153"/>
      <c r="M1728" s="153"/>
      <c r="N1728" s="153"/>
      <c r="O1728" s="153"/>
      <c r="P1728" s="150"/>
      <c r="Q1728" s="150"/>
      <c r="R1728" s="153"/>
      <c r="S1728" s="154"/>
      <c r="T1728" s="115"/>
    </row>
    <row r="1729" spans="1:20">
      <c r="A1729" t="s">
        <v>1230</v>
      </c>
      <c r="B1729" t="s">
        <v>74</v>
      </c>
      <c r="C1729" t="s">
        <v>55</v>
      </c>
      <c r="D1729" t="s">
        <v>612</v>
      </c>
      <c r="E1729" t="s">
        <v>3375</v>
      </c>
      <c r="F1729" s="121">
        <v>339.9</v>
      </c>
      <c r="G1729" s="121">
        <v>339.9</v>
      </c>
      <c r="H1729" t="s">
        <v>645</v>
      </c>
      <c r="I1729" s="156">
        <v>41089</v>
      </c>
      <c r="K1729" s="153"/>
      <c r="L1729" s="153"/>
      <c r="M1729" s="153"/>
      <c r="N1729" s="153"/>
      <c r="O1729" s="153"/>
      <c r="P1729" s="150"/>
      <c r="Q1729" s="150"/>
      <c r="R1729" s="153"/>
      <c r="S1729" s="154"/>
      <c r="T1729" s="115"/>
    </row>
    <row r="1730" spans="1:20">
      <c r="A1730" t="s">
        <v>1230</v>
      </c>
      <c r="B1730" t="s">
        <v>74</v>
      </c>
      <c r="C1730" t="s">
        <v>55</v>
      </c>
      <c r="D1730" t="s">
        <v>573</v>
      </c>
      <c r="E1730" t="s">
        <v>3376</v>
      </c>
      <c r="F1730" s="121">
        <v>195.7</v>
      </c>
      <c r="G1730" s="121">
        <v>195.7</v>
      </c>
      <c r="H1730" t="s">
        <v>645</v>
      </c>
      <c r="I1730" s="156">
        <v>41089</v>
      </c>
      <c r="K1730" s="153"/>
      <c r="L1730" s="153"/>
      <c r="M1730" s="153"/>
      <c r="N1730" s="153"/>
      <c r="O1730" s="153"/>
      <c r="P1730" s="150"/>
      <c r="Q1730" s="150"/>
      <c r="R1730" s="153"/>
      <c r="S1730" s="154"/>
      <c r="T1730" s="115"/>
    </row>
    <row r="1731" spans="1:20">
      <c r="A1731" t="s">
        <v>1230</v>
      </c>
      <c r="B1731" t="s">
        <v>74</v>
      </c>
      <c r="C1731" t="s">
        <v>55</v>
      </c>
      <c r="D1731" t="s">
        <v>589</v>
      </c>
      <c r="E1731" t="s">
        <v>7363</v>
      </c>
      <c r="F1731" s="121">
        <v>108.15</v>
      </c>
      <c r="G1731" s="121">
        <v>108.15</v>
      </c>
      <c r="H1731" t="s">
        <v>645</v>
      </c>
      <c r="I1731" s="156">
        <v>41089</v>
      </c>
      <c r="K1731" s="153"/>
      <c r="L1731" s="153"/>
      <c r="M1731" s="153"/>
      <c r="N1731" s="153"/>
      <c r="O1731" s="153"/>
      <c r="P1731" s="150"/>
      <c r="Q1731" s="150"/>
      <c r="R1731" s="153"/>
      <c r="S1731" s="154"/>
      <c r="T1731" s="115"/>
    </row>
    <row r="1732" spans="1:20">
      <c r="A1732" t="s">
        <v>1230</v>
      </c>
      <c r="B1732" t="s">
        <v>74</v>
      </c>
      <c r="C1732" t="s">
        <v>55</v>
      </c>
      <c r="D1732" t="s">
        <v>591</v>
      </c>
      <c r="E1732" t="s">
        <v>3377</v>
      </c>
      <c r="F1732" s="121">
        <v>669.5</v>
      </c>
      <c r="G1732" s="121">
        <v>669.5</v>
      </c>
      <c r="H1732" t="s">
        <v>645</v>
      </c>
      <c r="I1732" s="156">
        <v>41089</v>
      </c>
      <c r="K1732" s="153"/>
      <c r="L1732" s="153"/>
      <c r="M1732" s="153"/>
      <c r="N1732" s="153"/>
      <c r="O1732" s="153"/>
      <c r="P1732" s="150"/>
      <c r="Q1732" s="150"/>
      <c r="R1732" s="153"/>
      <c r="S1732" s="154"/>
      <c r="T1732" s="115"/>
    </row>
    <row r="1733" spans="1:20">
      <c r="A1733" t="s">
        <v>1230</v>
      </c>
      <c r="B1733" t="s">
        <v>74</v>
      </c>
      <c r="C1733" t="s">
        <v>43</v>
      </c>
      <c r="D1733" t="s">
        <v>620</v>
      </c>
      <c r="E1733" t="s">
        <v>7364</v>
      </c>
      <c r="F1733" s="121">
        <v>860.05</v>
      </c>
      <c r="G1733" s="121">
        <v>860.05</v>
      </c>
      <c r="H1733" t="s">
        <v>645</v>
      </c>
      <c r="I1733" s="156">
        <v>41089</v>
      </c>
      <c r="K1733" s="153"/>
      <c r="L1733" s="153"/>
      <c r="M1733" s="153"/>
      <c r="N1733" s="153"/>
      <c r="O1733" s="153"/>
      <c r="P1733" s="150"/>
      <c r="Q1733" s="150"/>
      <c r="R1733" s="153"/>
      <c r="S1733" s="154"/>
      <c r="T1733" s="115"/>
    </row>
    <row r="1734" spans="1:20">
      <c r="A1734" t="s">
        <v>1230</v>
      </c>
      <c r="B1734" t="s">
        <v>74</v>
      </c>
      <c r="C1734" t="s">
        <v>55</v>
      </c>
      <c r="D1734" t="s">
        <v>589</v>
      </c>
      <c r="E1734" t="s">
        <v>7365</v>
      </c>
      <c r="F1734" s="121">
        <v>92.7</v>
      </c>
      <c r="G1734" s="121">
        <v>92.7</v>
      </c>
      <c r="H1734" t="s">
        <v>645</v>
      </c>
      <c r="I1734" s="156">
        <v>41089</v>
      </c>
      <c r="K1734" s="153"/>
      <c r="L1734" s="153"/>
      <c r="M1734" s="153"/>
      <c r="N1734" s="153"/>
      <c r="O1734" s="153"/>
      <c r="P1734" s="150"/>
      <c r="Q1734" s="150"/>
      <c r="R1734" s="153"/>
      <c r="S1734" s="154"/>
      <c r="T1734" s="115"/>
    </row>
    <row r="1735" spans="1:20">
      <c r="A1735" t="s">
        <v>1230</v>
      </c>
      <c r="B1735" t="s">
        <v>74</v>
      </c>
      <c r="C1735" t="s">
        <v>51</v>
      </c>
      <c r="D1735" t="s">
        <v>621</v>
      </c>
      <c r="E1735" t="s">
        <v>3378</v>
      </c>
      <c r="F1735" s="121">
        <v>45835</v>
      </c>
      <c r="G1735" s="121">
        <v>45835</v>
      </c>
      <c r="H1735" t="s">
        <v>645</v>
      </c>
      <c r="I1735" s="156">
        <v>41089</v>
      </c>
      <c r="K1735" s="153"/>
      <c r="L1735" s="153"/>
      <c r="M1735" s="153"/>
      <c r="N1735" s="153"/>
      <c r="O1735" s="153"/>
      <c r="P1735" s="150"/>
      <c r="Q1735" s="150"/>
      <c r="R1735" s="153"/>
      <c r="S1735" s="154"/>
      <c r="T1735" s="115"/>
    </row>
    <row r="1736" spans="1:20">
      <c r="A1736" t="s">
        <v>1230</v>
      </c>
      <c r="B1736" t="s">
        <v>74</v>
      </c>
      <c r="C1736" t="s">
        <v>55</v>
      </c>
      <c r="D1736" t="s">
        <v>569</v>
      </c>
      <c r="E1736" t="s">
        <v>3379</v>
      </c>
      <c r="F1736" s="121">
        <v>300</v>
      </c>
      <c r="G1736" s="121">
        <v>386.25</v>
      </c>
      <c r="H1736" t="s">
        <v>645</v>
      </c>
      <c r="I1736" s="156">
        <v>39813</v>
      </c>
      <c r="K1736" s="153"/>
      <c r="L1736" s="153"/>
      <c r="M1736" s="153"/>
      <c r="N1736" s="153"/>
      <c r="O1736" s="153"/>
      <c r="P1736" s="150"/>
      <c r="Q1736" s="150"/>
      <c r="R1736" s="153"/>
      <c r="S1736" s="154"/>
      <c r="T1736" s="115"/>
    </row>
    <row r="1737" spans="1:20">
      <c r="A1737" t="s">
        <v>1230</v>
      </c>
      <c r="B1737" t="s">
        <v>74</v>
      </c>
      <c r="C1737" t="s">
        <v>55</v>
      </c>
      <c r="D1737" t="s">
        <v>569</v>
      </c>
      <c r="E1737" t="s">
        <v>3380</v>
      </c>
      <c r="F1737" s="121">
        <v>350</v>
      </c>
      <c r="G1737" s="121">
        <v>298.7</v>
      </c>
      <c r="H1737" t="s">
        <v>645</v>
      </c>
      <c r="I1737" s="156">
        <v>39813</v>
      </c>
      <c r="K1737" s="153"/>
      <c r="L1737" s="153"/>
      <c r="M1737" s="153"/>
      <c r="N1737" s="153"/>
      <c r="O1737" s="153"/>
      <c r="P1737" s="150"/>
      <c r="Q1737" s="150"/>
      <c r="R1737" s="153"/>
      <c r="S1737" s="154"/>
      <c r="T1737" s="115"/>
    </row>
    <row r="1738" spans="1:20">
      <c r="A1738" t="s">
        <v>1230</v>
      </c>
      <c r="B1738" t="s">
        <v>74</v>
      </c>
      <c r="C1738" t="s">
        <v>55</v>
      </c>
      <c r="D1738" t="s">
        <v>589</v>
      </c>
      <c r="E1738" t="s">
        <v>7366</v>
      </c>
      <c r="F1738" s="121">
        <v>92.7</v>
      </c>
      <c r="G1738" s="121">
        <v>92.7</v>
      </c>
      <c r="H1738" t="s">
        <v>645</v>
      </c>
      <c r="I1738" s="156">
        <v>41089</v>
      </c>
      <c r="K1738" s="153"/>
      <c r="L1738" s="153"/>
      <c r="M1738" s="153"/>
      <c r="N1738" s="153"/>
      <c r="O1738" s="153"/>
      <c r="P1738" s="150"/>
      <c r="Q1738" s="150"/>
      <c r="R1738" s="153"/>
      <c r="S1738" s="154"/>
      <c r="T1738" s="115"/>
    </row>
    <row r="1739" spans="1:20">
      <c r="A1739" t="s">
        <v>1230</v>
      </c>
      <c r="B1739" t="s">
        <v>74</v>
      </c>
      <c r="C1739" t="s">
        <v>55</v>
      </c>
      <c r="D1739" t="s">
        <v>589</v>
      </c>
      <c r="E1739" t="s">
        <v>7367</v>
      </c>
      <c r="F1739" s="121">
        <v>108.15</v>
      </c>
      <c r="G1739" s="121">
        <v>108.15</v>
      </c>
      <c r="H1739" t="s">
        <v>645</v>
      </c>
      <c r="I1739" s="156">
        <v>41089</v>
      </c>
      <c r="K1739" s="153"/>
      <c r="L1739" s="153"/>
      <c r="M1739" s="153"/>
      <c r="N1739" s="153"/>
      <c r="O1739" s="153"/>
      <c r="P1739" s="150"/>
      <c r="Q1739" s="150"/>
      <c r="R1739" s="153"/>
      <c r="S1739" s="154"/>
      <c r="T1739" s="115"/>
    </row>
    <row r="1740" spans="1:20">
      <c r="A1740" t="s">
        <v>1230</v>
      </c>
      <c r="B1740" t="s">
        <v>74</v>
      </c>
      <c r="C1740" t="s">
        <v>55</v>
      </c>
      <c r="D1740" t="s">
        <v>573</v>
      </c>
      <c r="E1740" t="s">
        <v>3381</v>
      </c>
      <c r="F1740" s="121">
        <v>97.85</v>
      </c>
      <c r="G1740" s="121">
        <v>97.85</v>
      </c>
      <c r="H1740" t="s">
        <v>645</v>
      </c>
      <c r="I1740" s="156">
        <v>41089</v>
      </c>
      <c r="K1740" s="153"/>
      <c r="L1740" s="153"/>
      <c r="M1740" s="153"/>
      <c r="N1740" s="153"/>
      <c r="O1740" s="153"/>
      <c r="P1740" s="150"/>
      <c r="Q1740" s="150"/>
      <c r="R1740" s="153"/>
      <c r="S1740" s="154"/>
      <c r="T1740" s="115"/>
    </row>
    <row r="1741" spans="1:20">
      <c r="A1741" t="s">
        <v>1230</v>
      </c>
      <c r="B1741" t="s">
        <v>74</v>
      </c>
      <c r="C1741" t="s">
        <v>55</v>
      </c>
      <c r="D1741" t="s">
        <v>589</v>
      </c>
      <c r="E1741" t="s">
        <v>7368</v>
      </c>
      <c r="F1741" s="121">
        <v>108.15</v>
      </c>
      <c r="G1741" s="121">
        <v>108.15</v>
      </c>
      <c r="H1741" t="s">
        <v>645</v>
      </c>
      <c r="I1741" s="156">
        <v>41089</v>
      </c>
      <c r="K1741" s="153"/>
      <c r="L1741" s="153"/>
      <c r="M1741" s="153"/>
      <c r="N1741" s="153"/>
      <c r="O1741" s="153"/>
      <c r="P1741" s="150"/>
      <c r="Q1741" s="150"/>
      <c r="R1741" s="153"/>
      <c r="S1741" s="154"/>
      <c r="T1741" s="115"/>
    </row>
    <row r="1742" spans="1:20">
      <c r="A1742" t="s">
        <v>1230</v>
      </c>
      <c r="B1742" t="s">
        <v>74</v>
      </c>
      <c r="C1742" t="s">
        <v>55</v>
      </c>
      <c r="D1742" t="s">
        <v>647</v>
      </c>
      <c r="E1742" t="s">
        <v>3382</v>
      </c>
      <c r="F1742" s="121">
        <v>400</v>
      </c>
      <c r="G1742" s="121">
        <v>731.3</v>
      </c>
      <c r="H1742" t="s">
        <v>398</v>
      </c>
      <c r="I1742" s="156">
        <v>39813</v>
      </c>
      <c r="K1742" s="153"/>
      <c r="L1742" s="153"/>
      <c r="M1742" s="153"/>
      <c r="N1742" s="153"/>
      <c r="O1742" s="153"/>
      <c r="P1742" s="150"/>
      <c r="Q1742" s="150"/>
      <c r="R1742" s="153"/>
      <c r="S1742" s="154"/>
      <c r="T1742" s="115"/>
    </row>
    <row r="1743" spans="1:20">
      <c r="A1743" t="s">
        <v>1230</v>
      </c>
      <c r="B1743" t="s">
        <v>74</v>
      </c>
      <c r="C1743" t="s">
        <v>43</v>
      </c>
      <c r="D1743" t="s">
        <v>641</v>
      </c>
      <c r="E1743" t="s">
        <v>3383</v>
      </c>
      <c r="F1743" s="121">
        <v>100</v>
      </c>
      <c r="G1743" s="121">
        <v>206</v>
      </c>
      <c r="H1743" t="s">
        <v>398</v>
      </c>
      <c r="I1743" s="156">
        <v>39813</v>
      </c>
      <c r="K1743" s="153"/>
      <c r="L1743" s="153"/>
      <c r="M1743" s="153"/>
      <c r="N1743" s="153"/>
      <c r="O1743" s="153"/>
      <c r="P1743" s="150"/>
      <c r="Q1743" s="150"/>
      <c r="R1743" s="153"/>
      <c r="S1743" s="154"/>
      <c r="T1743" s="115"/>
    </row>
    <row r="1744" spans="1:20">
      <c r="A1744" t="s">
        <v>1230</v>
      </c>
      <c r="B1744" t="s">
        <v>74</v>
      </c>
      <c r="C1744" t="s">
        <v>53</v>
      </c>
      <c r="D1744" t="s">
        <v>650</v>
      </c>
      <c r="E1744" t="s">
        <v>3384</v>
      </c>
      <c r="F1744" s="121">
        <v>628.29999999999995</v>
      </c>
      <c r="G1744" s="121">
        <v>628.29999999999995</v>
      </c>
      <c r="H1744" t="s">
        <v>645</v>
      </c>
      <c r="I1744" s="156">
        <v>41089</v>
      </c>
      <c r="K1744" s="153"/>
      <c r="L1744" s="153"/>
      <c r="M1744" s="153"/>
      <c r="N1744" s="153"/>
      <c r="O1744" s="153"/>
      <c r="P1744" s="150"/>
      <c r="Q1744" s="150"/>
      <c r="R1744" s="153"/>
      <c r="S1744" s="154"/>
      <c r="T1744" s="115"/>
    </row>
    <row r="1745" spans="1:20">
      <c r="A1745" t="s">
        <v>1230</v>
      </c>
      <c r="B1745" t="s">
        <v>74</v>
      </c>
      <c r="C1745" t="s">
        <v>53</v>
      </c>
      <c r="D1745" t="s">
        <v>650</v>
      </c>
      <c r="E1745" t="s">
        <v>3385</v>
      </c>
      <c r="F1745" s="121">
        <v>628.29999999999995</v>
      </c>
      <c r="G1745" s="121">
        <v>628.29999999999995</v>
      </c>
      <c r="H1745" t="s">
        <v>398</v>
      </c>
      <c r="I1745" s="156">
        <v>41089</v>
      </c>
      <c r="K1745" s="153"/>
      <c r="L1745" s="153"/>
      <c r="M1745" s="153"/>
      <c r="N1745" s="153"/>
      <c r="O1745" s="153"/>
      <c r="P1745" s="150"/>
      <c r="Q1745" s="150"/>
      <c r="R1745" s="153"/>
      <c r="S1745" s="154"/>
      <c r="T1745" s="115"/>
    </row>
    <row r="1746" spans="1:20">
      <c r="A1746" t="s">
        <v>1230</v>
      </c>
      <c r="B1746" t="s">
        <v>74</v>
      </c>
      <c r="C1746" t="s">
        <v>53</v>
      </c>
      <c r="D1746" t="s">
        <v>650</v>
      </c>
      <c r="E1746" t="s">
        <v>3386</v>
      </c>
      <c r="F1746" s="121">
        <v>628.29999999999995</v>
      </c>
      <c r="G1746" s="121">
        <v>628.29999999999995</v>
      </c>
      <c r="H1746" t="s">
        <v>398</v>
      </c>
      <c r="I1746" s="156">
        <v>41089</v>
      </c>
      <c r="K1746" s="153"/>
      <c r="L1746" s="153"/>
      <c r="M1746" s="153"/>
      <c r="N1746" s="153"/>
      <c r="O1746" s="153"/>
      <c r="P1746" s="150"/>
      <c r="Q1746" s="150"/>
      <c r="R1746" s="153"/>
      <c r="S1746" s="154"/>
      <c r="T1746" s="115"/>
    </row>
    <row r="1747" spans="1:20">
      <c r="A1747" t="s">
        <v>1230</v>
      </c>
      <c r="B1747" t="s">
        <v>74</v>
      </c>
      <c r="C1747" t="s">
        <v>53</v>
      </c>
      <c r="D1747" t="s">
        <v>650</v>
      </c>
      <c r="E1747" t="s">
        <v>3387</v>
      </c>
      <c r="F1747" s="121">
        <v>628.29999999999995</v>
      </c>
      <c r="G1747" s="121">
        <v>628.29999999999995</v>
      </c>
      <c r="H1747" t="s">
        <v>398</v>
      </c>
      <c r="I1747" s="156">
        <v>41089</v>
      </c>
      <c r="K1747" s="153"/>
      <c r="L1747" s="153"/>
      <c r="M1747" s="153"/>
      <c r="N1747" s="153"/>
      <c r="O1747" s="153"/>
      <c r="P1747" s="150"/>
      <c r="Q1747" s="150"/>
      <c r="R1747" s="153"/>
      <c r="S1747" s="154"/>
      <c r="T1747" s="115"/>
    </row>
    <row r="1748" spans="1:20">
      <c r="A1748" t="s">
        <v>1230</v>
      </c>
      <c r="B1748" t="s">
        <v>74</v>
      </c>
      <c r="C1748" t="s">
        <v>53</v>
      </c>
      <c r="D1748" t="s">
        <v>650</v>
      </c>
      <c r="E1748" t="s">
        <v>3388</v>
      </c>
      <c r="F1748" s="121">
        <v>628.29999999999995</v>
      </c>
      <c r="G1748" s="121">
        <v>628.29999999999995</v>
      </c>
      <c r="H1748" t="s">
        <v>398</v>
      </c>
      <c r="I1748" s="156">
        <v>41089</v>
      </c>
      <c r="K1748" s="153"/>
      <c r="L1748" s="153"/>
      <c r="M1748" s="153"/>
      <c r="N1748" s="153"/>
      <c r="O1748" s="153"/>
      <c r="P1748" s="150"/>
      <c r="Q1748" s="150"/>
      <c r="R1748" s="153"/>
      <c r="S1748" s="154"/>
      <c r="T1748" s="115"/>
    </row>
    <row r="1749" spans="1:20">
      <c r="A1749" t="s">
        <v>1230</v>
      </c>
      <c r="B1749" t="s">
        <v>74</v>
      </c>
      <c r="C1749" t="s">
        <v>53</v>
      </c>
      <c r="D1749" t="s">
        <v>650</v>
      </c>
      <c r="E1749" t="s">
        <v>3389</v>
      </c>
      <c r="F1749" s="121">
        <v>628.29999999999995</v>
      </c>
      <c r="G1749" s="121">
        <v>628.29999999999995</v>
      </c>
      <c r="H1749" t="s">
        <v>398</v>
      </c>
      <c r="I1749" s="156">
        <v>41089</v>
      </c>
      <c r="K1749" s="153"/>
      <c r="L1749" s="153"/>
      <c r="M1749" s="153"/>
      <c r="N1749" s="153"/>
      <c r="O1749" s="153"/>
      <c r="P1749" s="150"/>
      <c r="Q1749" s="150"/>
      <c r="R1749" s="153"/>
      <c r="S1749" s="154"/>
      <c r="T1749" s="115"/>
    </row>
    <row r="1750" spans="1:20">
      <c r="A1750" t="s">
        <v>1230</v>
      </c>
      <c r="B1750" t="s">
        <v>74</v>
      </c>
      <c r="C1750" t="s">
        <v>53</v>
      </c>
      <c r="D1750" t="s">
        <v>650</v>
      </c>
      <c r="E1750" t="s">
        <v>3390</v>
      </c>
      <c r="F1750" s="121">
        <v>628.29999999999995</v>
      </c>
      <c r="G1750" s="121">
        <v>628.29999999999995</v>
      </c>
      <c r="H1750" t="s">
        <v>398</v>
      </c>
      <c r="I1750" s="156">
        <v>41089</v>
      </c>
      <c r="K1750" s="153"/>
      <c r="L1750" s="153"/>
      <c r="M1750" s="153"/>
      <c r="N1750" s="153"/>
      <c r="O1750" s="153"/>
      <c r="P1750" s="150"/>
      <c r="Q1750" s="150"/>
      <c r="R1750" s="153"/>
      <c r="S1750" s="154"/>
      <c r="T1750" s="115"/>
    </row>
    <row r="1751" spans="1:20">
      <c r="A1751" t="s">
        <v>1230</v>
      </c>
      <c r="B1751" t="s">
        <v>74</v>
      </c>
      <c r="C1751" t="s">
        <v>53</v>
      </c>
      <c r="D1751" t="s">
        <v>606</v>
      </c>
      <c r="E1751" t="s">
        <v>3391</v>
      </c>
      <c r="F1751" s="121">
        <v>355.35</v>
      </c>
      <c r="G1751" s="121">
        <v>355.35</v>
      </c>
      <c r="H1751" t="s">
        <v>398</v>
      </c>
      <c r="I1751" s="156">
        <v>41089</v>
      </c>
      <c r="K1751" s="153"/>
      <c r="L1751" s="153"/>
      <c r="M1751" s="153"/>
      <c r="N1751" s="153"/>
      <c r="O1751" s="153"/>
      <c r="P1751" s="150"/>
      <c r="Q1751" s="150"/>
      <c r="R1751" s="153"/>
      <c r="S1751" s="154"/>
      <c r="T1751" s="115"/>
    </row>
    <row r="1752" spans="1:20">
      <c r="A1752" t="s">
        <v>1230</v>
      </c>
      <c r="B1752" t="s">
        <v>74</v>
      </c>
      <c r="C1752" t="s">
        <v>53</v>
      </c>
      <c r="D1752" t="s">
        <v>606</v>
      </c>
      <c r="E1752" t="s">
        <v>3392</v>
      </c>
      <c r="F1752" s="121">
        <v>355.35</v>
      </c>
      <c r="G1752" s="121">
        <v>355.35</v>
      </c>
      <c r="H1752" t="s">
        <v>398</v>
      </c>
      <c r="I1752" s="156">
        <v>41089</v>
      </c>
      <c r="K1752" s="153"/>
      <c r="L1752" s="153"/>
      <c r="M1752" s="153"/>
      <c r="N1752" s="153"/>
      <c r="O1752" s="153"/>
      <c r="P1752" s="150"/>
      <c r="Q1752" s="150"/>
      <c r="R1752" s="153"/>
      <c r="S1752" s="154"/>
      <c r="T1752" s="115"/>
    </row>
    <row r="1753" spans="1:20">
      <c r="A1753" t="s">
        <v>1230</v>
      </c>
      <c r="B1753" t="s">
        <v>74</v>
      </c>
      <c r="C1753" t="s">
        <v>53</v>
      </c>
      <c r="D1753" t="s">
        <v>606</v>
      </c>
      <c r="E1753" t="s">
        <v>3393</v>
      </c>
      <c r="F1753" s="121">
        <v>355.35</v>
      </c>
      <c r="G1753" s="121">
        <v>355.35</v>
      </c>
      <c r="H1753" t="s">
        <v>398</v>
      </c>
      <c r="I1753" s="156">
        <v>41089</v>
      </c>
      <c r="K1753" s="153"/>
      <c r="L1753" s="153"/>
      <c r="M1753" s="153"/>
      <c r="N1753" s="153"/>
      <c r="O1753" s="153"/>
      <c r="P1753" s="150"/>
      <c r="Q1753" s="150"/>
      <c r="R1753" s="153"/>
      <c r="S1753" s="154"/>
      <c r="T1753" s="115"/>
    </row>
    <row r="1754" spans="1:20">
      <c r="A1754" t="s">
        <v>1230</v>
      </c>
      <c r="B1754" t="s">
        <v>74</v>
      </c>
      <c r="C1754" t="s">
        <v>53</v>
      </c>
      <c r="D1754" t="s">
        <v>606</v>
      </c>
      <c r="E1754" t="s">
        <v>3394</v>
      </c>
      <c r="F1754" s="121">
        <v>355.35</v>
      </c>
      <c r="G1754" s="121">
        <v>355.35</v>
      </c>
      <c r="H1754" t="s">
        <v>398</v>
      </c>
      <c r="I1754" s="156">
        <v>41089</v>
      </c>
      <c r="K1754" s="153"/>
      <c r="L1754" s="153"/>
      <c r="M1754" s="153"/>
      <c r="N1754" s="153"/>
      <c r="O1754" s="153"/>
      <c r="P1754" s="150"/>
      <c r="Q1754" s="150"/>
      <c r="R1754" s="153"/>
      <c r="S1754" s="154"/>
      <c r="T1754" s="115"/>
    </row>
    <row r="1755" spans="1:20">
      <c r="A1755" t="s">
        <v>1230</v>
      </c>
      <c r="B1755" t="s">
        <v>74</v>
      </c>
      <c r="C1755" t="s">
        <v>53</v>
      </c>
      <c r="D1755" t="s">
        <v>606</v>
      </c>
      <c r="E1755" t="s">
        <v>3395</v>
      </c>
      <c r="F1755" s="121">
        <v>355.35</v>
      </c>
      <c r="G1755" s="121">
        <v>355.35</v>
      </c>
      <c r="H1755" t="s">
        <v>398</v>
      </c>
      <c r="I1755" s="156">
        <v>41089</v>
      </c>
      <c r="K1755" s="153"/>
      <c r="L1755" s="153"/>
      <c r="M1755" s="153"/>
      <c r="N1755" s="153"/>
      <c r="O1755" s="153"/>
      <c r="P1755" s="150"/>
      <c r="Q1755" s="150"/>
      <c r="R1755" s="153"/>
      <c r="S1755" s="154"/>
      <c r="T1755" s="115"/>
    </row>
    <row r="1756" spans="1:20">
      <c r="A1756" t="s">
        <v>1230</v>
      </c>
      <c r="B1756" t="s">
        <v>74</v>
      </c>
      <c r="C1756" t="s">
        <v>53</v>
      </c>
      <c r="D1756" t="s">
        <v>606</v>
      </c>
      <c r="E1756" t="s">
        <v>3396</v>
      </c>
      <c r="F1756" s="121">
        <v>355.35</v>
      </c>
      <c r="G1756" s="121">
        <v>355.35</v>
      </c>
      <c r="H1756" t="s">
        <v>398</v>
      </c>
      <c r="I1756" s="156">
        <v>41089</v>
      </c>
      <c r="K1756" s="153"/>
      <c r="L1756" s="153"/>
      <c r="M1756" s="153"/>
      <c r="N1756" s="153"/>
      <c r="O1756" s="153"/>
      <c r="P1756" s="150"/>
      <c r="Q1756" s="150"/>
      <c r="R1756" s="153"/>
      <c r="S1756" s="154"/>
      <c r="T1756" s="115"/>
    </row>
    <row r="1757" spans="1:20">
      <c r="A1757" t="s">
        <v>1230</v>
      </c>
      <c r="B1757" t="s">
        <v>74</v>
      </c>
      <c r="C1757" t="s">
        <v>53</v>
      </c>
      <c r="D1757" t="s">
        <v>606</v>
      </c>
      <c r="E1757" t="s">
        <v>3397</v>
      </c>
      <c r="F1757" s="121">
        <v>355.35</v>
      </c>
      <c r="G1757" s="121">
        <v>355.35</v>
      </c>
      <c r="H1757" t="s">
        <v>651</v>
      </c>
      <c r="I1757" s="156">
        <v>41089</v>
      </c>
      <c r="K1757" s="153"/>
      <c r="L1757" s="153"/>
      <c r="M1757" s="153"/>
      <c r="N1757" s="153"/>
      <c r="O1757" s="153"/>
      <c r="P1757" s="150"/>
      <c r="Q1757" s="150"/>
      <c r="R1757" s="153"/>
      <c r="S1757" s="154"/>
      <c r="T1757" s="115"/>
    </row>
    <row r="1758" spans="1:20">
      <c r="A1758" t="s">
        <v>1230</v>
      </c>
      <c r="B1758" t="s">
        <v>74</v>
      </c>
      <c r="C1758" t="s">
        <v>53</v>
      </c>
      <c r="D1758" t="s">
        <v>606</v>
      </c>
      <c r="E1758" t="s">
        <v>3398</v>
      </c>
      <c r="F1758" s="121">
        <v>355.35</v>
      </c>
      <c r="G1758" s="121">
        <v>355.35</v>
      </c>
      <c r="H1758" t="s">
        <v>398</v>
      </c>
      <c r="I1758" s="156">
        <v>41089</v>
      </c>
      <c r="K1758" s="153"/>
      <c r="L1758" s="153"/>
      <c r="M1758" s="153"/>
      <c r="N1758" s="153"/>
      <c r="O1758" s="153"/>
      <c r="P1758" s="150"/>
      <c r="Q1758" s="150"/>
      <c r="R1758" s="153"/>
      <c r="S1758" s="154"/>
      <c r="T1758" s="115"/>
    </row>
    <row r="1759" spans="1:20">
      <c r="A1759" t="s">
        <v>1230</v>
      </c>
      <c r="B1759" t="s">
        <v>74</v>
      </c>
      <c r="C1759" t="s">
        <v>53</v>
      </c>
      <c r="D1759" t="s">
        <v>606</v>
      </c>
      <c r="E1759" t="s">
        <v>3399</v>
      </c>
      <c r="F1759" s="121">
        <v>355.35</v>
      </c>
      <c r="G1759" s="121">
        <v>355.35</v>
      </c>
      <c r="H1759" t="s">
        <v>398</v>
      </c>
      <c r="I1759" s="156">
        <v>41089</v>
      </c>
      <c r="K1759" s="153"/>
      <c r="L1759" s="153"/>
      <c r="M1759" s="153"/>
      <c r="N1759" s="153"/>
      <c r="O1759" s="153"/>
      <c r="P1759" s="150"/>
      <c r="Q1759" s="150"/>
      <c r="R1759" s="153"/>
      <c r="S1759" s="154"/>
      <c r="T1759" s="115"/>
    </row>
    <row r="1760" spans="1:20">
      <c r="A1760" t="s">
        <v>1230</v>
      </c>
      <c r="B1760" t="s">
        <v>74</v>
      </c>
      <c r="C1760" t="s">
        <v>53</v>
      </c>
      <c r="D1760" t="s">
        <v>606</v>
      </c>
      <c r="E1760" t="s">
        <v>3400</v>
      </c>
      <c r="F1760" s="121">
        <v>355.35</v>
      </c>
      <c r="G1760" s="121">
        <v>355.35</v>
      </c>
      <c r="H1760" t="s">
        <v>398</v>
      </c>
      <c r="I1760" s="156">
        <v>41089</v>
      </c>
      <c r="K1760" s="153"/>
      <c r="L1760" s="153"/>
      <c r="M1760" s="153"/>
      <c r="N1760" s="153"/>
      <c r="O1760" s="153"/>
      <c r="P1760" s="150"/>
      <c r="Q1760" s="150"/>
      <c r="R1760" s="153"/>
      <c r="S1760" s="154"/>
      <c r="T1760" s="115"/>
    </row>
    <row r="1761" spans="1:20">
      <c r="A1761" t="s">
        <v>1230</v>
      </c>
      <c r="B1761" t="s">
        <v>74</v>
      </c>
      <c r="C1761" t="s">
        <v>53</v>
      </c>
      <c r="D1761" t="s">
        <v>606</v>
      </c>
      <c r="E1761" t="s">
        <v>3401</v>
      </c>
      <c r="F1761" s="121">
        <v>355.35</v>
      </c>
      <c r="G1761" s="121">
        <v>355.35</v>
      </c>
      <c r="H1761" t="s">
        <v>398</v>
      </c>
      <c r="I1761" s="156">
        <v>41089</v>
      </c>
      <c r="K1761" s="153"/>
      <c r="L1761" s="153"/>
      <c r="M1761" s="153"/>
      <c r="N1761" s="153"/>
      <c r="O1761" s="153"/>
      <c r="P1761" s="150"/>
      <c r="Q1761" s="150"/>
      <c r="R1761" s="153"/>
      <c r="S1761" s="154"/>
      <c r="T1761" s="115"/>
    </row>
    <row r="1762" spans="1:20">
      <c r="A1762" t="s">
        <v>1230</v>
      </c>
      <c r="B1762" t="s">
        <v>74</v>
      </c>
      <c r="C1762" t="s">
        <v>53</v>
      </c>
      <c r="D1762" t="s">
        <v>606</v>
      </c>
      <c r="E1762" t="s">
        <v>3402</v>
      </c>
      <c r="F1762" s="121">
        <v>355.35</v>
      </c>
      <c r="G1762" s="121">
        <v>355.35</v>
      </c>
      <c r="H1762" t="s">
        <v>398</v>
      </c>
      <c r="I1762" s="156">
        <v>41089</v>
      </c>
      <c r="K1762" s="153"/>
      <c r="L1762" s="153"/>
      <c r="M1762" s="153"/>
      <c r="N1762" s="153"/>
      <c r="O1762" s="153"/>
      <c r="P1762" s="150"/>
      <c r="Q1762" s="150"/>
      <c r="R1762" s="153"/>
      <c r="S1762" s="154"/>
      <c r="T1762" s="115"/>
    </row>
    <row r="1763" spans="1:20">
      <c r="A1763" t="s">
        <v>1230</v>
      </c>
      <c r="B1763" t="s">
        <v>74</v>
      </c>
      <c r="C1763" t="s">
        <v>53</v>
      </c>
      <c r="D1763" t="s">
        <v>606</v>
      </c>
      <c r="E1763" t="s">
        <v>3403</v>
      </c>
      <c r="F1763" s="121">
        <v>355.35</v>
      </c>
      <c r="G1763" s="121">
        <v>355.35</v>
      </c>
      <c r="H1763" t="s">
        <v>398</v>
      </c>
      <c r="I1763" s="156">
        <v>41089</v>
      </c>
      <c r="K1763" s="153"/>
      <c r="L1763" s="153"/>
      <c r="M1763" s="153"/>
      <c r="N1763" s="153"/>
      <c r="O1763" s="153"/>
      <c r="P1763" s="152"/>
      <c r="Q1763" s="152"/>
      <c r="R1763" s="153"/>
      <c r="S1763" s="154"/>
      <c r="T1763" s="115"/>
    </row>
    <row r="1764" spans="1:20">
      <c r="A1764" t="s">
        <v>1230</v>
      </c>
      <c r="B1764" t="s">
        <v>74</v>
      </c>
      <c r="C1764" t="s">
        <v>53</v>
      </c>
      <c r="D1764" t="s">
        <v>606</v>
      </c>
      <c r="E1764" t="s">
        <v>3404</v>
      </c>
      <c r="F1764" s="121">
        <v>355.35</v>
      </c>
      <c r="G1764" s="121">
        <v>355.35</v>
      </c>
      <c r="H1764" t="s">
        <v>398</v>
      </c>
      <c r="I1764" s="156">
        <v>41089</v>
      </c>
      <c r="K1764" s="153"/>
      <c r="L1764" s="153"/>
      <c r="M1764" s="153"/>
      <c r="N1764" s="153"/>
      <c r="O1764" s="153"/>
      <c r="P1764" s="152"/>
      <c r="Q1764" s="152"/>
      <c r="R1764" s="153"/>
      <c r="S1764" s="154"/>
      <c r="T1764" s="115"/>
    </row>
    <row r="1765" spans="1:20">
      <c r="A1765" t="s">
        <v>1230</v>
      </c>
      <c r="B1765" t="s">
        <v>74</v>
      </c>
      <c r="C1765" t="s">
        <v>53</v>
      </c>
      <c r="D1765" t="s">
        <v>7369</v>
      </c>
      <c r="E1765" t="s">
        <v>7370</v>
      </c>
      <c r="F1765" s="121">
        <v>515</v>
      </c>
      <c r="G1765" s="121">
        <v>515</v>
      </c>
      <c r="H1765" t="s">
        <v>398</v>
      </c>
      <c r="I1765" s="156">
        <v>41089</v>
      </c>
      <c r="K1765" s="153"/>
      <c r="L1765" s="153"/>
      <c r="M1765" s="153"/>
      <c r="N1765" s="153"/>
      <c r="O1765" s="153"/>
      <c r="P1765" s="150"/>
      <c r="Q1765" s="150"/>
      <c r="R1765" s="153"/>
      <c r="S1765" s="154"/>
      <c r="T1765" s="115"/>
    </row>
    <row r="1766" spans="1:20">
      <c r="A1766" t="s">
        <v>1230</v>
      </c>
      <c r="B1766" t="s">
        <v>74</v>
      </c>
      <c r="C1766" t="s">
        <v>53</v>
      </c>
      <c r="D1766" t="s">
        <v>7369</v>
      </c>
      <c r="E1766" t="s">
        <v>7371</v>
      </c>
      <c r="F1766" s="121">
        <v>824</v>
      </c>
      <c r="G1766" s="121">
        <v>824</v>
      </c>
      <c r="H1766" t="s">
        <v>398</v>
      </c>
      <c r="I1766" s="156">
        <v>41089</v>
      </c>
      <c r="K1766" s="153"/>
      <c r="L1766" s="153"/>
      <c r="M1766" s="153"/>
      <c r="N1766" s="153"/>
      <c r="O1766" s="153"/>
      <c r="P1766" s="150"/>
      <c r="Q1766" s="150"/>
      <c r="R1766" s="153"/>
      <c r="S1766" s="154"/>
      <c r="T1766" s="115"/>
    </row>
    <row r="1767" spans="1:20">
      <c r="A1767" t="s">
        <v>1230</v>
      </c>
      <c r="B1767" t="s">
        <v>74</v>
      </c>
      <c r="C1767" t="s">
        <v>53</v>
      </c>
      <c r="D1767" t="s">
        <v>613</v>
      </c>
      <c r="E1767" t="s">
        <v>3405</v>
      </c>
      <c r="F1767" s="121">
        <v>1472.9</v>
      </c>
      <c r="G1767" s="121">
        <v>1472.9</v>
      </c>
      <c r="H1767" t="s">
        <v>398</v>
      </c>
      <c r="I1767" s="156">
        <v>41089</v>
      </c>
      <c r="K1767" s="153"/>
      <c r="L1767" s="153"/>
      <c r="M1767" s="153"/>
      <c r="N1767" s="153"/>
      <c r="O1767" s="153"/>
      <c r="P1767" s="150"/>
      <c r="Q1767" s="150"/>
      <c r="R1767" s="153"/>
      <c r="S1767" s="154"/>
      <c r="T1767" s="115"/>
    </row>
    <row r="1768" spans="1:20">
      <c r="A1768" t="s">
        <v>1230</v>
      </c>
      <c r="B1768" t="s">
        <v>74</v>
      </c>
      <c r="C1768" t="s">
        <v>53</v>
      </c>
      <c r="D1768" t="s">
        <v>613</v>
      </c>
      <c r="E1768" t="s">
        <v>3406</v>
      </c>
      <c r="F1768" s="121">
        <v>1081.5</v>
      </c>
      <c r="G1768" s="121">
        <v>1081.5</v>
      </c>
      <c r="H1768" t="s">
        <v>398</v>
      </c>
      <c r="I1768" s="156">
        <v>41089</v>
      </c>
      <c r="K1768" s="153"/>
      <c r="L1768" s="153"/>
      <c r="M1768" s="153"/>
      <c r="N1768" s="153"/>
      <c r="O1768" s="153"/>
      <c r="P1768" s="150"/>
      <c r="Q1768" s="150"/>
      <c r="R1768" s="153"/>
      <c r="S1768" s="154"/>
      <c r="T1768" s="115"/>
    </row>
    <row r="1769" spans="1:20">
      <c r="A1769" t="s">
        <v>1230</v>
      </c>
      <c r="B1769" t="s">
        <v>74</v>
      </c>
      <c r="C1769" t="s">
        <v>53</v>
      </c>
      <c r="D1769" t="s">
        <v>559</v>
      </c>
      <c r="E1769" t="s">
        <v>3407</v>
      </c>
      <c r="F1769" s="121">
        <v>3244.5</v>
      </c>
      <c r="G1769" s="121">
        <v>3244.5</v>
      </c>
      <c r="H1769" t="s">
        <v>398</v>
      </c>
      <c r="I1769" s="156">
        <v>41089</v>
      </c>
      <c r="K1769" s="153"/>
      <c r="L1769" s="153"/>
      <c r="M1769" s="153"/>
      <c r="N1769" s="153"/>
      <c r="O1769" s="153"/>
      <c r="P1769" s="150"/>
      <c r="Q1769" s="150"/>
      <c r="R1769" s="153"/>
      <c r="S1769" s="154"/>
      <c r="T1769" s="115"/>
    </row>
    <row r="1770" spans="1:20">
      <c r="A1770" t="s">
        <v>1230</v>
      </c>
      <c r="B1770" t="s">
        <v>74</v>
      </c>
      <c r="C1770" t="s">
        <v>53</v>
      </c>
      <c r="D1770" t="s">
        <v>613</v>
      </c>
      <c r="E1770" t="s">
        <v>3408</v>
      </c>
      <c r="F1770" s="121">
        <v>1596.5</v>
      </c>
      <c r="G1770" s="121">
        <v>1596.5</v>
      </c>
      <c r="H1770" t="s">
        <v>398</v>
      </c>
      <c r="I1770" s="156">
        <v>41089</v>
      </c>
      <c r="K1770" s="153"/>
      <c r="L1770" s="153"/>
      <c r="M1770" s="153"/>
      <c r="N1770" s="153"/>
      <c r="O1770" s="153"/>
      <c r="P1770" s="150"/>
      <c r="Q1770" s="150"/>
      <c r="R1770" s="153"/>
      <c r="S1770" s="154"/>
      <c r="T1770" s="115"/>
    </row>
    <row r="1771" spans="1:20">
      <c r="A1771" t="s">
        <v>1230</v>
      </c>
      <c r="B1771" t="s">
        <v>74</v>
      </c>
      <c r="C1771" t="s">
        <v>53</v>
      </c>
      <c r="D1771" t="s">
        <v>652</v>
      </c>
      <c r="E1771" t="s">
        <v>3409</v>
      </c>
      <c r="F1771" s="121">
        <v>515</v>
      </c>
      <c r="G1771" s="121">
        <v>515</v>
      </c>
      <c r="H1771" t="s">
        <v>398</v>
      </c>
      <c r="I1771" s="156">
        <v>41089</v>
      </c>
      <c r="K1771" s="153"/>
      <c r="L1771" s="153"/>
      <c r="M1771" s="153"/>
      <c r="N1771" s="153"/>
      <c r="O1771" s="153"/>
      <c r="P1771" s="150"/>
      <c r="Q1771" s="150"/>
      <c r="R1771" s="153"/>
      <c r="S1771" s="154"/>
      <c r="T1771" s="115"/>
    </row>
    <row r="1772" spans="1:20">
      <c r="A1772" t="s">
        <v>1230</v>
      </c>
      <c r="B1772" t="s">
        <v>74</v>
      </c>
      <c r="C1772" t="s">
        <v>53</v>
      </c>
      <c r="D1772" t="s">
        <v>561</v>
      </c>
      <c r="E1772" t="s">
        <v>3410</v>
      </c>
      <c r="F1772" s="121">
        <v>466.59</v>
      </c>
      <c r="G1772" s="121">
        <v>466.59</v>
      </c>
      <c r="H1772" t="s">
        <v>398</v>
      </c>
      <c r="I1772" s="156">
        <v>41089</v>
      </c>
      <c r="K1772" s="153"/>
      <c r="L1772" s="153"/>
      <c r="M1772" s="153"/>
      <c r="N1772" s="153"/>
      <c r="O1772" s="153"/>
      <c r="P1772" s="150"/>
      <c r="Q1772" s="150"/>
      <c r="R1772" s="153"/>
      <c r="S1772" s="154"/>
      <c r="T1772" s="115"/>
    </row>
    <row r="1773" spans="1:20">
      <c r="A1773" t="s">
        <v>1230</v>
      </c>
      <c r="B1773" t="s">
        <v>74</v>
      </c>
      <c r="C1773" t="s">
        <v>53</v>
      </c>
      <c r="D1773" t="s">
        <v>561</v>
      </c>
      <c r="E1773" t="s">
        <v>3411</v>
      </c>
      <c r="F1773" s="121">
        <v>466.59</v>
      </c>
      <c r="G1773" s="121">
        <v>466.59</v>
      </c>
      <c r="H1773" t="s">
        <v>398</v>
      </c>
      <c r="I1773" s="156">
        <v>41089</v>
      </c>
      <c r="K1773" s="153"/>
      <c r="L1773" s="153"/>
      <c r="M1773" s="153"/>
      <c r="N1773" s="153"/>
      <c r="O1773" s="153"/>
      <c r="P1773" s="150"/>
      <c r="Q1773" s="150"/>
      <c r="R1773" s="153"/>
      <c r="S1773" s="154"/>
      <c r="T1773" s="115"/>
    </row>
    <row r="1774" spans="1:20">
      <c r="A1774" t="s">
        <v>1230</v>
      </c>
      <c r="B1774" t="s">
        <v>74</v>
      </c>
      <c r="C1774" t="s">
        <v>53</v>
      </c>
      <c r="D1774" t="s">
        <v>586</v>
      </c>
      <c r="E1774" t="s">
        <v>3412</v>
      </c>
      <c r="F1774" s="121">
        <v>772.5</v>
      </c>
      <c r="G1774" s="121">
        <v>772.5</v>
      </c>
      <c r="H1774" t="s">
        <v>398</v>
      </c>
      <c r="I1774" s="156">
        <v>41089</v>
      </c>
      <c r="K1774" s="153"/>
      <c r="L1774" s="153"/>
      <c r="M1774" s="153"/>
      <c r="N1774" s="153"/>
      <c r="O1774" s="153"/>
      <c r="P1774" s="150"/>
      <c r="Q1774" s="150"/>
      <c r="R1774" s="153"/>
      <c r="S1774" s="154"/>
      <c r="T1774" s="115"/>
    </row>
    <row r="1775" spans="1:20">
      <c r="A1775" t="s">
        <v>1230</v>
      </c>
      <c r="B1775" t="s">
        <v>74</v>
      </c>
      <c r="C1775" t="s">
        <v>53</v>
      </c>
      <c r="D1775" t="s">
        <v>575</v>
      </c>
      <c r="E1775" t="s">
        <v>3413</v>
      </c>
      <c r="F1775" s="121">
        <v>700.4</v>
      </c>
      <c r="G1775" s="121">
        <v>700.4</v>
      </c>
      <c r="H1775" t="s">
        <v>398</v>
      </c>
      <c r="I1775" s="156">
        <v>41089</v>
      </c>
      <c r="K1775" s="153"/>
      <c r="L1775" s="153"/>
      <c r="M1775" s="153"/>
      <c r="N1775" s="153"/>
      <c r="O1775" s="153"/>
      <c r="P1775" s="150"/>
      <c r="Q1775" s="150"/>
      <c r="R1775" s="153"/>
      <c r="S1775" s="154"/>
      <c r="T1775" s="115"/>
    </row>
    <row r="1776" spans="1:20">
      <c r="A1776" t="s">
        <v>1230</v>
      </c>
      <c r="B1776" t="s">
        <v>74</v>
      </c>
      <c r="C1776" t="s">
        <v>53</v>
      </c>
      <c r="D1776" t="s">
        <v>611</v>
      </c>
      <c r="E1776" t="s">
        <v>3414</v>
      </c>
      <c r="F1776" s="121">
        <v>669.5</v>
      </c>
      <c r="G1776" s="121">
        <v>669.5</v>
      </c>
      <c r="H1776" t="s">
        <v>398</v>
      </c>
      <c r="I1776" s="156">
        <v>41089</v>
      </c>
      <c r="K1776" s="153"/>
      <c r="L1776" s="153"/>
      <c r="M1776" s="153"/>
      <c r="N1776" s="153"/>
      <c r="O1776" s="153"/>
      <c r="P1776" s="152"/>
      <c r="Q1776" s="150"/>
      <c r="R1776" s="153"/>
      <c r="S1776" s="154"/>
      <c r="T1776" s="115"/>
    </row>
    <row r="1777" spans="1:20">
      <c r="A1777" t="s">
        <v>1230</v>
      </c>
      <c r="B1777" t="s">
        <v>74</v>
      </c>
      <c r="C1777" t="s">
        <v>53</v>
      </c>
      <c r="D1777" t="s">
        <v>653</v>
      </c>
      <c r="E1777" t="s">
        <v>3415</v>
      </c>
      <c r="F1777" s="121">
        <v>1339</v>
      </c>
      <c r="G1777" s="121">
        <v>1339</v>
      </c>
      <c r="H1777" t="s">
        <v>398</v>
      </c>
      <c r="I1777" s="156">
        <v>41089</v>
      </c>
      <c r="K1777" s="153"/>
      <c r="L1777" s="153"/>
      <c r="M1777" s="153"/>
      <c r="N1777" s="153"/>
      <c r="O1777" s="153"/>
      <c r="P1777" s="150"/>
      <c r="Q1777" s="150"/>
      <c r="R1777" s="153"/>
      <c r="S1777" s="154"/>
      <c r="T1777" s="115"/>
    </row>
    <row r="1778" spans="1:20">
      <c r="A1778" t="s">
        <v>1230</v>
      </c>
      <c r="B1778" t="s">
        <v>74</v>
      </c>
      <c r="C1778" t="s">
        <v>53</v>
      </c>
      <c r="D1778" t="s">
        <v>654</v>
      </c>
      <c r="E1778" t="s">
        <v>3416</v>
      </c>
      <c r="F1778" s="121">
        <v>1184.5</v>
      </c>
      <c r="G1778" s="121">
        <v>1184.5</v>
      </c>
      <c r="H1778" t="s">
        <v>398</v>
      </c>
      <c r="I1778" s="156">
        <v>41089</v>
      </c>
      <c r="K1778" s="153"/>
      <c r="L1778" s="153"/>
      <c r="M1778" s="153"/>
      <c r="N1778" s="153"/>
      <c r="O1778" s="153"/>
      <c r="P1778" s="150"/>
      <c r="Q1778" s="150"/>
      <c r="R1778" s="153"/>
      <c r="S1778" s="154"/>
      <c r="T1778" s="115"/>
    </row>
    <row r="1779" spans="1:20">
      <c r="A1779" t="s">
        <v>1230</v>
      </c>
      <c r="B1779" t="s">
        <v>74</v>
      </c>
      <c r="C1779" t="s">
        <v>53</v>
      </c>
      <c r="D1779" t="s">
        <v>655</v>
      </c>
      <c r="E1779" t="s">
        <v>3417</v>
      </c>
      <c r="F1779" s="121">
        <v>515</v>
      </c>
      <c r="G1779" s="121">
        <v>515</v>
      </c>
      <c r="H1779" t="s">
        <v>398</v>
      </c>
      <c r="I1779" s="156">
        <v>41089</v>
      </c>
      <c r="K1779" s="153"/>
      <c r="L1779" s="153"/>
      <c r="M1779" s="153"/>
      <c r="N1779" s="153"/>
      <c r="O1779" s="153"/>
      <c r="P1779" s="150"/>
      <c r="Q1779" s="150"/>
      <c r="R1779" s="153"/>
      <c r="S1779" s="154"/>
      <c r="T1779" s="115"/>
    </row>
    <row r="1780" spans="1:20">
      <c r="A1780" t="s">
        <v>1230</v>
      </c>
      <c r="B1780" t="s">
        <v>74</v>
      </c>
      <c r="C1780" t="s">
        <v>53</v>
      </c>
      <c r="D1780" t="s">
        <v>656</v>
      </c>
      <c r="E1780" t="s">
        <v>3418</v>
      </c>
      <c r="F1780" s="121">
        <v>1596.5</v>
      </c>
      <c r="G1780" s="121">
        <v>1596.5</v>
      </c>
      <c r="H1780" t="s">
        <v>398</v>
      </c>
      <c r="I1780" s="156">
        <v>41089</v>
      </c>
      <c r="K1780" s="153"/>
      <c r="L1780" s="153"/>
      <c r="M1780" s="153"/>
      <c r="N1780" s="153"/>
      <c r="O1780" s="153"/>
      <c r="P1780" s="150"/>
      <c r="Q1780" s="150"/>
      <c r="R1780" s="153"/>
      <c r="S1780" s="154"/>
      <c r="T1780" s="115"/>
    </row>
    <row r="1781" spans="1:20">
      <c r="A1781" t="s">
        <v>1230</v>
      </c>
      <c r="B1781" t="s">
        <v>74</v>
      </c>
      <c r="C1781" t="s">
        <v>53</v>
      </c>
      <c r="D1781" t="s">
        <v>5385</v>
      </c>
      <c r="E1781" t="s">
        <v>3419</v>
      </c>
      <c r="F1781" s="121">
        <v>1287.5</v>
      </c>
      <c r="G1781" s="121">
        <v>1287.5</v>
      </c>
      <c r="H1781" t="s">
        <v>398</v>
      </c>
      <c r="I1781" s="156">
        <v>41089</v>
      </c>
      <c r="K1781" s="153"/>
      <c r="L1781" s="153"/>
      <c r="M1781" s="153"/>
      <c r="N1781" s="153"/>
      <c r="O1781" s="153"/>
      <c r="P1781" s="150"/>
      <c r="Q1781" s="150"/>
      <c r="R1781" s="153"/>
      <c r="S1781" s="154"/>
      <c r="T1781" s="115"/>
    </row>
    <row r="1782" spans="1:20">
      <c r="A1782" t="s">
        <v>1230</v>
      </c>
      <c r="B1782" t="s">
        <v>74</v>
      </c>
      <c r="C1782" t="s">
        <v>53</v>
      </c>
      <c r="D1782" t="s">
        <v>613</v>
      </c>
      <c r="E1782" t="s">
        <v>3420</v>
      </c>
      <c r="F1782" s="121">
        <v>1133</v>
      </c>
      <c r="G1782" s="121">
        <v>1133</v>
      </c>
      <c r="H1782" t="s">
        <v>398</v>
      </c>
      <c r="I1782" s="156">
        <v>41089</v>
      </c>
      <c r="K1782" s="153"/>
      <c r="L1782" s="153"/>
      <c r="M1782" s="153"/>
      <c r="N1782" s="153"/>
      <c r="O1782" s="153"/>
      <c r="P1782" s="150"/>
      <c r="Q1782" s="150"/>
      <c r="R1782" s="153"/>
      <c r="S1782" s="154"/>
      <c r="T1782" s="115"/>
    </row>
    <row r="1783" spans="1:20">
      <c r="A1783" t="s">
        <v>1230</v>
      </c>
      <c r="B1783" t="s">
        <v>74</v>
      </c>
      <c r="C1783" t="s">
        <v>53</v>
      </c>
      <c r="D1783" t="s">
        <v>657</v>
      </c>
      <c r="E1783" t="s">
        <v>3421</v>
      </c>
      <c r="F1783" s="121">
        <v>401.7</v>
      </c>
      <c r="G1783" s="121">
        <v>401.7</v>
      </c>
      <c r="H1783" t="s">
        <v>398</v>
      </c>
      <c r="I1783" s="156">
        <v>41089</v>
      </c>
      <c r="K1783" s="153"/>
      <c r="L1783" s="153"/>
      <c r="M1783" s="153"/>
      <c r="N1783" s="153"/>
      <c r="O1783" s="153"/>
      <c r="P1783" s="150"/>
      <c r="Q1783" s="150"/>
      <c r="R1783" s="153"/>
      <c r="S1783" s="154"/>
      <c r="T1783" s="115"/>
    </row>
    <row r="1784" spans="1:20">
      <c r="A1784" t="s">
        <v>1230</v>
      </c>
      <c r="B1784" t="s">
        <v>74</v>
      </c>
      <c r="C1784" t="s">
        <v>53</v>
      </c>
      <c r="D1784" t="s">
        <v>587</v>
      </c>
      <c r="E1784" t="s">
        <v>3422</v>
      </c>
      <c r="F1784" s="121">
        <v>206</v>
      </c>
      <c r="G1784" s="121">
        <v>206</v>
      </c>
      <c r="H1784" t="s">
        <v>411</v>
      </c>
      <c r="I1784" s="156">
        <v>41089</v>
      </c>
      <c r="K1784" s="153"/>
      <c r="L1784" s="153"/>
      <c r="M1784" s="153"/>
      <c r="N1784" s="153"/>
      <c r="O1784" s="153"/>
      <c r="P1784" s="150"/>
      <c r="Q1784" s="150"/>
      <c r="R1784" s="153"/>
      <c r="S1784" s="154"/>
      <c r="T1784" s="115"/>
    </row>
    <row r="1785" spans="1:20">
      <c r="A1785" t="s">
        <v>1230</v>
      </c>
      <c r="B1785" t="s">
        <v>74</v>
      </c>
      <c r="C1785" t="s">
        <v>53</v>
      </c>
      <c r="D1785" t="s">
        <v>613</v>
      </c>
      <c r="E1785" t="s">
        <v>7372</v>
      </c>
      <c r="F1785" s="121">
        <v>412</v>
      </c>
      <c r="G1785" s="121">
        <v>412</v>
      </c>
      <c r="H1785" t="s">
        <v>411</v>
      </c>
      <c r="I1785" s="156">
        <v>41089</v>
      </c>
      <c r="K1785" s="153"/>
      <c r="L1785" s="153"/>
      <c r="M1785" s="153"/>
      <c r="N1785" s="153"/>
      <c r="O1785" s="153"/>
      <c r="P1785" s="150"/>
      <c r="Q1785" s="150"/>
      <c r="R1785" s="153"/>
      <c r="S1785" s="154"/>
      <c r="T1785" s="115"/>
    </row>
    <row r="1786" spans="1:20">
      <c r="A1786" t="s">
        <v>1230</v>
      </c>
      <c r="B1786" t="s">
        <v>74</v>
      </c>
      <c r="C1786" t="s">
        <v>55</v>
      </c>
      <c r="D1786" t="s">
        <v>588</v>
      </c>
      <c r="E1786" t="s">
        <v>3423</v>
      </c>
      <c r="F1786" s="121">
        <v>97.85</v>
      </c>
      <c r="G1786" s="121">
        <v>97.85</v>
      </c>
      <c r="H1786" t="s">
        <v>411</v>
      </c>
      <c r="I1786" s="156">
        <v>41089</v>
      </c>
      <c r="K1786" s="153"/>
      <c r="L1786" s="153"/>
      <c r="M1786" s="153"/>
      <c r="N1786" s="153"/>
      <c r="O1786" s="153"/>
      <c r="P1786" s="152"/>
      <c r="Q1786" s="152"/>
      <c r="R1786" s="153"/>
      <c r="S1786" s="154"/>
      <c r="T1786" s="115"/>
    </row>
    <row r="1787" spans="1:20">
      <c r="A1787" t="s">
        <v>1230</v>
      </c>
      <c r="B1787" t="s">
        <v>74</v>
      </c>
      <c r="C1787" t="s">
        <v>55</v>
      </c>
      <c r="D1787" t="s">
        <v>588</v>
      </c>
      <c r="E1787" t="s">
        <v>3424</v>
      </c>
      <c r="F1787" s="121">
        <v>97.85</v>
      </c>
      <c r="G1787" s="121">
        <v>97.85</v>
      </c>
      <c r="H1787" t="s">
        <v>411</v>
      </c>
      <c r="I1787" s="156">
        <v>41089</v>
      </c>
      <c r="K1787" s="153"/>
      <c r="L1787" s="153"/>
      <c r="M1787" s="153"/>
      <c r="N1787" s="153"/>
      <c r="O1787" s="153"/>
      <c r="P1787" s="152"/>
      <c r="Q1787" s="152"/>
      <c r="R1787" s="153"/>
      <c r="S1787" s="154"/>
      <c r="T1787" s="115"/>
    </row>
    <row r="1788" spans="1:20">
      <c r="A1788" t="s">
        <v>1230</v>
      </c>
      <c r="B1788" t="s">
        <v>74</v>
      </c>
      <c r="C1788" t="s">
        <v>51</v>
      </c>
      <c r="D1788" t="s">
        <v>632</v>
      </c>
      <c r="E1788" t="s">
        <v>3425</v>
      </c>
      <c r="F1788" s="121">
        <v>1493.5</v>
      </c>
      <c r="G1788" s="121">
        <v>1493.5</v>
      </c>
      <c r="H1788" t="s">
        <v>411</v>
      </c>
      <c r="I1788" s="156">
        <v>41089</v>
      </c>
      <c r="K1788" s="153"/>
      <c r="L1788" s="153"/>
      <c r="M1788" s="153"/>
      <c r="N1788" s="153"/>
      <c r="O1788" s="153"/>
      <c r="P1788" s="152"/>
      <c r="Q1788" s="152"/>
      <c r="R1788" s="153"/>
      <c r="S1788" s="154"/>
      <c r="T1788" s="115"/>
    </row>
    <row r="1789" spans="1:20">
      <c r="A1789" t="s">
        <v>1230</v>
      </c>
      <c r="B1789" t="s">
        <v>74</v>
      </c>
      <c r="C1789" t="s">
        <v>55</v>
      </c>
      <c r="D1789" t="s">
        <v>591</v>
      </c>
      <c r="E1789" t="s">
        <v>3426</v>
      </c>
      <c r="F1789" s="121">
        <v>290</v>
      </c>
      <c r="G1789" s="121">
        <v>290</v>
      </c>
      <c r="H1789" t="s">
        <v>411</v>
      </c>
      <c r="I1789" s="156">
        <v>41089</v>
      </c>
      <c r="K1789" s="153"/>
      <c r="L1789" s="153"/>
      <c r="M1789" s="153"/>
      <c r="N1789" s="153"/>
      <c r="O1789" s="153"/>
      <c r="P1789" s="150"/>
      <c r="Q1789" s="150"/>
      <c r="R1789" s="153"/>
      <c r="S1789" s="154"/>
      <c r="T1789" s="115"/>
    </row>
    <row r="1790" spans="1:20">
      <c r="A1790" t="s">
        <v>1230</v>
      </c>
      <c r="B1790" t="s">
        <v>74</v>
      </c>
      <c r="C1790" t="s">
        <v>55</v>
      </c>
      <c r="D1790" t="s">
        <v>588</v>
      </c>
      <c r="E1790" t="s">
        <v>3427</v>
      </c>
      <c r="F1790" s="121">
        <v>288.39999999999998</v>
      </c>
      <c r="G1790" s="121">
        <v>288.39999999999998</v>
      </c>
      <c r="H1790" t="s">
        <v>411</v>
      </c>
      <c r="I1790" s="156">
        <v>41089</v>
      </c>
      <c r="K1790" s="153"/>
      <c r="L1790" s="153"/>
      <c r="M1790" s="153"/>
      <c r="N1790" s="153"/>
      <c r="O1790" s="153"/>
      <c r="P1790" s="152"/>
      <c r="Q1790" s="152"/>
      <c r="R1790" s="153"/>
      <c r="S1790" s="154"/>
      <c r="T1790" s="115"/>
    </row>
    <row r="1791" spans="1:20">
      <c r="A1791" t="s">
        <v>1230</v>
      </c>
      <c r="B1791" t="s">
        <v>74</v>
      </c>
      <c r="C1791" t="s">
        <v>55</v>
      </c>
      <c r="D1791" t="s">
        <v>588</v>
      </c>
      <c r="E1791" t="s">
        <v>3428</v>
      </c>
      <c r="F1791" s="121">
        <v>288.39999999999998</v>
      </c>
      <c r="G1791" s="121">
        <v>288.39999999999998</v>
      </c>
      <c r="H1791" t="s">
        <v>411</v>
      </c>
      <c r="I1791" s="156">
        <v>41089</v>
      </c>
      <c r="K1791" s="153"/>
      <c r="L1791" s="153"/>
      <c r="M1791" s="153"/>
      <c r="N1791" s="153"/>
      <c r="O1791" s="153"/>
      <c r="P1791" s="150"/>
      <c r="Q1791" s="150"/>
      <c r="R1791" s="153"/>
      <c r="S1791" s="154"/>
      <c r="T1791" s="115"/>
    </row>
    <row r="1792" spans="1:20">
      <c r="A1792" t="s">
        <v>1230</v>
      </c>
      <c r="B1792" t="s">
        <v>74</v>
      </c>
      <c r="C1792" t="s">
        <v>55</v>
      </c>
      <c r="D1792" t="s">
        <v>591</v>
      </c>
      <c r="E1792" t="s">
        <v>3429</v>
      </c>
      <c r="F1792" s="121">
        <v>290</v>
      </c>
      <c r="G1792" s="121">
        <v>290</v>
      </c>
      <c r="H1792" t="s">
        <v>411</v>
      </c>
      <c r="I1792" s="156">
        <v>41089</v>
      </c>
      <c r="K1792" s="153"/>
      <c r="L1792" s="153"/>
      <c r="M1792" s="153"/>
      <c r="N1792" s="153"/>
      <c r="O1792" s="153"/>
      <c r="P1792" s="150"/>
      <c r="Q1792" s="150"/>
      <c r="R1792" s="153"/>
      <c r="S1792" s="154"/>
      <c r="T1792" s="115"/>
    </row>
    <row r="1793" spans="1:20">
      <c r="A1793" t="s">
        <v>1230</v>
      </c>
      <c r="B1793" t="s">
        <v>74</v>
      </c>
      <c r="C1793" t="s">
        <v>55</v>
      </c>
      <c r="D1793" t="s">
        <v>588</v>
      </c>
      <c r="E1793" t="s">
        <v>3430</v>
      </c>
      <c r="F1793" s="121">
        <v>288.39999999999998</v>
      </c>
      <c r="G1793" s="121">
        <v>288.39999999999998</v>
      </c>
      <c r="H1793" t="s">
        <v>411</v>
      </c>
      <c r="I1793" s="156">
        <v>41089</v>
      </c>
      <c r="K1793" s="153"/>
      <c r="L1793" s="153"/>
      <c r="M1793" s="153"/>
      <c r="N1793" s="153"/>
      <c r="O1793" s="153"/>
      <c r="P1793" s="150"/>
      <c r="Q1793" s="150"/>
      <c r="R1793" s="153"/>
      <c r="S1793" s="154"/>
      <c r="T1793" s="115"/>
    </row>
    <row r="1794" spans="1:20">
      <c r="A1794" t="s">
        <v>1230</v>
      </c>
      <c r="B1794" t="s">
        <v>74</v>
      </c>
      <c r="C1794" t="s">
        <v>55</v>
      </c>
      <c r="D1794" t="s">
        <v>588</v>
      </c>
      <c r="E1794" t="s">
        <v>3431</v>
      </c>
      <c r="F1794" s="121">
        <v>288.39999999999998</v>
      </c>
      <c r="G1794" s="121">
        <v>288.39999999999998</v>
      </c>
      <c r="H1794" t="s">
        <v>411</v>
      </c>
      <c r="I1794" s="156">
        <v>41089</v>
      </c>
      <c r="K1794" s="153"/>
      <c r="L1794" s="153"/>
      <c r="M1794" s="153"/>
      <c r="N1794" s="153"/>
      <c r="O1794" s="153"/>
      <c r="P1794" s="150"/>
      <c r="Q1794" s="150"/>
      <c r="R1794" s="153"/>
      <c r="S1794" s="154"/>
      <c r="T1794" s="115"/>
    </row>
    <row r="1795" spans="1:20">
      <c r="A1795" t="s">
        <v>1230</v>
      </c>
      <c r="B1795" t="s">
        <v>74</v>
      </c>
      <c r="C1795" t="s">
        <v>55</v>
      </c>
      <c r="D1795" t="s">
        <v>591</v>
      </c>
      <c r="E1795" t="s">
        <v>3432</v>
      </c>
      <c r="F1795" s="121">
        <v>290</v>
      </c>
      <c r="G1795" s="121">
        <v>290</v>
      </c>
      <c r="H1795" t="s">
        <v>411</v>
      </c>
      <c r="I1795" s="156">
        <v>41089</v>
      </c>
      <c r="K1795" s="153"/>
      <c r="L1795" s="153"/>
      <c r="M1795" s="153"/>
      <c r="N1795" s="153"/>
      <c r="O1795" s="153"/>
      <c r="P1795" s="150"/>
      <c r="Q1795" s="150"/>
      <c r="R1795" s="153"/>
      <c r="S1795" s="154"/>
      <c r="T1795" s="115"/>
    </row>
    <row r="1796" spans="1:20">
      <c r="A1796" t="s">
        <v>1230</v>
      </c>
      <c r="B1796" t="s">
        <v>74</v>
      </c>
      <c r="C1796" t="s">
        <v>55</v>
      </c>
      <c r="D1796" t="s">
        <v>658</v>
      </c>
      <c r="E1796" t="s">
        <v>3433</v>
      </c>
      <c r="F1796" s="121">
        <v>97.85</v>
      </c>
      <c r="G1796" s="121">
        <v>97.85</v>
      </c>
      <c r="H1796" t="s">
        <v>411</v>
      </c>
      <c r="I1796" s="156">
        <v>41089</v>
      </c>
      <c r="K1796" s="153"/>
      <c r="L1796" s="153"/>
      <c r="M1796" s="153"/>
      <c r="N1796" s="153"/>
      <c r="O1796" s="153"/>
      <c r="P1796" s="150"/>
      <c r="Q1796" s="150"/>
      <c r="R1796" s="153"/>
      <c r="S1796" s="154"/>
      <c r="T1796" s="115"/>
    </row>
    <row r="1797" spans="1:20">
      <c r="A1797" t="s">
        <v>1230</v>
      </c>
      <c r="B1797" t="s">
        <v>74</v>
      </c>
      <c r="C1797" t="s">
        <v>55</v>
      </c>
      <c r="D1797" t="s">
        <v>588</v>
      </c>
      <c r="E1797" t="s">
        <v>3434</v>
      </c>
      <c r="F1797" s="121">
        <v>288.39999999999998</v>
      </c>
      <c r="G1797" s="121">
        <v>288.39999999999998</v>
      </c>
      <c r="H1797" t="s">
        <v>411</v>
      </c>
      <c r="I1797" s="156">
        <v>41089</v>
      </c>
      <c r="K1797" s="153"/>
      <c r="L1797" s="153"/>
      <c r="M1797" s="153"/>
      <c r="N1797" s="153"/>
      <c r="O1797" s="153"/>
      <c r="P1797" s="150"/>
      <c r="Q1797" s="150"/>
      <c r="R1797" s="153"/>
      <c r="S1797" s="154"/>
      <c r="T1797" s="115"/>
    </row>
    <row r="1798" spans="1:20">
      <c r="A1798" t="s">
        <v>1230</v>
      </c>
      <c r="B1798" t="s">
        <v>74</v>
      </c>
      <c r="C1798" t="s">
        <v>55</v>
      </c>
      <c r="D1798" t="s">
        <v>591</v>
      </c>
      <c r="E1798" t="s">
        <v>3435</v>
      </c>
      <c r="F1798" s="121">
        <v>290</v>
      </c>
      <c r="G1798" s="121">
        <v>290</v>
      </c>
      <c r="H1798" t="s">
        <v>411</v>
      </c>
      <c r="I1798" s="156">
        <v>41089</v>
      </c>
      <c r="K1798" s="153"/>
      <c r="L1798" s="153"/>
      <c r="M1798" s="153"/>
      <c r="N1798" s="153"/>
      <c r="O1798" s="153"/>
      <c r="P1798" s="150"/>
      <c r="Q1798" s="150"/>
      <c r="R1798" s="153"/>
      <c r="S1798" s="154"/>
      <c r="T1798" s="115"/>
    </row>
    <row r="1799" spans="1:20">
      <c r="A1799" t="s">
        <v>1230</v>
      </c>
      <c r="B1799" t="s">
        <v>74</v>
      </c>
      <c r="C1799" t="s">
        <v>55</v>
      </c>
      <c r="D1799" t="s">
        <v>588</v>
      </c>
      <c r="E1799" t="s">
        <v>3436</v>
      </c>
      <c r="F1799" s="121">
        <v>288.39999999999998</v>
      </c>
      <c r="G1799" s="121">
        <v>288.39999999999998</v>
      </c>
      <c r="H1799" t="s">
        <v>411</v>
      </c>
      <c r="I1799" s="156">
        <v>41089</v>
      </c>
      <c r="K1799" s="153"/>
      <c r="L1799" s="153"/>
      <c r="M1799" s="153"/>
      <c r="N1799" s="153"/>
      <c r="O1799" s="153"/>
      <c r="P1799" s="150"/>
      <c r="Q1799" s="150"/>
      <c r="R1799" s="153"/>
      <c r="S1799" s="154"/>
      <c r="T1799" s="115"/>
    </row>
    <row r="1800" spans="1:20">
      <c r="A1800" t="s">
        <v>1230</v>
      </c>
      <c r="B1800" t="s">
        <v>74</v>
      </c>
      <c r="C1800" t="s">
        <v>55</v>
      </c>
      <c r="D1800" t="s">
        <v>588</v>
      </c>
      <c r="E1800" t="s">
        <v>3437</v>
      </c>
      <c r="F1800" s="121">
        <v>288.39999999999998</v>
      </c>
      <c r="G1800" s="121">
        <v>288.39999999999998</v>
      </c>
      <c r="H1800" t="s">
        <v>411</v>
      </c>
      <c r="I1800" s="156">
        <v>41089</v>
      </c>
      <c r="K1800" s="153"/>
      <c r="L1800" s="153"/>
      <c r="M1800" s="153"/>
      <c r="N1800" s="153"/>
      <c r="O1800" s="153"/>
      <c r="P1800" s="150"/>
      <c r="Q1800" s="150"/>
      <c r="R1800" s="153"/>
      <c r="S1800" s="154"/>
      <c r="T1800" s="115"/>
    </row>
    <row r="1801" spans="1:20">
      <c r="A1801" t="s">
        <v>1230</v>
      </c>
      <c r="B1801" t="s">
        <v>74</v>
      </c>
      <c r="C1801" t="s">
        <v>55</v>
      </c>
      <c r="D1801" t="s">
        <v>591</v>
      </c>
      <c r="E1801" t="s">
        <v>3438</v>
      </c>
      <c r="F1801" s="121">
        <v>290</v>
      </c>
      <c r="G1801" s="121">
        <v>290</v>
      </c>
      <c r="H1801" t="s">
        <v>411</v>
      </c>
      <c r="I1801" s="156">
        <v>41089</v>
      </c>
      <c r="K1801" s="153"/>
      <c r="L1801" s="153"/>
      <c r="M1801" s="153"/>
      <c r="N1801" s="153"/>
      <c r="O1801" s="153"/>
      <c r="P1801" s="150"/>
      <c r="Q1801" s="150"/>
      <c r="R1801" s="153"/>
      <c r="S1801" s="154"/>
      <c r="T1801" s="115"/>
    </row>
    <row r="1802" spans="1:20">
      <c r="A1802" t="s">
        <v>1230</v>
      </c>
      <c r="B1802" t="s">
        <v>74</v>
      </c>
      <c r="C1802" t="s">
        <v>55</v>
      </c>
      <c r="D1802" t="s">
        <v>588</v>
      </c>
      <c r="E1802" t="s">
        <v>3439</v>
      </c>
      <c r="F1802" s="121">
        <v>288.39999999999998</v>
      </c>
      <c r="G1802" s="121">
        <v>288.39999999999998</v>
      </c>
      <c r="H1802" t="s">
        <v>411</v>
      </c>
      <c r="I1802" s="156">
        <v>41089</v>
      </c>
      <c r="K1802" s="153"/>
      <c r="L1802" s="153"/>
      <c r="M1802" s="153"/>
      <c r="N1802" s="153"/>
      <c r="O1802" s="153"/>
      <c r="P1802" s="150"/>
      <c r="Q1802" s="150"/>
      <c r="R1802" s="153"/>
      <c r="S1802" s="154"/>
      <c r="T1802" s="115"/>
    </row>
    <row r="1803" spans="1:20">
      <c r="A1803" t="s">
        <v>1230</v>
      </c>
      <c r="B1803" t="s">
        <v>74</v>
      </c>
      <c r="C1803" t="s">
        <v>55</v>
      </c>
      <c r="D1803" t="s">
        <v>588</v>
      </c>
      <c r="E1803" t="s">
        <v>3440</v>
      </c>
      <c r="F1803" s="121">
        <v>288.39999999999998</v>
      </c>
      <c r="G1803" s="121">
        <v>288.39999999999998</v>
      </c>
      <c r="H1803" t="s">
        <v>411</v>
      </c>
      <c r="I1803" s="156">
        <v>41089</v>
      </c>
      <c r="K1803" s="153"/>
      <c r="L1803" s="153"/>
      <c r="M1803" s="153"/>
      <c r="N1803" s="153"/>
      <c r="O1803" s="153"/>
      <c r="P1803" s="150"/>
      <c r="Q1803" s="150"/>
      <c r="R1803" s="153"/>
      <c r="S1803" s="154"/>
      <c r="T1803" s="115"/>
    </row>
    <row r="1804" spans="1:20">
      <c r="A1804" t="s">
        <v>1230</v>
      </c>
      <c r="B1804" t="s">
        <v>74</v>
      </c>
      <c r="C1804" t="s">
        <v>55</v>
      </c>
      <c r="D1804" t="s">
        <v>591</v>
      </c>
      <c r="E1804" t="s">
        <v>3441</v>
      </c>
      <c r="F1804" s="121">
        <v>290</v>
      </c>
      <c r="G1804" s="121">
        <v>290</v>
      </c>
      <c r="H1804" t="s">
        <v>411</v>
      </c>
      <c r="I1804" s="156">
        <v>41089</v>
      </c>
      <c r="K1804" s="153"/>
      <c r="L1804" s="153"/>
      <c r="M1804" s="153"/>
      <c r="N1804" s="153"/>
      <c r="O1804" s="153"/>
      <c r="P1804" s="150"/>
      <c r="Q1804" s="150"/>
      <c r="R1804" s="153"/>
      <c r="S1804" s="154"/>
      <c r="T1804" s="115"/>
    </row>
    <row r="1805" spans="1:20">
      <c r="A1805" t="s">
        <v>1230</v>
      </c>
      <c r="B1805" t="s">
        <v>74</v>
      </c>
      <c r="C1805" t="s">
        <v>55</v>
      </c>
      <c r="D1805" t="s">
        <v>588</v>
      </c>
      <c r="E1805" t="s">
        <v>3442</v>
      </c>
      <c r="F1805" s="121">
        <v>288.39999999999998</v>
      </c>
      <c r="G1805" s="121">
        <v>288.39999999999998</v>
      </c>
      <c r="H1805" t="s">
        <v>411</v>
      </c>
      <c r="I1805" s="156">
        <v>41089</v>
      </c>
      <c r="K1805" s="153"/>
      <c r="L1805" s="153"/>
      <c r="M1805" s="153"/>
      <c r="N1805" s="153"/>
      <c r="O1805" s="153"/>
      <c r="P1805" s="150"/>
      <c r="Q1805" s="150"/>
      <c r="R1805" s="153"/>
      <c r="S1805" s="154"/>
      <c r="T1805" s="115"/>
    </row>
    <row r="1806" spans="1:20">
      <c r="A1806" t="s">
        <v>1230</v>
      </c>
      <c r="B1806" t="s">
        <v>74</v>
      </c>
      <c r="C1806" t="s">
        <v>55</v>
      </c>
      <c r="D1806" t="s">
        <v>588</v>
      </c>
      <c r="E1806" t="s">
        <v>3443</v>
      </c>
      <c r="F1806" s="121">
        <v>288.39999999999998</v>
      </c>
      <c r="G1806" s="121">
        <v>288.39999999999998</v>
      </c>
      <c r="H1806" t="s">
        <v>411</v>
      </c>
      <c r="I1806" s="156">
        <v>41089</v>
      </c>
      <c r="K1806" s="153"/>
      <c r="L1806" s="153"/>
      <c r="M1806" s="153"/>
      <c r="N1806" s="153"/>
      <c r="O1806" s="153"/>
      <c r="P1806" s="150"/>
      <c r="Q1806" s="150"/>
      <c r="R1806" s="153"/>
      <c r="S1806" s="154"/>
      <c r="T1806" s="115"/>
    </row>
    <row r="1807" spans="1:20">
      <c r="A1807" t="s">
        <v>1230</v>
      </c>
      <c r="B1807" t="s">
        <v>74</v>
      </c>
      <c r="C1807" t="s">
        <v>55</v>
      </c>
      <c r="D1807" t="s">
        <v>591</v>
      </c>
      <c r="E1807" t="s">
        <v>3444</v>
      </c>
      <c r="F1807" s="121">
        <v>290</v>
      </c>
      <c r="G1807" s="121">
        <v>290</v>
      </c>
      <c r="H1807" t="s">
        <v>411</v>
      </c>
      <c r="I1807" s="156">
        <v>41089</v>
      </c>
      <c r="K1807" s="153"/>
      <c r="L1807" s="153"/>
      <c r="M1807" s="153"/>
      <c r="N1807" s="153"/>
      <c r="O1807" s="153"/>
      <c r="P1807" s="150"/>
      <c r="Q1807" s="150"/>
      <c r="R1807" s="153"/>
      <c r="S1807" s="154"/>
      <c r="T1807" s="115"/>
    </row>
    <row r="1808" spans="1:20">
      <c r="A1808" t="s">
        <v>1230</v>
      </c>
      <c r="B1808" t="s">
        <v>74</v>
      </c>
      <c r="C1808" t="s">
        <v>55</v>
      </c>
      <c r="D1808" t="s">
        <v>588</v>
      </c>
      <c r="E1808" t="s">
        <v>3445</v>
      </c>
      <c r="F1808" s="121">
        <v>288.39999999999998</v>
      </c>
      <c r="G1808" s="121">
        <v>288.39999999999998</v>
      </c>
      <c r="H1808" t="s">
        <v>411</v>
      </c>
      <c r="I1808" s="156">
        <v>41089</v>
      </c>
      <c r="K1808" s="153"/>
      <c r="L1808" s="153"/>
      <c r="M1808" s="153"/>
      <c r="N1808" s="153"/>
      <c r="O1808" s="153"/>
      <c r="P1808" s="150"/>
      <c r="Q1808" s="150"/>
      <c r="R1808" s="153"/>
      <c r="S1808" s="154"/>
      <c r="T1808" s="115"/>
    </row>
    <row r="1809" spans="1:20">
      <c r="A1809" t="s">
        <v>1230</v>
      </c>
      <c r="B1809" t="s">
        <v>74</v>
      </c>
      <c r="C1809" t="s">
        <v>55</v>
      </c>
      <c r="D1809" t="s">
        <v>588</v>
      </c>
      <c r="E1809" t="s">
        <v>3446</v>
      </c>
      <c r="F1809" s="121">
        <v>288.39999999999998</v>
      </c>
      <c r="G1809" s="121">
        <v>288.39999999999998</v>
      </c>
      <c r="H1809" t="s">
        <v>411</v>
      </c>
      <c r="I1809" s="156">
        <v>41089</v>
      </c>
      <c r="K1809" s="153"/>
      <c r="L1809" s="153"/>
      <c r="M1809" s="153"/>
      <c r="N1809" s="153"/>
      <c r="O1809" s="153"/>
      <c r="P1809" s="150"/>
      <c r="Q1809" s="150"/>
      <c r="R1809" s="153"/>
      <c r="S1809" s="154"/>
      <c r="T1809" s="115"/>
    </row>
    <row r="1810" spans="1:20">
      <c r="A1810" t="s">
        <v>1230</v>
      </c>
      <c r="B1810" t="s">
        <v>74</v>
      </c>
      <c r="C1810" t="s">
        <v>55</v>
      </c>
      <c r="D1810" t="s">
        <v>591</v>
      </c>
      <c r="E1810" t="s">
        <v>3447</v>
      </c>
      <c r="F1810" s="121">
        <v>290</v>
      </c>
      <c r="G1810" s="121">
        <v>290</v>
      </c>
      <c r="H1810" t="s">
        <v>411</v>
      </c>
      <c r="I1810" s="156">
        <v>41089</v>
      </c>
      <c r="K1810" s="153"/>
      <c r="L1810" s="153"/>
      <c r="M1810" s="153"/>
      <c r="N1810" s="153"/>
      <c r="O1810" s="153"/>
      <c r="P1810" s="150"/>
      <c r="Q1810" s="150"/>
      <c r="R1810" s="153"/>
      <c r="S1810" s="154"/>
      <c r="T1810" s="115"/>
    </row>
    <row r="1811" spans="1:20">
      <c r="A1811" t="s">
        <v>1230</v>
      </c>
      <c r="B1811" t="s">
        <v>74</v>
      </c>
      <c r="C1811" t="s">
        <v>55</v>
      </c>
      <c r="D1811" t="s">
        <v>588</v>
      </c>
      <c r="E1811" t="s">
        <v>3448</v>
      </c>
      <c r="F1811" s="121">
        <v>288.39999999999998</v>
      </c>
      <c r="G1811" s="121">
        <v>288.39999999999998</v>
      </c>
      <c r="H1811" t="s">
        <v>411</v>
      </c>
      <c r="I1811" s="156">
        <v>41089</v>
      </c>
      <c r="K1811" s="153"/>
      <c r="L1811" s="153"/>
      <c r="M1811" s="153"/>
      <c r="N1811" s="153"/>
      <c r="O1811" s="153"/>
      <c r="P1811" s="150"/>
      <c r="Q1811" s="150"/>
      <c r="R1811" s="153"/>
      <c r="S1811" s="154"/>
      <c r="T1811" s="115"/>
    </row>
    <row r="1812" spans="1:20">
      <c r="A1812" t="s">
        <v>1230</v>
      </c>
      <c r="B1812" t="s">
        <v>74</v>
      </c>
      <c r="C1812" t="s">
        <v>55</v>
      </c>
      <c r="D1812" t="s">
        <v>588</v>
      </c>
      <c r="E1812" t="s">
        <v>3449</v>
      </c>
      <c r="F1812" s="121">
        <v>288.39999999999998</v>
      </c>
      <c r="G1812" s="121">
        <v>288.39999999999998</v>
      </c>
      <c r="H1812" t="s">
        <v>411</v>
      </c>
      <c r="I1812" s="156">
        <v>41089</v>
      </c>
      <c r="K1812" s="153"/>
      <c r="L1812" s="153"/>
      <c r="M1812" s="153"/>
      <c r="N1812" s="153"/>
      <c r="O1812" s="153"/>
      <c r="P1812" s="150"/>
      <c r="Q1812" s="150"/>
      <c r="R1812" s="153"/>
      <c r="S1812" s="154"/>
      <c r="T1812" s="115"/>
    </row>
    <row r="1813" spans="1:20">
      <c r="A1813" t="s">
        <v>1230</v>
      </c>
      <c r="B1813" t="s">
        <v>74</v>
      </c>
      <c r="C1813" t="s">
        <v>55</v>
      </c>
      <c r="D1813" t="s">
        <v>591</v>
      </c>
      <c r="E1813" t="s">
        <v>3450</v>
      </c>
      <c r="F1813" s="121">
        <v>290</v>
      </c>
      <c r="G1813" s="121">
        <v>290</v>
      </c>
      <c r="H1813" t="s">
        <v>411</v>
      </c>
      <c r="I1813" s="156">
        <v>41089</v>
      </c>
      <c r="K1813" s="153"/>
      <c r="L1813" s="153"/>
      <c r="M1813" s="153"/>
      <c r="N1813" s="153"/>
      <c r="O1813" s="153"/>
      <c r="P1813" s="150"/>
      <c r="Q1813" s="150"/>
      <c r="R1813" s="153"/>
      <c r="S1813" s="154"/>
      <c r="T1813" s="115"/>
    </row>
    <row r="1814" spans="1:20">
      <c r="A1814" t="s">
        <v>1230</v>
      </c>
      <c r="B1814" t="s">
        <v>74</v>
      </c>
      <c r="C1814" t="s">
        <v>55</v>
      </c>
      <c r="D1814" t="s">
        <v>588</v>
      </c>
      <c r="E1814" t="s">
        <v>3451</v>
      </c>
      <c r="F1814" s="121">
        <v>288.39999999999998</v>
      </c>
      <c r="G1814" s="121">
        <v>288.39999999999998</v>
      </c>
      <c r="H1814" t="s">
        <v>411</v>
      </c>
      <c r="I1814" s="156">
        <v>41089</v>
      </c>
      <c r="K1814" s="153"/>
      <c r="L1814" s="153"/>
      <c r="M1814" s="153"/>
      <c r="N1814" s="153"/>
      <c r="O1814" s="153"/>
      <c r="P1814" s="150"/>
      <c r="Q1814" s="150"/>
      <c r="R1814" s="153"/>
      <c r="S1814" s="154"/>
      <c r="T1814" s="115"/>
    </row>
    <row r="1815" spans="1:20">
      <c r="A1815" t="s">
        <v>1230</v>
      </c>
      <c r="B1815" t="s">
        <v>74</v>
      </c>
      <c r="C1815" t="s">
        <v>55</v>
      </c>
      <c r="D1815" t="s">
        <v>588</v>
      </c>
      <c r="E1815" t="s">
        <v>3452</v>
      </c>
      <c r="F1815" s="121">
        <v>288.39999999999998</v>
      </c>
      <c r="G1815" s="121">
        <v>288.39999999999998</v>
      </c>
      <c r="H1815" t="s">
        <v>411</v>
      </c>
      <c r="I1815" s="156">
        <v>41089</v>
      </c>
      <c r="K1815" s="153"/>
      <c r="L1815" s="153"/>
      <c r="M1815" s="153"/>
      <c r="N1815" s="153"/>
      <c r="O1815" s="153"/>
      <c r="P1815" s="150"/>
      <c r="Q1815" s="150"/>
      <c r="R1815" s="153"/>
      <c r="S1815" s="154"/>
      <c r="T1815" s="115"/>
    </row>
    <row r="1816" spans="1:20">
      <c r="A1816" t="s">
        <v>1230</v>
      </c>
      <c r="B1816" t="s">
        <v>74</v>
      </c>
      <c r="C1816" t="s">
        <v>55</v>
      </c>
      <c r="D1816" t="s">
        <v>591</v>
      </c>
      <c r="E1816" t="s">
        <v>3453</v>
      </c>
      <c r="F1816" s="121">
        <v>290</v>
      </c>
      <c r="G1816" s="121">
        <v>290</v>
      </c>
      <c r="H1816" t="s">
        <v>411</v>
      </c>
      <c r="I1816" s="156">
        <v>41089</v>
      </c>
      <c r="K1816" s="153"/>
      <c r="L1816" s="153"/>
      <c r="M1816" s="153"/>
      <c r="N1816" s="153"/>
      <c r="O1816" s="153"/>
      <c r="P1816" s="150"/>
      <c r="Q1816" s="150"/>
      <c r="R1816" s="153"/>
      <c r="S1816" s="154"/>
      <c r="T1816" s="115"/>
    </row>
    <row r="1817" spans="1:20">
      <c r="A1817" t="s">
        <v>1230</v>
      </c>
      <c r="B1817" t="s">
        <v>74</v>
      </c>
      <c r="C1817" t="s">
        <v>55</v>
      </c>
      <c r="D1817" t="s">
        <v>588</v>
      </c>
      <c r="E1817" t="s">
        <v>3454</v>
      </c>
      <c r="F1817" s="121">
        <v>288.39999999999998</v>
      </c>
      <c r="G1817" s="121">
        <v>288.39999999999998</v>
      </c>
      <c r="H1817" t="s">
        <v>411</v>
      </c>
      <c r="I1817" s="156">
        <v>41089</v>
      </c>
      <c r="K1817" s="153"/>
      <c r="L1817" s="153"/>
      <c r="M1817" s="153"/>
      <c r="N1817" s="153"/>
      <c r="O1817" s="153"/>
      <c r="P1817" s="150"/>
      <c r="Q1817" s="150"/>
      <c r="R1817" s="153"/>
      <c r="S1817" s="154"/>
      <c r="T1817" s="115"/>
    </row>
    <row r="1818" spans="1:20">
      <c r="A1818" t="s">
        <v>1230</v>
      </c>
      <c r="B1818" t="s">
        <v>74</v>
      </c>
      <c r="C1818" t="s">
        <v>55</v>
      </c>
      <c r="D1818" t="s">
        <v>588</v>
      </c>
      <c r="E1818" t="s">
        <v>3455</v>
      </c>
      <c r="F1818" s="121">
        <v>288.39999999999998</v>
      </c>
      <c r="G1818" s="121">
        <v>288.39999999999998</v>
      </c>
      <c r="H1818" t="s">
        <v>411</v>
      </c>
      <c r="I1818" s="156">
        <v>41089</v>
      </c>
      <c r="K1818" s="153"/>
      <c r="L1818" s="153"/>
      <c r="M1818" s="153"/>
      <c r="N1818" s="153"/>
      <c r="O1818" s="153"/>
      <c r="P1818" s="150"/>
      <c r="Q1818" s="150"/>
      <c r="R1818" s="153"/>
      <c r="S1818" s="154"/>
      <c r="T1818" s="115"/>
    </row>
    <row r="1819" spans="1:20">
      <c r="A1819" t="s">
        <v>1230</v>
      </c>
      <c r="B1819" t="s">
        <v>74</v>
      </c>
      <c r="C1819" t="s">
        <v>55</v>
      </c>
      <c r="D1819" t="s">
        <v>591</v>
      </c>
      <c r="E1819" t="s">
        <v>3456</v>
      </c>
      <c r="F1819" s="121">
        <v>290</v>
      </c>
      <c r="G1819" s="121">
        <v>290</v>
      </c>
      <c r="H1819" t="s">
        <v>411</v>
      </c>
      <c r="I1819" s="156">
        <v>41089</v>
      </c>
      <c r="K1819" s="153"/>
      <c r="L1819" s="153"/>
      <c r="M1819" s="153"/>
      <c r="N1819" s="153"/>
      <c r="O1819" s="153"/>
      <c r="P1819" s="152"/>
      <c r="Q1819" s="150"/>
      <c r="R1819" s="153"/>
      <c r="S1819" s="154"/>
      <c r="T1819" s="115"/>
    </row>
    <row r="1820" spans="1:20">
      <c r="A1820" t="s">
        <v>1230</v>
      </c>
      <c r="B1820" t="s">
        <v>74</v>
      </c>
      <c r="C1820" t="s">
        <v>55</v>
      </c>
      <c r="D1820" t="s">
        <v>588</v>
      </c>
      <c r="E1820" t="s">
        <v>3457</v>
      </c>
      <c r="F1820" s="121">
        <v>288.39999999999998</v>
      </c>
      <c r="G1820" s="121">
        <v>288.39999999999998</v>
      </c>
      <c r="H1820" t="s">
        <v>411</v>
      </c>
      <c r="I1820" s="156">
        <v>41089</v>
      </c>
      <c r="K1820" s="153"/>
      <c r="L1820" s="153"/>
      <c r="M1820" s="153"/>
      <c r="N1820" s="153"/>
      <c r="O1820" s="153"/>
      <c r="P1820" s="150"/>
      <c r="Q1820" s="150"/>
      <c r="R1820" s="153"/>
      <c r="S1820" s="154"/>
      <c r="T1820" s="115"/>
    </row>
    <row r="1821" spans="1:20">
      <c r="A1821" t="s">
        <v>1230</v>
      </c>
      <c r="B1821" t="s">
        <v>74</v>
      </c>
      <c r="C1821" t="s">
        <v>55</v>
      </c>
      <c r="D1821" t="s">
        <v>588</v>
      </c>
      <c r="E1821" t="s">
        <v>3458</v>
      </c>
      <c r="F1821" s="121">
        <v>288.39999999999998</v>
      </c>
      <c r="G1821" s="121">
        <v>288.39999999999998</v>
      </c>
      <c r="H1821" t="s">
        <v>411</v>
      </c>
      <c r="I1821" s="156">
        <v>41089</v>
      </c>
      <c r="K1821" s="153"/>
      <c r="L1821" s="153"/>
      <c r="M1821" s="153"/>
      <c r="N1821" s="153"/>
      <c r="O1821" s="153"/>
      <c r="P1821" s="150"/>
      <c r="Q1821" s="150"/>
      <c r="R1821" s="153"/>
      <c r="S1821" s="154"/>
      <c r="T1821" s="115"/>
    </row>
    <row r="1822" spans="1:20">
      <c r="A1822" t="s">
        <v>1230</v>
      </c>
      <c r="B1822" t="s">
        <v>74</v>
      </c>
      <c r="C1822" t="s">
        <v>55</v>
      </c>
      <c r="D1822" t="s">
        <v>591</v>
      </c>
      <c r="E1822" t="s">
        <v>3459</v>
      </c>
      <c r="F1822" s="121">
        <v>290</v>
      </c>
      <c r="G1822" s="121">
        <v>290</v>
      </c>
      <c r="H1822" t="s">
        <v>411</v>
      </c>
      <c r="I1822" s="156">
        <v>41089</v>
      </c>
      <c r="K1822" s="153"/>
      <c r="L1822" s="153"/>
      <c r="M1822" s="153"/>
      <c r="N1822" s="153"/>
      <c r="O1822" s="153"/>
      <c r="P1822" s="150"/>
      <c r="Q1822" s="150"/>
      <c r="R1822" s="153"/>
      <c r="S1822" s="154"/>
      <c r="T1822" s="115"/>
    </row>
    <row r="1823" spans="1:20">
      <c r="A1823" t="s">
        <v>1230</v>
      </c>
      <c r="B1823" t="s">
        <v>74</v>
      </c>
      <c r="C1823" t="s">
        <v>55</v>
      </c>
      <c r="D1823" t="s">
        <v>588</v>
      </c>
      <c r="E1823" t="s">
        <v>3460</v>
      </c>
      <c r="F1823" s="121">
        <v>288.39999999999998</v>
      </c>
      <c r="G1823" s="121">
        <v>288.39999999999998</v>
      </c>
      <c r="H1823" t="s">
        <v>411</v>
      </c>
      <c r="I1823" s="156">
        <v>41089</v>
      </c>
      <c r="K1823" s="153"/>
      <c r="L1823" s="153"/>
      <c r="M1823" s="153"/>
      <c r="N1823" s="153"/>
      <c r="O1823" s="153"/>
      <c r="P1823" s="152"/>
      <c r="Q1823" s="152"/>
      <c r="R1823" s="153"/>
      <c r="S1823" s="154"/>
      <c r="T1823" s="115"/>
    </row>
    <row r="1824" spans="1:20">
      <c r="A1824" t="s">
        <v>1230</v>
      </c>
      <c r="B1824" t="s">
        <v>74</v>
      </c>
      <c r="C1824" t="s">
        <v>55</v>
      </c>
      <c r="D1824" t="s">
        <v>588</v>
      </c>
      <c r="E1824" t="s">
        <v>3461</v>
      </c>
      <c r="F1824" s="121">
        <v>288.39999999999998</v>
      </c>
      <c r="G1824" s="121">
        <v>288.39999999999998</v>
      </c>
      <c r="H1824" t="s">
        <v>411</v>
      </c>
      <c r="I1824" s="156">
        <v>41089</v>
      </c>
      <c r="K1824" s="153"/>
      <c r="L1824" s="153"/>
      <c r="M1824" s="153"/>
      <c r="N1824" s="153"/>
      <c r="O1824" s="153"/>
      <c r="P1824" s="150"/>
      <c r="Q1824" s="150"/>
      <c r="R1824" s="153"/>
      <c r="S1824" s="154"/>
      <c r="T1824" s="115"/>
    </row>
    <row r="1825" spans="1:20">
      <c r="A1825" t="s">
        <v>1230</v>
      </c>
      <c r="B1825" t="s">
        <v>74</v>
      </c>
      <c r="C1825" t="s">
        <v>55</v>
      </c>
      <c r="D1825" t="s">
        <v>591</v>
      </c>
      <c r="E1825" t="s">
        <v>3462</v>
      </c>
      <c r="F1825" s="121">
        <v>290</v>
      </c>
      <c r="G1825" s="121">
        <v>290</v>
      </c>
      <c r="H1825" t="s">
        <v>411</v>
      </c>
      <c r="I1825" s="156">
        <v>41089</v>
      </c>
      <c r="K1825" s="153"/>
      <c r="L1825" s="153"/>
      <c r="M1825" s="153"/>
      <c r="N1825" s="153"/>
      <c r="O1825" s="153"/>
      <c r="P1825" s="152"/>
      <c r="Q1825" s="152"/>
      <c r="R1825" s="153"/>
      <c r="S1825" s="154"/>
      <c r="T1825" s="115"/>
    </row>
    <row r="1826" spans="1:20">
      <c r="A1826" t="s">
        <v>1230</v>
      </c>
      <c r="B1826" t="s">
        <v>74</v>
      </c>
      <c r="C1826" t="s">
        <v>55</v>
      </c>
      <c r="D1826" t="s">
        <v>588</v>
      </c>
      <c r="E1826" t="s">
        <v>3463</v>
      </c>
      <c r="F1826" s="121">
        <v>288.39999999999998</v>
      </c>
      <c r="G1826" s="121">
        <v>288.39999999999998</v>
      </c>
      <c r="H1826" t="s">
        <v>411</v>
      </c>
      <c r="I1826" s="156">
        <v>41089</v>
      </c>
      <c r="K1826" s="153"/>
      <c r="L1826" s="153"/>
      <c r="M1826" s="153"/>
      <c r="N1826" s="153"/>
      <c r="O1826" s="153"/>
      <c r="P1826" s="150"/>
      <c r="Q1826" s="150"/>
      <c r="R1826" s="153"/>
      <c r="S1826" s="154"/>
      <c r="T1826" s="115"/>
    </row>
    <row r="1827" spans="1:20">
      <c r="A1827" t="s">
        <v>1230</v>
      </c>
      <c r="B1827" t="s">
        <v>74</v>
      </c>
      <c r="C1827" t="s">
        <v>55</v>
      </c>
      <c r="D1827" t="s">
        <v>588</v>
      </c>
      <c r="E1827" t="s">
        <v>3464</v>
      </c>
      <c r="F1827" s="121">
        <v>288.39999999999998</v>
      </c>
      <c r="G1827" s="121">
        <v>288.39999999999998</v>
      </c>
      <c r="H1827" t="s">
        <v>411</v>
      </c>
      <c r="I1827" s="156">
        <v>41089</v>
      </c>
      <c r="K1827" s="153"/>
      <c r="L1827" s="153"/>
      <c r="M1827" s="153"/>
      <c r="N1827" s="153"/>
      <c r="O1827" s="153"/>
      <c r="P1827" s="150"/>
      <c r="Q1827" s="150"/>
      <c r="R1827" s="153"/>
      <c r="S1827" s="154"/>
      <c r="T1827" s="115"/>
    </row>
    <row r="1828" spans="1:20">
      <c r="A1828" t="s">
        <v>1230</v>
      </c>
      <c r="B1828" t="s">
        <v>74</v>
      </c>
      <c r="C1828" t="s">
        <v>55</v>
      </c>
      <c r="D1828" t="s">
        <v>591</v>
      </c>
      <c r="E1828" t="s">
        <v>3465</v>
      </c>
      <c r="F1828" s="121">
        <v>290</v>
      </c>
      <c r="G1828" s="121">
        <v>290</v>
      </c>
      <c r="H1828" t="s">
        <v>411</v>
      </c>
      <c r="I1828" s="156">
        <v>41089</v>
      </c>
      <c r="K1828" s="153"/>
      <c r="L1828" s="153"/>
      <c r="M1828" s="153"/>
      <c r="N1828" s="153"/>
      <c r="O1828" s="153"/>
      <c r="P1828" s="150"/>
      <c r="Q1828" s="150"/>
      <c r="R1828" s="153"/>
      <c r="S1828" s="154"/>
      <c r="T1828" s="115"/>
    </row>
    <row r="1829" spans="1:20">
      <c r="A1829" t="s">
        <v>1230</v>
      </c>
      <c r="B1829" t="s">
        <v>74</v>
      </c>
      <c r="C1829" t="s">
        <v>55</v>
      </c>
      <c r="D1829" t="s">
        <v>588</v>
      </c>
      <c r="E1829" t="s">
        <v>3466</v>
      </c>
      <c r="F1829" s="121">
        <v>288.39999999999998</v>
      </c>
      <c r="G1829" s="121">
        <v>288.39999999999998</v>
      </c>
      <c r="H1829" t="s">
        <v>411</v>
      </c>
      <c r="I1829" s="156">
        <v>41089</v>
      </c>
      <c r="K1829" s="153"/>
      <c r="L1829" s="153"/>
      <c r="M1829" s="153"/>
      <c r="N1829" s="153"/>
      <c r="O1829" s="153"/>
      <c r="P1829" s="150"/>
      <c r="Q1829" s="150"/>
      <c r="R1829" s="153"/>
      <c r="S1829" s="154"/>
      <c r="T1829" s="115"/>
    </row>
    <row r="1830" spans="1:20">
      <c r="A1830" t="s">
        <v>1230</v>
      </c>
      <c r="B1830" t="s">
        <v>74</v>
      </c>
      <c r="C1830" t="s">
        <v>55</v>
      </c>
      <c r="D1830" t="s">
        <v>588</v>
      </c>
      <c r="E1830" t="s">
        <v>3467</v>
      </c>
      <c r="F1830" s="121">
        <v>288.39999999999998</v>
      </c>
      <c r="G1830" s="121">
        <v>288.39999999999998</v>
      </c>
      <c r="H1830" t="s">
        <v>411</v>
      </c>
      <c r="I1830" s="156">
        <v>41089</v>
      </c>
      <c r="K1830" s="153"/>
      <c r="L1830" s="153"/>
      <c r="M1830" s="153"/>
      <c r="N1830" s="153"/>
      <c r="O1830" s="153"/>
      <c r="P1830" s="150"/>
      <c r="Q1830" s="150"/>
      <c r="R1830" s="153"/>
      <c r="S1830" s="154"/>
      <c r="T1830" s="115"/>
    </row>
    <row r="1831" spans="1:20">
      <c r="A1831" t="s">
        <v>1230</v>
      </c>
      <c r="B1831" t="s">
        <v>74</v>
      </c>
      <c r="C1831" t="s">
        <v>55</v>
      </c>
      <c r="D1831" t="s">
        <v>591</v>
      </c>
      <c r="E1831" t="s">
        <v>3468</v>
      </c>
      <c r="F1831" s="121">
        <v>290</v>
      </c>
      <c r="G1831" s="121">
        <v>290</v>
      </c>
      <c r="H1831" t="s">
        <v>411</v>
      </c>
      <c r="I1831" s="156">
        <v>41089</v>
      </c>
      <c r="K1831" s="153"/>
      <c r="L1831" s="153"/>
      <c r="M1831" s="153"/>
      <c r="N1831" s="153"/>
      <c r="O1831" s="153"/>
      <c r="P1831" s="150"/>
      <c r="Q1831" s="150"/>
      <c r="R1831" s="153"/>
      <c r="S1831" s="154"/>
      <c r="T1831" s="115"/>
    </row>
    <row r="1832" spans="1:20">
      <c r="A1832" t="s">
        <v>1230</v>
      </c>
      <c r="B1832" t="s">
        <v>74</v>
      </c>
      <c r="C1832" t="s">
        <v>55</v>
      </c>
      <c r="D1832" t="s">
        <v>588</v>
      </c>
      <c r="E1832" t="s">
        <v>3469</v>
      </c>
      <c r="F1832" s="121">
        <v>288.39999999999998</v>
      </c>
      <c r="G1832" s="121">
        <v>288.39999999999998</v>
      </c>
      <c r="H1832" t="s">
        <v>411</v>
      </c>
      <c r="I1832" s="156">
        <v>41089</v>
      </c>
      <c r="K1832" s="153"/>
      <c r="L1832" s="153"/>
      <c r="M1832" s="153"/>
      <c r="N1832" s="153"/>
      <c r="O1832" s="153"/>
      <c r="P1832" s="150"/>
      <c r="Q1832" s="150"/>
      <c r="R1832" s="153"/>
      <c r="S1832" s="154"/>
      <c r="T1832" s="115"/>
    </row>
    <row r="1833" spans="1:20">
      <c r="A1833" t="s">
        <v>1230</v>
      </c>
      <c r="B1833" t="s">
        <v>74</v>
      </c>
      <c r="C1833" t="s">
        <v>55</v>
      </c>
      <c r="D1833" t="s">
        <v>588</v>
      </c>
      <c r="E1833" t="s">
        <v>3470</v>
      </c>
      <c r="F1833" s="121">
        <v>288.39999999999998</v>
      </c>
      <c r="G1833" s="121">
        <v>288.39999999999998</v>
      </c>
      <c r="H1833" t="s">
        <v>411</v>
      </c>
      <c r="I1833" s="156">
        <v>41089</v>
      </c>
      <c r="K1833" s="153"/>
      <c r="L1833" s="153"/>
      <c r="M1833" s="153"/>
      <c r="N1833" s="153"/>
      <c r="O1833" s="153"/>
      <c r="P1833" s="150"/>
      <c r="Q1833" s="150"/>
      <c r="R1833" s="153"/>
      <c r="S1833" s="154"/>
      <c r="T1833" s="115"/>
    </row>
    <row r="1834" spans="1:20">
      <c r="A1834" t="s">
        <v>1230</v>
      </c>
      <c r="B1834" t="s">
        <v>74</v>
      </c>
      <c r="C1834" t="s">
        <v>55</v>
      </c>
      <c r="D1834" t="s">
        <v>591</v>
      </c>
      <c r="E1834" t="s">
        <v>3471</v>
      </c>
      <c r="F1834" s="121">
        <v>290</v>
      </c>
      <c r="G1834" s="121">
        <v>290</v>
      </c>
      <c r="H1834" t="s">
        <v>411</v>
      </c>
      <c r="I1834" s="156">
        <v>41089</v>
      </c>
      <c r="K1834" s="153"/>
      <c r="L1834" s="153"/>
      <c r="M1834" s="153"/>
      <c r="N1834" s="153"/>
      <c r="O1834" s="153"/>
      <c r="P1834" s="150"/>
      <c r="Q1834" s="150"/>
      <c r="R1834" s="153"/>
      <c r="S1834" s="154"/>
      <c r="T1834" s="115"/>
    </row>
    <row r="1835" spans="1:20">
      <c r="A1835" t="s">
        <v>1230</v>
      </c>
      <c r="B1835" t="s">
        <v>74</v>
      </c>
      <c r="C1835" t="s">
        <v>55</v>
      </c>
      <c r="D1835" t="s">
        <v>588</v>
      </c>
      <c r="E1835" t="s">
        <v>3472</v>
      </c>
      <c r="F1835" s="121">
        <v>288.39999999999998</v>
      </c>
      <c r="G1835" s="121">
        <v>288.39999999999998</v>
      </c>
      <c r="H1835" t="s">
        <v>398</v>
      </c>
      <c r="I1835" s="156">
        <v>41089</v>
      </c>
      <c r="K1835" s="153"/>
      <c r="L1835" s="153"/>
      <c r="M1835" s="153"/>
      <c r="N1835" s="153"/>
      <c r="O1835" s="153"/>
      <c r="P1835" s="150"/>
      <c r="Q1835" s="150"/>
      <c r="R1835" s="153"/>
      <c r="S1835" s="154"/>
      <c r="T1835" s="115"/>
    </row>
    <row r="1836" spans="1:20">
      <c r="A1836" t="s">
        <v>1230</v>
      </c>
      <c r="B1836" t="s">
        <v>74</v>
      </c>
      <c r="C1836" t="s">
        <v>55</v>
      </c>
      <c r="D1836" t="s">
        <v>588</v>
      </c>
      <c r="E1836" t="s">
        <v>3473</v>
      </c>
      <c r="F1836" s="121">
        <v>288.39999999999998</v>
      </c>
      <c r="G1836" s="121">
        <v>288.39999999999998</v>
      </c>
      <c r="H1836" t="s">
        <v>411</v>
      </c>
      <c r="I1836" s="156">
        <v>41089</v>
      </c>
      <c r="K1836" s="153"/>
      <c r="L1836" s="153"/>
      <c r="M1836" s="153"/>
      <c r="N1836" s="153"/>
      <c r="O1836" s="153"/>
      <c r="P1836" s="150"/>
      <c r="Q1836" s="150"/>
      <c r="R1836" s="153"/>
      <c r="S1836" s="154"/>
      <c r="T1836" s="115"/>
    </row>
    <row r="1837" spans="1:20">
      <c r="A1837" t="s">
        <v>1230</v>
      </c>
      <c r="B1837" t="s">
        <v>74</v>
      </c>
      <c r="C1837" t="s">
        <v>55</v>
      </c>
      <c r="D1837" t="s">
        <v>591</v>
      </c>
      <c r="E1837" t="s">
        <v>3474</v>
      </c>
      <c r="F1837" s="121">
        <v>290</v>
      </c>
      <c r="G1837" s="121">
        <v>290</v>
      </c>
      <c r="H1837" t="s">
        <v>411</v>
      </c>
      <c r="I1837" s="156">
        <v>41089</v>
      </c>
      <c r="K1837" s="153"/>
      <c r="L1837" s="153"/>
      <c r="M1837" s="153"/>
      <c r="N1837" s="153"/>
      <c r="O1837" s="153"/>
      <c r="P1837" s="150"/>
      <c r="Q1837" s="150"/>
      <c r="R1837" s="153"/>
      <c r="S1837" s="154"/>
      <c r="T1837" s="115"/>
    </row>
    <row r="1838" spans="1:20">
      <c r="A1838" t="s">
        <v>1230</v>
      </c>
      <c r="B1838" t="s">
        <v>74</v>
      </c>
      <c r="C1838" t="s">
        <v>55</v>
      </c>
      <c r="D1838" t="s">
        <v>588</v>
      </c>
      <c r="E1838" t="s">
        <v>3475</v>
      </c>
      <c r="F1838" s="121">
        <v>288.39999999999998</v>
      </c>
      <c r="G1838" s="121">
        <v>288.39999999999998</v>
      </c>
      <c r="H1838" t="s">
        <v>411</v>
      </c>
      <c r="I1838" s="156">
        <v>41089</v>
      </c>
      <c r="K1838" s="153"/>
      <c r="L1838" s="153"/>
      <c r="M1838" s="153"/>
      <c r="N1838" s="153"/>
      <c r="O1838" s="153"/>
      <c r="P1838" s="150"/>
      <c r="Q1838" s="150"/>
      <c r="R1838" s="153"/>
      <c r="S1838" s="154"/>
      <c r="T1838" s="115"/>
    </row>
    <row r="1839" spans="1:20">
      <c r="A1839" t="s">
        <v>1230</v>
      </c>
      <c r="B1839" t="s">
        <v>74</v>
      </c>
      <c r="C1839" t="s">
        <v>55</v>
      </c>
      <c r="D1839" t="s">
        <v>588</v>
      </c>
      <c r="E1839" t="s">
        <v>3476</v>
      </c>
      <c r="F1839" s="121">
        <v>288.39999999999998</v>
      </c>
      <c r="G1839" s="121">
        <v>288.39999999999998</v>
      </c>
      <c r="H1839" t="s">
        <v>411</v>
      </c>
      <c r="I1839" s="156">
        <v>41089</v>
      </c>
      <c r="K1839" s="153"/>
      <c r="L1839" s="153"/>
      <c r="M1839" s="153"/>
      <c r="N1839" s="153"/>
      <c r="O1839" s="153"/>
      <c r="P1839" s="150"/>
      <c r="Q1839" s="150"/>
      <c r="R1839" s="153"/>
      <c r="S1839" s="154"/>
      <c r="T1839" s="115"/>
    </row>
    <row r="1840" spans="1:20">
      <c r="A1840" t="s">
        <v>1230</v>
      </c>
      <c r="B1840" t="s">
        <v>74</v>
      </c>
      <c r="C1840" t="s">
        <v>55</v>
      </c>
      <c r="D1840" t="s">
        <v>591</v>
      </c>
      <c r="E1840" t="s">
        <v>3477</v>
      </c>
      <c r="F1840" s="121">
        <v>290</v>
      </c>
      <c r="G1840" s="121">
        <v>290</v>
      </c>
      <c r="H1840" t="s">
        <v>411</v>
      </c>
      <c r="I1840" s="156">
        <v>41089</v>
      </c>
      <c r="K1840" s="153"/>
      <c r="L1840" s="153"/>
      <c r="M1840" s="153"/>
      <c r="N1840" s="153"/>
      <c r="O1840" s="153"/>
      <c r="P1840" s="150"/>
      <c r="Q1840" s="150"/>
      <c r="R1840" s="153"/>
      <c r="S1840" s="154"/>
      <c r="T1840" s="115"/>
    </row>
    <row r="1841" spans="1:20">
      <c r="A1841" t="s">
        <v>1230</v>
      </c>
      <c r="B1841" t="s">
        <v>74</v>
      </c>
      <c r="C1841" t="s">
        <v>55</v>
      </c>
      <c r="D1841" t="s">
        <v>588</v>
      </c>
      <c r="E1841" t="s">
        <v>3478</v>
      </c>
      <c r="F1841" s="121">
        <v>288.39999999999998</v>
      </c>
      <c r="G1841" s="121">
        <v>288.39999999999998</v>
      </c>
      <c r="H1841" t="s">
        <v>411</v>
      </c>
      <c r="I1841" s="156">
        <v>41089</v>
      </c>
      <c r="K1841" s="153"/>
      <c r="L1841" s="153"/>
      <c r="M1841" s="153"/>
      <c r="N1841" s="153"/>
      <c r="O1841" s="153"/>
      <c r="P1841" s="150"/>
      <c r="Q1841" s="150"/>
      <c r="R1841" s="153"/>
      <c r="S1841" s="154"/>
      <c r="T1841" s="115"/>
    </row>
    <row r="1842" spans="1:20">
      <c r="A1842" t="s">
        <v>1230</v>
      </c>
      <c r="B1842" t="s">
        <v>74</v>
      </c>
      <c r="C1842" t="s">
        <v>55</v>
      </c>
      <c r="D1842" t="s">
        <v>588</v>
      </c>
      <c r="E1842" t="s">
        <v>3479</v>
      </c>
      <c r="F1842" s="121">
        <v>288.39999999999998</v>
      </c>
      <c r="G1842" s="121">
        <v>288.39999999999998</v>
      </c>
      <c r="H1842" t="s">
        <v>411</v>
      </c>
      <c r="I1842" s="156">
        <v>41089</v>
      </c>
      <c r="K1842" s="153"/>
      <c r="L1842" s="153"/>
      <c r="M1842" s="153"/>
      <c r="N1842" s="153"/>
      <c r="O1842" s="153"/>
      <c r="P1842" s="150"/>
      <c r="Q1842" s="150"/>
      <c r="R1842" s="153"/>
      <c r="S1842" s="154"/>
      <c r="T1842" s="115"/>
    </row>
    <row r="1843" spans="1:20">
      <c r="A1843" t="s">
        <v>1230</v>
      </c>
      <c r="B1843" t="s">
        <v>73</v>
      </c>
      <c r="C1843" t="s">
        <v>43</v>
      </c>
      <c r="D1843" t="s">
        <v>566</v>
      </c>
      <c r="E1843" t="s">
        <v>3480</v>
      </c>
      <c r="F1843" s="121">
        <v>1957</v>
      </c>
      <c r="G1843" s="121">
        <v>1957</v>
      </c>
      <c r="H1843" t="s">
        <v>424</v>
      </c>
      <c r="I1843" s="156">
        <v>41089</v>
      </c>
      <c r="K1843" s="153"/>
      <c r="L1843" s="153"/>
      <c r="M1843" s="153"/>
      <c r="N1843" s="153"/>
      <c r="O1843" s="153"/>
      <c r="P1843" s="150"/>
      <c r="Q1843" s="150"/>
      <c r="R1843" s="153"/>
      <c r="S1843" s="154"/>
      <c r="T1843" s="115"/>
    </row>
    <row r="1844" spans="1:20">
      <c r="A1844" t="s">
        <v>1230</v>
      </c>
      <c r="B1844" t="s">
        <v>73</v>
      </c>
      <c r="C1844" t="s">
        <v>51</v>
      </c>
      <c r="D1844" t="s">
        <v>621</v>
      </c>
      <c r="E1844" t="s">
        <v>3481</v>
      </c>
      <c r="F1844" s="121">
        <v>45835</v>
      </c>
      <c r="G1844" s="121">
        <v>45835</v>
      </c>
      <c r="H1844" t="s">
        <v>411</v>
      </c>
      <c r="I1844" s="156">
        <v>41089</v>
      </c>
      <c r="K1844" s="153"/>
      <c r="L1844" s="153"/>
      <c r="M1844" s="153"/>
      <c r="N1844" s="153"/>
      <c r="O1844" s="153"/>
      <c r="P1844" s="150"/>
      <c r="Q1844" s="150"/>
      <c r="R1844" s="153"/>
      <c r="S1844" s="154"/>
      <c r="T1844" s="115"/>
    </row>
    <row r="1845" spans="1:20">
      <c r="A1845" t="s">
        <v>1230</v>
      </c>
      <c r="B1845" t="s">
        <v>73</v>
      </c>
      <c r="C1845" t="s">
        <v>43</v>
      </c>
      <c r="D1845" t="s">
        <v>537</v>
      </c>
      <c r="E1845" t="s">
        <v>3482</v>
      </c>
      <c r="F1845" s="121">
        <v>937.2</v>
      </c>
      <c r="G1845" s="121">
        <v>937.3</v>
      </c>
      <c r="H1845" t="s">
        <v>424</v>
      </c>
      <c r="I1845" s="156">
        <v>41089</v>
      </c>
      <c r="K1845" s="153"/>
      <c r="L1845" s="153"/>
      <c r="M1845" s="153"/>
      <c r="N1845" s="153"/>
      <c r="O1845" s="153"/>
      <c r="P1845" s="150"/>
      <c r="Q1845" s="150"/>
      <c r="R1845" s="153"/>
      <c r="S1845" s="154"/>
      <c r="T1845" s="115"/>
    </row>
    <row r="1846" spans="1:20">
      <c r="A1846" t="s">
        <v>1230</v>
      </c>
      <c r="B1846" t="s">
        <v>73</v>
      </c>
      <c r="C1846" t="s">
        <v>55</v>
      </c>
      <c r="D1846" t="s">
        <v>659</v>
      </c>
      <c r="E1846" t="s">
        <v>3483</v>
      </c>
      <c r="F1846" s="121">
        <v>250</v>
      </c>
      <c r="G1846" s="121">
        <v>113.3</v>
      </c>
      <c r="H1846" t="s">
        <v>424</v>
      </c>
      <c r="I1846" s="156">
        <v>38352</v>
      </c>
      <c r="K1846" s="153"/>
      <c r="L1846" s="153"/>
      <c r="M1846" s="153"/>
      <c r="N1846" s="153"/>
      <c r="O1846" s="153"/>
      <c r="P1846" s="150"/>
      <c r="Q1846" s="150"/>
      <c r="R1846" s="153"/>
      <c r="S1846" s="154"/>
      <c r="T1846" s="115"/>
    </row>
    <row r="1847" spans="1:20">
      <c r="A1847" t="s">
        <v>1230</v>
      </c>
      <c r="B1847" t="s">
        <v>73</v>
      </c>
      <c r="C1847" t="s">
        <v>55</v>
      </c>
      <c r="D1847" t="s">
        <v>573</v>
      </c>
      <c r="E1847" t="s">
        <v>3484</v>
      </c>
      <c r="F1847" s="121">
        <v>97.85</v>
      </c>
      <c r="G1847" s="121">
        <v>97.85</v>
      </c>
      <c r="H1847" t="s">
        <v>424</v>
      </c>
      <c r="I1847" s="156">
        <v>41089</v>
      </c>
      <c r="K1847" s="153"/>
      <c r="L1847" s="153"/>
      <c r="M1847" s="153"/>
      <c r="N1847" s="153"/>
      <c r="O1847" s="153"/>
      <c r="P1847" s="152"/>
      <c r="Q1847" s="152"/>
      <c r="R1847" s="153"/>
      <c r="S1847" s="154"/>
      <c r="T1847" s="115"/>
    </row>
    <row r="1848" spans="1:20">
      <c r="A1848" t="s">
        <v>1230</v>
      </c>
      <c r="B1848" t="s">
        <v>73</v>
      </c>
      <c r="C1848" t="s">
        <v>55</v>
      </c>
      <c r="D1848" t="s">
        <v>589</v>
      </c>
      <c r="E1848" t="s">
        <v>7373</v>
      </c>
      <c r="F1848" s="121">
        <v>113.3</v>
      </c>
      <c r="G1848" s="121">
        <v>113.3</v>
      </c>
      <c r="H1848" t="s">
        <v>424</v>
      </c>
      <c r="I1848" s="156">
        <v>41089</v>
      </c>
      <c r="K1848" s="153"/>
      <c r="L1848" s="153"/>
      <c r="M1848" s="153"/>
      <c r="N1848" s="153"/>
      <c r="O1848" s="153"/>
      <c r="P1848" s="152"/>
      <c r="Q1848" s="152"/>
      <c r="R1848" s="153"/>
      <c r="S1848" s="154"/>
      <c r="T1848" s="115"/>
    </row>
    <row r="1849" spans="1:20">
      <c r="A1849" t="s">
        <v>1230</v>
      </c>
      <c r="B1849" t="s">
        <v>73</v>
      </c>
      <c r="C1849" t="s">
        <v>55</v>
      </c>
      <c r="D1849" t="s">
        <v>589</v>
      </c>
      <c r="E1849" t="s">
        <v>7374</v>
      </c>
      <c r="F1849" s="121">
        <v>108.15</v>
      </c>
      <c r="G1849" s="121">
        <v>108.15</v>
      </c>
      <c r="H1849" t="s">
        <v>424</v>
      </c>
      <c r="I1849" s="156">
        <v>41089</v>
      </c>
      <c r="K1849" s="153"/>
      <c r="L1849" s="153"/>
      <c r="M1849" s="153"/>
      <c r="N1849" s="153"/>
      <c r="O1849" s="153"/>
      <c r="P1849" s="150"/>
      <c r="Q1849" s="150"/>
      <c r="R1849" s="153"/>
      <c r="S1849" s="154"/>
      <c r="T1849" s="115"/>
    </row>
    <row r="1850" spans="1:20">
      <c r="A1850" t="s">
        <v>1230</v>
      </c>
      <c r="B1850" t="s">
        <v>73</v>
      </c>
      <c r="C1850" t="s">
        <v>55</v>
      </c>
      <c r="D1850" t="s">
        <v>589</v>
      </c>
      <c r="E1850" t="s">
        <v>7375</v>
      </c>
      <c r="F1850" s="121">
        <v>92.7</v>
      </c>
      <c r="G1850" s="121">
        <v>92.7</v>
      </c>
      <c r="H1850" t="s">
        <v>424</v>
      </c>
      <c r="I1850" s="156">
        <v>41089</v>
      </c>
      <c r="K1850" s="153"/>
      <c r="L1850" s="153"/>
      <c r="M1850" s="153"/>
      <c r="N1850" s="153"/>
      <c r="O1850" s="153"/>
      <c r="P1850" s="150"/>
      <c r="Q1850" s="150"/>
      <c r="R1850" s="153"/>
      <c r="S1850" s="154"/>
      <c r="T1850" s="115"/>
    </row>
    <row r="1851" spans="1:20">
      <c r="A1851" t="s">
        <v>1230</v>
      </c>
      <c r="B1851" t="s">
        <v>73</v>
      </c>
      <c r="C1851" t="s">
        <v>55</v>
      </c>
      <c r="D1851" t="s">
        <v>556</v>
      </c>
      <c r="E1851" t="s">
        <v>3485</v>
      </c>
      <c r="F1851" s="121">
        <v>300</v>
      </c>
      <c r="G1851" s="121">
        <v>348.9</v>
      </c>
      <c r="H1851" t="s">
        <v>424</v>
      </c>
      <c r="I1851" s="156">
        <v>39813</v>
      </c>
      <c r="K1851" s="153"/>
      <c r="L1851" s="153"/>
      <c r="M1851" s="153"/>
      <c r="N1851" s="153"/>
      <c r="O1851" s="153"/>
      <c r="P1851" s="150"/>
      <c r="Q1851" s="150"/>
      <c r="R1851" s="153"/>
      <c r="S1851" s="154"/>
      <c r="T1851" s="115"/>
    </row>
    <row r="1852" spans="1:20">
      <c r="A1852" t="s">
        <v>1230</v>
      </c>
      <c r="B1852" t="s">
        <v>73</v>
      </c>
      <c r="C1852" t="s">
        <v>55</v>
      </c>
      <c r="D1852" t="s">
        <v>660</v>
      </c>
      <c r="E1852" t="s">
        <v>3486</v>
      </c>
      <c r="F1852" s="121">
        <v>350</v>
      </c>
      <c r="G1852" s="121">
        <v>386.25</v>
      </c>
      <c r="H1852" t="s">
        <v>424</v>
      </c>
      <c r="I1852" s="156">
        <v>39813</v>
      </c>
      <c r="K1852" s="153"/>
      <c r="L1852" s="153"/>
      <c r="M1852" s="153"/>
      <c r="N1852" s="153"/>
      <c r="O1852" s="153"/>
      <c r="P1852" s="150"/>
      <c r="Q1852" s="150"/>
      <c r="R1852" s="153"/>
      <c r="S1852" s="154"/>
      <c r="T1852" s="115"/>
    </row>
    <row r="1853" spans="1:20">
      <c r="A1853" t="s">
        <v>1230</v>
      </c>
      <c r="B1853" t="s">
        <v>73</v>
      </c>
      <c r="C1853" t="s">
        <v>55</v>
      </c>
      <c r="D1853" t="s">
        <v>5386</v>
      </c>
      <c r="E1853" t="s">
        <v>3487</v>
      </c>
      <c r="F1853" s="121">
        <v>200</v>
      </c>
      <c r="G1853" s="121">
        <v>298.7</v>
      </c>
      <c r="H1853" t="s">
        <v>424</v>
      </c>
      <c r="I1853" s="156">
        <v>39447</v>
      </c>
      <c r="K1853" s="153"/>
      <c r="L1853" s="153"/>
      <c r="M1853" s="153"/>
      <c r="N1853" s="153"/>
      <c r="O1853" s="153"/>
      <c r="P1853" s="150"/>
      <c r="Q1853" s="150"/>
      <c r="R1853" s="153"/>
      <c r="S1853" s="154"/>
      <c r="T1853" s="115"/>
    </row>
    <row r="1854" spans="1:20">
      <c r="A1854" t="s">
        <v>1230</v>
      </c>
      <c r="B1854" t="s">
        <v>73</v>
      </c>
      <c r="C1854" t="s">
        <v>55</v>
      </c>
      <c r="D1854" t="s">
        <v>589</v>
      </c>
      <c r="E1854" t="s">
        <v>7376</v>
      </c>
      <c r="F1854" s="121">
        <v>94.76</v>
      </c>
      <c r="G1854" s="121">
        <v>94.76</v>
      </c>
      <c r="H1854" t="s">
        <v>424</v>
      </c>
      <c r="I1854" s="156">
        <v>41089</v>
      </c>
      <c r="K1854" s="153"/>
      <c r="L1854" s="153"/>
      <c r="M1854" s="153"/>
      <c r="N1854" s="153"/>
      <c r="O1854" s="153"/>
      <c r="P1854" s="150"/>
      <c r="Q1854" s="150"/>
      <c r="R1854" s="153"/>
      <c r="S1854" s="154"/>
      <c r="T1854" s="115"/>
    </row>
    <row r="1855" spans="1:20">
      <c r="A1855" t="s">
        <v>1230</v>
      </c>
      <c r="B1855" t="s">
        <v>73</v>
      </c>
      <c r="C1855" t="s">
        <v>43</v>
      </c>
      <c r="D1855" t="s">
        <v>7377</v>
      </c>
      <c r="E1855" t="s">
        <v>7378</v>
      </c>
      <c r="F1855" s="121">
        <v>250</v>
      </c>
      <c r="G1855" s="121">
        <v>973.35</v>
      </c>
      <c r="H1855" t="s">
        <v>424</v>
      </c>
      <c r="I1855" s="156">
        <v>39813</v>
      </c>
      <c r="K1855" s="153"/>
      <c r="L1855" s="153"/>
      <c r="M1855" s="153"/>
      <c r="N1855" s="153"/>
      <c r="O1855" s="153"/>
      <c r="P1855" s="150"/>
      <c r="Q1855" s="150"/>
      <c r="R1855" s="153"/>
      <c r="S1855" s="154"/>
      <c r="T1855" s="115"/>
    </row>
    <row r="1856" spans="1:20">
      <c r="A1856" t="s">
        <v>1230</v>
      </c>
      <c r="B1856" t="s">
        <v>73</v>
      </c>
      <c r="C1856" t="s">
        <v>43</v>
      </c>
      <c r="D1856" t="s">
        <v>661</v>
      </c>
      <c r="E1856" t="s">
        <v>3488</v>
      </c>
      <c r="F1856" s="121">
        <v>1038</v>
      </c>
      <c r="G1856" s="121">
        <v>780</v>
      </c>
      <c r="H1856" t="s">
        <v>424</v>
      </c>
      <c r="I1856" s="156">
        <v>40883</v>
      </c>
      <c r="K1856" s="153"/>
      <c r="L1856" s="153"/>
      <c r="M1856" s="153"/>
      <c r="N1856" s="153"/>
      <c r="O1856" s="153"/>
      <c r="P1856" s="152"/>
      <c r="Q1856" s="152"/>
      <c r="R1856" s="153"/>
      <c r="S1856" s="154"/>
      <c r="T1856" s="115"/>
    </row>
    <row r="1857" spans="1:20">
      <c r="A1857" t="s">
        <v>1230</v>
      </c>
      <c r="B1857" t="s">
        <v>73</v>
      </c>
      <c r="C1857" t="s">
        <v>55</v>
      </c>
      <c r="D1857" t="s">
        <v>7189</v>
      </c>
      <c r="E1857" t="s">
        <v>7379</v>
      </c>
      <c r="F1857" s="121">
        <v>250</v>
      </c>
      <c r="G1857" s="121">
        <v>103</v>
      </c>
      <c r="H1857" t="s">
        <v>424</v>
      </c>
      <c r="I1857" s="156">
        <v>38352</v>
      </c>
      <c r="K1857" s="153"/>
      <c r="L1857" s="153"/>
      <c r="M1857" s="153"/>
      <c r="N1857" s="153"/>
      <c r="O1857" s="153"/>
      <c r="P1857" s="150"/>
      <c r="Q1857" s="150"/>
      <c r="R1857" s="153"/>
      <c r="S1857" s="154"/>
      <c r="T1857" s="115"/>
    </row>
    <row r="1858" spans="1:20">
      <c r="A1858" t="s">
        <v>1230</v>
      </c>
      <c r="B1858" t="s">
        <v>73</v>
      </c>
      <c r="C1858" t="s">
        <v>55</v>
      </c>
      <c r="D1858" t="s">
        <v>662</v>
      </c>
      <c r="E1858" t="s">
        <v>3489</v>
      </c>
      <c r="F1858" s="121">
        <v>275</v>
      </c>
      <c r="G1858" s="121">
        <v>185.4</v>
      </c>
      <c r="H1858" t="s">
        <v>424</v>
      </c>
      <c r="I1858" s="156">
        <v>40882</v>
      </c>
      <c r="K1858" s="153"/>
      <c r="L1858" s="153"/>
      <c r="M1858" s="153"/>
      <c r="N1858" s="153"/>
      <c r="O1858" s="153"/>
      <c r="P1858" s="150"/>
      <c r="Q1858" s="150"/>
      <c r="R1858" s="153"/>
      <c r="S1858" s="154"/>
      <c r="T1858" s="115"/>
    </row>
    <row r="1859" spans="1:20">
      <c r="A1859" t="s">
        <v>1230</v>
      </c>
      <c r="B1859" t="s">
        <v>73</v>
      </c>
      <c r="C1859" t="s">
        <v>55</v>
      </c>
      <c r="D1859" t="s">
        <v>568</v>
      </c>
      <c r="E1859" t="s">
        <v>3490</v>
      </c>
      <c r="F1859" s="121">
        <v>298.7</v>
      </c>
      <c r="G1859" s="121">
        <v>298.7</v>
      </c>
      <c r="H1859" t="s">
        <v>424</v>
      </c>
      <c r="I1859" s="156">
        <v>41089</v>
      </c>
      <c r="K1859" s="153"/>
      <c r="L1859" s="153"/>
      <c r="M1859" s="153"/>
      <c r="N1859" s="153"/>
      <c r="O1859" s="153"/>
      <c r="P1859" s="150"/>
      <c r="Q1859" s="150"/>
      <c r="R1859" s="153"/>
      <c r="S1859" s="154"/>
      <c r="T1859" s="115"/>
    </row>
    <row r="1860" spans="1:20">
      <c r="A1860" t="s">
        <v>1230</v>
      </c>
      <c r="B1860" t="s">
        <v>73</v>
      </c>
      <c r="C1860" t="s">
        <v>55</v>
      </c>
      <c r="D1860" t="s">
        <v>589</v>
      </c>
      <c r="E1860" t="s">
        <v>7380</v>
      </c>
      <c r="F1860" s="121">
        <v>159.65</v>
      </c>
      <c r="G1860" s="121">
        <v>159.65</v>
      </c>
      <c r="H1860" t="s">
        <v>424</v>
      </c>
      <c r="I1860" s="156">
        <v>41089</v>
      </c>
      <c r="K1860" s="153"/>
      <c r="L1860" s="153"/>
      <c r="M1860" s="153"/>
      <c r="N1860" s="153"/>
      <c r="O1860" s="153"/>
      <c r="P1860" s="152"/>
      <c r="Q1860" s="152"/>
      <c r="R1860" s="153"/>
      <c r="S1860" s="154"/>
      <c r="T1860" s="115"/>
    </row>
    <row r="1861" spans="1:20">
      <c r="A1861" t="s">
        <v>1230</v>
      </c>
      <c r="B1861" t="s">
        <v>73</v>
      </c>
      <c r="C1861" t="s">
        <v>55</v>
      </c>
      <c r="D1861" t="s">
        <v>547</v>
      </c>
      <c r="E1861" t="s">
        <v>3491</v>
      </c>
      <c r="F1861" s="121">
        <v>741.6</v>
      </c>
      <c r="G1861" s="121">
        <v>741.6</v>
      </c>
      <c r="H1861" t="s">
        <v>424</v>
      </c>
      <c r="I1861" s="156">
        <v>41089</v>
      </c>
      <c r="K1861" s="153"/>
      <c r="L1861" s="153"/>
      <c r="M1861" s="153"/>
      <c r="N1861" s="153"/>
      <c r="O1861" s="153"/>
      <c r="P1861" s="150"/>
      <c r="Q1861" s="150"/>
      <c r="R1861" s="153"/>
      <c r="S1861" s="154"/>
      <c r="T1861" s="115"/>
    </row>
    <row r="1862" spans="1:20">
      <c r="A1862" t="s">
        <v>1230</v>
      </c>
      <c r="B1862" t="s">
        <v>73</v>
      </c>
      <c r="C1862" t="s">
        <v>55</v>
      </c>
      <c r="D1862" t="s">
        <v>591</v>
      </c>
      <c r="E1862" t="s">
        <v>3492</v>
      </c>
      <c r="F1862" s="121">
        <v>290</v>
      </c>
      <c r="G1862" s="121">
        <v>290</v>
      </c>
      <c r="H1862" t="s">
        <v>424</v>
      </c>
      <c r="I1862" s="156">
        <v>41089</v>
      </c>
      <c r="K1862" s="153"/>
      <c r="L1862" s="153"/>
      <c r="M1862" s="153"/>
      <c r="N1862" s="153"/>
      <c r="O1862" s="153"/>
      <c r="P1862" s="150"/>
      <c r="Q1862" s="150"/>
      <c r="R1862" s="153"/>
      <c r="S1862" s="154"/>
      <c r="T1862" s="115"/>
    </row>
    <row r="1863" spans="1:20">
      <c r="A1863" t="s">
        <v>1230</v>
      </c>
      <c r="B1863" t="s">
        <v>73</v>
      </c>
      <c r="C1863" t="s">
        <v>55</v>
      </c>
      <c r="D1863" t="s">
        <v>588</v>
      </c>
      <c r="E1863" t="s">
        <v>3493</v>
      </c>
      <c r="F1863" s="121">
        <v>97.85</v>
      </c>
      <c r="G1863" s="121">
        <v>97.85</v>
      </c>
      <c r="H1863" t="s">
        <v>424</v>
      </c>
      <c r="I1863" s="156">
        <v>41089</v>
      </c>
      <c r="K1863" s="153"/>
      <c r="L1863" s="153"/>
      <c r="M1863" s="153"/>
      <c r="N1863" s="153"/>
      <c r="O1863" s="153"/>
      <c r="P1863" s="152"/>
      <c r="Q1863" s="152"/>
      <c r="R1863" s="153"/>
      <c r="S1863" s="154"/>
      <c r="T1863" s="115"/>
    </row>
    <row r="1864" spans="1:20">
      <c r="A1864" t="s">
        <v>1230</v>
      </c>
      <c r="B1864" t="s">
        <v>73</v>
      </c>
      <c r="C1864" t="s">
        <v>55</v>
      </c>
      <c r="D1864" t="s">
        <v>588</v>
      </c>
      <c r="E1864" t="s">
        <v>3494</v>
      </c>
      <c r="F1864" s="121">
        <v>97.85</v>
      </c>
      <c r="G1864" s="121">
        <v>97.85</v>
      </c>
      <c r="H1864" t="s">
        <v>424</v>
      </c>
      <c r="I1864" s="156">
        <v>41089</v>
      </c>
      <c r="K1864" s="153"/>
      <c r="L1864" s="153"/>
      <c r="M1864" s="153"/>
      <c r="N1864" s="153"/>
      <c r="O1864" s="153"/>
      <c r="P1864" s="150"/>
      <c r="Q1864" s="150"/>
      <c r="R1864" s="153"/>
      <c r="S1864" s="154"/>
      <c r="T1864" s="115"/>
    </row>
    <row r="1865" spans="1:20">
      <c r="A1865" t="s">
        <v>1230</v>
      </c>
      <c r="B1865" t="s">
        <v>73</v>
      </c>
      <c r="C1865" t="s">
        <v>55</v>
      </c>
      <c r="D1865" t="s">
        <v>588</v>
      </c>
      <c r="E1865" t="s">
        <v>3495</v>
      </c>
      <c r="F1865" s="121">
        <v>97.85</v>
      </c>
      <c r="G1865" s="121">
        <v>97.85</v>
      </c>
      <c r="H1865" t="s">
        <v>424</v>
      </c>
      <c r="I1865" s="156">
        <v>41089</v>
      </c>
      <c r="K1865" s="153"/>
      <c r="L1865" s="153"/>
      <c r="M1865" s="153"/>
      <c r="N1865" s="153"/>
      <c r="O1865" s="153"/>
      <c r="P1865" s="150"/>
      <c r="Q1865" s="150"/>
      <c r="R1865" s="153"/>
      <c r="S1865" s="154"/>
      <c r="T1865" s="115"/>
    </row>
    <row r="1866" spans="1:20">
      <c r="A1866" t="s">
        <v>1230</v>
      </c>
      <c r="B1866" t="s">
        <v>73</v>
      </c>
      <c r="C1866" t="s">
        <v>43</v>
      </c>
      <c r="D1866" t="s">
        <v>625</v>
      </c>
      <c r="E1866" t="s">
        <v>3496</v>
      </c>
      <c r="F1866" s="121">
        <v>1854</v>
      </c>
      <c r="G1866" s="121">
        <v>1854</v>
      </c>
      <c r="H1866" t="s">
        <v>424</v>
      </c>
      <c r="I1866" s="156">
        <v>41089</v>
      </c>
      <c r="K1866" s="153"/>
      <c r="L1866" s="153"/>
      <c r="M1866" s="153"/>
      <c r="N1866" s="153"/>
      <c r="O1866" s="153"/>
      <c r="P1866" s="152"/>
      <c r="Q1866" s="152"/>
      <c r="R1866" s="153"/>
      <c r="S1866" s="154"/>
      <c r="T1866" s="115"/>
    </row>
    <row r="1867" spans="1:20">
      <c r="A1867" t="s">
        <v>1230</v>
      </c>
      <c r="B1867" t="s">
        <v>73</v>
      </c>
      <c r="C1867" t="s">
        <v>53</v>
      </c>
      <c r="D1867" t="s">
        <v>663</v>
      </c>
      <c r="E1867" t="s">
        <v>3497</v>
      </c>
      <c r="F1867" s="121">
        <v>1133</v>
      </c>
      <c r="G1867" s="121">
        <v>1133</v>
      </c>
      <c r="H1867" t="s">
        <v>424</v>
      </c>
      <c r="I1867" s="156">
        <v>41089</v>
      </c>
      <c r="K1867" s="153"/>
      <c r="L1867" s="153"/>
      <c r="M1867" s="153"/>
      <c r="N1867" s="153"/>
      <c r="O1867" s="153"/>
      <c r="P1867" s="152"/>
      <c r="Q1867" s="152"/>
      <c r="R1867" s="153"/>
      <c r="S1867" s="154"/>
      <c r="T1867" s="115"/>
    </row>
    <row r="1868" spans="1:20">
      <c r="A1868" t="s">
        <v>1230</v>
      </c>
      <c r="B1868" t="s">
        <v>73</v>
      </c>
      <c r="C1868" t="s">
        <v>53</v>
      </c>
      <c r="D1868" t="s">
        <v>663</v>
      </c>
      <c r="E1868" t="s">
        <v>3498</v>
      </c>
      <c r="F1868" s="121">
        <v>1200</v>
      </c>
      <c r="G1868" s="121">
        <v>1200</v>
      </c>
      <c r="H1868" t="s">
        <v>424</v>
      </c>
      <c r="I1868" s="156">
        <v>41089</v>
      </c>
      <c r="K1868" s="153"/>
      <c r="L1868" s="153"/>
      <c r="M1868" s="153"/>
      <c r="N1868" s="153"/>
      <c r="O1868" s="153"/>
      <c r="P1868" s="152"/>
      <c r="Q1868" s="152"/>
      <c r="R1868" s="153"/>
      <c r="S1868" s="154"/>
      <c r="T1868" s="115"/>
    </row>
    <row r="1869" spans="1:20">
      <c r="A1869" t="s">
        <v>1230</v>
      </c>
      <c r="B1869" t="s">
        <v>73</v>
      </c>
      <c r="C1869" t="s">
        <v>53</v>
      </c>
      <c r="D1869" t="s">
        <v>575</v>
      </c>
      <c r="E1869" t="s">
        <v>3499</v>
      </c>
      <c r="F1869" s="121">
        <v>566.5</v>
      </c>
      <c r="G1869" s="121">
        <v>566.5</v>
      </c>
      <c r="H1869" t="s">
        <v>424</v>
      </c>
      <c r="I1869" s="156">
        <v>41089</v>
      </c>
      <c r="K1869" s="153"/>
      <c r="L1869" s="153"/>
      <c r="M1869" s="153"/>
      <c r="N1869" s="153"/>
      <c r="O1869" s="153"/>
      <c r="P1869" s="150"/>
      <c r="Q1869" s="150"/>
      <c r="R1869" s="153"/>
      <c r="S1869" s="154"/>
      <c r="T1869" s="115"/>
    </row>
    <row r="1870" spans="1:20">
      <c r="A1870" t="s">
        <v>1230</v>
      </c>
      <c r="B1870" t="s">
        <v>73</v>
      </c>
      <c r="C1870" t="s">
        <v>53</v>
      </c>
      <c r="D1870" t="s">
        <v>559</v>
      </c>
      <c r="E1870" t="s">
        <v>3500</v>
      </c>
      <c r="F1870" s="121">
        <v>2987</v>
      </c>
      <c r="G1870" s="121">
        <v>2987</v>
      </c>
      <c r="H1870" t="s">
        <v>424</v>
      </c>
      <c r="I1870" s="156">
        <v>41089</v>
      </c>
      <c r="K1870" s="153"/>
      <c r="L1870" s="153"/>
      <c r="M1870" s="153"/>
      <c r="N1870" s="153"/>
      <c r="O1870" s="153"/>
      <c r="P1870" s="150"/>
      <c r="Q1870" s="150"/>
      <c r="R1870" s="153"/>
      <c r="S1870" s="154"/>
      <c r="T1870" s="115"/>
    </row>
    <row r="1871" spans="1:20">
      <c r="A1871" t="s">
        <v>1230</v>
      </c>
      <c r="B1871" t="s">
        <v>73</v>
      </c>
      <c r="C1871" t="s">
        <v>53</v>
      </c>
      <c r="D1871" t="s">
        <v>664</v>
      </c>
      <c r="E1871" t="s">
        <v>3501</v>
      </c>
      <c r="F1871" s="121">
        <v>597.4</v>
      </c>
      <c r="G1871" s="121">
        <v>597.4</v>
      </c>
      <c r="H1871" t="s">
        <v>424</v>
      </c>
      <c r="I1871" s="156">
        <v>41089</v>
      </c>
      <c r="K1871" s="153"/>
      <c r="L1871" s="153"/>
      <c r="M1871" s="153"/>
      <c r="N1871" s="153"/>
      <c r="O1871" s="153"/>
      <c r="P1871" s="150"/>
      <c r="Q1871" s="150"/>
      <c r="R1871" s="153"/>
      <c r="S1871" s="154"/>
      <c r="T1871" s="115"/>
    </row>
    <row r="1872" spans="1:20">
      <c r="A1872" t="s">
        <v>1230</v>
      </c>
      <c r="B1872" t="s">
        <v>73</v>
      </c>
      <c r="C1872" t="s">
        <v>53</v>
      </c>
      <c r="D1872" t="s">
        <v>650</v>
      </c>
      <c r="E1872" t="s">
        <v>3502</v>
      </c>
      <c r="F1872" s="121">
        <v>710.7</v>
      </c>
      <c r="G1872" s="121">
        <v>710.7</v>
      </c>
      <c r="H1872" t="s">
        <v>424</v>
      </c>
      <c r="I1872" s="156">
        <v>41089</v>
      </c>
      <c r="K1872" s="153"/>
      <c r="L1872" s="153"/>
      <c r="M1872" s="153"/>
      <c r="N1872" s="153"/>
      <c r="O1872" s="153"/>
      <c r="P1872" s="150"/>
      <c r="Q1872" s="150"/>
      <c r="R1872" s="153"/>
      <c r="S1872" s="154"/>
      <c r="T1872" s="115"/>
    </row>
    <row r="1873" spans="1:20">
      <c r="A1873" t="s">
        <v>1230</v>
      </c>
      <c r="B1873" t="s">
        <v>73</v>
      </c>
      <c r="C1873" t="s">
        <v>53</v>
      </c>
      <c r="D1873" t="s">
        <v>665</v>
      </c>
      <c r="E1873" t="s">
        <v>3503</v>
      </c>
      <c r="F1873" s="121">
        <v>710.7</v>
      </c>
      <c r="G1873" s="121">
        <v>710.7</v>
      </c>
      <c r="H1873" t="s">
        <v>424</v>
      </c>
      <c r="I1873" s="156">
        <v>41089</v>
      </c>
      <c r="K1873" s="153"/>
      <c r="L1873" s="153"/>
      <c r="M1873" s="153"/>
      <c r="N1873" s="153"/>
      <c r="O1873" s="153"/>
      <c r="P1873" s="150"/>
      <c r="Q1873" s="150"/>
      <c r="R1873" s="153"/>
      <c r="S1873" s="154"/>
      <c r="T1873" s="115"/>
    </row>
    <row r="1874" spans="1:20">
      <c r="A1874" t="s">
        <v>1230</v>
      </c>
      <c r="B1874" t="s">
        <v>73</v>
      </c>
      <c r="C1874" t="s">
        <v>53</v>
      </c>
      <c r="D1874" t="s">
        <v>606</v>
      </c>
      <c r="E1874" t="s">
        <v>3504</v>
      </c>
      <c r="F1874" s="121">
        <v>355.35</v>
      </c>
      <c r="G1874" s="121">
        <v>355.35</v>
      </c>
      <c r="H1874" t="s">
        <v>424</v>
      </c>
      <c r="I1874" s="156">
        <v>41089</v>
      </c>
      <c r="K1874" s="153"/>
      <c r="L1874" s="153"/>
      <c r="M1874" s="153"/>
      <c r="N1874" s="153"/>
      <c r="O1874" s="153"/>
      <c r="P1874" s="150"/>
      <c r="Q1874" s="150"/>
      <c r="R1874" s="153"/>
      <c r="S1874" s="154"/>
      <c r="T1874" s="115"/>
    </row>
    <row r="1875" spans="1:20">
      <c r="A1875" t="s">
        <v>1230</v>
      </c>
      <c r="B1875" t="s">
        <v>73</v>
      </c>
      <c r="C1875" t="s">
        <v>53</v>
      </c>
      <c r="D1875" t="s">
        <v>606</v>
      </c>
      <c r="E1875" t="s">
        <v>3505</v>
      </c>
      <c r="F1875" s="121">
        <v>355.35</v>
      </c>
      <c r="G1875" s="121">
        <v>355.35</v>
      </c>
      <c r="H1875" t="s">
        <v>424</v>
      </c>
      <c r="I1875" s="156">
        <v>41089</v>
      </c>
      <c r="K1875" s="153"/>
      <c r="L1875" s="153"/>
      <c r="M1875" s="153"/>
      <c r="N1875" s="153"/>
      <c r="O1875" s="153"/>
      <c r="P1875" s="150"/>
      <c r="Q1875" s="150"/>
      <c r="R1875" s="153"/>
      <c r="S1875" s="154"/>
      <c r="T1875" s="115"/>
    </row>
    <row r="1876" spans="1:20">
      <c r="A1876" t="s">
        <v>1230</v>
      </c>
      <c r="B1876" t="s">
        <v>73</v>
      </c>
      <c r="C1876" t="s">
        <v>53</v>
      </c>
      <c r="D1876" t="s">
        <v>606</v>
      </c>
      <c r="E1876" t="s">
        <v>3506</v>
      </c>
      <c r="F1876" s="121">
        <v>355.35</v>
      </c>
      <c r="G1876" s="121">
        <v>355.35</v>
      </c>
      <c r="H1876" t="s">
        <v>424</v>
      </c>
      <c r="I1876" s="156">
        <v>41089</v>
      </c>
      <c r="K1876" s="153"/>
      <c r="L1876" s="153"/>
      <c r="M1876" s="153"/>
      <c r="N1876" s="153"/>
      <c r="O1876" s="153"/>
      <c r="P1876" s="150"/>
      <c r="Q1876" s="150"/>
      <c r="R1876" s="153"/>
      <c r="S1876" s="154"/>
      <c r="T1876" s="115"/>
    </row>
    <row r="1877" spans="1:20">
      <c r="A1877" t="s">
        <v>1230</v>
      </c>
      <c r="B1877" t="s">
        <v>73</v>
      </c>
      <c r="C1877" t="s">
        <v>53</v>
      </c>
      <c r="D1877" t="s">
        <v>606</v>
      </c>
      <c r="E1877" t="s">
        <v>3507</v>
      </c>
      <c r="F1877" s="121">
        <v>355.35</v>
      </c>
      <c r="G1877" s="121">
        <v>355.35</v>
      </c>
      <c r="H1877" t="s">
        <v>424</v>
      </c>
      <c r="I1877" s="156">
        <v>41089</v>
      </c>
      <c r="K1877" s="153"/>
      <c r="L1877" s="153"/>
      <c r="M1877" s="153"/>
      <c r="N1877" s="153"/>
      <c r="O1877" s="153"/>
      <c r="P1877" s="150"/>
      <c r="Q1877" s="150"/>
      <c r="R1877" s="153"/>
      <c r="S1877" s="154"/>
      <c r="T1877" s="115"/>
    </row>
    <row r="1878" spans="1:20">
      <c r="A1878" t="s">
        <v>1230</v>
      </c>
      <c r="B1878" t="s">
        <v>73</v>
      </c>
      <c r="C1878" t="s">
        <v>53</v>
      </c>
      <c r="D1878" t="s">
        <v>654</v>
      </c>
      <c r="E1878" t="s">
        <v>3508</v>
      </c>
      <c r="F1878" s="121">
        <v>957.9</v>
      </c>
      <c r="G1878" s="121">
        <v>957.9</v>
      </c>
      <c r="H1878" t="s">
        <v>424</v>
      </c>
      <c r="I1878" s="156">
        <v>41089</v>
      </c>
      <c r="K1878" s="153"/>
      <c r="L1878" s="153"/>
      <c r="M1878" s="153"/>
      <c r="N1878" s="153"/>
      <c r="O1878" s="153"/>
      <c r="P1878" s="150"/>
      <c r="Q1878" s="150"/>
      <c r="R1878" s="153"/>
      <c r="S1878" s="154"/>
      <c r="T1878" s="115"/>
    </row>
    <row r="1879" spans="1:20">
      <c r="A1879" t="s">
        <v>1230</v>
      </c>
      <c r="B1879" t="s">
        <v>73</v>
      </c>
      <c r="C1879" t="s">
        <v>53</v>
      </c>
      <c r="D1879" t="s">
        <v>586</v>
      </c>
      <c r="E1879" t="s">
        <v>3509</v>
      </c>
      <c r="F1879" s="121">
        <v>824</v>
      </c>
      <c r="G1879" s="121">
        <v>824</v>
      </c>
      <c r="H1879" t="s">
        <v>424</v>
      </c>
      <c r="I1879" s="156">
        <v>41089</v>
      </c>
      <c r="K1879" s="153"/>
      <c r="L1879" s="153"/>
      <c r="M1879" s="153"/>
      <c r="N1879" s="153"/>
      <c r="O1879" s="153"/>
      <c r="P1879" s="150"/>
      <c r="Q1879" s="150"/>
      <c r="R1879" s="153"/>
      <c r="S1879" s="154"/>
      <c r="T1879" s="115"/>
    </row>
    <row r="1880" spans="1:20">
      <c r="A1880" t="s">
        <v>1230</v>
      </c>
      <c r="B1880" t="s">
        <v>73</v>
      </c>
      <c r="C1880" t="s">
        <v>53</v>
      </c>
      <c r="D1880" t="s">
        <v>666</v>
      </c>
      <c r="E1880" t="s">
        <v>3510</v>
      </c>
      <c r="F1880" s="121">
        <v>350.2</v>
      </c>
      <c r="G1880" s="121">
        <v>350.2</v>
      </c>
      <c r="H1880" t="s">
        <v>424</v>
      </c>
      <c r="I1880" s="156">
        <v>41089</v>
      </c>
      <c r="K1880" s="153"/>
      <c r="L1880" s="153"/>
      <c r="M1880" s="153"/>
      <c r="N1880" s="153"/>
      <c r="O1880" s="153"/>
      <c r="P1880" s="150"/>
      <c r="Q1880" s="150"/>
      <c r="R1880" s="153"/>
      <c r="S1880" s="154"/>
      <c r="T1880" s="115"/>
    </row>
    <row r="1881" spans="1:20">
      <c r="A1881" t="s">
        <v>1230</v>
      </c>
      <c r="B1881" t="s">
        <v>73</v>
      </c>
      <c r="C1881" t="s">
        <v>53</v>
      </c>
      <c r="D1881" t="s">
        <v>561</v>
      </c>
      <c r="E1881" t="s">
        <v>7381</v>
      </c>
      <c r="F1881" s="121">
        <v>466.59</v>
      </c>
      <c r="G1881" s="121">
        <v>466.59</v>
      </c>
      <c r="H1881" t="s">
        <v>424</v>
      </c>
      <c r="I1881" s="156">
        <v>41089</v>
      </c>
      <c r="K1881" s="153"/>
      <c r="L1881" s="153"/>
      <c r="M1881" s="153"/>
      <c r="N1881" s="153"/>
      <c r="O1881" s="153"/>
      <c r="P1881" s="150"/>
      <c r="Q1881" s="150"/>
      <c r="R1881" s="153"/>
      <c r="S1881" s="154"/>
      <c r="T1881" s="115"/>
    </row>
    <row r="1882" spans="1:20">
      <c r="A1882" t="s">
        <v>1230</v>
      </c>
      <c r="B1882" t="s">
        <v>73</v>
      </c>
      <c r="C1882" t="s">
        <v>55</v>
      </c>
      <c r="D1882" t="s">
        <v>599</v>
      </c>
      <c r="E1882" t="s">
        <v>3511</v>
      </c>
      <c r="F1882" s="121">
        <v>772.5</v>
      </c>
      <c r="G1882" s="121">
        <v>772.5</v>
      </c>
      <c r="H1882" t="s">
        <v>424</v>
      </c>
      <c r="I1882" s="156">
        <v>41089</v>
      </c>
      <c r="K1882" s="153"/>
      <c r="L1882" s="153"/>
      <c r="M1882" s="153"/>
      <c r="N1882" s="153"/>
      <c r="O1882" s="153"/>
      <c r="P1882" s="150"/>
      <c r="Q1882" s="150"/>
      <c r="R1882" s="153"/>
      <c r="S1882" s="154"/>
      <c r="T1882" s="115"/>
    </row>
    <row r="1883" spans="1:20">
      <c r="A1883" t="s">
        <v>1230</v>
      </c>
      <c r="B1883" t="s">
        <v>73</v>
      </c>
      <c r="C1883" t="s">
        <v>55</v>
      </c>
      <c r="D1883" t="s">
        <v>588</v>
      </c>
      <c r="E1883" t="s">
        <v>3512</v>
      </c>
      <c r="F1883" s="121">
        <v>288.39999999999998</v>
      </c>
      <c r="G1883" s="121">
        <v>288.39999999999998</v>
      </c>
      <c r="H1883" t="s">
        <v>424</v>
      </c>
      <c r="I1883" s="156">
        <v>41089</v>
      </c>
      <c r="K1883" s="153"/>
      <c r="L1883" s="153"/>
      <c r="M1883" s="153"/>
      <c r="N1883" s="153"/>
      <c r="O1883" s="153"/>
      <c r="P1883" s="150"/>
      <c r="Q1883" s="150"/>
      <c r="R1883" s="153"/>
      <c r="S1883" s="154"/>
      <c r="T1883" s="115"/>
    </row>
    <row r="1884" spans="1:20">
      <c r="A1884" t="s">
        <v>1230</v>
      </c>
      <c r="B1884" t="s">
        <v>73</v>
      </c>
      <c r="C1884" t="s">
        <v>55</v>
      </c>
      <c r="D1884" t="s">
        <v>599</v>
      </c>
      <c r="E1884" t="s">
        <v>3513</v>
      </c>
      <c r="F1884" s="121">
        <v>705.55</v>
      </c>
      <c r="G1884" s="121">
        <v>705.55</v>
      </c>
      <c r="H1884" t="s">
        <v>424</v>
      </c>
      <c r="I1884" s="156">
        <v>41089</v>
      </c>
      <c r="K1884" s="153"/>
      <c r="L1884" s="153"/>
      <c r="M1884" s="153"/>
      <c r="N1884" s="153"/>
      <c r="O1884" s="153"/>
      <c r="P1884" s="150"/>
      <c r="Q1884" s="150"/>
      <c r="R1884" s="153"/>
      <c r="S1884" s="154"/>
      <c r="T1884" s="115"/>
    </row>
    <row r="1885" spans="1:20">
      <c r="A1885" t="s">
        <v>1230</v>
      </c>
      <c r="B1885" t="s">
        <v>73</v>
      </c>
      <c r="C1885" t="s">
        <v>55</v>
      </c>
      <c r="D1885" t="s">
        <v>591</v>
      </c>
      <c r="E1885" t="s">
        <v>3514</v>
      </c>
      <c r="F1885" s="121">
        <v>290</v>
      </c>
      <c r="G1885" s="121">
        <v>290</v>
      </c>
      <c r="H1885" t="s">
        <v>424</v>
      </c>
      <c r="I1885" s="156">
        <v>41089</v>
      </c>
      <c r="K1885" s="153"/>
      <c r="L1885" s="153"/>
      <c r="M1885" s="153"/>
      <c r="N1885" s="153"/>
      <c r="O1885" s="153"/>
      <c r="P1885" s="150"/>
      <c r="Q1885" s="150"/>
      <c r="R1885" s="153"/>
      <c r="S1885" s="154"/>
      <c r="T1885" s="115"/>
    </row>
    <row r="1886" spans="1:20">
      <c r="A1886" t="s">
        <v>1230</v>
      </c>
      <c r="B1886" t="s">
        <v>73</v>
      </c>
      <c r="C1886" t="s">
        <v>55</v>
      </c>
      <c r="D1886" t="s">
        <v>588</v>
      </c>
      <c r="E1886" t="s">
        <v>3515</v>
      </c>
      <c r="F1886" s="121">
        <v>288.39999999999998</v>
      </c>
      <c r="G1886" s="121">
        <v>288.39999999999998</v>
      </c>
      <c r="H1886" t="s">
        <v>424</v>
      </c>
      <c r="I1886" s="156">
        <v>41089</v>
      </c>
      <c r="K1886" s="153"/>
      <c r="L1886" s="153"/>
      <c r="M1886" s="153"/>
      <c r="N1886" s="153"/>
      <c r="O1886" s="153"/>
      <c r="P1886" s="150"/>
      <c r="Q1886" s="150"/>
      <c r="R1886" s="153"/>
      <c r="S1886" s="154"/>
      <c r="T1886" s="115"/>
    </row>
    <row r="1887" spans="1:20">
      <c r="A1887" t="s">
        <v>1230</v>
      </c>
      <c r="B1887" t="s">
        <v>72</v>
      </c>
      <c r="C1887" t="s">
        <v>55</v>
      </c>
      <c r="D1887" t="s">
        <v>588</v>
      </c>
      <c r="E1887" t="s">
        <v>3516</v>
      </c>
      <c r="F1887" s="121">
        <v>288.39999999999998</v>
      </c>
      <c r="G1887" s="121">
        <v>288.39999999999998</v>
      </c>
      <c r="H1887" t="s">
        <v>424</v>
      </c>
      <c r="I1887" s="156">
        <v>41089</v>
      </c>
      <c r="K1887" s="153"/>
      <c r="L1887" s="153"/>
      <c r="M1887" s="153"/>
      <c r="N1887" s="153"/>
      <c r="O1887" s="153"/>
      <c r="P1887" s="150"/>
      <c r="Q1887" s="150"/>
      <c r="R1887" s="153"/>
      <c r="S1887" s="154"/>
      <c r="T1887" s="115"/>
    </row>
    <row r="1888" spans="1:20">
      <c r="A1888" t="s">
        <v>1230</v>
      </c>
      <c r="B1888" t="s">
        <v>73</v>
      </c>
      <c r="C1888" t="s">
        <v>55</v>
      </c>
      <c r="D1888" t="s">
        <v>591</v>
      </c>
      <c r="E1888" t="s">
        <v>3517</v>
      </c>
      <c r="F1888" s="121">
        <v>290</v>
      </c>
      <c r="G1888" s="121">
        <v>290</v>
      </c>
      <c r="H1888" t="s">
        <v>424</v>
      </c>
      <c r="I1888" s="156">
        <v>41089</v>
      </c>
      <c r="K1888" s="153"/>
      <c r="L1888" s="153"/>
      <c r="M1888" s="153"/>
      <c r="N1888" s="153"/>
      <c r="O1888" s="153"/>
      <c r="P1888" s="150"/>
      <c r="Q1888" s="150"/>
      <c r="R1888" s="153"/>
      <c r="S1888" s="154"/>
      <c r="T1888" s="115"/>
    </row>
    <row r="1889" spans="1:20">
      <c r="A1889" t="s">
        <v>1230</v>
      </c>
      <c r="B1889" t="s">
        <v>73</v>
      </c>
      <c r="C1889" t="s">
        <v>55</v>
      </c>
      <c r="D1889" t="s">
        <v>588</v>
      </c>
      <c r="E1889" t="s">
        <v>3518</v>
      </c>
      <c r="F1889" s="121">
        <v>288.39999999999998</v>
      </c>
      <c r="G1889" s="121">
        <v>288.39999999999998</v>
      </c>
      <c r="H1889" t="s">
        <v>424</v>
      </c>
      <c r="I1889" s="156">
        <v>41089</v>
      </c>
      <c r="K1889" s="153"/>
      <c r="L1889" s="153"/>
      <c r="M1889" s="153"/>
      <c r="N1889" s="153"/>
      <c r="O1889" s="153"/>
      <c r="P1889" s="150"/>
      <c r="Q1889" s="150"/>
      <c r="R1889" s="153"/>
      <c r="S1889" s="154"/>
      <c r="T1889" s="115"/>
    </row>
    <row r="1890" spans="1:20">
      <c r="A1890" t="s">
        <v>1230</v>
      </c>
      <c r="B1890" t="s">
        <v>73</v>
      </c>
      <c r="C1890" t="s">
        <v>55</v>
      </c>
      <c r="D1890" t="s">
        <v>588</v>
      </c>
      <c r="E1890" t="s">
        <v>3519</v>
      </c>
      <c r="F1890" s="121">
        <v>288.39999999999998</v>
      </c>
      <c r="G1890" s="121">
        <v>288.39999999999998</v>
      </c>
      <c r="H1890" t="s">
        <v>424</v>
      </c>
      <c r="I1890" s="156">
        <v>41089</v>
      </c>
      <c r="K1890" s="153"/>
      <c r="L1890" s="153"/>
      <c r="M1890" s="153"/>
      <c r="N1890" s="153"/>
      <c r="O1890" s="153"/>
      <c r="P1890" s="150"/>
      <c r="Q1890" s="150"/>
      <c r="R1890" s="153"/>
      <c r="S1890" s="154"/>
      <c r="T1890" s="115"/>
    </row>
    <row r="1891" spans="1:20">
      <c r="A1891" t="s">
        <v>1230</v>
      </c>
      <c r="B1891" t="s">
        <v>73</v>
      </c>
      <c r="C1891" t="s">
        <v>55</v>
      </c>
      <c r="D1891" t="s">
        <v>588</v>
      </c>
      <c r="E1891" t="s">
        <v>3520</v>
      </c>
      <c r="F1891" s="121">
        <v>288.39999999999998</v>
      </c>
      <c r="G1891" s="121">
        <v>288.39999999999998</v>
      </c>
      <c r="H1891" t="s">
        <v>424</v>
      </c>
      <c r="I1891" s="156">
        <v>41089</v>
      </c>
      <c r="K1891" s="153"/>
      <c r="L1891" s="153"/>
      <c r="M1891" s="153"/>
      <c r="N1891" s="153"/>
      <c r="O1891" s="153"/>
      <c r="P1891" s="150"/>
      <c r="Q1891" s="150"/>
      <c r="R1891" s="153"/>
      <c r="S1891" s="154"/>
      <c r="T1891" s="115"/>
    </row>
    <row r="1892" spans="1:20">
      <c r="A1892" t="s">
        <v>1230</v>
      </c>
      <c r="B1892" t="s">
        <v>73</v>
      </c>
      <c r="C1892" t="s">
        <v>55</v>
      </c>
      <c r="D1892" t="s">
        <v>588</v>
      </c>
      <c r="E1892" t="s">
        <v>3521</v>
      </c>
      <c r="F1892" s="121">
        <v>288.39999999999998</v>
      </c>
      <c r="G1892" s="121">
        <v>288.39999999999998</v>
      </c>
      <c r="H1892" t="s">
        <v>424</v>
      </c>
      <c r="I1892" s="156">
        <v>41089</v>
      </c>
      <c r="K1892" s="153"/>
      <c r="L1892" s="153"/>
      <c r="M1892" s="153"/>
      <c r="N1892" s="153"/>
      <c r="O1892" s="153"/>
      <c r="P1892" s="150"/>
      <c r="Q1892" s="150"/>
      <c r="R1892" s="153"/>
      <c r="S1892" s="154"/>
      <c r="T1892" s="115"/>
    </row>
    <row r="1893" spans="1:20">
      <c r="A1893" t="s">
        <v>1230</v>
      </c>
      <c r="B1893" t="s">
        <v>73</v>
      </c>
      <c r="C1893" t="s">
        <v>55</v>
      </c>
      <c r="D1893" t="s">
        <v>588</v>
      </c>
      <c r="E1893" t="s">
        <v>3522</v>
      </c>
      <c r="F1893" s="121">
        <v>288.39999999999998</v>
      </c>
      <c r="G1893" s="121">
        <v>288.39999999999998</v>
      </c>
      <c r="H1893" t="s">
        <v>424</v>
      </c>
      <c r="I1893" s="156">
        <v>41089</v>
      </c>
      <c r="K1893" s="153"/>
      <c r="L1893" s="153"/>
      <c r="M1893" s="153"/>
      <c r="N1893" s="153"/>
      <c r="O1893" s="153"/>
      <c r="P1893" s="152"/>
      <c r="Q1893" s="152"/>
      <c r="R1893" s="153"/>
      <c r="S1893" s="154"/>
      <c r="T1893" s="115"/>
    </row>
    <row r="1894" spans="1:20">
      <c r="A1894" t="s">
        <v>1230</v>
      </c>
      <c r="B1894" t="s">
        <v>73</v>
      </c>
      <c r="C1894" t="s">
        <v>55</v>
      </c>
      <c r="D1894" t="s">
        <v>588</v>
      </c>
      <c r="E1894" t="s">
        <v>3523</v>
      </c>
      <c r="F1894" s="121">
        <v>288.39999999999998</v>
      </c>
      <c r="G1894" s="121">
        <v>288.39999999999998</v>
      </c>
      <c r="H1894" t="s">
        <v>424</v>
      </c>
      <c r="I1894" s="156">
        <v>41089</v>
      </c>
      <c r="K1894" s="153"/>
      <c r="L1894" s="153"/>
      <c r="M1894" s="153"/>
      <c r="N1894" s="153"/>
      <c r="O1894" s="153"/>
      <c r="P1894" s="150"/>
      <c r="Q1894" s="150"/>
      <c r="R1894" s="153"/>
      <c r="S1894" s="154"/>
      <c r="T1894" s="115"/>
    </row>
    <row r="1895" spans="1:20">
      <c r="A1895" t="s">
        <v>1230</v>
      </c>
      <c r="B1895" t="s">
        <v>73</v>
      </c>
      <c r="C1895" t="s">
        <v>55</v>
      </c>
      <c r="D1895" t="s">
        <v>588</v>
      </c>
      <c r="E1895" t="s">
        <v>3524</v>
      </c>
      <c r="F1895" s="121">
        <v>288.39999999999998</v>
      </c>
      <c r="G1895" s="121">
        <v>288.39999999999998</v>
      </c>
      <c r="H1895" t="s">
        <v>424</v>
      </c>
      <c r="I1895" s="156">
        <v>41089</v>
      </c>
      <c r="K1895" s="153"/>
      <c r="L1895" s="153"/>
      <c r="M1895" s="153"/>
      <c r="N1895" s="153"/>
      <c r="O1895" s="153"/>
      <c r="P1895" s="152"/>
      <c r="Q1895" s="152"/>
      <c r="R1895" s="153"/>
      <c r="S1895" s="154"/>
      <c r="T1895" s="115"/>
    </row>
    <row r="1896" spans="1:20">
      <c r="A1896" t="s">
        <v>1230</v>
      </c>
      <c r="B1896" t="s">
        <v>73</v>
      </c>
      <c r="C1896" t="s">
        <v>55</v>
      </c>
      <c r="D1896" t="s">
        <v>591</v>
      </c>
      <c r="E1896" t="s">
        <v>3525</v>
      </c>
      <c r="F1896" s="121">
        <v>290</v>
      </c>
      <c r="G1896" s="121">
        <v>290</v>
      </c>
      <c r="H1896" t="s">
        <v>424</v>
      </c>
      <c r="I1896" s="156">
        <v>41089</v>
      </c>
      <c r="K1896" s="153"/>
      <c r="L1896" s="153"/>
      <c r="M1896" s="153"/>
      <c r="N1896" s="153"/>
      <c r="O1896" s="153"/>
      <c r="P1896" s="150"/>
      <c r="Q1896" s="150"/>
      <c r="R1896" s="153"/>
      <c r="S1896" s="154"/>
      <c r="T1896" s="115"/>
    </row>
    <row r="1897" spans="1:20">
      <c r="A1897" t="s">
        <v>1230</v>
      </c>
      <c r="B1897" t="s">
        <v>71</v>
      </c>
      <c r="C1897" t="s">
        <v>43</v>
      </c>
      <c r="D1897" t="s">
        <v>537</v>
      </c>
      <c r="E1897" t="s">
        <v>7382</v>
      </c>
      <c r="F1897" s="121">
        <v>906.4</v>
      </c>
      <c r="G1897" s="121">
        <v>906.4</v>
      </c>
      <c r="H1897" t="s">
        <v>438</v>
      </c>
      <c r="I1897" s="156">
        <v>41089</v>
      </c>
      <c r="K1897" s="153"/>
      <c r="L1897" s="153"/>
      <c r="M1897" s="153"/>
      <c r="N1897" s="153"/>
      <c r="O1897" s="153"/>
      <c r="P1897" s="150"/>
      <c r="Q1897" s="150"/>
      <c r="R1897" s="153"/>
      <c r="S1897" s="154"/>
      <c r="T1897" s="115"/>
    </row>
    <row r="1898" spans="1:20">
      <c r="A1898" t="s">
        <v>1230</v>
      </c>
      <c r="B1898" t="s">
        <v>71</v>
      </c>
      <c r="C1898" t="s">
        <v>54</v>
      </c>
      <c r="D1898" t="s">
        <v>573</v>
      </c>
      <c r="E1898" t="s">
        <v>3526</v>
      </c>
      <c r="F1898" s="121">
        <v>309</v>
      </c>
      <c r="G1898" s="121">
        <v>309</v>
      </c>
      <c r="H1898" t="s">
        <v>438</v>
      </c>
      <c r="I1898" s="156">
        <v>41089</v>
      </c>
      <c r="K1898" s="153"/>
      <c r="L1898" s="153"/>
      <c r="M1898" s="153"/>
      <c r="N1898" s="153"/>
      <c r="O1898" s="153"/>
      <c r="P1898" s="150"/>
      <c r="Q1898" s="150"/>
      <c r="R1898" s="153"/>
      <c r="S1898" s="154"/>
      <c r="T1898" s="115"/>
    </row>
    <row r="1899" spans="1:20">
      <c r="A1899" t="s">
        <v>1230</v>
      </c>
      <c r="B1899" t="s">
        <v>71</v>
      </c>
      <c r="C1899" t="s">
        <v>43</v>
      </c>
      <c r="D1899" t="s">
        <v>536</v>
      </c>
      <c r="E1899" t="s">
        <v>3527</v>
      </c>
      <c r="F1899" s="121">
        <v>1079</v>
      </c>
      <c r="G1899" s="121">
        <v>906.4</v>
      </c>
      <c r="H1899" t="s">
        <v>438</v>
      </c>
      <c r="I1899" s="156">
        <v>40864</v>
      </c>
      <c r="K1899" s="153"/>
      <c r="L1899" s="153"/>
      <c r="M1899" s="153"/>
      <c r="N1899" s="153"/>
      <c r="O1899" s="153"/>
      <c r="P1899" s="150"/>
      <c r="Q1899" s="150"/>
      <c r="R1899" s="153"/>
      <c r="S1899" s="154"/>
      <c r="T1899" s="115"/>
    </row>
    <row r="1900" spans="1:20">
      <c r="A1900" t="s">
        <v>1230</v>
      </c>
      <c r="B1900" t="s">
        <v>71</v>
      </c>
      <c r="C1900" t="s">
        <v>54</v>
      </c>
      <c r="D1900" t="s">
        <v>667</v>
      </c>
      <c r="E1900" t="s">
        <v>3528</v>
      </c>
      <c r="F1900" s="121">
        <v>475.27</v>
      </c>
      <c r="G1900" s="121">
        <v>391.4</v>
      </c>
      <c r="H1900" t="s">
        <v>438</v>
      </c>
      <c r="I1900" s="156">
        <v>40904</v>
      </c>
      <c r="K1900" s="153"/>
      <c r="L1900" s="153"/>
      <c r="M1900" s="153"/>
      <c r="N1900" s="153"/>
      <c r="O1900" s="153"/>
      <c r="P1900" s="150"/>
      <c r="Q1900" s="150"/>
      <c r="R1900" s="153"/>
      <c r="S1900" s="154"/>
      <c r="T1900" s="115"/>
    </row>
    <row r="1901" spans="1:20">
      <c r="A1901" t="s">
        <v>1230</v>
      </c>
      <c r="B1901" t="s">
        <v>71</v>
      </c>
      <c r="C1901" t="s">
        <v>43</v>
      </c>
      <c r="D1901" t="s">
        <v>661</v>
      </c>
      <c r="E1901" t="s">
        <v>3529</v>
      </c>
      <c r="F1901" s="121">
        <v>807</v>
      </c>
      <c r="G1901" s="121">
        <v>638.6</v>
      </c>
      <c r="H1901" t="s">
        <v>438</v>
      </c>
      <c r="I1901" s="156">
        <v>40875</v>
      </c>
      <c r="K1901" s="153"/>
      <c r="L1901" s="153"/>
      <c r="M1901" s="153"/>
      <c r="N1901" s="153"/>
      <c r="O1901" s="153"/>
      <c r="P1901" s="150"/>
      <c r="Q1901" s="150"/>
      <c r="R1901" s="153"/>
      <c r="S1901" s="154"/>
      <c r="T1901" s="115"/>
    </row>
    <row r="1902" spans="1:20">
      <c r="A1902" t="s">
        <v>1230</v>
      </c>
      <c r="B1902" t="s">
        <v>71</v>
      </c>
      <c r="C1902" t="s">
        <v>54</v>
      </c>
      <c r="D1902" t="s">
        <v>668</v>
      </c>
      <c r="E1902" t="s">
        <v>3530</v>
      </c>
      <c r="F1902" s="121">
        <v>294.87</v>
      </c>
      <c r="G1902" s="121">
        <v>247.2</v>
      </c>
      <c r="H1902" t="s">
        <v>438</v>
      </c>
      <c r="I1902" s="156">
        <v>40904</v>
      </c>
      <c r="K1902" s="153"/>
      <c r="L1902" s="153"/>
      <c r="M1902" s="153"/>
      <c r="N1902" s="153"/>
      <c r="O1902" s="153"/>
      <c r="P1902" s="150"/>
      <c r="Q1902" s="150"/>
      <c r="R1902" s="153"/>
      <c r="S1902" s="154"/>
      <c r="T1902" s="115"/>
    </row>
    <row r="1903" spans="1:20">
      <c r="A1903" t="s">
        <v>1230</v>
      </c>
      <c r="B1903" t="s">
        <v>71</v>
      </c>
      <c r="C1903" t="s">
        <v>43</v>
      </c>
      <c r="D1903" t="s">
        <v>625</v>
      </c>
      <c r="E1903" t="s">
        <v>3531</v>
      </c>
      <c r="F1903" s="121">
        <v>1854</v>
      </c>
      <c r="G1903" s="121">
        <v>1854</v>
      </c>
      <c r="H1903" t="s">
        <v>438</v>
      </c>
      <c r="I1903" s="156">
        <v>41089</v>
      </c>
      <c r="K1903" s="153"/>
      <c r="L1903" s="153"/>
      <c r="M1903" s="153"/>
      <c r="N1903" s="153"/>
      <c r="O1903" s="153"/>
      <c r="P1903" s="150"/>
      <c r="Q1903" s="150"/>
      <c r="R1903" s="153"/>
      <c r="S1903" s="154"/>
      <c r="T1903" s="115"/>
    </row>
    <row r="1904" spans="1:20">
      <c r="A1904" t="s">
        <v>1230</v>
      </c>
      <c r="B1904" t="s">
        <v>75</v>
      </c>
      <c r="C1904" t="s">
        <v>55</v>
      </c>
      <c r="D1904" t="s">
        <v>663</v>
      </c>
      <c r="E1904" t="s">
        <v>3532</v>
      </c>
      <c r="F1904" s="121">
        <v>824</v>
      </c>
      <c r="G1904" s="121">
        <v>824</v>
      </c>
      <c r="H1904" t="s">
        <v>669</v>
      </c>
      <c r="I1904" s="156">
        <v>41089</v>
      </c>
      <c r="K1904" s="153"/>
      <c r="L1904" s="153"/>
      <c r="M1904" s="153"/>
      <c r="N1904" s="153"/>
      <c r="O1904" s="153"/>
      <c r="P1904" s="150"/>
      <c r="Q1904" s="150"/>
      <c r="R1904" s="153"/>
      <c r="S1904" s="154"/>
      <c r="T1904" s="115"/>
    </row>
    <row r="1905" spans="1:20">
      <c r="A1905" t="s">
        <v>1230</v>
      </c>
      <c r="B1905" t="s">
        <v>75</v>
      </c>
      <c r="C1905" t="s">
        <v>55</v>
      </c>
      <c r="D1905" t="s">
        <v>650</v>
      </c>
      <c r="E1905" t="s">
        <v>3533</v>
      </c>
      <c r="F1905" s="121">
        <v>2266</v>
      </c>
      <c r="G1905" s="121">
        <v>2266</v>
      </c>
      <c r="H1905" t="s">
        <v>669</v>
      </c>
      <c r="I1905" s="156">
        <v>41089</v>
      </c>
      <c r="K1905" s="153"/>
      <c r="L1905" s="153"/>
      <c r="M1905" s="153"/>
      <c r="N1905" s="153"/>
      <c r="O1905" s="153"/>
      <c r="P1905" s="150"/>
      <c r="Q1905" s="150"/>
      <c r="R1905" s="153"/>
      <c r="S1905" s="154"/>
      <c r="T1905" s="115"/>
    </row>
    <row r="1906" spans="1:20">
      <c r="A1906" t="s">
        <v>1230</v>
      </c>
      <c r="B1906" t="s">
        <v>75</v>
      </c>
      <c r="C1906" t="s">
        <v>55</v>
      </c>
      <c r="D1906" t="s">
        <v>606</v>
      </c>
      <c r="E1906" t="s">
        <v>3534</v>
      </c>
      <c r="F1906" s="121">
        <v>355.35</v>
      </c>
      <c r="G1906" s="121">
        <v>355.35</v>
      </c>
      <c r="H1906" t="s">
        <v>669</v>
      </c>
      <c r="I1906" s="156">
        <v>41089</v>
      </c>
      <c r="K1906" s="153"/>
      <c r="L1906" s="153"/>
      <c r="M1906" s="153"/>
      <c r="N1906" s="153"/>
      <c r="O1906" s="153"/>
      <c r="P1906" s="150"/>
      <c r="Q1906" s="150"/>
      <c r="R1906" s="153"/>
      <c r="S1906" s="154"/>
      <c r="T1906" s="115"/>
    </row>
    <row r="1907" spans="1:20">
      <c r="A1907" t="s">
        <v>1230</v>
      </c>
      <c r="B1907" t="s">
        <v>75</v>
      </c>
      <c r="C1907" t="s">
        <v>55</v>
      </c>
      <c r="D1907" t="s">
        <v>606</v>
      </c>
      <c r="E1907" t="s">
        <v>3535</v>
      </c>
      <c r="F1907" s="121">
        <v>355.35</v>
      </c>
      <c r="G1907" s="121">
        <v>355.35</v>
      </c>
      <c r="H1907" t="s">
        <v>669</v>
      </c>
      <c r="I1907" s="156">
        <v>41089</v>
      </c>
      <c r="K1907" s="153"/>
      <c r="L1907" s="153"/>
      <c r="M1907" s="153"/>
      <c r="N1907" s="153"/>
      <c r="O1907" s="153"/>
      <c r="P1907" s="150"/>
      <c r="Q1907" s="150"/>
      <c r="R1907" s="153"/>
      <c r="S1907" s="154"/>
      <c r="T1907" s="115"/>
    </row>
    <row r="1908" spans="1:20">
      <c r="A1908" t="s">
        <v>1230</v>
      </c>
      <c r="B1908" t="s">
        <v>75</v>
      </c>
      <c r="C1908" t="s">
        <v>55</v>
      </c>
      <c r="D1908" t="s">
        <v>606</v>
      </c>
      <c r="E1908" t="s">
        <v>3536</v>
      </c>
      <c r="F1908" s="121">
        <v>355.35</v>
      </c>
      <c r="G1908" s="121">
        <v>355.35</v>
      </c>
      <c r="H1908" t="s">
        <v>669</v>
      </c>
      <c r="I1908" s="156">
        <v>41089</v>
      </c>
      <c r="K1908" s="153"/>
      <c r="L1908" s="153"/>
      <c r="M1908" s="153"/>
      <c r="N1908" s="153"/>
      <c r="O1908" s="153"/>
      <c r="P1908" s="150"/>
      <c r="Q1908" s="150"/>
      <c r="R1908" s="153"/>
      <c r="S1908" s="154"/>
      <c r="T1908" s="115"/>
    </row>
    <row r="1909" spans="1:20">
      <c r="A1909" t="s">
        <v>1230</v>
      </c>
      <c r="B1909" t="s">
        <v>75</v>
      </c>
      <c r="C1909" t="s">
        <v>55</v>
      </c>
      <c r="D1909" t="s">
        <v>591</v>
      </c>
      <c r="E1909" t="s">
        <v>3537</v>
      </c>
      <c r="F1909" s="121">
        <v>290</v>
      </c>
      <c r="G1909" s="121">
        <v>290</v>
      </c>
      <c r="H1909" t="s">
        <v>669</v>
      </c>
      <c r="I1909" s="156">
        <v>41089</v>
      </c>
      <c r="K1909" s="153"/>
      <c r="L1909" s="153"/>
      <c r="M1909" s="153"/>
      <c r="N1909" s="153"/>
      <c r="O1909" s="153"/>
      <c r="P1909" s="150"/>
      <c r="Q1909" s="150"/>
      <c r="R1909" s="153"/>
      <c r="S1909" s="154"/>
      <c r="T1909" s="115"/>
    </row>
    <row r="1910" spans="1:20">
      <c r="A1910" t="s">
        <v>1230</v>
      </c>
      <c r="B1910" t="s">
        <v>75</v>
      </c>
      <c r="C1910" t="s">
        <v>55</v>
      </c>
      <c r="D1910" t="s">
        <v>591</v>
      </c>
      <c r="E1910" t="s">
        <v>3538</v>
      </c>
      <c r="F1910" s="121">
        <v>290</v>
      </c>
      <c r="G1910" s="121">
        <v>290</v>
      </c>
      <c r="H1910" t="s">
        <v>669</v>
      </c>
      <c r="I1910" s="156">
        <v>41089</v>
      </c>
      <c r="K1910" s="153"/>
      <c r="L1910" s="153"/>
      <c r="M1910" s="153"/>
      <c r="N1910" s="153"/>
      <c r="O1910" s="153"/>
      <c r="P1910" s="150"/>
      <c r="Q1910" s="150"/>
      <c r="R1910" s="153"/>
      <c r="S1910" s="154"/>
      <c r="T1910" s="115"/>
    </row>
    <row r="1911" spans="1:20">
      <c r="A1911" t="s">
        <v>1230</v>
      </c>
      <c r="B1911" t="s">
        <v>75</v>
      </c>
      <c r="C1911" t="s">
        <v>55</v>
      </c>
      <c r="D1911" t="s">
        <v>591</v>
      </c>
      <c r="E1911" t="s">
        <v>3539</v>
      </c>
      <c r="F1911" s="121">
        <v>290</v>
      </c>
      <c r="G1911" s="121">
        <v>290</v>
      </c>
      <c r="H1911" t="s">
        <v>669</v>
      </c>
      <c r="I1911" s="156">
        <v>41089</v>
      </c>
      <c r="K1911" s="153"/>
      <c r="L1911" s="153"/>
      <c r="M1911" s="153"/>
      <c r="N1911" s="153"/>
      <c r="O1911" s="153"/>
      <c r="P1911" s="150"/>
      <c r="Q1911" s="150"/>
      <c r="R1911" s="153"/>
      <c r="S1911" s="154"/>
      <c r="T1911" s="115"/>
    </row>
    <row r="1912" spans="1:20">
      <c r="A1912" t="s">
        <v>1230</v>
      </c>
      <c r="B1912" t="s">
        <v>75</v>
      </c>
      <c r="C1912" t="s">
        <v>55</v>
      </c>
      <c r="D1912" t="s">
        <v>591</v>
      </c>
      <c r="E1912" t="s">
        <v>3540</v>
      </c>
      <c r="F1912" s="121">
        <v>290</v>
      </c>
      <c r="G1912" s="121">
        <v>290</v>
      </c>
      <c r="H1912" t="s">
        <v>669</v>
      </c>
      <c r="I1912" s="156">
        <v>41089</v>
      </c>
      <c r="K1912" s="153"/>
      <c r="L1912" s="153"/>
      <c r="M1912" s="153"/>
      <c r="N1912" s="153"/>
      <c r="O1912" s="153"/>
      <c r="P1912" s="150"/>
      <c r="Q1912" s="150"/>
      <c r="R1912" s="153"/>
      <c r="S1912" s="154"/>
      <c r="T1912" s="115"/>
    </row>
    <row r="1913" spans="1:20">
      <c r="A1913" t="s">
        <v>1230</v>
      </c>
      <c r="B1913" t="s">
        <v>75</v>
      </c>
      <c r="C1913" t="s">
        <v>55</v>
      </c>
      <c r="D1913" t="s">
        <v>588</v>
      </c>
      <c r="E1913" t="s">
        <v>3541</v>
      </c>
      <c r="F1913" s="121">
        <v>288.39999999999998</v>
      </c>
      <c r="G1913" s="121">
        <v>288.39999999999998</v>
      </c>
      <c r="H1913" t="s">
        <v>669</v>
      </c>
      <c r="I1913" s="156">
        <v>41089</v>
      </c>
      <c r="K1913" s="153"/>
      <c r="L1913" s="153"/>
      <c r="M1913" s="153"/>
      <c r="N1913" s="153"/>
      <c r="O1913" s="153"/>
      <c r="P1913" s="150"/>
      <c r="Q1913" s="150"/>
      <c r="R1913" s="153"/>
      <c r="S1913" s="154"/>
      <c r="T1913" s="115"/>
    </row>
    <row r="1914" spans="1:20">
      <c r="A1914" t="s">
        <v>1230</v>
      </c>
      <c r="B1914" t="s">
        <v>75</v>
      </c>
      <c r="C1914" t="s">
        <v>55</v>
      </c>
      <c r="D1914" t="s">
        <v>588</v>
      </c>
      <c r="E1914" t="s">
        <v>3542</v>
      </c>
      <c r="F1914" s="121">
        <v>288.39999999999998</v>
      </c>
      <c r="G1914" s="121">
        <v>288.39999999999998</v>
      </c>
      <c r="H1914" t="s">
        <v>669</v>
      </c>
      <c r="I1914" s="156">
        <v>41089</v>
      </c>
      <c r="K1914" s="153"/>
      <c r="L1914" s="153"/>
      <c r="M1914" s="153"/>
      <c r="N1914" s="153"/>
      <c r="O1914" s="153"/>
      <c r="P1914" s="150"/>
      <c r="Q1914" s="150"/>
      <c r="R1914" s="153"/>
      <c r="S1914" s="154"/>
      <c r="T1914" s="115"/>
    </row>
    <row r="1915" spans="1:20">
      <c r="A1915" t="s">
        <v>1230</v>
      </c>
      <c r="B1915" t="s">
        <v>75</v>
      </c>
      <c r="C1915" t="s">
        <v>55</v>
      </c>
      <c r="D1915" t="s">
        <v>588</v>
      </c>
      <c r="E1915" t="s">
        <v>3543</v>
      </c>
      <c r="F1915" s="121">
        <v>288.39999999999998</v>
      </c>
      <c r="G1915" s="121">
        <v>288.39999999999998</v>
      </c>
      <c r="H1915" t="s">
        <v>669</v>
      </c>
      <c r="I1915" s="156">
        <v>41089</v>
      </c>
      <c r="K1915" s="153"/>
      <c r="L1915" s="153"/>
      <c r="M1915" s="153"/>
      <c r="N1915" s="153"/>
      <c r="O1915" s="153"/>
      <c r="P1915" s="150"/>
      <c r="Q1915" s="150"/>
      <c r="R1915" s="153"/>
      <c r="S1915" s="154"/>
      <c r="T1915" s="115"/>
    </row>
    <row r="1916" spans="1:20">
      <c r="A1916" t="s">
        <v>1230</v>
      </c>
      <c r="B1916" t="s">
        <v>75</v>
      </c>
      <c r="C1916" t="s">
        <v>55</v>
      </c>
      <c r="D1916" t="s">
        <v>588</v>
      </c>
      <c r="E1916" t="s">
        <v>3544</v>
      </c>
      <c r="F1916" s="121">
        <v>288.39999999999998</v>
      </c>
      <c r="G1916" s="121">
        <v>288.39999999999998</v>
      </c>
      <c r="H1916" t="s">
        <v>669</v>
      </c>
      <c r="I1916" s="156">
        <v>41089</v>
      </c>
      <c r="K1916" s="153"/>
      <c r="L1916" s="153"/>
      <c r="M1916" s="153"/>
      <c r="N1916" s="153"/>
      <c r="O1916" s="153"/>
      <c r="P1916" s="150"/>
      <c r="Q1916" s="150"/>
      <c r="R1916" s="153"/>
      <c r="S1916" s="154"/>
      <c r="T1916" s="115"/>
    </row>
    <row r="1917" spans="1:20">
      <c r="A1917" t="s">
        <v>1230</v>
      </c>
      <c r="B1917" t="s">
        <v>75</v>
      </c>
      <c r="C1917" t="s">
        <v>55</v>
      </c>
      <c r="D1917" t="s">
        <v>588</v>
      </c>
      <c r="E1917" t="s">
        <v>3545</v>
      </c>
      <c r="F1917" s="121">
        <v>288.39999999999998</v>
      </c>
      <c r="G1917" s="121">
        <v>288.39999999999998</v>
      </c>
      <c r="H1917" t="s">
        <v>669</v>
      </c>
      <c r="I1917" s="156">
        <v>41089</v>
      </c>
      <c r="K1917" s="153"/>
      <c r="L1917" s="153"/>
      <c r="M1917" s="153"/>
      <c r="N1917" s="153"/>
      <c r="O1917" s="153"/>
      <c r="P1917" s="150"/>
      <c r="Q1917" s="150"/>
      <c r="R1917" s="153"/>
      <c r="S1917" s="154"/>
      <c r="T1917" s="115"/>
    </row>
    <row r="1918" spans="1:20">
      <c r="A1918" t="s">
        <v>1230</v>
      </c>
      <c r="B1918" t="s">
        <v>75</v>
      </c>
      <c r="C1918" t="s">
        <v>55</v>
      </c>
      <c r="D1918" t="s">
        <v>588</v>
      </c>
      <c r="E1918" t="s">
        <v>3546</v>
      </c>
      <c r="F1918" s="121">
        <v>288.39999999999998</v>
      </c>
      <c r="G1918" s="121">
        <v>288.39999999999998</v>
      </c>
      <c r="H1918" t="s">
        <v>669</v>
      </c>
      <c r="I1918" s="156">
        <v>41089</v>
      </c>
      <c r="K1918" s="153"/>
      <c r="L1918" s="153"/>
      <c r="M1918" s="153"/>
      <c r="N1918" s="153"/>
      <c r="O1918" s="153"/>
      <c r="P1918" s="150"/>
      <c r="Q1918" s="150"/>
      <c r="R1918" s="153"/>
      <c r="S1918" s="154"/>
      <c r="T1918" s="115"/>
    </row>
    <row r="1919" spans="1:20">
      <c r="A1919" t="s">
        <v>1230</v>
      </c>
      <c r="B1919" t="s">
        <v>75</v>
      </c>
      <c r="C1919" t="s">
        <v>55</v>
      </c>
      <c r="D1919" t="s">
        <v>588</v>
      </c>
      <c r="E1919" t="s">
        <v>3547</v>
      </c>
      <c r="F1919" s="121">
        <v>288.39999999999998</v>
      </c>
      <c r="G1919" s="121">
        <v>288.39999999999998</v>
      </c>
      <c r="H1919" t="s">
        <v>669</v>
      </c>
      <c r="I1919" s="156">
        <v>41089</v>
      </c>
      <c r="K1919" s="153"/>
      <c r="L1919" s="153"/>
      <c r="M1919" s="153"/>
      <c r="N1919" s="153"/>
      <c r="O1919" s="153"/>
      <c r="P1919" s="150"/>
      <c r="Q1919" s="150"/>
      <c r="R1919" s="153"/>
      <c r="S1919" s="154"/>
      <c r="T1919" s="115"/>
    </row>
    <row r="1920" spans="1:20">
      <c r="A1920" t="s">
        <v>1230</v>
      </c>
      <c r="B1920" t="s">
        <v>75</v>
      </c>
      <c r="C1920" t="s">
        <v>55</v>
      </c>
      <c r="D1920" t="s">
        <v>588</v>
      </c>
      <c r="E1920" t="s">
        <v>3548</v>
      </c>
      <c r="F1920" s="121">
        <v>288.39999999999998</v>
      </c>
      <c r="G1920" s="121">
        <v>288.39999999999998</v>
      </c>
      <c r="H1920" t="s">
        <v>669</v>
      </c>
      <c r="I1920" s="156">
        <v>41089</v>
      </c>
      <c r="K1920" s="153"/>
      <c r="L1920" s="153"/>
      <c r="M1920" s="153"/>
      <c r="N1920" s="153"/>
      <c r="O1920" s="153"/>
      <c r="P1920" s="150"/>
      <c r="Q1920" s="150"/>
      <c r="R1920" s="153"/>
      <c r="S1920" s="154"/>
      <c r="T1920" s="115"/>
    </row>
    <row r="1921" spans="1:20">
      <c r="A1921" t="s">
        <v>1230</v>
      </c>
      <c r="B1921" t="s">
        <v>75</v>
      </c>
      <c r="C1921" t="s">
        <v>55</v>
      </c>
      <c r="D1921" t="s">
        <v>588</v>
      </c>
      <c r="E1921" t="s">
        <v>3549</v>
      </c>
      <c r="F1921" s="121">
        <v>288.39999999999998</v>
      </c>
      <c r="G1921" s="121">
        <v>288.39999999999998</v>
      </c>
      <c r="H1921" t="s">
        <v>669</v>
      </c>
      <c r="I1921" s="156">
        <v>41089</v>
      </c>
      <c r="K1921" s="153"/>
      <c r="L1921" s="153"/>
      <c r="M1921" s="153"/>
      <c r="N1921" s="153"/>
      <c r="O1921" s="153"/>
      <c r="P1921" s="150"/>
      <c r="Q1921" s="150"/>
      <c r="R1921" s="153"/>
      <c r="S1921" s="154"/>
      <c r="T1921" s="115"/>
    </row>
    <row r="1922" spans="1:20">
      <c r="A1922" t="s">
        <v>1230</v>
      </c>
      <c r="B1922" t="s">
        <v>75</v>
      </c>
      <c r="C1922" t="s">
        <v>55</v>
      </c>
      <c r="D1922" t="s">
        <v>588</v>
      </c>
      <c r="E1922" t="s">
        <v>3550</v>
      </c>
      <c r="F1922" s="121">
        <v>288.39999999999998</v>
      </c>
      <c r="G1922" s="121">
        <v>288.39999999999998</v>
      </c>
      <c r="H1922" t="s">
        <v>669</v>
      </c>
      <c r="I1922" s="156">
        <v>41089</v>
      </c>
      <c r="K1922" s="153"/>
      <c r="L1922" s="153"/>
      <c r="M1922" s="153"/>
      <c r="N1922" s="153"/>
      <c r="O1922" s="153"/>
      <c r="P1922" s="150"/>
      <c r="Q1922" s="150"/>
      <c r="R1922" s="153"/>
      <c r="S1922" s="154"/>
      <c r="T1922" s="115"/>
    </row>
    <row r="1923" spans="1:20">
      <c r="A1923" t="s">
        <v>1230</v>
      </c>
      <c r="B1923" t="s">
        <v>75</v>
      </c>
      <c r="C1923" t="s">
        <v>55</v>
      </c>
      <c r="D1923" t="s">
        <v>588</v>
      </c>
      <c r="E1923" t="s">
        <v>3551</v>
      </c>
      <c r="F1923" s="121">
        <v>288.39999999999998</v>
      </c>
      <c r="G1923" s="121">
        <v>288.39999999999998</v>
      </c>
      <c r="H1923" t="s">
        <v>669</v>
      </c>
      <c r="I1923" s="156">
        <v>41089</v>
      </c>
      <c r="K1923" s="153"/>
      <c r="L1923" s="153"/>
      <c r="M1923" s="153"/>
      <c r="N1923" s="153"/>
      <c r="O1923" s="153"/>
      <c r="P1923" s="150"/>
      <c r="Q1923" s="150"/>
      <c r="R1923" s="153"/>
      <c r="S1923" s="154"/>
      <c r="T1923" s="115"/>
    </row>
    <row r="1924" spans="1:20">
      <c r="A1924" t="s">
        <v>1230</v>
      </c>
      <c r="B1924" t="s">
        <v>75</v>
      </c>
      <c r="C1924" t="s">
        <v>55</v>
      </c>
      <c r="D1924" t="s">
        <v>588</v>
      </c>
      <c r="E1924" t="s">
        <v>3552</v>
      </c>
      <c r="F1924" s="121">
        <v>288.39999999999998</v>
      </c>
      <c r="G1924" s="121">
        <v>288.39999999999998</v>
      </c>
      <c r="H1924" t="s">
        <v>669</v>
      </c>
      <c r="I1924" s="156">
        <v>41089</v>
      </c>
      <c r="K1924" s="153"/>
      <c r="L1924" s="153"/>
      <c r="M1924" s="153"/>
      <c r="N1924" s="153"/>
      <c r="O1924" s="153"/>
      <c r="P1924" s="150"/>
      <c r="Q1924" s="150"/>
      <c r="R1924" s="153"/>
      <c r="S1924" s="154"/>
      <c r="T1924" s="115"/>
    </row>
    <row r="1925" spans="1:20">
      <c r="A1925" t="s">
        <v>1230</v>
      </c>
      <c r="B1925" t="s">
        <v>75</v>
      </c>
      <c r="C1925" t="s">
        <v>55</v>
      </c>
      <c r="D1925" t="s">
        <v>606</v>
      </c>
      <c r="E1925" t="s">
        <v>3553</v>
      </c>
      <c r="F1925" s="121">
        <v>355.35</v>
      </c>
      <c r="G1925" s="121">
        <v>355.35</v>
      </c>
      <c r="H1925" t="s">
        <v>669</v>
      </c>
      <c r="I1925" s="156">
        <v>41089</v>
      </c>
      <c r="K1925" s="153"/>
      <c r="L1925" s="153"/>
      <c r="M1925" s="153"/>
      <c r="N1925" s="153"/>
      <c r="O1925" s="153"/>
      <c r="P1925" s="150"/>
      <c r="Q1925" s="150"/>
      <c r="R1925" s="153"/>
      <c r="S1925" s="154"/>
      <c r="T1925" s="115"/>
    </row>
    <row r="1926" spans="1:20">
      <c r="A1926" t="s">
        <v>1230</v>
      </c>
      <c r="B1926" t="s">
        <v>75</v>
      </c>
      <c r="C1926" t="s">
        <v>55</v>
      </c>
      <c r="D1926" t="s">
        <v>613</v>
      </c>
      <c r="E1926" t="s">
        <v>3554</v>
      </c>
      <c r="F1926" s="121">
        <v>618</v>
      </c>
      <c r="G1926" s="121">
        <v>618</v>
      </c>
      <c r="H1926" t="s">
        <v>430</v>
      </c>
      <c r="I1926" s="156">
        <v>41089</v>
      </c>
      <c r="K1926" s="153"/>
      <c r="L1926" s="153"/>
      <c r="M1926" s="153"/>
      <c r="N1926" s="153"/>
      <c r="O1926" s="153"/>
      <c r="P1926" s="150"/>
      <c r="Q1926" s="150"/>
      <c r="R1926" s="153"/>
      <c r="S1926" s="154"/>
      <c r="T1926" s="115"/>
    </row>
    <row r="1927" spans="1:20">
      <c r="A1927" t="s">
        <v>1230</v>
      </c>
      <c r="B1927" t="s">
        <v>75</v>
      </c>
      <c r="C1927" t="s">
        <v>55</v>
      </c>
      <c r="D1927" t="s">
        <v>613</v>
      </c>
      <c r="E1927" t="s">
        <v>3555</v>
      </c>
      <c r="F1927" s="121">
        <v>1586.2</v>
      </c>
      <c r="G1927" s="121">
        <v>1586.2</v>
      </c>
      <c r="H1927" t="s">
        <v>670</v>
      </c>
      <c r="I1927" s="156">
        <v>41089</v>
      </c>
      <c r="K1927" s="153"/>
      <c r="L1927" s="153"/>
      <c r="M1927" s="153"/>
      <c r="N1927" s="153"/>
      <c r="O1927" s="153"/>
      <c r="P1927" s="150"/>
      <c r="Q1927" s="150"/>
      <c r="R1927" s="153"/>
      <c r="S1927" s="154"/>
      <c r="T1927" s="115"/>
    </row>
    <row r="1928" spans="1:20">
      <c r="A1928" t="s">
        <v>1230</v>
      </c>
      <c r="B1928" t="s">
        <v>75</v>
      </c>
      <c r="C1928" t="s">
        <v>55</v>
      </c>
      <c r="D1928" t="s">
        <v>650</v>
      </c>
      <c r="E1928" t="s">
        <v>3556</v>
      </c>
      <c r="F1928" s="121">
        <v>1236</v>
      </c>
      <c r="G1928" s="121">
        <v>1236</v>
      </c>
      <c r="H1928" t="s">
        <v>430</v>
      </c>
      <c r="I1928" s="156">
        <v>41089</v>
      </c>
      <c r="K1928" s="153"/>
      <c r="L1928" s="153"/>
      <c r="M1928" s="153"/>
      <c r="N1928" s="153"/>
      <c r="O1928" s="153"/>
      <c r="P1928" s="150"/>
      <c r="Q1928" s="150"/>
      <c r="R1928" s="153"/>
      <c r="S1928" s="154"/>
      <c r="T1928" s="115"/>
    </row>
    <row r="1929" spans="1:20">
      <c r="A1929" t="s">
        <v>1230</v>
      </c>
      <c r="B1929" t="s">
        <v>75</v>
      </c>
      <c r="C1929" t="s">
        <v>55</v>
      </c>
      <c r="D1929" t="s">
        <v>589</v>
      </c>
      <c r="E1929" t="s">
        <v>7383</v>
      </c>
      <c r="F1929" s="121">
        <v>70.040000000000006</v>
      </c>
      <c r="G1929" s="121">
        <v>70.040000000000006</v>
      </c>
      <c r="H1929" t="s">
        <v>430</v>
      </c>
      <c r="I1929" s="156">
        <v>41089</v>
      </c>
      <c r="K1929" s="153"/>
      <c r="L1929" s="153"/>
      <c r="M1929" s="153"/>
      <c r="N1929" s="153"/>
      <c r="O1929" s="153"/>
      <c r="P1929" s="150"/>
      <c r="Q1929" s="150"/>
      <c r="R1929" s="153"/>
      <c r="S1929" s="154"/>
      <c r="T1929" s="115"/>
    </row>
    <row r="1930" spans="1:20">
      <c r="A1930" t="s">
        <v>1230</v>
      </c>
      <c r="B1930" t="s">
        <v>75</v>
      </c>
      <c r="C1930" t="s">
        <v>55</v>
      </c>
      <c r="D1930" t="s">
        <v>589</v>
      </c>
      <c r="E1930" t="s">
        <v>7384</v>
      </c>
      <c r="F1930" s="121">
        <v>70.040000000000006</v>
      </c>
      <c r="G1930" s="121">
        <v>70.040000000000006</v>
      </c>
      <c r="H1930" t="s">
        <v>430</v>
      </c>
      <c r="I1930" s="156">
        <v>41089</v>
      </c>
      <c r="K1930" s="153"/>
      <c r="L1930" s="153"/>
      <c r="M1930" s="153"/>
      <c r="N1930" s="153"/>
      <c r="O1930" s="153"/>
      <c r="P1930" s="150"/>
      <c r="Q1930" s="150"/>
      <c r="R1930" s="153"/>
      <c r="S1930" s="154"/>
      <c r="T1930" s="115"/>
    </row>
    <row r="1931" spans="1:20">
      <c r="A1931" t="s">
        <v>1230</v>
      </c>
      <c r="B1931" t="s">
        <v>75</v>
      </c>
      <c r="C1931" t="s">
        <v>55</v>
      </c>
      <c r="D1931" t="s">
        <v>589</v>
      </c>
      <c r="E1931" t="s">
        <v>7385</v>
      </c>
      <c r="F1931" s="121">
        <v>70.040000000000006</v>
      </c>
      <c r="G1931" s="121">
        <v>70.040000000000006</v>
      </c>
      <c r="H1931" t="s">
        <v>430</v>
      </c>
      <c r="I1931" s="156">
        <v>41089</v>
      </c>
      <c r="K1931" s="153"/>
      <c r="L1931" s="153"/>
      <c r="M1931" s="153"/>
      <c r="N1931" s="153"/>
      <c r="O1931" s="153"/>
      <c r="P1931" s="150"/>
      <c r="Q1931" s="150"/>
      <c r="R1931" s="153"/>
      <c r="S1931" s="154"/>
      <c r="T1931" s="115"/>
    </row>
    <row r="1932" spans="1:20">
      <c r="A1932" t="s">
        <v>1230</v>
      </c>
      <c r="B1932" t="s">
        <v>75</v>
      </c>
      <c r="C1932" t="s">
        <v>55</v>
      </c>
      <c r="D1932" t="s">
        <v>589</v>
      </c>
      <c r="E1932" t="s">
        <v>7386</v>
      </c>
      <c r="F1932" s="121">
        <v>70.040000000000006</v>
      </c>
      <c r="G1932" s="121">
        <v>70.040000000000006</v>
      </c>
      <c r="H1932" t="s">
        <v>7387</v>
      </c>
      <c r="I1932" s="156">
        <v>41089</v>
      </c>
      <c r="K1932" s="153"/>
      <c r="L1932" s="153"/>
      <c r="M1932" s="153"/>
      <c r="N1932" s="153"/>
      <c r="O1932" s="153"/>
      <c r="P1932" s="150"/>
      <c r="Q1932" s="150"/>
      <c r="R1932" s="153"/>
      <c r="S1932" s="154"/>
      <c r="T1932" s="115"/>
    </row>
    <row r="1933" spans="1:20">
      <c r="A1933" t="s">
        <v>1230</v>
      </c>
      <c r="B1933" t="s">
        <v>75</v>
      </c>
      <c r="C1933" t="s">
        <v>55</v>
      </c>
      <c r="D1933" t="s">
        <v>589</v>
      </c>
      <c r="E1933" t="s">
        <v>7388</v>
      </c>
      <c r="F1933" s="121">
        <v>70.040000000000006</v>
      </c>
      <c r="G1933" s="121">
        <v>70.040000000000006</v>
      </c>
      <c r="H1933" t="s">
        <v>430</v>
      </c>
      <c r="I1933" s="156">
        <v>41089</v>
      </c>
      <c r="K1933" s="153"/>
      <c r="L1933" s="153"/>
      <c r="M1933" s="153"/>
      <c r="N1933" s="153"/>
      <c r="O1933" s="153"/>
      <c r="P1933" s="150"/>
      <c r="Q1933" s="150"/>
      <c r="R1933" s="153"/>
      <c r="S1933" s="154"/>
      <c r="T1933" s="115"/>
    </row>
    <row r="1934" spans="1:20">
      <c r="A1934" t="s">
        <v>1230</v>
      </c>
      <c r="B1934" t="s">
        <v>75</v>
      </c>
      <c r="C1934" t="s">
        <v>55</v>
      </c>
      <c r="D1934" t="s">
        <v>569</v>
      </c>
      <c r="E1934" t="s">
        <v>3557</v>
      </c>
      <c r="F1934" s="121">
        <v>432.6</v>
      </c>
      <c r="G1934" s="121">
        <v>432.6</v>
      </c>
      <c r="H1934" t="s">
        <v>430</v>
      </c>
      <c r="I1934" s="156">
        <v>41089</v>
      </c>
      <c r="K1934" s="153"/>
      <c r="L1934" s="153"/>
      <c r="M1934" s="153"/>
      <c r="N1934" s="153"/>
      <c r="O1934" s="153"/>
      <c r="P1934" s="150"/>
      <c r="Q1934" s="150"/>
      <c r="R1934" s="153"/>
      <c r="S1934" s="154"/>
      <c r="T1934" s="115"/>
    </row>
    <row r="1935" spans="1:20">
      <c r="A1935" t="s">
        <v>1230</v>
      </c>
      <c r="B1935" t="s">
        <v>75</v>
      </c>
      <c r="C1935" t="s">
        <v>53</v>
      </c>
      <c r="D1935" t="s">
        <v>586</v>
      </c>
      <c r="E1935" t="s">
        <v>3558</v>
      </c>
      <c r="F1935" s="121">
        <v>309</v>
      </c>
      <c r="G1935" s="121">
        <v>309</v>
      </c>
      <c r="H1935" t="s">
        <v>430</v>
      </c>
      <c r="I1935" s="156">
        <v>41089</v>
      </c>
      <c r="K1935" s="153"/>
      <c r="L1935" s="153"/>
      <c r="M1935" s="153"/>
      <c r="N1935" s="153"/>
      <c r="O1935" s="153"/>
      <c r="P1935" s="150"/>
      <c r="Q1935" s="150"/>
      <c r="R1935" s="153"/>
      <c r="S1935" s="154"/>
      <c r="T1935" s="115"/>
    </row>
    <row r="1936" spans="1:20">
      <c r="A1936" t="s">
        <v>1230</v>
      </c>
      <c r="B1936" t="s">
        <v>1012</v>
      </c>
      <c r="C1936" t="s">
        <v>53</v>
      </c>
      <c r="D1936" t="s">
        <v>613</v>
      </c>
      <c r="E1936" t="s">
        <v>3559</v>
      </c>
      <c r="F1936" s="121">
        <v>1071.2</v>
      </c>
      <c r="G1936" s="121">
        <v>1071.2</v>
      </c>
      <c r="H1936" t="s">
        <v>671</v>
      </c>
      <c r="I1936" s="156">
        <v>41089</v>
      </c>
      <c r="K1936" s="153"/>
      <c r="L1936" s="153"/>
      <c r="M1936" s="153"/>
      <c r="N1936" s="153"/>
      <c r="O1936" s="153"/>
      <c r="P1936" s="150"/>
      <c r="Q1936" s="150"/>
      <c r="R1936" s="153"/>
      <c r="S1936" s="154"/>
      <c r="T1936" s="115"/>
    </row>
    <row r="1937" spans="1:20">
      <c r="A1937" t="s">
        <v>1230</v>
      </c>
      <c r="B1937" t="s">
        <v>1012</v>
      </c>
      <c r="C1937" t="s">
        <v>53</v>
      </c>
      <c r="D1937" t="s">
        <v>574</v>
      </c>
      <c r="E1937" t="s">
        <v>3560</v>
      </c>
      <c r="F1937" s="121">
        <v>654.04999999999995</v>
      </c>
      <c r="G1937" s="121">
        <v>654.04999999999995</v>
      </c>
      <c r="H1937" t="s">
        <v>672</v>
      </c>
      <c r="I1937" s="156">
        <v>41089</v>
      </c>
      <c r="K1937" s="153"/>
      <c r="L1937" s="153"/>
      <c r="M1937" s="153"/>
      <c r="N1937" s="153"/>
      <c r="O1937" s="153"/>
      <c r="P1937" s="150"/>
      <c r="Q1937" s="150"/>
      <c r="R1937" s="153"/>
      <c r="S1937" s="154"/>
      <c r="T1937" s="115"/>
    </row>
    <row r="1938" spans="1:20">
      <c r="A1938" t="s">
        <v>1230</v>
      </c>
      <c r="B1938" t="s">
        <v>1012</v>
      </c>
      <c r="C1938" t="s">
        <v>53</v>
      </c>
      <c r="D1938" t="s">
        <v>610</v>
      </c>
      <c r="E1938" t="s">
        <v>3561</v>
      </c>
      <c r="F1938" s="121">
        <v>319.3</v>
      </c>
      <c r="G1938" s="121">
        <v>319.3</v>
      </c>
      <c r="H1938" t="s">
        <v>672</v>
      </c>
      <c r="I1938" s="156">
        <v>41089</v>
      </c>
      <c r="K1938" s="153"/>
      <c r="L1938" s="153"/>
      <c r="M1938" s="153"/>
      <c r="N1938" s="153"/>
      <c r="O1938" s="153"/>
      <c r="P1938" s="150"/>
      <c r="Q1938" s="150"/>
      <c r="R1938" s="153"/>
      <c r="S1938" s="154"/>
      <c r="T1938" s="115"/>
    </row>
    <row r="1939" spans="1:20">
      <c r="A1939" t="s">
        <v>1230</v>
      </c>
      <c r="B1939" t="s">
        <v>1012</v>
      </c>
      <c r="C1939" t="s">
        <v>53</v>
      </c>
      <c r="D1939" t="s">
        <v>586</v>
      </c>
      <c r="E1939" t="s">
        <v>3562</v>
      </c>
      <c r="F1939" s="121">
        <v>334.75</v>
      </c>
      <c r="G1939" s="121">
        <v>334.75</v>
      </c>
      <c r="H1939" t="s">
        <v>672</v>
      </c>
      <c r="I1939" s="156">
        <v>41089</v>
      </c>
      <c r="K1939" s="153"/>
      <c r="L1939" s="153"/>
      <c r="M1939" s="153"/>
      <c r="N1939" s="153"/>
      <c r="O1939" s="153"/>
      <c r="P1939" s="150"/>
      <c r="Q1939" s="150"/>
      <c r="R1939" s="153"/>
      <c r="S1939" s="154"/>
      <c r="T1939" s="115"/>
    </row>
    <row r="1940" spans="1:20">
      <c r="A1940" t="s">
        <v>1230</v>
      </c>
      <c r="B1940" t="s">
        <v>1012</v>
      </c>
      <c r="C1940" t="s">
        <v>53</v>
      </c>
      <c r="D1940" t="s">
        <v>650</v>
      </c>
      <c r="E1940" t="s">
        <v>3563</v>
      </c>
      <c r="F1940" s="121">
        <v>1009.4</v>
      </c>
      <c r="G1940" s="121">
        <v>1009.4</v>
      </c>
      <c r="H1940" t="s">
        <v>672</v>
      </c>
      <c r="I1940" s="156">
        <v>41089</v>
      </c>
      <c r="K1940" s="153"/>
      <c r="L1940" s="153"/>
      <c r="M1940" s="153"/>
      <c r="N1940" s="153"/>
      <c r="O1940" s="153"/>
      <c r="P1940" s="150"/>
      <c r="Q1940" s="150"/>
      <c r="R1940" s="153"/>
      <c r="S1940" s="154"/>
      <c r="T1940" s="115"/>
    </row>
    <row r="1941" spans="1:20">
      <c r="A1941" t="s">
        <v>1230</v>
      </c>
      <c r="B1941" t="s">
        <v>1012</v>
      </c>
      <c r="C1941" t="s">
        <v>53</v>
      </c>
      <c r="D1941" t="s">
        <v>606</v>
      </c>
      <c r="E1941" t="s">
        <v>3564</v>
      </c>
      <c r="F1941" s="121">
        <v>355.35</v>
      </c>
      <c r="G1941" s="121">
        <v>355.35</v>
      </c>
      <c r="H1941" t="s">
        <v>672</v>
      </c>
      <c r="I1941" s="156">
        <v>41089</v>
      </c>
      <c r="K1941" s="153"/>
      <c r="L1941" s="153"/>
      <c r="M1941" s="153"/>
      <c r="N1941" s="153"/>
      <c r="O1941" s="153"/>
      <c r="P1941" s="150"/>
      <c r="Q1941" s="150"/>
      <c r="R1941" s="153"/>
      <c r="S1941" s="154"/>
      <c r="T1941" s="115"/>
    </row>
    <row r="1942" spans="1:20">
      <c r="A1942" t="s">
        <v>1230</v>
      </c>
      <c r="B1942" t="s">
        <v>1012</v>
      </c>
      <c r="C1942" t="s">
        <v>53</v>
      </c>
      <c r="D1942" t="s">
        <v>606</v>
      </c>
      <c r="E1942" t="s">
        <v>3565</v>
      </c>
      <c r="F1942" s="121">
        <v>355.35</v>
      </c>
      <c r="G1942" s="121">
        <v>355.35</v>
      </c>
      <c r="H1942" t="s">
        <v>672</v>
      </c>
      <c r="I1942" s="156">
        <v>41089</v>
      </c>
      <c r="K1942" s="153"/>
      <c r="L1942" s="153"/>
      <c r="M1942" s="153"/>
      <c r="N1942" s="153"/>
      <c r="O1942" s="153"/>
      <c r="P1942" s="150"/>
      <c r="Q1942" s="150"/>
      <c r="R1942" s="153"/>
      <c r="S1942" s="154"/>
      <c r="T1942" s="115"/>
    </row>
    <row r="1943" spans="1:20">
      <c r="A1943" t="s">
        <v>1230</v>
      </c>
      <c r="B1943" t="s">
        <v>1012</v>
      </c>
      <c r="C1943" t="s">
        <v>55</v>
      </c>
      <c r="D1943" t="s">
        <v>591</v>
      </c>
      <c r="E1943" t="s">
        <v>3566</v>
      </c>
      <c r="F1943" s="121">
        <v>1133</v>
      </c>
      <c r="G1943" s="121">
        <v>1133</v>
      </c>
      <c r="H1943" t="s">
        <v>672</v>
      </c>
      <c r="I1943" s="156">
        <v>41089</v>
      </c>
      <c r="K1943" s="153"/>
      <c r="L1943" s="153"/>
      <c r="M1943" s="153"/>
      <c r="N1943" s="153"/>
      <c r="O1943" s="153"/>
      <c r="P1943" s="150"/>
      <c r="Q1943" s="150"/>
      <c r="R1943" s="153"/>
      <c r="S1943" s="154"/>
      <c r="T1943" s="115"/>
    </row>
    <row r="1944" spans="1:20">
      <c r="A1944" t="s">
        <v>1230</v>
      </c>
      <c r="B1944" t="s">
        <v>1012</v>
      </c>
      <c r="C1944" t="s">
        <v>55</v>
      </c>
      <c r="D1944" t="s">
        <v>588</v>
      </c>
      <c r="E1944" t="s">
        <v>3567</v>
      </c>
      <c r="F1944" s="121">
        <v>288.39999999999998</v>
      </c>
      <c r="G1944" s="121">
        <v>288.39999999999998</v>
      </c>
      <c r="H1944" t="s">
        <v>672</v>
      </c>
      <c r="I1944" s="156">
        <v>41089</v>
      </c>
      <c r="K1944" s="153"/>
      <c r="L1944" s="153"/>
      <c r="M1944" s="153"/>
      <c r="N1944" s="153"/>
      <c r="O1944" s="153"/>
      <c r="P1944" s="150"/>
      <c r="Q1944" s="150"/>
      <c r="R1944" s="153"/>
      <c r="S1944" s="154"/>
      <c r="T1944" s="115"/>
    </row>
    <row r="1945" spans="1:20">
      <c r="A1945" t="s">
        <v>1230</v>
      </c>
      <c r="B1945" t="s">
        <v>1012</v>
      </c>
      <c r="C1945" t="s">
        <v>55</v>
      </c>
      <c r="D1945" t="s">
        <v>588</v>
      </c>
      <c r="E1945" t="s">
        <v>3568</v>
      </c>
      <c r="F1945" s="121">
        <v>288.39999999999998</v>
      </c>
      <c r="G1945" s="121">
        <v>288.39999999999998</v>
      </c>
      <c r="H1945" t="s">
        <v>671</v>
      </c>
      <c r="I1945" s="156">
        <v>41089</v>
      </c>
      <c r="K1945" s="153"/>
      <c r="L1945" s="153"/>
      <c r="M1945" s="153"/>
      <c r="N1945" s="153"/>
      <c r="O1945" s="153"/>
      <c r="P1945" s="150"/>
      <c r="Q1945" s="150"/>
      <c r="R1945" s="153"/>
      <c r="S1945" s="154"/>
      <c r="T1945" s="115"/>
    </row>
    <row r="1946" spans="1:20">
      <c r="A1946" t="s">
        <v>1230</v>
      </c>
      <c r="B1946" t="s">
        <v>1012</v>
      </c>
      <c r="C1946" t="s">
        <v>55</v>
      </c>
      <c r="D1946" t="s">
        <v>547</v>
      </c>
      <c r="E1946" t="s">
        <v>3569</v>
      </c>
      <c r="F1946" s="121">
        <v>1277.2</v>
      </c>
      <c r="G1946" s="121">
        <v>1277.2</v>
      </c>
      <c r="H1946" t="s">
        <v>671</v>
      </c>
      <c r="I1946" s="156">
        <v>41089</v>
      </c>
      <c r="K1946" s="153"/>
      <c r="L1946" s="153"/>
      <c r="M1946" s="153"/>
      <c r="N1946" s="153"/>
      <c r="O1946" s="153"/>
      <c r="P1946" s="150"/>
      <c r="Q1946" s="150"/>
      <c r="R1946" s="153"/>
      <c r="S1946" s="154"/>
      <c r="T1946" s="115"/>
    </row>
    <row r="1947" spans="1:20">
      <c r="A1947" t="s">
        <v>1230</v>
      </c>
      <c r="B1947" t="s">
        <v>1012</v>
      </c>
      <c r="C1947" t="s">
        <v>55</v>
      </c>
      <c r="D1947" t="s">
        <v>547</v>
      </c>
      <c r="E1947" t="s">
        <v>3570</v>
      </c>
      <c r="F1947" s="121">
        <v>1277.2</v>
      </c>
      <c r="G1947" s="121">
        <v>1277.2</v>
      </c>
      <c r="H1947" t="s">
        <v>671</v>
      </c>
      <c r="I1947" s="156">
        <v>41089</v>
      </c>
      <c r="K1947" s="153"/>
      <c r="L1947" s="153"/>
      <c r="M1947" s="153"/>
      <c r="N1947" s="153"/>
      <c r="O1947" s="153"/>
      <c r="P1947" s="150"/>
      <c r="Q1947" s="150"/>
      <c r="R1947" s="153"/>
      <c r="S1947" s="154"/>
      <c r="T1947" s="115"/>
    </row>
    <row r="1948" spans="1:20">
      <c r="A1948" t="s">
        <v>1230</v>
      </c>
      <c r="B1948" t="s">
        <v>1012</v>
      </c>
      <c r="C1948" t="s">
        <v>55</v>
      </c>
      <c r="D1948" t="s">
        <v>547</v>
      </c>
      <c r="E1948" t="s">
        <v>3571</v>
      </c>
      <c r="F1948" s="121">
        <v>1277.2</v>
      </c>
      <c r="G1948" s="121">
        <v>1277.2</v>
      </c>
      <c r="H1948" t="s">
        <v>671</v>
      </c>
      <c r="I1948" s="156">
        <v>41089</v>
      </c>
      <c r="K1948" s="153"/>
      <c r="L1948" s="153"/>
      <c r="M1948" s="153"/>
      <c r="N1948" s="153"/>
      <c r="O1948" s="153"/>
      <c r="P1948" s="150"/>
      <c r="Q1948" s="150"/>
      <c r="R1948" s="153"/>
      <c r="S1948" s="154"/>
      <c r="T1948" s="115"/>
    </row>
    <row r="1949" spans="1:20">
      <c r="A1949" t="s">
        <v>1230</v>
      </c>
      <c r="B1949" t="s">
        <v>1012</v>
      </c>
      <c r="C1949" t="s">
        <v>55</v>
      </c>
      <c r="D1949" t="s">
        <v>627</v>
      </c>
      <c r="E1949" t="s">
        <v>3572</v>
      </c>
      <c r="F1949" s="121">
        <v>391.4</v>
      </c>
      <c r="G1949" s="121">
        <v>391.4</v>
      </c>
      <c r="H1949" t="s">
        <v>671</v>
      </c>
      <c r="I1949" s="156">
        <v>41089</v>
      </c>
      <c r="K1949" s="153"/>
      <c r="L1949" s="153"/>
      <c r="M1949" s="153"/>
      <c r="N1949" s="153"/>
      <c r="O1949" s="153"/>
      <c r="P1949" s="150"/>
      <c r="Q1949" s="150"/>
      <c r="R1949" s="153"/>
      <c r="S1949" s="154"/>
      <c r="T1949" s="115"/>
    </row>
    <row r="1950" spans="1:20">
      <c r="A1950" t="s">
        <v>1230</v>
      </c>
      <c r="B1950" t="s">
        <v>1012</v>
      </c>
      <c r="C1950" t="s">
        <v>55</v>
      </c>
      <c r="D1950" t="s">
        <v>589</v>
      </c>
      <c r="E1950" t="s">
        <v>7389</v>
      </c>
      <c r="F1950" s="121">
        <v>226.6</v>
      </c>
      <c r="G1950" s="121">
        <v>226.6</v>
      </c>
      <c r="H1950" t="s">
        <v>671</v>
      </c>
      <c r="I1950" s="156">
        <v>41089</v>
      </c>
      <c r="K1950" s="153"/>
      <c r="L1950" s="153"/>
      <c r="M1950" s="153"/>
      <c r="N1950" s="153"/>
      <c r="O1950" s="153"/>
      <c r="P1950" s="150"/>
      <c r="Q1950" s="150"/>
      <c r="R1950" s="153"/>
      <c r="S1950" s="154"/>
      <c r="T1950" s="115"/>
    </row>
    <row r="1951" spans="1:20">
      <c r="A1951" t="s">
        <v>1230</v>
      </c>
      <c r="B1951" t="s">
        <v>1012</v>
      </c>
      <c r="C1951" t="s">
        <v>55</v>
      </c>
      <c r="D1951" t="s">
        <v>589</v>
      </c>
      <c r="E1951" t="s">
        <v>7390</v>
      </c>
      <c r="F1951" s="121">
        <v>226.6</v>
      </c>
      <c r="G1951" s="121">
        <v>226.6</v>
      </c>
      <c r="H1951" t="s">
        <v>671</v>
      </c>
      <c r="I1951" s="156">
        <v>41089</v>
      </c>
      <c r="K1951" s="153"/>
      <c r="L1951" s="153"/>
      <c r="M1951" s="153"/>
      <c r="N1951" s="153"/>
      <c r="O1951" s="153"/>
      <c r="P1951" s="150"/>
      <c r="Q1951" s="150"/>
      <c r="R1951" s="153"/>
      <c r="S1951" s="154"/>
      <c r="T1951" s="115"/>
    </row>
    <row r="1952" spans="1:20">
      <c r="A1952" t="s">
        <v>1230</v>
      </c>
      <c r="B1952" t="s">
        <v>1012</v>
      </c>
      <c r="C1952" t="s">
        <v>55</v>
      </c>
      <c r="D1952" t="s">
        <v>589</v>
      </c>
      <c r="E1952" t="s">
        <v>7391</v>
      </c>
      <c r="F1952" s="121">
        <v>226.6</v>
      </c>
      <c r="G1952" s="121">
        <v>226.6</v>
      </c>
      <c r="H1952" t="s">
        <v>671</v>
      </c>
      <c r="I1952" s="156">
        <v>41089</v>
      </c>
      <c r="K1952" s="153"/>
      <c r="L1952" s="153"/>
      <c r="M1952" s="153"/>
      <c r="N1952" s="153"/>
      <c r="O1952" s="153"/>
      <c r="P1952" s="152"/>
      <c r="Q1952" s="152"/>
      <c r="R1952" s="153"/>
      <c r="S1952" s="154"/>
      <c r="T1952" s="115"/>
    </row>
    <row r="1953" spans="1:20">
      <c r="A1953" t="s">
        <v>1230</v>
      </c>
      <c r="B1953" t="s">
        <v>1012</v>
      </c>
      <c r="C1953" t="s">
        <v>55</v>
      </c>
      <c r="D1953" t="s">
        <v>606</v>
      </c>
      <c r="E1953" t="s">
        <v>3573</v>
      </c>
      <c r="F1953" s="121">
        <v>412</v>
      </c>
      <c r="G1953" s="121">
        <v>412</v>
      </c>
      <c r="H1953" t="s">
        <v>671</v>
      </c>
      <c r="I1953" s="156">
        <v>41089</v>
      </c>
      <c r="K1953" s="153"/>
      <c r="L1953" s="153"/>
      <c r="M1953" s="153"/>
      <c r="N1953" s="153"/>
      <c r="O1953" s="153"/>
      <c r="P1953" s="150"/>
      <c r="Q1953" s="150"/>
      <c r="R1953" s="153"/>
      <c r="S1953" s="154"/>
      <c r="T1953" s="115"/>
    </row>
    <row r="1954" spans="1:20">
      <c r="A1954" t="s">
        <v>1230</v>
      </c>
      <c r="B1954" t="s">
        <v>1012</v>
      </c>
      <c r="C1954" t="s">
        <v>55</v>
      </c>
      <c r="D1954" t="s">
        <v>650</v>
      </c>
      <c r="E1954" t="s">
        <v>7392</v>
      </c>
      <c r="F1954" s="121">
        <v>463.5</v>
      </c>
      <c r="G1954" s="121">
        <v>463.5</v>
      </c>
      <c r="H1954" t="s">
        <v>671</v>
      </c>
      <c r="I1954" s="156">
        <v>41089</v>
      </c>
      <c r="K1954" s="153"/>
      <c r="L1954" s="153"/>
      <c r="M1954" s="153"/>
      <c r="N1954" s="153"/>
      <c r="O1954" s="153"/>
      <c r="P1954" s="150"/>
      <c r="Q1954" s="150"/>
      <c r="R1954" s="153"/>
      <c r="S1954" s="154"/>
      <c r="T1954" s="115"/>
    </row>
    <row r="1955" spans="1:20">
      <c r="A1955" t="s">
        <v>1230</v>
      </c>
      <c r="B1955" t="s">
        <v>74</v>
      </c>
      <c r="C1955" t="s">
        <v>55</v>
      </c>
      <c r="D1955" t="s">
        <v>591</v>
      </c>
      <c r="E1955" t="s">
        <v>3574</v>
      </c>
      <c r="F1955" s="121">
        <v>290</v>
      </c>
      <c r="G1955" s="121">
        <v>290</v>
      </c>
      <c r="H1955" t="s">
        <v>398</v>
      </c>
      <c r="I1955" s="156">
        <v>41089</v>
      </c>
      <c r="K1955" s="153"/>
      <c r="L1955" s="153"/>
      <c r="M1955" s="153"/>
      <c r="N1955" s="153"/>
      <c r="O1955" s="153"/>
      <c r="P1955" s="150"/>
      <c r="Q1955" s="150"/>
      <c r="R1955" s="153"/>
      <c r="S1955" s="154"/>
      <c r="T1955" s="115"/>
    </row>
    <row r="1956" spans="1:20">
      <c r="A1956" t="s">
        <v>1230</v>
      </c>
      <c r="B1956" t="s">
        <v>74</v>
      </c>
      <c r="C1956" t="s">
        <v>55</v>
      </c>
      <c r="D1956" t="s">
        <v>588</v>
      </c>
      <c r="E1956" t="s">
        <v>3575</v>
      </c>
      <c r="F1956" s="121">
        <v>288.39999999999998</v>
      </c>
      <c r="G1956" s="121">
        <v>288.39999999999998</v>
      </c>
      <c r="H1956" t="s">
        <v>398</v>
      </c>
      <c r="I1956" s="156">
        <v>41089</v>
      </c>
      <c r="K1956" s="153"/>
      <c r="L1956" s="153"/>
      <c r="M1956" s="153"/>
      <c r="N1956" s="153"/>
      <c r="O1956" s="153"/>
      <c r="P1956" s="150"/>
      <c r="Q1956" s="150"/>
      <c r="R1956" s="153"/>
      <c r="S1956" s="154"/>
      <c r="T1956" s="115"/>
    </row>
    <row r="1957" spans="1:20">
      <c r="A1957" t="s">
        <v>1230</v>
      </c>
      <c r="B1957" t="s">
        <v>74</v>
      </c>
      <c r="C1957" t="s">
        <v>55</v>
      </c>
      <c r="D1957" t="s">
        <v>588</v>
      </c>
      <c r="E1957" t="s">
        <v>3576</v>
      </c>
      <c r="F1957" s="121">
        <v>288.39999999999998</v>
      </c>
      <c r="G1957" s="121">
        <v>288.39999999999998</v>
      </c>
      <c r="H1957" t="s">
        <v>398</v>
      </c>
      <c r="I1957" s="156">
        <v>41089</v>
      </c>
      <c r="K1957" s="153"/>
      <c r="L1957" s="153"/>
      <c r="M1957" s="153"/>
      <c r="N1957" s="153"/>
      <c r="O1957" s="153"/>
      <c r="P1957" s="150"/>
      <c r="Q1957" s="150"/>
      <c r="R1957" s="153"/>
      <c r="S1957" s="154"/>
      <c r="T1957" s="115"/>
    </row>
    <row r="1958" spans="1:20">
      <c r="A1958" t="s">
        <v>1230</v>
      </c>
      <c r="B1958" t="s">
        <v>74</v>
      </c>
      <c r="C1958" t="s">
        <v>55</v>
      </c>
      <c r="D1958" t="s">
        <v>591</v>
      </c>
      <c r="E1958" t="s">
        <v>3577</v>
      </c>
      <c r="F1958" s="121">
        <v>290</v>
      </c>
      <c r="G1958" s="121">
        <v>290</v>
      </c>
      <c r="H1958" t="s">
        <v>398</v>
      </c>
      <c r="I1958" s="156">
        <v>41089</v>
      </c>
      <c r="K1958" s="153"/>
      <c r="L1958" s="153"/>
      <c r="M1958" s="153"/>
      <c r="N1958" s="153"/>
      <c r="O1958" s="153"/>
      <c r="P1958" s="152"/>
      <c r="Q1958" s="152"/>
      <c r="R1958" s="153"/>
      <c r="S1958" s="154"/>
      <c r="T1958" s="115"/>
    </row>
    <row r="1959" spans="1:20">
      <c r="A1959" t="s">
        <v>1230</v>
      </c>
      <c r="B1959" t="s">
        <v>74</v>
      </c>
      <c r="C1959" t="s">
        <v>55</v>
      </c>
      <c r="D1959" t="s">
        <v>588</v>
      </c>
      <c r="E1959" t="s">
        <v>3578</v>
      </c>
      <c r="F1959" s="121">
        <v>288.39999999999998</v>
      </c>
      <c r="G1959" s="121">
        <v>288.39999999999998</v>
      </c>
      <c r="H1959" t="s">
        <v>398</v>
      </c>
      <c r="I1959" s="156">
        <v>41089</v>
      </c>
      <c r="K1959" s="153"/>
      <c r="L1959" s="153"/>
      <c r="M1959" s="153"/>
      <c r="N1959" s="153"/>
      <c r="O1959" s="153"/>
      <c r="P1959" s="150"/>
      <c r="Q1959" s="150"/>
      <c r="R1959" s="153"/>
      <c r="S1959" s="154"/>
      <c r="T1959" s="115"/>
    </row>
    <row r="1960" spans="1:20">
      <c r="A1960" t="s">
        <v>1230</v>
      </c>
      <c r="B1960" t="s">
        <v>74</v>
      </c>
      <c r="C1960" t="s">
        <v>55</v>
      </c>
      <c r="D1960" t="s">
        <v>588</v>
      </c>
      <c r="E1960" t="s">
        <v>3579</v>
      </c>
      <c r="F1960" s="121">
        <v>288.39999999999998</v>
      </c>
      <c r="G1960" s="121">
        <v>288.39999999999998</v>
      </c>
      <c r="H1960" t="s">
        <v>445</v>
      </c>
      <c r="I1960" s="156">
        <v>41089</v>
      </c>
      <c r="K1960" s="153"/>
      <c r="L1960" s="153"/>
      <c r="M1960" s="153"/>
      <c r="N1960" s="153"/>
      <c r="O1960" s="153"/>
      <c r="P1960" s="150"/>
      <c r="Q1960" s="150"/>
      <c r="R1960" s="153"/>
      <c r="S1960" s="154"/>
      <c r="T1960" s="115"/>
    </row>
    <row r="1961" spans="1:20">
      <c r="A1961" t="s">
        <v>1230</v>
      </c>
      <c r="B1961" t="s">
        <v>74</v>
      </c>
      <c r="C1961" t="s">
        <v>55</v>
      </c>
      <c r="D1961" t="s">
        <v>7270</v>
      </c>
      <c r="E1961" t="s">
        <v>7393</v>
      </c>
      <c r="F1961" s="121">
        <v>561.35</v>
      </c>
      <c r="G1961" s="121">
        <v>561.35</v>
      </c>
      <c r="H1961" t="s">
        <v>411</v>
      </c>
      <c r="I1961" s="156">
        <v>41089</v>
      </c>
      <c r="K1961" s="153"/>
      <c r="L1961" s="153"/>
      <c r="M1961" s="153"/>
      <c r="N1961" s="153"/>
      <c r="O1961" s="153"/>
      <c r="P1961" s="150"/>
      <c r="Q1961" s="150"/>
      <c r="R1961" s="153"/>
      <c r="S1961" s="154"/>
      <c r="T1961" s="115"/>
    </row>
    <row r="1962" spans="1:20">
      <c r="A1962" t="s">
        <v>1230</v>
      </c>
      <c r="B1962" t="s">
        <v>74</v>
      </c>
      <c r="C1962" t="s">
        <v>55</v>
      </c>
      <c r="D1962" t="s">
        <v>591</v>
      </c>
      <c r="E1962" t="s">
        <v>3580</v>
      </c>
      <c r="F1962" s="121">
        <v>463.5</v>
      </c>
      <c r="G1962" s="121">
        <v>463.5</v>
      </c>
      <c r="H1962" t="s">
        <v>411</v>
      </c>
      <c r="I1962" s="156">
        <v>41089</v>
      </c>
      <c r="K1962" s="153"/>
      <c r="L1962" s="153"/>
      <c r="M1962" s="153"/>
      <c r="N1962" s="153"/>
      <c r="O1962" s="153"/>
      <c r="P1962" s="150"/>
      <c r="Q1962" s="150"/>
      <c r="R1962" s="153"/>
      <c r="S1962" s="154"/>
      <c r="T1962" s="115"/>
    </row>
    <row r="1963" spans="1:20">
      <c r="A1963" t="s">
        <v>1230</v>
      </c>
      <c r="B1963" t="s">
        <v>74</v>
      </c>
      <c r="C1963" t="s">
        <v>55</v>
      </c>
      <c r="D1963" t="s">
        <v>591</v>
      </c>
      <c r="E1963" t="s">
        <v>3581</v>
      </c>
      <c r="F1963" s="121">
        <v>654.04999999999995</v>
      </c>
      <c r="G1963" s="121">
        <v>654.04999999999995</v>
      </c>
      <c r="H1963" t="s">
        <v>411</v>
      </c>
      <c r="I1963" s="156">
        <v>41089</v>
      </c>
      <c r="K1963" s="153"/>
      <c r="L1963" s="153"/>
      <c r="M1963" s="153"/>
      <c r="N1963" s="153"/>
      <c r="O1963" s="153"/>
      <c r="P1963" s="150"/>
      <c r="Q1963" s="150"/>
      <c r="R1963" s="153"/>
      <c r="S1963" s="154"/>
      <c r="T1963" s="115"/>
    </row>
    <row r="1964" spans="1:20">
      <c r="A1964" t="s">
        <v>1230</v>
      </c>
      <c r="B1964" t="s">
        <v>74</v>
      </c>
      <c r="C1964" t="s">
        <v>55</v>
      </c>
      <c r="D1964" t="s">
        <v>591</v>
      </c>
      <c r="E1964" t="s">
        <v>3582</v>
      </c>
      <c r="F1964" s="121">
        <v>597.4</v>
      </c>
      <c r="G1964" s="121">
        <v>597.4</v>
      </c>
      <c r="H1964" t="s">
        <v>411</v>
      </c>
      <c r="I1964" s="156">
        <v>41089</v>
      </c>
      <c r="K1964" s="153"/>
      <c r="L1964" s="153"/>
      <c r="M1964" s="153"/>
      <c r="N1964" s="153"/>
      <c r="O1964" s="153"/>
      <c r="P1964" s="150"/>
      <c r="Q1964" s="150"/>
      <c r="R1964" s="153"/>
      <c r="S1964" s="154"/>
      <c r="T1964" s="115"/>
    </row>
    <row r="1965" spans="1:20">
      <c r="A1965" t="s">
        <v>1230</v>
      </c>
      <c r="B1965" t="s">
        <v>74</v>
      </c>
      <c r="C1965" t="s">
        <v>43</v>
      </c>
      <c r="D1965" t="s">
        <v>622</v>
      </c>
      <c r="E1965" t="s">
        <v>3583</v>
      </c>
      <c r="F1965" s="121">
        <v>741.6</v>
      </c>
      <c r="G1965" s="121">
        <v>741.6</v>
      </c>
      <c r="H1965" t="s">
        <v>398</v>
      </c>
      <c r="I1965" s="156">
        <v>41089</v>
      </c>
      <c r="K1965" s="153"/>
      <c r="L1965" s="153"/>
      <c r="M1965" s="153"/>
      <c r="N1965" s="153"/>
      <c r="O1965" s="153"/>
      <c r="P1965" s="150"/>
      <c r="Q1965" s="150"/>
      <c r="R1965" s="153"/>
      <c r="S1965" s="154"/>
      <c r="T1965" s="115"/>
    </row>
    <row r="1966" spans="1:20">
      <c r="A1966" t="s">
        <v>1230</v>
      </c>
      <c r="B1966" t="s">
        <v>71</v>
      </c>
      <c r="C1966" t="s">
        <v>54</v>
      </c>
      <c r="D1966" t="s">
        <v>573</v>
      </c>
      <c r="E1966" t="s">
        <v>3584</v>
      </c>
      <c r="F1966" s="121">
        <v>257.5</v>
      </c>
      <c r="G1966" s="121">
        <v>257.5</v>
      </c>
      <c r="H1966" t="s">
        <v>445</v>
      </c>
      <c r="I1966" s="156">
        <v>41089</v>
      </c>
      <c r="K1966" s="153"/>
      <c r="L1966" s="153"/>
      <c r="M1966" s="153"/>
      <c r="N1966" s="153"/>
      <c r="O1966" s="153"/>
      <c r="P1966" s="150"/>
      <c r="Q1966" s="150"/>
      <c r="R1966" s="153"/>
      <c r="S1966" s="154"/>
      <c r="T1966" s="115"/>
    </row>
    <row r="1967" spans="1:20">
      <c r="A1967" t="s">
        <v>1230</v>
      </c>
      <c r="B1967" t="s">
        <v>71</v>
      </c>
      <c r="C1967" t="s">
        <v>54</v>
      </c>
      <c r="D1967" t="s">
        <v>666</v>
      </c>
      <c r="E1967" t="s">
        <v>3585</v>
      </c>
      <c r="F1967" s="121">
        <v>927</v>
      </c>
      <c r="G1967" s="121">
        <v>927</v>
      </c>
      <c r="H1967" t="s">
        <v>445</v>
      </c>
      <c r="I1967" s="156">
        <v>41089</v>
      </c>
      <c r="K1967" s="153"/>
      <c r="L1967" s="153"/>
      <c r="M1967" s="153"/>
      <c r="N1967" s="153"/>
      <c r="O1967" s="153"/>
      <c r="P1967" s="152"/>
      <c r="Q1967" s="152"/>
      <c r="R1967" s="153"/>
      <c r="S1967" s="154"/>
      <c r="T1967" s="115"/>
    </row>
    <row r="1968" spans="1:20">
      <c r="A1968" t="s">
        <v>1230</v>
      </c>
      <c r="B1968" t="s">
        <v>71</v>
      </c>
      <c r="C1968" t="s">
        <v>43</v>
      </c>
      <c r="D1968" t="s">
        <v>673</v>
      </c>
      <c r="E1968" t="s">
        <v>3586</v>
      </c>
      <c r="F1968" s="121">
        <v>412</v>
      </c>
      <c r="G1968" s="121">
        <v>412</v>
      </c>
      <c r="H1968" t="s">
        <v>445</v>
      </c>
      <c r="I1968" s="156">
        <v>41089</v>
      </c>
      <c r="K1968" s="153"/>
      <c r="L1968" s="153"/>
      <c r="M1968" s="153"/>
      <c r="N1968" s="153"/>
      <c r="O1968" s="153"/>
      <c r="P1968" s="150"/>
      <c r="Q1968" s="150"/>
      <c r="R1968" s="153"/>
      <c r="S1968" s="154"/>
      <c r="T1968" s="115"/>
    </row>
    <row r="1969" spans="1:20">
      <c r="A1969" t="s">
        <v>1230</v>
      </c>
      <c r="B1969" t="s">
        <v>71</v>
      </c>
      <c r="C1969" t="s">
        <v>54</v>
      </c>
      <c r="D1969" t="s">
        <v>589</v>
      </c>
      <c r="E1969" t="s">
        <v>7394</v>
      </c>
      <c r="F1969" s="121">
        <v>236.9</v>
      </c>
      <c r="G1969" s="121">
        <v>236.9</v>
      </c>
      <c r="H1969" t="s">
        <v>445</v>
      </c>
      <c r="I1969" s="156">
        <v>41089</v>
      </c>
      <c r="K1969" s="153"/>
      <c r="L1969" s="153"/>
      <c r="M1969" s="153"/>
      <c r="N1969" s="153"/>
      <c r="O1969" s="153"/>
      <c r="P1969" s="150"/>
      <c r="Q1969" s="150"/>
      <c r="R1969" s="153"/>
      <c r="S1969" s="154"/>
      <c r="T1969" s="115"/>
    </row>
    <row r="1970" spans="1:20">
      <c r="A1970" t="s">
        <v>1230</v>
      </c>
      <c r="B1970" t="s">
        <v>71</v>
      </c>
      <c r="C1970" t="s">
        <v>54</v>
      </c>
      <c r="D1970" t="s">
        <v>589</v>
      </c>
      <c r="E1970" t="s">
        <v>7395</v>
      </c>
      <c r="F1970" s="121">
        <v>103</v>
      </c>
      <c r="G1970" s="121">
        <v>103</v>
      </c>
      <c r="H1970" t="s">
        <v>445</v>
      </c>
      <c r="I1970" s="156">
        <v>41089</v>
      </c>
      <c r="K1970" s="153"/>
      <c r="L1970" s="153"/>
      <c r="M1970" s="153"/>
      <c r="N1970" s="153"/>
      <c r="O1970" s="153"/>
      <c r="P1970" s="152"/>
      <c r="Q1970" s="152"/>
      <c r="R1970" s="153"/>
      <c r="S1970" s="154"/>
      <c r="T1970" s="115"/>
    </row>
    <row r="1971" spans="1:20">
      <c r="A1971" t="s">
        <v>1230</v>
      </c>
      <c r="B1971" t="s">
        <v>71</v>
      </c>
      <c r="C1971" t="s">
        <v>54</v>
      </c>
      <c r="D1971" t="s">
        <v>589</v>
      </c>
      <c r="E1971" t="s">
        <v>7396</v>
      </c>
      <c r="F1971" s="121">
        <v>92.7</v>
      </c>
      <c r="G1971" s="121">
        <v>92.7</v>
      </c>
      <c r="H1971" t="s">
        <v>445</v>
      </c>
      <c r="I1971" s="156">
        <v>41089</v>
      </c>
      <c r="K1971" s="153"/>
      <c r="L1971" s="153"/>
      <c r="M1971" s="153"/>
      <c r="N1971" s="153"/>
      <c r="O1971" s="153"/>
      <c r="P1971" s="150"/>
      <c r="Q1971" s="150"/>
      <c r="R1971" s="153"/>
      <c r="S1971" s="154"/>
      <c r="T1971" s="115"/>
    </row>
    <row r="1972" spans="1:20">
      <c r="A1972" t="s">
        <v>1230</v>
      </c>
      <c r="B1972" t="s">
        <v>71</v>
      </c>
      <c r="C1972" t="s">
        <v>54</v>
      </c>
      <c r="D1972" t="s">
        <v>589</v>
      </c>
      <c r="E1972" t="s">
        <v>7397</v>
      </c>
      <c r="F1972" s="121">
        <v>132.6</v>
      </c>
      <c r="G1972" s="121">
        <v>123.6</v>
      </c>
      <c r="H1972" t="s">
        <v>445</v>
      </c>
      <c r="I1972" s="156">
        <v>41089</v>
      </c>
      <c r="K1972" s="153"/>
      <c r="L1972" s="153"/>
      <c r="M1972" s="153"/>
      <c r="N1972" s="153"/>
      <c r="O1972" s="153"/>
      <c r="P1972" s="150"/>
      <c r="Q1972" s="150"/>
      <c r="R1972" s="153"/>
      <c r="S1972" s="154"/>
      <c r="T1972" s="115"/>
    </row>
    <row r="1973" spans="1:20">
      <c r="A1973" t="s">
        <v>1230</v>
      </c>
      <c r="B1973" t="s">
        <v>71</v>
      </c>
      <c r="C1973" t="s">
        <v>43</v>
      </c>
      <c r="D1973" t="s">
        <v>620</v>
      </c>
      <c r="E1973" t="s">
        <v>3587</v>
      </c>
      <c r="F1973" s="121">
        <v>1163.9000000000001</v>
      </c>
      <c r="G1973" s="121">
        <v>1163.9000000000001</v>
      </c>
      <c r="H1973" t="s">
        <v>445</v>
      </c>
      <c r="I1973" s="156">
        <v>41089</v>
      </c>
      <c r="K1973" s="153"/>
      <c r="L1973" s="153"/>
      <c r="M1973" s="153"/>
      <c r="N1973" s="153"/>
      <c r="O1973" s="153"/>
      <c r="P1973" s="150"/>
      <c r="Q1973" s="150"/>
      <c r="R1973" s="153"/>
      <c r="S1973" s="154"/>
      <c r="T1973" s="115"/>
    </row>
    <row r="1974" spans="1:20">
      <c r="A1974" t="s">
        <v>1230</v>
      </c>
      <c r="B1974" t="s">
        <v>71</v>
      </c>
      <c r="C1974" t="s">
        <v>54</v>
      </c>
      <c r="D1974" t="s">
        <v>573</v>
      </c>
      <c r="E1974" t="s">
        <v>3588</v>
      </c>
      <c r="F1974" s="121">
        <v>360.5</v>
      </c>
      <c r="G1974" s="121">
        <v>360.5</v>
      </c>
      <c r="H1974" t="s">
        <v>445</v>
      </c>
      <c r="I1974" s="156">
        <v>41089</v>
      </c>
      <c r="K1974" s="153"/>
      <c r="L1974" s="153"/>
      <c r="M1974" s="153"/>
      <c r="N1974" s="153"/>
      <c r="O1974" s="153"/>
      <c r="P1974" s="150"/>
      <c r="Q1974" s="150"/>
      <c r="R1974" s="153"/>
      <c r="S1974" s="154"/>
      <c r="T1974" s="115"/>
    </row>
    <row r="1975" spans="1:20">
      <c r="A1975" t="s">
        <v>1230</v>
      </c>
      <c r="B1975" t="s">
        <v>71</v>
      </c>
      <c r="C1975" t="s">
        <v>43</v>
      </c>
      <c r="D1975" t="s">
        <v>620</v>
      </c>
      <c r="E1975" t="s">
        <v>3589</v>
      </c>
      <c r="F1975" s="121">
        <v>1163.9000000000001</v>
      </c>
      <c r="G1975" s="121">
        <v>1163.9000000000001</v>
      </c>
      <c r="H1975" t="s">
        <v>445</v>
      </c>
      <c r="I1975" s="156">
        <v>41089</v>
      </c>
      <c r="K1975" s="153"/>
      <c r="L1975" s="153"/>
      <c r="M1975" s="153"/>
      <c r="N1975" s="153"/>
      <c r="O1975" s="153"/>
      <c r="P1975" s="150"/>
      <c r="Q1975" s="150"/>
      <c r="R1975" s="153"/>
      <c r="S1975" s="154"/>
      <c r="T1975" s="115"/>
    </row>
    <row r="1976" spans="1:20">
      <c r="A1976" t="s">
        <v>1230</v>
      </c>
      <c r="B1976" t="s">
        <v>71</v>
      </c>
      <c r="C1976" t="s">
        <v>54</v>
      </c>
      <c r="D1976" t="s">
        <v>573</v>
      </c>
      <c r="E1976" t="s">
        <v>7398</v>
      </c>
      <c r="F1976" s="121">
        <v>288.39999999999998</v>
      </c>
      <c r="G1976" s="121">
        <v>288.39999999999998</v>
      </c>
      <c r="H1976" t="s">
        <v>445</v>
      </c>
      <c r="I1976" s="156">
        <v>41089</v>
      </c>
      <c r="K1976" s="153"/>
      <c r="L1976" s="153"/>
      <c r="M1976" s="153"/>
      <c r="N1976" s="153"/>
      <c r="O1976" s="153"/>
      <c r="P1976" s="150"/>
      <c r="Q1976" s="150"/>
      <c r="R1976" s="153"/>
      <c r="S1976" s="154"/>
      <c r="T1976" s="115"/>
    </row>
    <row r="1977" spans="1:20">
      <c r="A1977" t="s">
        <v>1230</v>
      </c>
      <c r="B1977" t="s">
        <v>71</v>
      </c>
      <c r="C1977" t="s">
        <v>54</v>
      </c>
      <c r="D1977" t="s">
        <v>589</v>
      </c>
      <c r="E1977" t="s">
        <v>7399</v>
      </c>
      <c r="F1977" s="121">
        <v>236.9</v>
      </c>
      <c r="G1977" s="121">
        <v>236.9</v>
      </c>
      <c r="H1977" t="s">
        <v>445</v>
      </c>
      <c r="I1977" s="156">
        <v>41089</v>
      </c>
      <c r="K1977" s="153"/>
      <c r="L1977" s="153"/>
      <c r="M1977" s="153"/>
      <c r="N1977" s="153"/>
      <c r="O1977" s="153"/>
      <c r="P1977" s="150"/>
      <c r="Q1977" s="150"/>
      <c r="R1977" s="153"/>
      <c r="S1977" s="154"/>
      <c r="T1977" s="115"/>
    </row>
    <row r="1978" spans="1:20">
      <c r="A1978" t="s">
        <v>1230</v>
      </c>
      <c r="B1978" t="s">
        <v>71</v>
      </c>
      <c r="C1978" t="s">
        <v>54</v>
      </c>
      <c r="D1978" t="s">
        <v>7293</v>
      </c>
      <c r="E1978" t="s">
        <v>7400</v>
      </c>
      <c r="F1978" s="121">
        <v>309</v>
      </c>
      <c r="G1978" s="121">
        <v>309</v>
      </c>
      <c r="H1978" t="s">
        <v>446</v>
      </c>
      <c r="I1978" s="156">
        <v>41089</v>
      </c>
      <c r="K1978" s="153"/>
      <c r="L1978" s="153"/>
      <c r="M1978" s="153"/>
      <c r="N1978" s="153"/>
      <c r="O1978" s="153"/>
      <c r="P1978" s="150"/>
      <c r="Q1978" s="150"/>
      <c r="R1978" s="153"/>
      <c r="S1978" s="154"/>
      <c r="T1978" s="115"/>
    </row>
    <row r="1979" spans="1:20">
      <c r="A1979" t="s">
        <v>1230</v>
      </c>
      <c r="B1979" t="s">
        <v>71</v>
      </c>
      <c r="C1979" t="s">
        <v>54</v>
      </c>
      <c r="D1979" t="s">
        <v>568</v>
      </c>
      <c r="E1979" t="s">
        <v>3590</v>
      </c>
      <c r="F1979" s="121">
        <v>298.7</v>
      </c>
      <c r="G1979" s="121">
        <v>298.7</v>
      </c>
      <c r="H1979" t="s">
        <v>445</v>
      </c>
      <c r="I1979" s="156">
        <v>41089</v>
      </c>
      <c r="K1979" s="153"/>
      <c r="L1979" s="153"/>
      <c r="M1979" s="153"/>
      <c r="N1979" s="153"/>
      <c r="O1979" s="153"/>
      <c r="P1979" s="150"/>
      <c r="Q1979" s="150"/>
      <c r="R1979" s="153"/>
      <c r="S1979" s="154"/>
      <c r="T1979" s="115"/>
    </row>
    <row r="1980" spans="1:20">
      <c r="A1980" t="s">
        <v>1230</v>
      </c>
      <c r="B1980" t="s">
        <v>71</v>
      </c>
      <c r="C1980" t="s">
        <v>54</v>
      </c>
      <c r="D1980" t="s">
        <v>569</v>
      </c>
      <c r="E1980" t="s">
        <v>3591</v>
      </c>
      <c r="F1980" s="121">
        <v>386.25</v>
      </c>
      <c r="G1980" s="121">
        <v>386.25</v>
      </c>
      <c r="H1980" t="s">
        <v>445</v>
      </c>
      <c r="I1980" s="156">
        <v>41089</v>
      </c>
      <c r="K1980" s="153"/>
      <c r="L1980" s="153"/>
      <c r="M1980" s="153"/>
      <c r="N1980" s="153"/>
      <c r="O1980" s="153"/>
      <c r="P1980" s="150"/>
      <c r="Q1980" s="150"/>
      <c r="R1980" s="153"/>
      <c r="S1980" s="154"/>
      <c r="T1980" s="115"/>
    </row>
    <row r="1981" spans="1:20">
      <c r="A1981" t="s">
        <v>1230</v>
      </c>
      <c r="B1981" t="s">
        <v>71</v>
      </c>
      <c r="C1981" t="s">
        <v>54</v>
      </c>
      <c r="D1981" t="s">
        <v>547</v>
      </c>
      <c r="E1981" t="s">
        <v>3592</v>
      </c>
      <c r="F1981" s="121">
        <v>906.4</v>
      </c>
      <c r="G1981" s="121">
        <v>906.4</v>
      </c>
      <c r="H1981" t="s">
        <v>445</v>
      </c>
      <c r="I1981" s="156">
        <v>41089</v>
      </c>
      <c r="K1981" s="153"/>
      <c r="L1981" s="153"/>
      <c r="M1981" s="153"/>
      <c r="N1981" s="153"/>
      <c r="O1981" s="153"/>
      <c r="P1981" s="150"/>
      <c r="Q1981" s="150"/>
      <c r="R1981" s="153"/>
      <c r="S1981" s="154"/>
      <c r="T1981" s="115"/>
    </row>
    <row r="1982" spans="1:20">
      <c r="A1982" t="s">
        <v>1230</v>
      </c>
      <c r="B1982" t="s">
        <v>71</v>
      </c>
      <c r="C1982" t="s">
        <v>54</v>
      </c>
      <c r="D1982" t="s">
        <v>568</v>
      </c>
      <c r="E1982" t="s">
        <v>3593</v>
      </c>
      <c r="F1982" s="121">
        <v>298.7</v>
      </c>
      <c r="G1982" s="121">
        <v>298.7</v>
      </c>
      <c r="H1982" t="s">
        <v>445</v>
      </c>
      <c r="I1982" s="156">
        <v>41089</v>
      </c>
      <c r="K1982" s="153"/>
      <c r="L1982" s="153"/>
      <c r="M1982" s="153"/>
      <c r="N1982" s="153"/>
      <c r="O1982" s="153"/>
      <c r="P1982" s="150"/>
      <c r="Q1982" s="150"/>
      <c r="R1982" s="153"/>
      <c r="S1982" s="154"/>
      <c r="T1982" s="115"/>
    </row>
    <row r="1983" spans="1:20">
      <c r="A1983" t="s">
        <v>1230</v>
      </c>
      <c r="B1983" t="s">
        <v>71</v>
      </c>
      <c r="C1983" t="s">
        <v>54</v>
      </c>
      <c r="D1983" t="s">
        <v>568</v>
      </c>
      <c r="E1983" t="s">
        <v>3594</v>
      </c>
      <c r="F1983" s="121">
        <v>298.7</v>
      </c>
      <c r="G1983" s="121">
        <v>298.7</v>
      </c>
      <c r="H1983" t="s">
        <v>445</v>
      </c>
      <c r="I1983" s="156">
        <v>41089</v>
      </c>
      <c r="K1983" s="153"/>
      <c r="L1983" s="153"/>
      <c r="M1983" s="153"/>
      <c r="N1983" s="153"/>
      <c r="O1983" s="153"/>
      <c r="P1983" s="150"/>
      <c r="Q1983" s="150"/>
      <c r="R1983" s="153"/>
      <c r="S1983" s="154"/>
      <c r="T1983" s="115"/>
    </row>
    <row r="1984" spans="1:20">
      <c r="A1984" t="s">
        <v>1230</v>
      </c>
      <c r="B1984" t="s">
        <v>71</v>
      </c>
      <c r="C1984" t="s">
        <v>54</v>
      </c>
      <c r="D1984" t="s">
        <v>568</v>
      </c>
      <c r="E1984" t="s">
        <v>3595</v>
      </c>
      <c r="F1984" s="121">
        <v>298.7</v>
      </c>
      <c r="G1984" s="121">
        <v>298.7</v>
      </c>
      <c r="H1984" t="s">
        <v>445</v>
      </c>
      <c r="I1984" s="156">
        <v>41089</v>
      </c>
      <c r="K1984" s="153"/>
      <c r="L1984" s="153"/>
      <c r="M1984" s="153"/>
      <c r="N1984" s="153"/>
      <c r="O1984" s="153"/>
      <c r="P1984" s="150"/>
      <c r="Q1984" s="150"/>
      <c r="R1984" s="153"/>
      <c r="S1984" s="154"/>
      <c r="T1984" s="115"/>
    </row>
    <row r="1985" spans="1:20">
      <c r="A1985" t="s">
        <v>1230</v>
      </c>
      <c r="B1985" t="s">
        <v>71</v>
      </c>
      <c r="C1985" t="s">
        <v>54</v>
      </c>
      <c r="D1985" t="s">
        <v>569</v>
      </c>
      <c r="E1985" t="s">
        <v>3596</v>
      </c>
      <c r="F1985" s="121">
        <v>386.25</v>
      </c>
      <c r="G1985" s="121">
        <v>386.25</v>
      </c>
      <c r="H1985" t="s">
        <v>445</v>
      </c>
      <c r="I1985" s="156">
        <v>41089</v>
      </c>
      <c r="K1985" s="153"/>
      <c r="L1985" s="153"/>
      <c r="M1985" s="153"/>
      <c r="N1985" s="153"/>
      <c r="O1985" s="153"/>
      <c r="P1985" s="150"/>
      <c r="Q1985" s="150"/>
      <c r="R1985" s="153"/>
      <c r="S1985" s="154"/>
      <c r="T1985" s="115"/>
    </row>
    <row r="1986" spans="1:20">
      <c r="A1986" t="s">
        <v>1230</v>
      </c>
      <c r="B1986" t="s">
        <v>71</v>
      </c>
      <c r="C1986" t="s">
        <v>54</v>
      </c>
      <c r="D1986" t="s">
        <v>569</v>
      </c>
      <c r="E1986" t="s">
        <v>3597</v>
      </c>
      <c r="F1986" s="121">
        <v>386.25</v>
      </c>
      <c r="G1986" s="121">
        <v>386.25</v>
      </c>
      <c r="H1986" t="s">
        <v>445</v>
      </c>
      <c r="I1986" s="156">
        <v>41089</v>
      </c>
      <c r="K1986" s="153"/>
      <c r="L1986" s="153"/>
      <c r="M1986" s="153"/>
      <c r="N1986" s="153"/>
      <c r="O1986" s="153"/>
      <c r="P1986" s="150"/>
      <c r="Q1986" s="150"/>
      <c r="R1986" s="153"/>
      <c r="S1986" s="154"/>
      <c r="T1986" s="115"/>
    </row>
    <row r="1987" spans="1:20">
      <c r="A1987" t="s">
        <v>1230</v>
      </c>
      <c r="B1987" t="s">
        <v>71</v>
      </c>
      <c r="C1987" t="s">
        <v>54</v>
      </c>
      <c r="D1987" t="s">
        <v>569</v>
      </c>
      <c r="E1987" t="s">
        <v>3598</v>
      </c>
      <c r="F1987" s="121">
        <v>386.25</v>
      </c>
      <c r="G1987" s="121">
        <v>386.25</v>
      </c>
      <c r="H1987" t="s">
        <v>445</v>
      </c>
      <c r="I1987" s="156">
        <v>41089</v>
      </c>
      <c r="K1987" s="153"/>
      <c r="L1987" s="153"/>
      <c r="M1987" s="153"/>
      <c r="N1987" s="153"/>
      <c r="O1987" s="153"/>
      <c r="P1987" s="150"/>
      <c r="Q1987" s="150"/>
      <c r="R1987" s="153"/>
      <c r="S1987" s="154"/>
      <c r="T1987" s="115"/>
    </row>
    <row r="1988" spans="1:20">
      <c r="A1988" t="s">
        <v>1230</v>
      </c>
      <c r="B1988" t="s">
        <v>71</v>
      </c>
      <c r="C1988" t="s">
        <v>54</v>
      </c>
      <c r="D1988" t="s">
        <v>569</v>
      </c>
      <c r="E1988" t="s">
        <v>3599</v>
      </c>
      <c r="F1988" s="121">
        <v>386.25</v>
      </c>
      <c r="G1988" s="121">
        <v>386.25</v>
      </c>
      <c r="H1988" t="s">
        <v>445</v>
      </c>
      <c r="I1988" s="156">
        <v>41089</v>
      </c>
      <c r="K1988" s="153"/>
      <c r="L1988" s="153"/>
      <c r="M1988" s="153"/>
      <c r="N1988" s="153"/>
      <c r="O1988" s="153"/>
      <c r="P1988" s="150"/>
      <c r="Q1988" s="150"/>
      <c r="R1988" s="153"/>
      <c r="S1988" s="154"/>
      <c r="T1988" s="115"/>
    </row>
    <row r="1989" spans="1:20">
      <c r="A1989" t="s">
        <v>1230</v>
      </c>
      <c r="B1989" t="s">
        <v>71</v>
      </c>
      <c r="C1989" t="s">
        <v>54</v>
      </c>
      <c r="D1989" t="s">
        <v>573</v>
      </c>
      <c r="E1989" t="s">
        <v>3600</v>
      </c>
      <c r="F1989" s="121">
        <v>298.7</v>
      </c>
      <c r="G1989" s="121">
        <v>298.7</v>
      </c>
      <c r="H1989" t="s">
        <v>445</v>
      </c>
      <c r="I1989" s="156">
        <v>41089</v>
      </c>
      <c r="K1989" s="153"/>
      <c r="L1989" s="153"/>
      <c r="M1989" s="153"/>
      <c r="N1989" s="153"/>
      <c r="O1989" s="153"/>
      <c r="P1989" s="150"/>
      <c r="Q1989" s="150"/>
      <c r="R1989" s="153"/>
      <c r="S1989" s="154"/>
      <c r="T1989" s="115"/>
    </row>
    <row r="1990" spans="1:20">
      <c r="A1990" t="s">
        <v>1230</v>
      </c>
      <c r="B1990" t="s">
        <v>71</v>
      </c>
      <c r="C1990" t="s">
        <v>54</v>
      </c>
      <c r="D1990" t="s">
        <v>589</v>
      </c>
      <c r="E1990" t="s">
        <v>7401</v>
      </c>
      <c r="F1990" s="121">
        <v>149.35</v>
      </c>
      <c r="G1990" s="121">
        <v>149.35</v>
      </c>
      <c r="H1990" t="s">
        <v>445</v>
      </c>
      <c r="I1990" s="156">
        <v>41089</v>
      </c>
      <c r="K1990" s="153"/>
      <c r="L1990" s="153"/>
      <c r="M1990" s="153"/>
      <c r="N1990" s="153"/>
      <c r="O1990" s="153"/>
      <c r="P1990" s="150"/>
      <c r="Q1990" s="150"/>
      <c r="R1990" s="153"/>
      <c r="S1990" s="154"/>
      <c r="T1990" s="115"/>
    </row>
    <row r="1991" spans="1:20">
      <c r="A1991" t="s">
        <v>1230</v>
      </c>
      <c r="B1991" t="s">
        <v>71</v>
      </c>
      <c r="C1991" t="s">
        <v>54</v>
      </c>
      <c r="D1991" t="s">
        <v>589</v>
      </c>
      <c r="E1991" t="s">
        <v>7402</v>
      </c>
      <c r="F1991" s="121">
        <v>149.35</v>
      </c>
      <c r="G1991" s="121">
        <v>149.35</v>
      </c>
      <c r="H1991" t="s">
        <v>445</v>
      </c>
      <c r="I1991" s="156">
        <v>41089</v>
      </c>
      <c r="K1991" s="153"/>
      <c r="L1991" s="153"/>
      <c r="M1991" s="153"/>
      <c r="N1991" s="153"/>
      <c r="O1991" s="153"/>
      <c r="P1991" s="150"/>
      <c r="Q1991" s="150"/>
      <c r="R1991" s="153"/>
      <c r="S1991" s="154"/>
      <c r="T1991" s="115"/>
    </row>
    <row r="1992" spans="1:20">
      <c r="A1992" t="s">
        <v>1230</v>
      </c>
      <c r="B1992" t="s">
        <v>71</v>
      </c>
      <c r="C1992" t="s">
        <v>54</v>
      </c>
      <c r="D1992" t="s">
        <v>589</v>
      </c>
      <c r="E1992" t="s">
        <v>7403</v>
      </c>
      <c r="F1992" s="121">
        <v>149.35</v>
      </c>
      <c r="G1992" s="121">
        <v>149.35</v>
      </c>
      <c r="H1992" t="s">
        <v>445</v>
      </c>
      <c r="I1992" s="156">
        <v>41089</v>
      </c>
      <c r="K1992" s="153"/>
      <c r="L1992" s="153"/>
      <c r="M1992" s="153"/>
      <c r="N1992" s="153"/>
      <c r="O1992" s="153"/>
      <c r="P1992" s="150"/>
      <c r="Q1992" s="150"/>
      <c r="R1992" s="153"/>
      <c r="S1992" s="154"/>
      <c r="T1992" s="115"/>
    </row>
    <row r="1993" spans="1:20">
      <c r="A1993" t="s">
        <v>1230</v>
      </c>
      <c r="B1993" t="s">
        <v>71</v>
      </c>
      <c r="C1993" t="s">
        <v>54</v>
      </c>
      <c r="D1993" t="s">
        <v>589</v>
      </c>
      <c r="E1993" t="s">
        <v>7404</v>
      </c>
      <c r="F1993" s="121">
        <v>96.82</v>
      </c>
      <c r="G1993" s="121">
        <v>96.82</v>
      </c>
      <c r="H1993" t="s">
        <v>445</v>
      </c>
      <c r="I1993" s="156">
        <v>41089</v>
      </c>
      <c r="K1993" s="153"/>
      <c r="L1993" s="153"/>
      <c r="M1993" s="153"/>
      <c r="N1993" s="153"/>
      <c r="O1993" s="153"/>
      <c r="P1993" s="150"/>
      <c r="Q1993" s="150"/>
      <c r="R1993" s="153"/>
      <c r="S1993" s="154"/>
      <c r="T1993" s="115"/>
    </row>
    <row r="1994" spans="1:20">
      <c r="A1994" t="s">
        <v>1230</v>
      </c>
      <c r="B1994" t="s">
        <v>71</v>
      </c>
      <c r="C1994" t="s">
        <v>54</v>
      </c>
      <c r="D1994" t="s">
        <v>589</v>
      </c>
      <c r="E1994" t="s">
        <v>7405</v>
      </c>
      <c r="F1994" s="121">
        <v>77.25</v>
      </c>
      <c r="G1994" s="121">
        <v>77.25</v>
      </c>
      <c r="H1994" t="s">
        <v>445</v>
      </c>
      <c r="I1994" s="156">
        <v>41089</v>
      </c>
      <c r="K1994" s="153"/>
      <c r="L1994" s="153"/>
      <c r="M1994" s="153"/>
      <c r="N1994" s="153"/>
      <c r="O1994" s="153"/>
      <c r="P1994" s="150"/>
      <c r="Q1994" s="150"/>
      <c r="R1994" s="153"/>
      <c r="S1994" s="154"/>
      <c r="T1994" s="115"/>
    </row>
    <row r="1995" spans="1:20">
      <c r="A1995" t="s">
        <v>1230</v>
      </c>
      <c r="B1995" t="s">
        <v>71</v>
      </c>
      <c r="C1995" t="s">
        <v>54</v>
      </c>
      <c r="D1995" t="s">
        <v>589</v>
      </c>
      <c r="E1995" t="s">
        <v>7406</v>
      </c>
      <c r="F1995" s="121">
        <v>92.7</v>
      </c>
      <c r="G1995" s="121">
        <v>92.7</v>
      </c>
      <c r="H1995" t="s">
        <v>445</v>
      </c>
      <c r="I1995" s="156">
        <v>41089</v>
      </c>
      <c r="K1995" s="153"/>
      <c r="L1995" s="153"/>
      <c r="M1995" s="153"/>
      <c r="N1995" s="153"/>
      <c r="O1995" s="153"/>
      <c r="P1995" s="150"/>
      <c r="Q1995" s="150"/>
      <c r="R1995" s="153"/>
      <c r="S1995" s="154"/>
      <c r="T1995" s="115"/>
    </row>
    <row r="1996" spans="1:20">
      <c r="A1996" t="s">
        <v>1230</v>
      </c>
      <c r="B1996" t="s">
        <v>71</v>
      </c>
      <c r="C1996" t="s">
        <v>54</v>
      </c>
      <c r="D1996" t="s">
        <v>589</v>
      </c>
      <c r="E1996" t="s">
        <v>7407</v>
      </c>
      <c r="F1996" s="121">
        <v>82.4</v>
      </c>
      <c r="G1996" s="121">
        <v>82.4</v>
      </c>
      <c r="H1996" t="s">
        <v>445</v>
      </c>
      <c r="I1996" s="156">
        <v>41089</v>
      </c>
      <c r="K1996" s="153"/>
      <c r="L1996" s="153"/>
      <c r="M1996" s="153"/>
      <c r="N1996" s="153"/>
      <c r="O1996" s="153"/>
      <c r="P1996" s="150"/>
      <c r="Q1996" s="150"/>
      <c r="R1996" s="153"/>
      <c r="S1996" s="154"/>
      <c r="T1996" s="115"/>
    </row>
    <row r="1997" spans="1:20">
      <c r="A1997" t="s">
        <v>1230</v>
      </c>
      <c r="B1997" t="s">
        <v>71</v>
      </c>
      <c r="C1997" t="s">
        <v>43</v>
      </c>
      <c r="D1997" t="s">
        <v>622</v>
      </c>
      <c r="E1997" t="s">
        <v>3601</v>
      </c>
      <c r="F1997" s="121">
        <v>515</v>
      </c>
      <c r="G1997" s="121">
        <v>515</v>
      </c>
      <c r="H1997" t="s">
        <v>445</v>
      </c>
      <c r="I1997" s="156">
        <v>41089</v>
      </c>
      <c r="K1997" s="153"/>
      <c r="L1997" s="153"/>
      <c r="M1997" s="153"/>
      <c r="N1997" s="153"/>
      <c r="O1997" s="153"/>
      <c r="P1997" s="150"/>
      <c r="Q1997" s="150"/>
      <c r="R1997" s="153"/>
      <c r="S1997" s="154"/>
      <c r="T1997" s="115"/>
    </row>
    <row r="1998" spans="1:20">
      <c r="A1998" t="s">
        <v>1230</v>
      </c>
      <c r="B1998" t="s">
        <v>71</v>
      </c>
      <c r="C1998" t="s">
        <v>54</v>
      </c>
      <c r="D1998" t="s">
        <v>573</v>
      </c>
      <c r="E1998" t="s">
        <v>3602</v>
      </c>
      <c r="F1998" s="121">
        <v>190.55</v>
      </c>
      <c r="G1998" s="121">
        <v>190.55</v>
      </c>
      <c r="H1998" t="s">
        <v>445</v>
      </c>
      <c r="I1998" s="156">
        <v>41089</v>
      </c>
      <c r="K1998" s="153"/>
      <c r="L1998" s="153"/>
      <c r="M1998" s="153"/>
      <c r="N1998" s="153"/>
      <c r="O1998" s="153"/>
      <c r="P1998" s="150"/>
      <c r="Q1998" s="150"/>
      <c r="R1998" s="153"/>
      <c r="S1998" s="154"/>
      <c r="T1998" s="115"/>
    </row>
    <row r="1999" spans="1:20">
      <c r="A1999" t="s">
        <v>1230</v>
      </c>
      <c r="B1999" t="s">
        <v>71</v>
      </c>
      <c r="C1999" t="s">
        <v>54</v>
      </c>
      <c r="D1999" t="s">
        <v>573</v>
      </c>
      <c r="E1999" t="s">
        <v>3603</v>
      </c>
      <c r="F1999" s="121">
        <v>144.19999999999999</v>
      </c>
      <c r="G1999" s="121">
        <v>144.19999999999999</v>
      </c>
      <c r="H1999" t="s">
        <v>445</v>
      </c>
      <c r="I1999" s="156">
        <v>41089</v>
      </c>
      <c r="K1999" s="153"/>
      <c r="L1999" s="153"/>
      <c r="M1999" s="153"/>
      <c r="N1999" s="153"/>
      <c r="O1999" s="153"/>
      <c r="P1999" s="150"/>
      <c r="Q1999" s="150"/>
      <c r="R1999" s="153"/>
      <c r="S1999" s="154"/>
      <c r="T1999" s="115"/>
    </row>
    <row r="2000" spans="1:20">
      <c r="A2000" t="s">
        <v>1230</v>
      </c>
      <c r="B2000" t="s">
        <v>71</v>
      </c>
      <c r="C2000" t="s">
        <v>43</v>
      </c>
      <c r="D2000" t="s">
        <v>620</v>
      </c>
      <c r="E2000" t="s">
        <v>3604</v>
      </c>
      <c r="F2000" s="121">
        <v>973.35</v>
      </c>
      <c r="G2000" s="121">
        <v>973.35</v>
      </c>
      <c r="H2000" t="s">
        <v>445</v>
      </c>
      <c r="I2000" s="156">
        <v>41089</v>
      </c>
      <c r="K2000" s="153"/>
      <c r="L2000" s="153"/>
      <c r="M2000" s="153"/>
      <c r="N2000" s="153"/>
      <c r="O2000" s="153"/>
      <c r="P2000" s="150"/>
      <c r="Q2000" s="150"/>
      <c r="R2000" s="153"/>
      <c r="S2000" s="154"/>
      <c r="T2000" s="115"/>
    </row>
    <row r="2001" spans="1:20">
      <c r="A2001" t="s">
        <v>1230</v>
      </c>
      <c r="B2001" t="s">
        <v>71</v>
      </c>
      <c r="C2001" t="s">
        <v>54</v>
      </c>
      <c r="D2001" t="s">
        <v>573</v>
      </c>
      <c r="E2001" t="s">
        <v>3605</v>
      </c>
      <c r="F2001" s="121">
        <v>108.15</v>
      </c>
      <c r="G2001" s="121">
        <v>108.15</v>
      </c>
      <c r="H2001" t="s">
        <v>445</v>
      </c>
      <c r="I2001" s="156">
        <v>41089</v>
      </c>
      <c r="K2001" s="153"/>
      <c r="L2001" s="153"/>
      <c r="M2001" s="153"/>
      <c r="N2001" s="153"/>
      <c r="O2001" s="153"/>
      <c r="P2001" s="150"/>
      <c r="Q2001" s="150"/>
      <c r="R2001" s="153"/>
      <c r="S2001" s="154"/>
      <c r="T2001" s="115"/>
    </row>
    <row r="2002" spans="1:20">
      <c r="A2002" t="s">
        <v>1230</v>
      </c>
      <c r="B2002" t="s">
        <v>71</v>
      </c>
      <c r="C2002" t="s">
        <v>54</v>
      </c>
      <c r="D2002" t="s">
        <v>573</v>
      </c>
      <c r="E2002" t="s">
        <v>3606</v>
      </c>
      <c r="F2002" s="121">
        <v>82.4</v>
      </c>
      <c r="G2002" s="121">
        <v>82.4</v>
      </c>
      <c r="H2002" t="s">
        <v>445</v>
      </c>
      <c r="I2002" s="156">
        <v>41089</v>
      </c>
      <c r="K2002" s="153"/>
      <c r="L2002" s="153"/>
      <c r="M2002" s="153"/>
      <c r="N2002" s="153"/>
      <c r="O2002" s="153"/>
      <c r="P2002" s="150"/>
      <c r="Q2002" s="150"/>
      <c r="R2002" s="153"/>
      <c r="S2002" s="154"/>
      <c r="T2002" s="115"/>
    </row>
    <row r="2003" spans="1:20">
      <c r="A2003" t="s">
        <v>1230</v>
      </c>
      <c r="B2003" t="s">
        <v>71</v>
      </c>
      <c r="C2003" t="s">
        <v>54</v>
      </c>
      <c r="D2003" t="s">
        <v>547</v>
      </c>
      <c r="E2003" t="s">
        <v>3607</v>
      </c>
      <c r="F2003" s="121">
        <v>927</v>
      </c>
      <c r="G2003" s="121">
        <v>927</v>
      </c>
      <c r="H2003" t="s">
        <v>445</v>
      </c>
      <c r="I2003" s="156">
        <v>41089</v>
      </c>
      <c r="K2003" s="153"/>
      <c r="L2003" s="153"/>
      <c r="M2003" s="153"/>
      <c r="N2003" s="153"/>
      <c r="O2003" s="153"/>
      <c r="P2003" s="150"/>
      <c r="Q2003" s="150"/>
      <c r="R2003" s="153"/>
      <c r="S2003" s="154"/>
      <c r="T2003" s="115"/>
    </row>
    <row r="2004" spans="1:20">
      <c r="A2004" t="s">
        <v>1230</v>
      </c>
      <c r="B2004" t="s">
        <v>71</v>
      </c>
      <c r="C2004" t="s">
        <v>43</v>
      </c>
      <c r="D2004" t="s">
        <v>620</v>
      </c>
      <c r="E2004" t="s">
        <v>3608</v>
      </c>
      <c r="F2004" s="121">
        <v>772.5</v>
      </c>
      <c r="G2004" s="121">
        <v>772.5</v>
      </c>
      <c r="H2004" t="s">
        <v>445</v>
      </c>
      <c r="I2004" s="156">
        <v>41089</v>
      </c>
      <c r="K2004" s="153"/>
      <c r="L2004" s="153"/>
      <c r="M2004" s="153"/>
      <c r="N2004" s="153"/>
      <c r="O2004" s="153"/>
      <c r="P2004" s="150"/>
      <c r="Q2004" s="150"/>
      <c r="R2004" s="153"/>
      <c r="S2004" s="154"/>
      <c r="T2004" s="115"/>
    </row>
    <row r="2005" spans="1:20">
      <c r="A2005" t="s">
        <v>1230</v>
      </c>
      <c r="B2005" t="s">
        <v>71</v>
      </c>
      <c r="C2005" t="s">
        <v>54</v>
      </c>
      <c r="D2005" t="s">
        <v>574</v>
      </c>
      <c r="E2005" t="s">
        <v>3609</v>
      </c>
      <c r="F2005" s="121">
        <v>690.1</v>
      </c>
      <c r="G2005" s="121">
        <v>690.1</v>
      </c>
      <c r="H2005" t="s">
        <v>445</v>
      </c>
      <c r="I2005" s="156">
        <v>41089</v>
      </c>
      <c r="K2005" s="153"/>
      <c r="L2005" s="153"/>
      <c r="M2005" s="153"/>
      <c r="N2005" s="153"/>
      <c r="O2005" s="153"/>
      <c r="P2005" s="150"/>
      <c r="Q2005" s="150"/>
      <c r="R2005" s="153"/>
      <c r="S2005" s="154"/>
      <c r="T2005" s="115"/>
    </row>
    <row r="2006" spans="1:20">
      <c r="A2006" t="s">
        <v>1230</v>
      </c>
      <c r="B2006" t="s">
        <v>71</v>
      </c>
      <c r="C2006" t="s">
        <v>54</v>
      </c>
      <c r="D2006" t="s">
        <v>674</v>
      </c>
      <c r="E2006" t="s">
        <v>3610</v>
      </c>
      <c r="F2006" s="121">
        <v>448.05</v>
      </c>
      <c r="G2006" s="121">
        <v>448.05</v>
      </c>
      <c r="H2006" t="s">
        <v>445</v>
      </c>
      <c r="I2006" s="156">
        <v>41089</v>
      </c>
      <c r="K2006" s="153"/>
      <c r="L2006" s="153"/>
      <c r="M2006" s="153"/>
      <c r="N2006" s="153"/>
      <c r="O2006" s="153"/>
      <c r="P2006" s="150"/>
      <c r="Q2006" s="150"/>
      <c r="R2006" s="153"/>
      <c r="S2006" s="154"/>
      <c r="T2006" s="115"/>
    </row>
    <row r="2007" spans="1:20">
      <c r="A2007" t="s">
        <v>1230</v>
      </c>
      <c r="B2007" t="s">
        <v>71</v>
      </c>
      <c r="C2007" t="s">
        <v>54</v>
      </c>
      <c r="D2007" t="s">
        <v>631</v>
      </c>
      <c r="E2007" t="s">
        <v>7408</v>
      </c>
      <c r="F2007" s="121">
        <v>538.69000000000005</v>
      </c>
      <c r="G2007" s="121">
        <v>538.69000000000005</v>
      </c>
      <c r="H2007" t="s">
        <v>445</v>
      </c>
      <c r="I2007" s="156">
        <v>41089</v>
      </c>
      <c r="K2007" s="153"/>
      <c r="L2007" s="153"/>
      <c r="M2007" s="153"/>
      <c r="N2007" s="153"/>
      <c r="O2007" s="153"/>
      <c r="P2007" s="150"/>
      <c r="Q2007" s="150"/>
      <c r="R2007" s="153"/>
      <c r="S2007" s="154"/>
      <c r="T2007" s="115"/>
    </row>
    <row r="2008" spans="1:20">
      <c r="A2008" t="s">
        <v>1230</v>
      </c>
      <c r="B2008" t="s">
        <v>71</v>
      </c>
      <c r="C2008" t="s">
        <v>54</v>
      </c>
      <c r="D2008" t="s">
        <v>586</v>
      </c>
      <c r="E2008" t="s">
        <v>3611</v>
      </c>
      <c r="F2008" s="121">
        <v>288.39999999999998</v>
      </c>
      <c r="G2008" s="121">
        <v>288.39999999999998</v>
      </c>
      <c r="H2008" t="s">
        <v>445</v>
      </c>
      <c r="I2008" s="156">
        <v>41089</v>
      </c>
      <c r="K2008" s="153"/>
      <c r="L2008" s="153"/>
      <c r="M2008" s="153"/>
      <c r="N2008" s="153"/>
      <c r="O2008" s="153"/>
      <c r="P2008" s="150"/>
      <c r="Q2008" s="150"/>
      <c r="R2008" s="153"/>
      <c r="S2008" s="154"/>
      <c r="T2008" s="115"/>
    </row>
    <row r="2009" spans="1:20">
      <c r="A2009" t="s">
        <v>1230</v>
      </c>
      <c r="B2009" t="s">
        <v>71</v>
      </c>
      <c r="C2009" t="s">
        <v>54</v>
      </c>
      <c r="D2009" t="s">
        <v>675</v>
      </c>
      <c r="E2009" t="s">
        <v>3612</v>
      </c>
      <c r="F2009" s="121">
        <v>360.5</v>
      </c>
      <c r="G2009" s="121">
        <v>360.5</v>
      </c>
      <c r="H2009" t="s">
        <v>445</v>
      </c>
      <c r="I2009" s="156">
        <v>41089</v>
      </c>
      <c r="K2009" s="153"/>
      <c r="L2009" s="153"/>
      <c r="M2009" s="153"/>
      <c r="N2009" s="153"/>
      <c r="O2009" s="153"/>
      <c r="P2009" s="150"/>
      <c r="Q2009" s="150"/>
      <c r="R2009" s="153"/>
      <c r="S2009" s="154"/>
      <c r="T2009" s="115"/>
    </row>
    <row r="2010" spans="1:20">
      <c r="A2010" t="s">
        <v>1230</v>
      </c>
      <c r="B2010" t="s">
        <v>71</v>
      </c>
      <c r="C2010" t="s">
        <v>54</v>
      </c>
      <c r="D2010" t="s">
        <v>573</v>
      </c>
      <c r="E2010" t="s">
        <v>3613</v>
      </c>
      <c r="F2010" s="121">
        <v>113.3</v>
      </c>
      <c r="G2010" s="121">
        <v>113.3</v>
      </c>
      <c r="H2010" t="s">
        <v>445</v>
      </c>
      <c r="I2010" s="156">
        <v>41089</v>
      </c>
      <c r="K2010" s="153"/>
      <c r="L2010" s="153"/>
      <c r="M2010" s="153"/>
      <c r="N2010" s="153"/>
      <c r="O2010" s="153"/>
      <c r="P2010" s="150"/>
      <c r="Q2010" s="150"/>
      <c r="R2010" s="153"/>
      <c r="S2010" s="154"/>
      <c r="T2010" s="115"/>
    </row>
    <row r="2011" spans="1:20">
      <c r="A2011" t="s">
        <v>1230</v>
      </c>
      <c r="B2011" t="s">
        <v>71</v>
      </c>
      <c r="C2011" t="s">
        <v>54</v>
      </c>
      <c r="D2011" t="s">
        <v>568</v>
      </c>
      <c r="E2011" t="s">
        <v>3614</v>
      </c>
      <c r="F2011" s="121">
        <v>298.7</v>
      </c>
      <c r="G2011" s="121">
        <v>298.7</v>
      </c>
      <c r="H2011" t="s">
        <v>445</v>
      </c>
      <c r="I2011" s="156">
        <v>41089</v>
      </c>
      <c r="K2011" s="153"/>
      <c r="L2011" s="153"/>
      <c r="M2011" s="153"/>
      <c r="N2011" s="153"/>
      <c r="O2011" s="153"/>
      <c r="P2011" s="150"/>
      <c r="Q2011" s="150"/>
      <c r="R2011" s="153"/>
      <c r="S2011" s="154"/>
      <c r="T2011" s="115"/>
    </row>
    <row r="2012" spans="1:20">
      <c r="A2012" t="s">
        <v>1230</v>
      </c>
      <c r="B2012" t="s">
        <v>71</v>
      </c>
      <c r="C2012" t="s">
        <v>54</v>
      </c>
      <c r="D2012" t="s">
        <v>568</v>
      </c>
      <c r="E2012" t="s">
        <v>3615</v>
      </c>
      <c r="F2012" s="121">
        <v>298.7</v>
      </c>
      <c r="G2012" s="121">
        <v>298.7</v>
      </c>
      <c r="H2012" t="s">
        <v>445</v>
      </c>
      <c r="I2012" s="156">
        <v>41089</v>
      </c>
      <c r="K2012" s="153"/>
      <c r="L2012" s="153"/>
      <c r="M2012" s="153"/>
      <c r="N2012" s="153"/>
      <c r="O2012" s="153"/>
      <c r="P2012" s="150"/>
      <c r="Q2012" s="150"/>
      <c r="R2012" s="153"/>
      <c r="S2012" s="154"/>
      <c r="T2012" s="115"/>
    </row>
    <row r="2013" spans="1:20">
      <c r="A2013" t="s">
        <v>1230</v>
      </c>
      <c r="B2013" t="s">
        <v>71</v>
      </c>
      <c r="C2013" t="s">
        <v>54</v>
      </c>
      <c r="D2013" t="s">
        <v>568</v>
      </c>
      <c r="E2013" t="s">
        <v>3616</v>
      </c>
      <c r="F2013" s="121">
        <v>298.7</v>
      </c>
      <c r="G2013" s="121">
        <v>298.7</v>
      </c>
      <c r="H2013" t="s">
        <v>445</v>
      </c>
      <c r="I2013" s="156">
        <v>41089</v>
      </c>
      <c r="K2013" s="153"/>
      <c r="L2013" s="153"/>
      <c r="M2013" s="153"/>
      <c r="N2013" s="153"/>
      <c r="O2013" s="153"/>
      <c r="P2013" s="152"/>
      <c r="Q2013" s="152"/>
      <c r="R2013" s="153"/>
      <c r="S2013" s="154"/>
      <c r="T2013" s="115"/>
    </row>
    <row r="2014" spans="1:20">
      <c r="A2014" t="s">
        <v>1230</v>
      </c>
      <c r="B2014" t="s">
        <v>71</v>
      </c>
      <c r="C2014" t="s">
        <v>54</v>
      </c>
      <c r="D2014" t="s">
        <v>568</v>
      </c>
      <c r="E2014" t="s">
        <v>3617</v>
      </c>
      <c r="F2014" s="121">
        <v>298.7</v>
      </c>
      <c r="G2014" s="121">
        <v>298.7</v>
      </c>
      <c r="H2014" t="s">
        <v>445</v>
      </c>
      <c r="I2014" s="156">
        <v>41089</v>
      </c>
      <c r="K2014" s="153"/>
      <c r="L2014" s="153"/>
      <c r="M2014" s="153"/>
      <c r="N2014" s="153"/>
      <c r="O2014" s="153"/>
      <c r="P2014" s="150"/>
      <c r="Q2014" s="150"/>
      <c r="R2014" s="153"/>
      <c r="S2014" s="154"/>
      <c r="T2014" s="115"/>
    </row>
    <row r="2015" spans="1:20">
      <c r="A2015" t="s">
        <v>1230</v>
      </c>
      <c r="B2015" t="s">
        <v>71</v>
      </c>
      <c r="C2015" t="s">
        <v>54</v>
      </c>
      <c r="D2015" t="s">
        <v>568</v>
      </c>
      <c r="E2015" t="s">
        <v>3618</v>
      </c>
      <c r="F2015" s="121">
        <v>298.7</v>
      </c>
      <c r="G2015" s="121">
        <v>298.7</v>
      </c>
      <c r="H2015" t="s">
        <v>445</v>
      </c>
      <c r="I2015" s="156">
        <v>41089</v>
      </c>
      <c r="K2015" s="153"/>
      <c r="L2015" s="153"/>
      <c r="M2015" s="153"/>
      <c r="N2015" s="153"/>
      <c r="O2015" s="153"/>
      <c r="P2015" s="150"/>
      <c r="Q2015" s="150"/>
      <c r="R2015" s="153"/>
      <c r="S2015" s="154"/>
      <c r="T2015" s="115"/>
    </row>
    <row r="2016" spans="1:20">
      <c r="A2016" t="s">
        <v>1230</v>
      </c>
      <c r="B2016" t="s">
        <v>71</v>
      </c>
      <c r="C2016" t="s">
        <v>54</v>
      </c>
      <c r="D2016" t="s">
        <v>568</v>
      </c>
      <c r="E2016" t="s">
        <v>3619</v>
      </c>
      <c r="F2016" s="121">
        <v>298.7</v>
      </c>
      <c r="G2016" s="121">
        <v>298.7</v>
      </c>
      <c r="H2016" t="s">
        <v>445</v>
      </c>
      <c r="I2016" s="156">
        <v>41089</v>
      </c>
      <c r="K2016" s="153"/>
      <c r="L2016" s="153"/>
      <c r="M2016" s="153"/>
      <c r="N2016" s="153"/>
      <c r="O2016" s="153"/>
      <c r="P2016" s="150"/>
      <c r="Q2016" s="150"/>
      <c r="R2016" s="153"/>
      <c r="S2016" s="154"/>
      <c r="T2016" s="115"/>
    </row>
    <row r="2017" spans="1:20">
      <c r="A2017" t="s">
        <v>1230</v>
      </c>
      <c r="B2017" t="s">
        <v>71</v>
      </c>
      <c r="C2017" t="s">
        <v>54</v>
      </c>
      <c r="D2017" t="s">
        <v>568</v>
      </c>
      <c r="E2017" t="s">
        <v>3620</v>
      </c>
      <c r="F2017" s="121">
        <v>298.7</v>
      </c>
      <c r="G2017" s="121">
        <v>298.7</v>
      </c>
      <c r="H2017" t="s">
        <v>445</v>
      </c>
      <c r="I2017" s="156">
        <v>41089</v>
      </c>
      <c r="K2017" s="153"/>
      <c r="L2017" s="153"/>
      <c r="M2017" s="153"/>
      <c r="N2017" s="153"/>
      <c r="O2017" s="153"/>
      <c r="P2017" s="150"/>
      <c r="Q2017" s="150"/>
      <c r="R2017" s="153"/>
      <c r="S2017" s="154"/>
      <c r="T2017" s="115"/>
    </row>
    <row r="2018" spans="1:20">
      <c r="A2018" t="s">
        <v>1230</v>
      </c>
      <c r="B2018" t="s">
        <v>71</v>
      </c>
      <c r="C2018" t="s">
        <v>54</v>
      </c>
      <c r="D2018" t="s">
        <v>568</v>
      </c>
      <c r="E2018" t="s">
        <v>3621</v>
      </c>
      <c r="F2018" s="121">
        <v>298.7</v>
      </c>
      <c r="G2018" s="121">
        <v>298.7</v>
      </c>
      <c r="H2018" t="s">
        <v>445</v>
      </c>
      <c r="I2018" s="156">
        <v>41089</v>
      </c>
      <c r="K2018" s="153"/>
      <c r="L2018" s="153"/>
      <c r="M2018" s="153"/>
      <c r="N2018" s="153"/>
      <c r="O2018" s="153"/>
      <c r="P2018" s="150"/>
      <c r="Q2018" s="150"/>
      <c r="R2018" s="153"/>
      <c r="S2018" s="154"/>
      <c r="T2018" s="115"/>
    </row>
    <row r="2019" spans="1:20">
      <c r="A2019" t="s">
        <v>1230</v>
      </c>
      <c r="B2019" t="s">
        <v>71</v>
      </c>
      <c r="C2019" t="s">
        <v>54</v>
      </c>
      <c r="D2019" t="s">
        <v>568</v>
      </c>
      <c r="E2019" t="s">
        <v>3622</v>
      </c>
      <c r="F2019" s="121">
        <v>298.7</v>
      </c>
      <c r="G2019" s="121">
        <v>298.7</v>
      </c>
      <c r="H2019" t="s">
        <v>445</v>
      </c>
      <c r="I2019" s="156">
        <v>41089</v>
      </c>
      <c r="K2019" s="153"/>
      <c r="L2019" s="153"/>
      <c r="M2019" s="153"/>
      <c r="N2019" s="153"/>
      <c r="O2019" s="153"/>
      <c r="P2019" s="150"/>
      <c r="Q2019" s="150"/>
      <c r="R2019" s="153"/>
      <c r="S2019" s="154"/>
      <c r="T2019" s="115"/>
    </row>
    <row r="2020" spans="1:20">
      <c r="A2020" t="s">
        <v>1230</v>
      </c>
      <c r="B2020" t="s">
        <v>71</v>
      </c>
      <c r="C2020" t="s">
        <v>54</v>
      </c>
      <c r="D2020" t="s">
        <v>568</v>
      </c>
      <c r="E2020" t="s">
        <v>3623</v>
      </c>
      <c r="F2020" s="121">
        <v>298.7</v>
      </c>
      <c r="G2020" s="121">
        <v>298.7</v>
      </c>
      <c r="H2020" t="s">
        <v>445</v>
      </c>
      <c r="I2020" s="156">
        <v>41089</v>
      </c>
      <c r="K2020" s="153"/>
      <c r="L2020" s="153"/>
      <c r="M2020" s="153"/>
      <c r="N2020" s="153"/>
      <c r="O2020" s="153"/>
      <c r="P2020" s="150"/>
      <c r="Q2020" s="150"/>
      <c r="R2020" s="153"/>
      <c r="S2020" s="154"/>
      <c r="T2020" s="115"/>
    </row>
    <row r="2021" spans="1:20">
      <c r="A2021" t="s">
        <v>1230</v>
      </c>
      <c r="B2021" t="s">
        <v>71</v>
      </c>
      <c r="C2021" t="s">
        <v>54</v>
      </c>
      <c r="D2021" t="s">
        <v>569</v>
      </c>
      <c r="E2021" t="s">
        <v>3624</v>
      </c>
      <c r="F2021" s="121">
        <v>386.25</v>
      </c>
      <c r="G2021" s="121">
        <v>386.25</v>
      </c>
      <c r="H2021" t="s">
        <v>445</v>
      </c>
      <c r="I2021" s="156">
        <v>41089</v>
      </c>
      <c r="K2021" s="153"/>
      <c r="L2021" s="153"/>
      <c r="M2021" s="153"/>
      <c r="N2021" s="153"/>
      <c r="O2021" s="153"/>
      <c r="P2021" s="150"/>
      <c r="Q2021" s="150"/>
      <c r="R2021" s="153"/>
      <c r="S2021" s="154"/>
      <c r="T2021" s="115"/>
    </row>
    <row r="2022" spans="1:20">
      <c r="A2022" t="s">
        <v>1230</v>
      </c>
      <c r="B2022" t="s">
        <v>71</v>
      </c>
      <c r="C2022" t="s">
        <v>54</v>
      </c>
      <c r="D2022" t="s">
        <v>569</v>
      </c>
      <c r="E2022" t="s">
        <v>3625</v>
      </c>
      <c r="F2022" s="121">
        <v>386.25</v>
      </c>
      <c r="G2022" s="121">
        <v>386.25</v>
      </c>
      <c r="H2022" t="s">
        <v>445</v>
      </c>
      <c r="I2022" s="156">
        <v>41089</v>
      </c>
      <c r="K2022" s="153"/>
      <c r="L2022" s="153"/>
      <c r="M2022" s="153"/>
      <c r="N2022" s="153"/>
      <c r="O2022" s="153"/>
      <c r="P2022" s="150"/>
      <c r="Q2022" s="150"/>
      <c r="R2022" s="153"/>
      <c r="S2022" s="154"/>
      <c r="T2022" s="115"/>
    </row>
    <row r="2023" spans="1:20">
      <c r="A2023" t="s">
        <v>1230</v>
      </c>
      <c r="B2023" t="s">
        <v>71</v>
      </c>
      <c r="C2023" t="s">
        <v>54</v>
      </c>
      <c r="D2023" t="s">
        <v>569</v>
      </c>
      <c r="E2023" t="s">
        <v>3626</v>
      </c>
      <c r="F2023" s="121">
        <v>386.25</v>
      </c>
      <c r="G2023" s="121">
        <v>386.25</v>
      </c>
      <c r="H2023" t="s">
        <v>445</v>
      </c>
      <c r="I2023" s="156">
        <v>41089</v>
      </c>
      <c r="K2023" s="153"/>
      <c r="L2023" s="153"/>
      <c r="M2023" s="153"/>
      <c r="N2023" s="153"/>
      <c r="O2023" s="153"/>
      <c r="P2023" s="150"/>
      <c r="Q2023" s="150"/>
      <c r="R2023" s="153"/>
      <c r="S2023" s="154"/>
      <c r="T2023" s="115"/>
    </row>
    <row r="2024" spans="1:20">
      <c r="A2024" t="s">
        <v>1230</v>
      </c>
      <c r="B2024" t="s">
        <v>71</v>
      </c>
      <c r="C2024" t="s">
        <v>54</v>
      </c>
      <c r="D2024" t="s">
        <v>589</v>
      </c>
      <c r="E2024" t="s">
        <v>7409</v>
      </c>
      <c r="F2024" s="121">
        <v>97.85</v>
      </c>
      <c r="G2024" s="121">
        <v>97.85</v>
      </c>
      <c r="H2024" t="s">
        <v>445</v>
      </c>
      <c r="I2024" s="156">
        <v>41089</v>
      </c>
      <c r="K2024" s="153"/>
      <c r="L2024" s="153"/>
      <c r="M2024" s="153"/>
      <c r="N2024" s="153"/>
      <c r="O2024" s="153"/>
      <c r="P2024" s="150"/>
      <c r="Q2024" s="150"/>
      <c r="R2024" s="153"/>
      <c r="S2024" s="154"/>
      <c r="T2024" s="115"/>
    </row>
    <row r="2025" spans="1:20">
      <c r="A2025" t="s">
        <v>1230</v>
      </c>
      <c r="B2025" t="s">
        <v>71</v>
      </c>
      <c r="C2025" t="s">
        <v>54</v>
      </c>
      <c r="D2025" t="s">
        <v>589</v>
      </c>
      <c r="E2025" t="s">
        <v>7410</v>
      </c>
      <c r="F2025" s="121">
        <v>77.25</v>
      </c>
      <c r="G2025" s="121">
        <v>77.25</v>
      </c>
      <c r="H2025" t="s">
        <v>445</v>
      </c>
      <c r="I2025" s="156">
        <v>41089</v>
      </c>
      <c r="K2025" s="153"/>
      <c r="L2025" s="153"/>
      <c r="M2025" s="153"/>
      <c r="N2025" s="153"/>
      <c r="O2025" s="153"/>
      <c r="P2025" s="152"/>
      <c r="Q2025" s="152"/>
      <c r="R2025" s="153"/>
      <c r="S2025" s="154"/>
      <c r="T2025" s="115"/>
    </row>
    <row r="2026" spans="1:20">
      <c r="A2026" t="s">
        <v>1230</v>
      </c>
      <c r="B2026" t="s">
        <v>71</v>
      </c>
      <c r="C2026" t="s">
        <v>54</v>
      </c>
      <c r="D2026" t="s">
        <v>589</v>
      </c>
      <c r="E2026" t="s">
        <v>7411</v>
      </c>
      <c r="F2026" s="121">
        <v>87.55</v>
      </c>
      <c r="G2026" s="121">
        <v>87.55</v>
      </c>
      <c r="H2026" t="s">
        <v>445</v>
      </c>
      <c r="I2026" s="156">
        <v>41089</v>
      </c>
      <c r="K2026" s="153"/>
      <c r="L2026" s="153"/>
      <c r="M2026" s="153"/>
      <c r="N2026" s="153"/>
      <c r="O2026" s="153"/>
      <c r="P2026" s="152"/>
      <c r="Q2026" s="152"/>
      <c r="R2026" s="153"/>
      <c r="S2026" s="154"/>
      <c r="T2026" s="115"/>
    </row>
    <row r="2027" spans="1:20">
      <c r="A2027" t="s">
        <v>1230</v>
      </c>
      <c r="B2027" t="s">
        <v>71</v>
      </c>
      <c r="C2027" t="s">
        <v>54</v>
      </c>
      <c r="D2027" t="s">
        <v>589</v>
      </c>
      <c r="E2027" t="s">
        <v>7412</v>
      </c>
      <c r="F2027" s="121">
        <v>123.6</v>
      </c>
      <c r="G2027" s="121">
        <v>123.6</v>
      </c>
      <c r="H2027" t="s">
        <v>445</v>
      </c>
      <c r="I2027" s="156">
        <v>41089</v>
      </c>
      <c r="K2027" s="153"/>
      <c r="L2027" s="153"/>
      <c r="M2027" s="153"/>
      <c r="N2027" s="153"/>
      <c r="O2027" s="153"/>
      <c r="P2027" s="152"/>
      <c r="Q2027" s="152"/>
      <c r="R2027" s="153"/>
      <c r="S2027" s="154"/>
      <c r="T2027" s="115"/>
    </row>
    <row r="2028" spans="1:20">
      <c r="A2028" t="s">
        <v>1230</v>
      </c>
      <c r="B2028" t="s">
        <v>71</v>
      </c>
      <c r="C2028" t="s">
        <v>54</v>
      </c>
      <c r="D2028" t="s">
        <v>589</v>
      </c>
      <c r="E2028" t="s">
        <v>7413</v>
      </c>
      <c r="F2028" s="121">
        <v>123.6</v>
      </c>
      <c r="G2028" s="121">
        <v>123.6</v>
      </c>
      <c r="H2028" t="s">
        <v>445</v>
      </c>
      <c r="I2028" s="156">
        <v>41089</v>
      </c>
      <c r="K2028" s="153"/>
      <c r="L2028" s="153"/>
      <c r="M2028" s="153"/>
      <c r="N2028" s="153"/>
      <c r="O2028" s="153"/>
      <c r="P2028" s="152"/>
      <c r="Q2028" s="152"/>
      <c r="R2028" s="153"/>
      <c r="S2028" s="154"/>
      <c r="T2028" s="115"/>
    </row>
    <row r="2029" spans="1:20">
      <c r="A2029" t="s">
        <v>1230</v>
      </c>
      <c r="B2029" t="s">
        <v>71</v>
      </c>
      <c r="C2029" t="s">
        <v>54</v>
      </c>
      <c r="D2029" t="s">
        <v>589</v>
      </c>
      <c r="E2029" t="s">
        <v>7414</v>
      </c>
      <c r="F2029" s="121">
        <v>92.7</v>
      </c>
      <c r="G2029" s="121">
        <v>92.7</v>
      </c>
      <c r="H2029" t="s">
        <v>445</v>
      </c>
      <c r="I2029" s="156">
        <v>41089</v>
      </c>
      <c r="K2029" s="153"/>
      <c r="L2029" s="153"/>
      <c r="M2029" s="153"/>
      <c r="N2029" s="153"/>
      <c r="O2029" s="153"/>
      <c r="P2029" s="152"/>
      <c r="Q2029" s="152"/>
      <c r="R2029" s="153"/>
      <c r="S2029" s="154"/>
      <c r="T2029" s="115"/>
    </row>
    <row r="2030" spans="1:20">
      <c r="A2030" t="s">
        <v>1230</v>
      </c>
      <c r="B2030" t="s">
        <v>71</v>
      </c>
      <c r="C2030" t="s">
        <v>54</v>
      </c>
      <c r="D2030" t="s">
        <v>589</v>
      </c>
      <c r="E2030" t="s">
        <v>7415</v>
      </c>
      <c r="F2030" s="121">
        <v>216.3</v>
      </c>
      <c r="G2030" s="121">
        <v>216.3</v>
      </c>
      <c r="H2030" t="s">
        <v>445</v>
      </c>
      <c r="I2030" s="156">
        <v>41089</v>
      </c>
      <c r="K2030" s="153"/>
      <c r="L2030" s="153"/>
      <c r="M2030" s="153"/>
      <c r="N2030" s="153"/>
      <c r="O2030" s="153"/>
      <c r="P2030" s="152"/>
      <c r="Q2030" s="152"/>
      <c r="R2030" s="153"/>
      <c r="S2030" s="154"/>
      <c r="T2030" s="115"/>
    </row>
    <row r="2031" spans="1:20">
      <c r="A2031" t="s">
        <v>1230</v>
      </c>
      <c r="B2031" t="s">
        <v>71</v>
      </c>
      <c r="C2031" t="s">
        <v>54</v>
      </c>
      <c r="D2031" t="s">
        <v>589</v>
      </c>
      <c r="E2031" t="s">
        <v>7416</v>
      </c>
      <c r="F2031" s="121">
        <v>231.75</v>
      </c>
      <c r="G2031" s="121">
        <v>231.75</v>
      </c>
      <c r="H2031" t="s">
        <v>445</v>
      </c>
      <c r="I2031" s="156">
        <v>41089</v>
      </c>
      <c r="K2031" s="153"/>
      <c r="L2031" s="153"/>
      <c r="M2031" s="153"/>
      <c r="N2031" s="153"/>
      <c r="O2031" s="153"/>
      <c r="P2031" s="150"/>
      <c r="Q2031" s="150"/>
      <c r="R2031" s="153"/>
      <c r="S2031" s="154"/>
      <c r="T2031" s="115"/>
    </row>
    <row r="2032" spans="1:20">
      <c r="A2032" t="s">
        <v>1230</v>
      </c>
      <c r="B2032" t="s">
        <v>71</v>
      </c>
      <c r="C2032" t="s">
        <v>43</v>
      </c>
      <c r="D2032" t="s">
        <v>620</v>
      </c>
      <c r="E2032" t="s">
        <v>3627</v>
      </c>
      <c r="F2032" s="121">
        <v>1112.4000000000001</v>
      </c>
      <c r="G2032" s="121">
        <v>1112.4000000000001</v>
      </c>
      <c r="H2032" t="s">
        <v>445</v>
      </c>
      <c r="I2032" s="156">
        <v>41089</v>
      </c>
      <c r="K2032" s="153"/>
      <c r="L2032" s="153"/>
      <c r="M2032" s="153"/>
      <c r="N2032" s="153"/>
      <c r="O2032" s="153"/>
      <c r="P2032" s="152"/>
      <c r="Q2032" s="152"/>
      <c r="R2032" s="153"/>
      <c r="S2032" s="154"/>
      <c r="T2032" s="115"/>
    </row>
    <row r="2033" spans="1:20">
      <c r="A2033" t="s">
        <v>1230</v>
      </c>
      <c r="B2033" t="s">
        <v>71</v>
      </c>
      <c r="C2033" t="s">
        <v>43</v>
      </c>
      <c r="D2033" t="s">
        <v>620</v>
      </c>
      <c r="E2033" t="s">
        <v>3628</v>
      </c>
      <c r="F2033" s="121">
        <v>839.45</v>
      </c>
      <c r="G2033" s="121">
        <v>839.45</v>
      </c>
      <c r="H2033" t="s">
        <v>445</v>
      </c>
      <c r="I2033" s="156">
        <v>41089</v>
      </c>
      <c r="K2033" s="153"/>
      <c r="L2033" s="153"/>
      <c r="M2033" s="153"/>
      <c r="N2033" s="153"/>
      <c r="O2033" s="153"/>
      <c r="P2033" s="152"/>
      <c r="Q2033" s="152"/>
      <c r="R2033" s="153"/>
      <c r="S2033" s="154"/>
      <c r="T2033" s="115"/>
    </row>
    <row r="2034" spans="1:20">
      <c r="A2034" t="s">
        <v>1230</v>
      </c>
      <c r="B2034" t="s">
        <v>71</v>
      </c>
      <c r="C2034" t="s">
        <v>43</v>
      </c>
      <c r="D2034" t="s">
        <v>620</v>
      </c>
      <c r="E2034" t="s">
        <v>3629</v>
      </c>
      <c r="F2034" s="121">
        <v>952.75</v>
      </c>
      <c r="G2034" s="121">
        <v>952.75</v>
      </c>
      <c r="H2034" t="s">
        <v>445</v>
      </c>
      <c r="I2034" s="156">
        <v>41089</v>
      </c>
      <c r="K2034" s="153"/>
      <c r="L2034" s="153"/>
      <c r="M2034" s="153"/>
      <c r="N2034" s="153"/>
      <c r="O2034" s="153"/>
      <c r="P2034" s="152"/>
      <c r="Q2034" s="152"/>
      <c r="R2034" s="153"/>
      <c r="S2034" s="154"/>
      <c r="T2034" s="115"/>
    </row>
    <row r="2035" spans="1:20">
      <c r="A2035" t="s">
        <v>1230</v>
      </c>
      <c r="B2035" t="s">
        <v>71</v>
      </c>
      <c r="C2035" t="s">
        <v>54</v>
      </c>
      <c r="D2035" t="s">
        <v>573</v>
      </c>
      <c r="E2035" t="s">
        <v>3630</v>
      </c>
      <c r="F2035" s="121">
        <v>283.25</v>
      </c>
      <c r="G2035" s="121">
        <v>283.25</v>
      </c>
      <c r="H2035" t="s">
        <v>445</v>
      </c>
      <c r="I2035" s="156">
        <v>41089</v>
      </c>
      <c r="K2035" s="153"/>
      <c r="L2035" s="153"/>
      <c r="M2035" s="153"/>
      <c r="N2035" s="153"/>
      <c r="O2035" s="153"/>
      <c r="P2035" s="152"/>
      <c r="Q2035" s="152"/>
      <c r="R2035" s="153"/>
      <c r="S2035" s="154"/>
      <c r="T2035" s="115"/>
    </row>
    <row r="2036" spans="1:20">
      <c r="A2036" t="s">
        <v>1230</v>
      </c>
      <c r="B2036" t="s">
        <v>71</v>
      </c>
      <c r="C2036" t="s">
        <v>54</v>
      </c>
      <c r="D2036" t="s">
        <v>573</v>
      </c>
      <c r="E2036" t="s">
        <v>3631</v>
      </c>
      <c r="F2036" s="121">
        <v>303.85000000000002</v>
      </c>
      <c r="G2036" s="121">
        <v>303.85000000000002</v>
      </c>
      <c r="H2036" t="s">
        <v>445</v>
      </c>
      <c r="I2036" s="156">
        <v>41089</v>
      </c>
      <c r="K2036" s="153"/>
      <c r="L2036" s="153"/>
      <c r="M2036" s="153"/>
      <c r="N2036" s="153"/>
      <c r="O2036" s="153"/>
      <c r="P2036" s="152"/>
      <c r="Q2036" s="152"/>
      <c r="R2036" s="153"/>
      <c r="S2036" s="154"/>
      <c r="T2036" s="115"/>
    </row>
    <row r="2037" spans="1:20">
      <c r="A2037" t="s">
        <v>1230</v>
      </c>
      <c r="B2037" t="s">
        <v>71</v>
      </c>
      <c r="C2037" t="s">
        <v>54</v>
      </c>
      <c r="D2037" t="s">
        <v>573</v>
      </c>
      <c r="E2037" t="s">
        <v>3632</v>
      </c>
      <c r="F2037" s="121">
        <v>329.6</v>
      </c>
      <c r="G2037" s="121">
        <v>329.6</v>
      </c>
      <c r="H2037" t="s">
        <v>445</v>
      </c>
      <c r="I2037" s="156">
        <v>41089</v>
      </c>
      <c r="K2037" s="153"/>
      <c r="L2037" s="153"/>
      <c r="M2037" s="153"/>
      <c r="N2037" s="153"/>
      <c r="O2037" s="153"/>
      <c r="P2037" s="150"/>
      <c r="Q2037" s="150"/>
      <c r="R2037" s="153"/>
      <c r="S2037" s="154"/>
      <c r="T2037" s="115"/>
    </row>
    <row r="2038" spans="1:20">
      <c r="A2038" t="s">
        <v>1230</v>
      </c>
      <c r="B2038" t="s">
        <v>71</v>
      </c>
      <c r="C2038" t="s">
        <v>54</v>
      </c>
      <c r="D2038" t="s">
        <v>547</v>
      </c>
      <c r="E2038" t="s">
        <v>3633</v>
      </c>
      <c r="F2038" s="121">
        <v>1287.5</v>
      </c>
      <c r="G2038" s="121">
        <v>1287.5</v>
      </c>
      <c r="H2038" t="s">
        <v>445</v>
      </c>
      <c r="I2038" s="156">
        <v>41089</v>
      </c>
      <c r="K2038" s="153"/>
      <c r="L2038" s="153"/>
      <c r="M2038" s="153"/>
      <c r="N2038" s="153"/>
      <c r="O2038" s="153"/>
      <c r="P2038" s="150"/>
      <c r="Q2038" s="150"/>
      <c r="R2038" s="153"/>
      <c r="S2038" s="154"/>
      <c r="T2038" s="115"/>
    </row>
    <row r="2039" spans="1:20">
      <c r="A2039" t="s">
        <v>1230</v>
      </c>
      <c r="B2039" t="s">
        <v>71</v>
      </c>
      <c r="C2039" t="s">
        <v>54</v>
      </c>
      <c r="D2039" t="s">
        <v>547</v>
      </c>
      <c r="E2039" t="s">
        <v>3634</v>
      </c>
      <c r="F2039" s="121">
        <v>721</v>
      </c>
      <c r="G2039" s="121">
        <v>721</v>
      </c>
      <c r="H2039" t="s">
        <v>445</v>
      </c>
      <c r="I2039" s="156">
        <v>41089</v>
      </c>
      <c r="K2039" s="153"/>
      <c r="L2039" s="153"/>
      <c r="M2039" s="153"/>
      <c r="N2039" s="153"/>
      <c r="O2039" s="153"/>
      <c r="P2039" s="152"/>
      <c r="Q2039" s="152"/>
      <c r="R2039" s="153"/>
      <c r="S2039" s="154"/>
      <c r="T2039" s="115"/>
    </row>
    <row r="2040" spans="1:20">
      <c r="A2040" t="s">
        <v>1230</v>
      </c>
      <c r="B2040" t="s">
        <v>71</v>
      </c>
      <c r="C2040" t="s">
        <v>54</v>
      </c>
      <c r="D2040" t="s">
        <v>547</v>
      </c>
      <c r="E2040" t="s">
        <v>3635</v>
      </c>
      <c r="F2040" s="121">
        <v>566.5</v>
      </c>
      <c r="G2040" s="121">
        <v>566.5</v>
      </c>
      <c r="H2040" t="s">
        <v>445</v>
      </c>
      <c r="I2040" s="156">
        <v>41089</v>
      </c>
      <c r="K2040" s="153"/>
      <c r="L2040" s="153"/>
      <c r="M2040" s="153"/>
      <c r="N2040" s="153"/>
      <c r="O2040" s="153"/>
      <c r="P2040" s="150"/>
      <c r="Q2040" s="150"/>
      <c r="R2040" s="153"/>
      <c r="S2040" s="154"/>
      <c r="T2040" s="115"/>
    </row>
    <row r="2041" spans="1:20">
      <c r="A2041" t="s">
        <v>1230</v>
      </c>
      <c r="B2041" t="s">
        <v>71</v>
      </c>
      <c r="C2041" t="s">
        <v>43</v>
      </c>
      <c r="D2041" t="s">
        <v>622</v>
      </c>
      <c r="E2041" t="s">
        <v>3636</v>
      </c>
      <c r="F2041" s="121">
        <v>77.25</v>
      </c>
      <c r="G2041" s="121">
        <v>77.25</v>
      </c>
      <c r="H2041" t="s">
        <v>445</v>
      </c>
      <c r="I2041" s="156">
        <v>41089</v>
      </c>
      <c r="K2041" s="153"/>
      <c r="L2041" s="153"/>
      <c r="M2041" s="153"/>
      <c r="N2041" s="153"/>
      <c r="O2041" s="153"/>
      <c r="P2041" s="150"/>
      <c r="Q2041" s="150"/>
      <c r="R2041" s="153"/>
      <c r="S2041" s="154"/>
      <c r="T2041" s="115"/>
    </row>
    <row r="2042" spans="1:20">
      <c r="A2042" t="s">
        <v>1230</v>
      </c>
      <c r="B2042" t="s">
        <v>71</v>
      </c>
      <c r="C2042" t="s">
        <v>43</v>
      </c>
      <c r="D2042" t="s">
        <v>620</v>
      </c>
      <c r="E2042" t="s">
        <v>7417</v>
      </c>
      <c r="F2042" s="121">
        <v>973.35</v>
      </c>
      <c r="G2042" s="121">
        <v>973.35</v>
      </c>
      <c r="H2042" t="s">
        <v>445</v>
      </c>
      <c r="I2042" s="156">
        <v>41089</v>
      </c>
      <c r="K2042" s="153"/>
      <c r="L2042" s="153"/>
      <c r="M2042" s="153"/>
      <c r="N2042" s="153"/>
      <c r="O2042" s="153"/>
      <c r="P2042" s="150"/>
      <c r="Q2042" s="150"/>
      <c r="R2042" s="153"/>
      <c r="S2042" s="154"/>
      <c r="T2042" s="115"/>
    </row>
    <row r="2043" spans="1:20">
      <c r="A2043" t="s">
        <v>1230</v>
      </c>
      <c r="B2043" t="s">
        <v>71</v>
      </c>
      <c r="C2043" t="s">
        <v>54</v>
      </c>
      <c r="D2043" t="s">
        <v>573</v>
      </c>
      <c r="E2043" t="s">
        <v>3637</v>
      </c>
      <c r="F2043" s="121">
        <v>319.3</v>
      </c>
      <c r="G2043" s="121">
        <v>319.3</v>
      </c>
      <c r="H2043" t="s">
        <v>445</v>
      </c>
      <c r="I2043" s="156">
        <v>41089</v>
      </c>
      <c r="K2043" s="153"/>
      <c r="L2043" s="153"/>
      <c r="M2043" s="153"/>
      <c r="N2043" s="153"/>
      <c r="O2043" s="153"/>
      <c r="P2043" s="150"/>
      <c r="Q2043" s="150"/>
      <c r="R2043" s="153"/>
      <c r="S2043" s="154"/>
      <c r="T2043" s="115"/>
    </row>
    <row r="2044" spans="1:20">
      <c r="A2044" t="s">
        <v>1230</v>
      </c>
      <c r="B2044" t="s">
        <v>71</v>
      </c>
      <c r="C2044" t="s">
        <v>54</v>
      </c>
      <c r="D2044" t="s">
        <v>445</v>
      </c>
      <c r="E2044" t="s">
        <v>7418</v>
      </c>
      <c r="F2044" s="121">
        <v>236.9</v>
      </c>
      <c r="G2044" s="121">
        <v>236.9</v>
      </c>
      <c r="H2044" t="s">
        <v>445</v>
      </c>
      <c r="I2044" s="156">
        <v>41089</v>
      </c>
      <c r="K2044" s="153"/>
      <c r="L2044" s="153"/>
      <c r="M2044" s="153"/>
      <c r="N2044" s="153"/>
      <c r="O2044" s="153"/>
      <c r="P2044" s="150"/>
      <c r="Q2044" s="150"/>
      <c r="R2044" s="153"/>
      <c r="S2044" s="154"/>
      <c r="T2044" s="115"/>
    </row>
    <row r="2045" spans="1:20">
      <c r="A2045" t="s">
        <v>1230</v>
      </c>
      <c r="B2045" t="s">
        <v>71</v>
      </c>
      <c r="C2045" t="s">
        <v>54</v>
      </c>
      <c r="D2045" t="s">
        <v>589</v>
      </c>
      <c r="E2045" t="s">
        <v>7419</v>
      </c>
      <c r="F2045" s="121">
        <v>97.85</v>
      </c>
      <c r="G2045" s="121">
        <v>97.85</v>
      </c>
      <c r="H2045" t="s">
        <v>445</v>
      </c>
      <c r="I2045" s="156">
        <v>41089</v>
      </c>
      <c r="K2045" s="153"/>
      <c r="L2045" s="153"/>
      <c r="M2045" s="153"/>
      <c r="N2045" s="153"/>
      <c r="O2045" s="153"/>
      <c r="P2045" s="150"/>
      <c r="Q2045" s="150"/>
      <c r="R2045" s="153"/>
      <c r="S2045" s="154"/>
      <c r="T2045" s="115"/>
    </row>
    <row r="2046" spans="1:20">
      <c r="A2046" t="s">
        <v>1230</v>
      </c>
      <c r="B2046" t="s">
        <v>71</v>
      </c>
      <c r="C2046" t="s">
        <v>54</v>
      </c>
      <c r="D2046" t="s">
        <v>589</v>
      </c>
      <c r="E2046" t="s">
        <v>7420</v>
      </c>
      <c r="F2046" s="121">
        <v>97.85</v>
      </c>
      <c r="G2046" s="121">
        <v>97.85</v>
      </c>
      <c r="H2046" t="s">
        <v>445</v>
      </c>
      <c r="I2046" s="156">
        <v>41089</v>
      </c>
      <c r="K2046" s="153"/>
      <c r="L2046" s="153"/>
      <c r="M2046" s="153"/>
      <c r="N2046" s="153"/>
      <c r="O2046" s="153"/>
      <c r="P2046" s="152"/>
      <c r="Q2046" s="152"/>
      <c r="R2046" s="153"/>
      <c r="S2046" s="154"/>
      <c r="T2046" s="115"/>
    </row>
    <row r="2047" spans="1:20">
      <c r="A2047" t="s">
        <v>1230</v>
      </c>
      <c r="B2047" t="s">
        <v>71</v>
      </c>
      <c r="C2047" t="s">
        <v>54</v>
      </c>
      <c r="D2047" t="s">
        <v>637</v>
      </c>
      <c r="E2047" t="s">
        <v>3638</v>
      </c>
      <c r="F2047" s="121">
        <v>1236</v>
      </c>
      <c r="G2047" s="121">
        <v>1236</v>
      </c>
      <c r="H2047" t="s">
        <v>445</v>
      </c>
      <c r="I2047" s="156">
        <v>41089</v>
      </c>
      <c r="K2047" s="153"/>
      <c r="L2047" s="153"/>
      <c r="M2047" s="153"/>
      <c r="N2047" s="153"/>
      <c r="O2047" s="153"/>
      <c r="P2047" s="150"/>
      <c r="Q2047" s="150"/>
      <c r="R2047" s="153"/>
      <c r="S2047" s="154"/>
      <c r="T2047" s="115"/>
    </row>
    <row r="2048" spans="1:20">
      <c r="A2048" t="s">
        <v>1230</v>
      </c>
      <c r="B2048" t="s">
        <v>71</v>
      </c>
      <c r="C2048" t="s">
        <v>54</v>
      </c>
      <c r="D2048" t="s">
        <v>547</v>
      </c>
      <c r="E2048" t="s">
        <v>3639</v>
      </c>
      <c r="F2048" s="121">
        <v>607.70000000000005</v>
      </c>
      <c r="G2048" s="121">
        <v>607.70000000000005</v>
      </c>
      <c r="H2048" t="s">
        <v>445</v>
      </c>
      <c r="I2048" s="156">
        <v>41089</v>
      </c>
      <c r="K2048" s="153"/>
      <c r="L2048" s="153"/>
      <c r="M2048" s="153"/>
      <c r="N2048" s="153"/>
      <c r="O2048" s="153"/>
      <c r="P2048" s="150"/>
      <c r="Q2048" s="150"/>
      <c r="R2048" s="153"/>
      <c r="S2048" s="154"/>
      <c r="T2048" s="115"/>
    </row>
    <row r="2049" spans="1:20">
      <c r="A2049" t="s">
        <v>1230</v>
      </c>
      <c r="B2049" t="s">
        <v>71</v>
      </c>
      <c r="C2049" t="s">
        <v>43</v>
      </c>
      <c r="D2049" t="s">
        <v>622</v>
      </c>
      <c r="E2049" t="s">
        <v>3640</v>
      </c>
      <c r="F2049" s="121">
        <v>82.4</v>
      </c>
      <c r="G2049" s="121">
        <v>82.4</v>
      </c>
      <c r="H2049" t="s">
        <v>445</v>
      </c>
      <c r="I2049" s="156">
        <v>41089</v>
      </c>
      <c r="K2049" s="153"/>
      <c r="L2049" s="153"/>
      <c r="M2049" s="153"/>
      <c r="N2049" s="153"/>
      <c r="O2049" s="153"/>
      <c r="P2049" s="152"/>
      <c r="Q2049" s="152"/>
      <c r="R2049" s="153"/>
      <c r="S2049" s="154"/>
      <c r="T2049" s="115"/>
    </row>
    <row r="2050" spans="1:20">
      <c r="A2050" t="s">
        <v>1230</v>
      </c>
      <c r="B2050" t="s">
        <v>71</v>
      </c>
      <c r="C2050" t="s">
        <v>43</v>
      </c>
      <c r="D2050" t="s">
        <v>620</v>
      </c>
      <c r="E2050" t="s">
        <v>7421</v>
      </c>
      <c r="F2050" s="121">
        <v>1040.3</v>
      </c>
      <c r="G2050" s="121">
        <v>1040.3</v>
      </c>
      <c r="H2050" t="s">
        <v>445</v>
      </c>
      <c r="I2050" s="156">
        <v>41089</v>
      </c>
      <c r="K2050" s="153"/>
      <c r="L2050" s="153"/>
      <c r="M2050" s="153"/>
      <c r="N2050" s="153"/>
      <c r="O2050" s="153"/>
      <c r="P2050" s="152"/>
      <c r="Q2050" s="152"/>
      <c r="R2050" s="153"/>
      <c r="S2050" s="154"/>
      <c r="T2050" s="115"/>
    </row>
    <row r="2051" spans="1:20">
      <c r="A2051" t="s">
        <v>1230</v>
      </c>
      <c r="B2051" t="s">
        <v>71</v>
      </c>
      <c r="C2051" t="s">
        <v>54</v>
      </c>
      <c r="D2051" t="s">
        <v>573</v>
      </c>
      <c r="E2051" t="s">
        <v>3641</v>
      </c>
      <c r="F2051" s="121">
        <v>339.9</v>
      </c>
      <c r="G2051" s="121">
        <v>339.9</v>
      </c>
      <c r="H2051" t="s">
        <v>445</v>
      </c>
      <c r="I2051" s="156">
        <v>41089</v>
      </c>
      <c r="K2051" s="153"/>
      <c r="L2051" s="153"/>
      <c r="M2051" s="153"/>
      <c r="N2051" s="153"/>
      <c r="O2051" s="153"/>
      <c r="P2051" s="150"/>
      <c r="Q2051" s="150"/>
      <c r="R2051" s="153"/>
      <c r="S2051" s="154"/>
      <c r="T2051" s="115"/>
    </row>
    <row r="2052" spans="1:20">
      <c r="A2052" t="s">
        <v>1230</v>
      </c>
      <c r="B2052" t="s">
        <v>71</v>
      </c>
      <c r="C2052" t="s">
        <v>54</v>
      </c>
      <c r="D2052" t="s">
        <v>589</v>
      </c>
      <c r="E2052" t="s">
        <v>7422</v>
      </c>
      <c r="F2052" s="121">
        <v>187.46</v>
      </c>
      <c r="G2052" s="121">
        <v>187.46</v>
      </c>
      <c r="H2052" t="s">
        <v>445</v>
      </c>
      <c r="I2052" s="156">
        <v>41089</v>
      </c>
      <c r="K2052" s="153"/>
      <c r="L2052" s="153"/>
      <c r="M2052" s="153"/>
      <c r="N2052" s="153"/>
      <c r="O2052" s="153"/>
      <c r="P2052" s="150"/>
      <c r="Q2052" s="150"/>
      <c r="R2052" s="153"/>
      <c r="S2052" s="154"/>
      <c r="T2052" s="115"/>
    </row>
    <row r="2053" spans="1:20">
      <c r="A2053" t="s">
        <v>1230</v>
      </c>
      <c r="B2053" t="s">
        <v>71</v>
      </c>
      <c r="C2053" t="s">
        <v>54</v>
      </c>
      <c r="D2053" t="s">
        <v>589</v>
      </c>
      <c r="E2053" t="s">
        <v>7423</v>
      </c>
      <c r="F2053" s="121">
        <v>92.7</v>
      </c>
      <c r="G2053" s="121">
        <v>92.7</v>
      </c>
      <c r="H2053" t="s">
        <v>445</v>
      </c>
      <c r="I2053" s="156">
        <v>41089</v>
      </c>
      <c r="K2053" s="153"/>
      <c r="L2053" s="153"/>
      <c r="M2053" s="153"/>
      <c r="N2053" s="153"/>
      <c r="O2053" s="153"/>
      <c r="P2053" s="150"/>
      <c r="Q2053" s="150"/>
      <c r="R2053" s="153"/>
      <c r="S2053" s="154"/>
      <c r="T2053" s="115"/>
    </row>
    <row r="2054" spans="1:20">
      <c r="A2054" t="s">
        <v>1230</v>
      </c>
      <c r="B2054" t="s">
        <v>71</v>
      </c>
      <c r="C2054" t="s">
        <v>54</v>
      </c>
      <c r="D2054" t="s">
        <v>589</v>
      </c>
      <c r="E2054" t="s">
        <v>7424</v>
      </c>
      <c r="F2054" s="121">
        <v>92.7</v>
      </c>
      <c r="G2054" s="121">
        <v>92.7</v>
      </c>
      <c r="H2054" t="s">
        <v>445</v>
      </c>
      <c r="I2054" s="156">
        <v>41089</v>
      </c>
      <c r="K2054" s="153"/>
      <c r="L2054" s="153"/>
      <c r="M2054" s="153"/>
      <c r="N2054" s="153"/>
      <c r="O2054" s="153"/>
      <c r="P2054" s="150"/>
      <c r="Q2054" s="150"/>
      <c r="R2054" s="153"/>
      <c r="S2054" s="154"/>
      <c r="T2054" s="115"/>
    </row>
    <row r="2055" spans="1:20">
      <c r="A2055" t="s">
        <v>1230</v>
      </c>
      <c r="B2055" t="s">
        <v>71</v>
      </c>
      <c r="C2055" t="s">
        <v>54</v>
      </c>
      <c r="D2055" t="s">
        <v>568</v>
      </c>
      <c r="E2055" t="s">
        <v>3642</v>
      </c>
      <c r="F2055" s="121">
        <v>298.7</v>
      </c>
      <c r="G2055" s="121">
        <v>298.7</v>
      </c>
      <c r="H2055" t="s">
        <v>445</v>
      </c>
      <c r="I2055" s="156">
        <v>41089</v>
      </c>
      <c r="K2055" s="153"/>
      <c r="L2055" s="153"/>
      <c r="M2055" s="153"/>
      <c r="N2055" s="153"/>
      <c r="O2055" s="153"/>
      <c r="P2055" s="150"/>
      <c r="Q2055" s="150"/>
      <c r="R2055" s="153"/>
      <c r="S2055" s="154"/>
      <c r="T2055" s="115"/>
    </row>
    <row r="2056" spans="1:20">
      <c r="A2056" t="s">
        <v>1230</v>
      </c>
      <c r="B2056" t="s">
        <v>71</v>
      </c>
      <c r="C2056" t="s">
        <v>54</v>
      </c>
      <c r="D2056" t="s">
        <v>568</v>
      </c>
      <c r="E2056" t="s">
        <v>3643</v>
      </c>
      <c r="F2056" s="121">
        <v>298.7</v>
      </c>
      <c r="G2056" s="121">
        <v>298.7</v>
      </c>
      <c r="H2056" t="s">
        <v>445</v>
      </c>
      <c r="I2056" s="156">
        <v>41089</v>
      </c>
      <c r="K2056" s="153"/>
      <c r="L2056" s="153"/>
      <c r="M2056" s="153"/>
      <c r="N2056" s="153"/>
      <c r="O2056" s="153"/>
      <c r="P2056" s="150"/>
      <c r="Q2056" s="150"/>
      <c r="R2056" s="153"/>
      <c r="S2056" s="154"/>
      <c r="T2056" s="115"/>
    </row>
    <row r="2057" spans="1:20">
      <c r="A2057" t="s">
        <v>1230</v>
      </c>
      <c r="B2057" t="s">
        <v>71</v>
      </c>
      <c r="C2057" t="s">
        <v>54</v>
      </c>
      <c r="D2057" t="s">
        <v>569</v>
      </c>
      <c r="E2057" t="s">
        <v>3644</v>
      </c>
      <c r="F2057" s="121">
        <v>386.25</v>
      </c>
      <c r="G2057" s="121">
        <v>386.25</v>
      </c>
      <c r="H2057" t="s">
        <v>445</v>
      </c>
      <c r="I2057" s="156">
        <v>41089</v>
      </c>
      <c r="K2057" s="153"/>
      <c r="L2057" s="153"/>
      <c r="M2057" s="153"/>
      <c r="N2057" s="153"/>
      <c r="O2057" s="153"/>
      <c r="P2057" s="150"/>
      <c r="Q2057" s="150"/>
      <c r="R2057" s="153"/>
      <c r="S2057" s="154"/>
      <c r="T2057" s="115"/>
    </row>
    <row r="2058" spans="1:20">
      <c r="A2058" t="s">
        <v>1230</v>
      </c>
      <c r="B2058" t="s">
        <v>71</v>
      </c>
      <c r="C2058" t="s">
        <v>54</v>
      </c>
      <c r="D2058" t="s">
        <v>569</v>
      </c>
      <c r="E2058" t="s">
        <v>3645</v>
      </c>
      <c r="F2058" s="121">
        <v>386.25</v>
      </c>
      <c r="G2058" s="121">
        <v>386.25</v>
      </c>
      <c r="H2058" t="s">
        <v>445</v>
      </c>
      <c r="I2058" s="156">
        <v>41089</v>
      </c>
      <c r="K2058" s="153"/>
      <c r="L2058" s="153"/>
      <c r="M2058" s="153"/>
      <c r="N2058" s="153"/>
      <c r="O2058" s="153"/>
      <c r="P2058" s="150"/>
      <c r="Q2058" s="150"/>
      <c r="R2058" s="153"/>
      <c r="S2058" s="154"/>
      <c r="T2058" s="115"/>
    </row>
    <row r="2059" spans="1:20">
      <c r="A2059" t="s">
        <v>1230</v>
      </c>
      <c r="B2059" t="s">
        <v>71</v>
      </c>
      <c r="C2059" t="s">
        <v>54</v>
      </c>
      <c r="D2059" t="s">
        <v>7425</v>
      </c>
      <c r="E2059" t="s">
        <v>7426</v>
      </c>
      <c r="F2059" s="121">
        <v>607.70000000000005</v>
      </c>
      <c r="G2059" s="121">
        <v>607.70000000000005</v>
      </c>
      <c r="H2059" t="s">
        <v>445</v>
      </c>
      <c r="I2059" s="156">
        <v>41089</v>
      </c>
      <c r="K2059" s="153"/>
      <c r="L2059" s="153"/>
      <c r="M2059" s="153"/>
      <c r="N2059" s="153"/>
      <c r="O2059" s="153"/>
      <c r="P2059" s="150"/>
      <c r="Q2059" s="150"/>
      <c r="R2059" s="153"/>
      <c r="S2059" s="154"/>
      <c r="T2059" s="115"/>
    </row>
    <row r="2060" spans="1:20">
      <c r="A2060" t="s">
        <v>1230</v>
      </c>
      <c r="B2060" t="s">
        <v>71</v>
      </c>
      <c r="C2060" t="s">
        <v>54</v>
      </c>
      <c r="D2060" t="s">
        <v>547</v>
      </c>
      <c r="E2060" t="s">
        <v>3646</v>
      </c>
      <c r="F2060" s="121">
        <v>638.6</v>
      </c>
      <c r="G2060" s="121">
        <v>638.6</v>
      </c>
      <c r="H2060" t="s">
        <v>445</v>
      </c>
      <c r="I2060" s="156">
        <v>41089</v>
      </c>
      <c r="K2060" s="153"/>
      <c r="L2060" s="153"/>
      <c r="M2060" s="153"/>
      <c r="N2060" s="153"/>
      <c r="O2060" s="153"/>
      <c r="P2060" s="150"/>
      <c r="Q2060" s="150"/>
      <c r="R2060" s="153"/>
      <c r="S2060" s="154"/>
      <c r="T2060" s="115"/>
    </row>
    <row r="2061" spans="1:20">
      <c r="A2061" t="s">
        <v>1230</v>
      </c>
      <c r="B2061" t="s">
        <v>71</v>
      </c>
      <c r="C2061" t="s">
        <v>54</v>
      </c>
      <c r="D2061" t="s">
        <v>547</v>
      </c>
      <c r="E2061" t="s">
        <v>3647</v>
      </c>
      <c r="F2061" s="121">
        <v>618</v>
      </c>
      <c r="G2061" s="121">
        <v>618</v>
      </c>
      <c r="H2061" t="s">
        <v>445</v>
      </c>
      <c r="I2061" s="156">
        <v>41089</v>
      </c>
      <c r="K2061" s="153"/>
      <c r="L2061" s="153"/>
      <c r="M2061" s="153"/>
      <c r="N2061" s="153"/>
      <c r="O2061" s="153"/>
      <c r="P2061" s="152"/>
      <c r="Q2061" s="152"/>
      <c r="R2061" s="153"/>
      <c r="S2061" s="154"/>
      <c r="T2061" s="115"/>
    </row>
    <row r="2062" spans="1:20">
      <c r="A2062" t="s">
        <v>1230</v>
      </c>
      <c r="B2062" t="s">
        <v>71</v>
      </c>
      <c r="C2062" t="s">
        <v>54</v>
      </c>
      <c r="D2062" t="s">
        <v>547</v>
      </c>
      <c r="E2062" t="s">
        <v>3648</v>
      </c>
      <c r="F2062" s="121">
        <v>618</v>
      </c>
      <c r="G2062" s="121">
        <v>618</v>
      </c>
      <c r="H2062" t="s">
        <v>445</v>
      </c>
      <c r="I2062" s="156">
        <v>41089</v>
      </c>
      <c r="K2062" s="153"/>
      <c r="L2062" s="153"/>
      <c r="M2062" s="153"/>
      <c r="N2062" s="153"/>
      <c r="O2062" s="153"/>
      <c r="P2062" s="150"/>
      <c r="Q2062" s="150"/>
      <c r="R2062" s="153"/>
      <c r="S2062" s="154"/>
      <c r="T2062" s="115"/>
    </row>
    <row r="2063" spans="1:20">
      <c r="A2063" t="s">
        <v>1230</v>
      </c>
      <c r="B2063" t="s">
        <v>71</v>
      </c>
      <c r="C2063" t="s">
        <v>43</v>
      </c>
      <c r="D2063" t="s">
        <v>620</v>
      </c>
      <c r="E2063" t="s">
        <v>3649</v>
      </c>
      <c r="F2063" s="121">
        <v>824</v>
      </c>
      <c r="G2063" s="121">
        <v>824</v>
      </c>
      <c r="H2063" t="s">
        <v>445</v>
      </c>
      <c r="I2063" s="156">
        <v>40723</v>
      </c>
      <c r="K2063" s="153"/>
      <c r="L2063" s="153"/>
      <c r="M2063" s="153"/>
      <c r="N2063" s="153"/>
      <c r="O2063" s="153"/>
      <c r="P2063" s="150"/>
      <c r="Q2063" s="150"/>
      <c r="R2063" s="153"/>
      <c r="S2063" s="154"/>
      <c r="T2063" s="115"/>
    </row>
    <row r="2064" spans="1:20">
      <c r="A2064" t="s">
        <v>1230</v>
      </c>
      <c r="B2064" t="s">
        <v>71</v>
      </c>
      <c r="C2064" t="s">
        <v>54</v>
      </c>
      <c r="D2064" t="s">
        <v>573</v>
      </c>
      <c r="E2064" t="s">
        <v>3650</v>
      </c>
      <c r="F2064" s="121">
        <v>319.3</v>
      </c>
      <c r="G2064" s="121">
        <v>319.3</v>
      </c>
      <c r="H2064" t="s">
        <v>445</v>
      </c>
      <c r="I2064" s="156">
        <v>41089</v>
      </c>
      <c r="K2064" s="153"/>
      <c r="L2064" s="153"/>
      <c r="M2064" s="153"/>
      <c r="N2064" s="153"/>
      <c r="O2064" s="153"/>
      <c r="P2064" s="152"/>
      <c r="Q2064" s="152"/>
      <c r="R2064" s="153"/>
      <c r="S2064" s="154"/>
      <c r="T2064" s="115"/>
    </row>
    <row r="2065" spans="1:20">
      <c r="A2065" t="s">
        <v>1230</v>
      </c>
      <c r="B2065" t="s">
        <v>71</v>
      </c>
      <c r="C2065" t="s">
        <v>54</v>
      </c>
      <c r="D2065" t="s">
        <v>589</v>
      </c>
      <c r="E2065" t="s">
        <v>7427</v>
      </c>
      <c r="F2065" s="121">
        <v>139.05000000000001</v>
      </c>
      <c r="G2065" s="121">
        <v>139.05000000000001</v>
      </c>
      <c r="H2065" t="s">
        <v>445</v>
      </c>
      <c r="I2065" s="156">
        <v>41089</v>
      </c>
      <c r="K2065" s="153"/>
      <c r="L2065" s="153"/>
      <c r="M2065" s="153"/>
      <c r="N2065" s="153"/>
      <c r="O2065" s="153"/>
      <c r="P2065" s="150"/>
      <c r="Q2065" s="150"/>
      <c r="R2065" s="153"/>
      <c r="S2065" s="154"/>
      <c r="T2065" s="115"/>
    </row>
    <row r="2066" spans="1:20">
      <c r="A2066" t="s">
        <v>1230</v>
      </c>
      <c r="B2066" t="s">
        <v>71</v>
      </c>
      <c r="C2066" t="s">
        <v>54</v>
      </c>
      <c r="D2066" t="s">
        <v>589</v>
      </c>
      <c r="E2066" t="s">
        <v>7428</v>
      </c>
      <c r="F2066" s="121">
        <v>97.85</v>
      </c>
      <c r="G2066" s="121">
        <v>97.85</v>
      </c>
      <c r="H2066" t="s">
        <v>445</v>
      </c>
      <c r="I2066" s="156">
        <v>41089</v>
      </c>
      <c r="K2066" s="153"/>
      <c r="L2066" s="153"/>
      <c r="M2066" s="153"/>
      <c r="N2066" s="153"/>
      <c r="O2066" s="153"/>
      <c r="P2066" s="150"/>
      <c r="Q2066" s="150"/>
      <c r="R2066" s="153"/>
      <c r="S2066" s="154"/>
      <c r="T2066" s="115"/>
    </row>
    <row r="2067" spans="1:20">
      <c r="A2067" t="s">
        <v>1230</v>
      </c>
      <c r="B2067" t="s">
        <v>71</v>
      </c>
      <c r="C2067" t="s">
        <v>54</v>
      </c>
      <c r="D2067" t="s">
        <v>589</v>
      </c>
      <c r="E2067" t="s">
        <v>7429</v>
      </c>
      <c r="F2067" s="121">
        <v>97.85</v>
      </c>
      <c r="G2067" s="121">
        <v>97.85</v>
      </c>
      <c r="H2067" t="s">
        <v>445</v>
      </c>
      <c r="I2067" s="156">
        <v>41089</v>
      </c>
      <c r="K2067" s="153"/>
      <c r="L2067" s="153"/>
      <c r="M2067" s="153"/>
      <c r="N2067" s="153"/>
      <c r="O2067" s="153"/>
      <c r="P2067" s="150"/>
      <c r="Q2067" s="150"/>
      <c r="R2067" s="153"/>
      <c r="S2067" s="154"/>
      <c r="T2067" s="115"/>
    </row>
    <row r="2068" spans="1:20">
      <c r="A2068" t="s">
        <v>1230</v>
      </c>
      <c r="B2068" t="s">
        <v>71</v>
      </c>
      <c r="C2068" t="s">
        <v>54</v>
      </c>
      <c r="D2068" t="s">
        <v>569</v>
      </c>
      <c r="E2068" t="s">
        <v>3651</v>
      </c>
      <c r="F2068" s="121">
        <v>386.25</v>
      </c>
      <c r="G2068" s="121">
        <v>386.25</v>
      </c>
      <c r="H2068" t="s">
        <v>445</v>
      </c>
      <c r="I2068" s="156">
        <v>41089</v>
      </c>
      <c r="K2068" s="153"/>
      <c r="L2068" s="153"/>
      <c r="M2068" s="153"/>
      <c r="N2068" s="153"/>
      <c r="O2068" s="153"/>
      <c r="P2068" s="150"/>
      <c r="Q2068" s="150"/>
      <c r="R2068" s="153"/>
      <c r="S2068" s="154"/>
      <c r="T2068" s="115"/>
    </row>
    <row r="2069" spans="1:20">
      <c r="A2069" t="s">
        <v>1230</v>
      </c>
      <c r="B2069" t="s">
        <v>71</v>
      </c>
      <c r="C2069" t="s">
        <v>54</v>
      </c>
      <c r="D2069" t="s">
        <v>568</v>
      </c>
      <c r="E2069" t="s">
        <v>3652</v>
      </c>
      <c r="F2069" s="121">
        <v>298.7</v>
      </c>
      <c r="G2069" s="121">
        <v>298.7</v>
      </c>
      <c r="H2069" t="s">
        <v>445</v>
      </c>
      <c r="I2069" s="156">
        <v>41089</v>
      </c>
      <c r="K2069" s="153"/>
      <c r="L2069" s="153"/>
      <c r="M2069" s="153"/>
      <c r="N2069" s="153"/>
      <c r="O2069" s="153"/>
      <c r="P2069" s="150"/>
      <c r="Q2069" s="150"/>
      <c r="R2069" s="153"/>
      <c r="S2069" s="154"/>
      <c r="T2069" s="115"/>
    </row>
    <row r="2070" spans="1:20">
      <c r="A2070" t="s">
        <v>1230</v>
      </c>
      <c r="B2070" t="s">
        <v>71</v>
      </c>
      <c r="C2070" t="s">
        <v>54</v>
      </c>
      <c r="D2070" t="s">
        <v>589</v>
      </c>
      <c r="E2070" t="s">
        <v>7430</v>
      </c>
      <c r="F2070" s="121">
        <v>185.4</v>
      </c>
      <c r="G2070" s="121">
        <v>185.4</v>
      </c>
      <c r="H2070" t="s">
        <v>445</v>
      </c>
      <c r="I2070" s="156">
        <v>41089</v>
      </c>
      <c r="K2070" s="153"/>
      <c r="L2070" s="153"/>
      <c r="M2070" s="153"/>
      <c r="N2070" s="153"/>
      <c r="O2070" s="153"/>
      <c r="P2070" s="150"/>
      <c r="Q2070" s="150"/>
      <c r="R2070" s="153"/>
      <c r="S2070" s="154"/>
      <c r="T2070" s="115"/>
    </row>
    <row r="2071" spans="1:20">
      <c r="A2071" t="s">
        <v>1230</v>
      </c>
      <c r="B2071" t="s">
        <v>71</v>
      </c>
      <c r="C2071" t="s">
        <v>54</v>
      </c>
      <c r="D2071" t="s">
        <v>589</v>
      </c>
      <c r="E2071" t="s">
        <v>7431</v>
      </c>
      <c r="F2071" s="121">
        <v>97.85</v>
      </c>
      <c r="G2071" s="121">
        <v>97.85</v>
      </c>
      <c r="H2071" t="s">
        <v>445</v>
      </c>
      <c r="I2071" s="156">
        <v>41089</v>
      </c>
      <c r="K2071" s="153"/>
      <c r="L2071" s="153"/>
      <c r="M2071" s="153"/>
      <c r="N2071" s="153"/>
      <c r="O2071" s="153"/>
      <c r="P2071" s="150"/>
      <c r="Q2071" s="150"/>
      <c r="R2071" s="153"/>
      <c r="S2071" s="154"/>
      <c r="T2071" s="115"/>
    </row>
    <row r="2072" spans="1:20">
      <c r="A2072" t="s">
        <v>1230</v>
      </c>
      <c r="B2072" t="s">
        <v>71</v>
      </c>
      <c r="C2072" t="s">
        <v>54</v>
      </c>
      <c r="D2072" t="s">
        <v>589</v>
      </c>
      <c r="E2072" t="s">
        <v>7432</v>
      </c>
      <c r="F2072" s="121">
        <v>97.85</v>
      </c>
      <c r="G2072" s="121">
        <v>97.85</v>
      </c>
      <c r="H2072" t="s">
        <v>445</v>
      </c>
      <c r="I2072" s="156">
        <v>41089</v>
      </c>
      <c r="K2072" s="153"/>
      <c r="L2072" s="153"/>
      <c r="M2072" s="153"/>
      <c r="N2072" s="153"/>
      <c r="O2072" s="153"/>
      <c r="P2072" s="150"/>
      <c r="Q2072" s="150"/>
      <c r="R2072" s="153"/>
      <c r="S2072" s="154"/>
      <c r="T2072" s="115"/>
    </row>
    <row r="2073" spans="1:20">
      <c r="A2073" t="s">
        <v>1230</v>
      </c>
      <c r="B2073" t="s">
        <v>71</v>
      </c>
      <c r="C2073" t="s">
        <v>54</v>
      </c>
      <c r="D2073" t="s">
        <v>569</v>
      </c>
      <c r="E2073" t="s">
        <v>3653</v>
      </c>
      <c r="F2073" s="121">
        <v>386.25</v>
      </c>
      <c r="G2073" s="121">
        <v>386.25</v>
      </c>
      <c r="H2073" t="s">
        <v>445</v>
      </c>
      <c r="I2073" s="156">
        <v>41089</v>
      </c>
      <c r="K2073" s="153"/>
      <c r="L2073" s="153"/>
      <c r="M2073" s="153"/>
      <c r="N2073" s="153"/>
      <c r="O2073" s="153"/>
      <c r="P2073" s="152"/>
      <c r="Q2073" s="152"/>
      <c r="R2073" s="153"/>
      <c r="S2073" s="154"/>
      <c r="T2073" s="115"/>
    </row>
    <row r="2074" spans="1:20">
      <c r="A2074" t="s">
        <v>1230</v>
      </c>
      <c r="B2074" t="s">
        <v>71</v>
      </c>
      <c r="C2074" t="s">
        <v>43</v>
      </c>
      <c r="D2074" t="s">
        <v>620</v>
      </c>
      <c r="E2074" t="s">
        <v>7433</v>
      </c>
      <c r="F2074" s="121">
        <v>968.2</v>
      </c>
      <c r="G2074" s="121">
        <v>968.2</v>
      </c>
      <c r="H2074" t="s">
        <v>445</v>
      </c>
      <c r="I2074" s="156">
        <v>41089</v>
      </c>
      <c r="K2074" s="153"/>
      <c r="L2074" s="153"/>
      <c r="M2074" s="153"/>
      <c r="N2074" s="153"/>
      <c r="O2074" s="153"/>
      <c r="P2074" s="152"/>
      <c r="Q2074" s="152"/>
      <c r="R2074" s="153"/>
      <c r="S2074" s="154"/>
      <c r="T2074" s="115"/>
    </row>
    <row r="2075" spans="1:20">
      <c r="A2075" t="s">
        <v>1230</v>
      </c>
      <c r="B2075" t="s">
        <v>71</v>
      </c>
      <c r="C2075" t="s">
        <v>54</v>
      </c>
      <c r="D2075" t="s">
        <v>573</v>
      </c>
      <c r="E2075" t="s">
        <v>3654</v>
      </c>
      <c r="F2075" s="121">
        <v>432.6</v>
      </c>
      <c r="G2075" s="121">
        <v>432.6</v>
      </c>
      <c r="H2075" t="s">
        <v>445</v>
      </c>
      <c r="I2075" s="156">
        <v>41089</v>
      </c>
      <c r="K2075" s="153"/>
      <c r="L2075" s="153"/>
      <c r="M2075" s="153"/>
      <c r="N2075" s="153"/>
      <c r="O2075" s="153"/>
      <c r="P2075" s="150"/>
      <c r="Q2075" s="150"/>
      <c r="R2075" s="153"/>
      <c r="S2075" s="154"/>
      <c r="T2075" s="115"/>
    </row>
    <row r="2076" spans="1:20">
      <c r="A2076" t="s">
        <v>1230</v>
      </c>
      <c r="B2076" t="s">
        <v>71</v>
      </c>
      <c r="C2076" t="s">
        <v>54</v>
      </c>
      <c r="D2076" t="s">
        <v>547</v>
      </c>
      <c r="E2076" t="s">
        <v>3655</v>
      </c>
      <c r="F2076" s="121">
        <v>990</v>
      </c>
      <c r="G2076" s="121">
        <v>669.5</v>
      </c>
      <c r="H2076" t="s">
        <v>445</v>
      </c>
      <c r="I2076" s="156">
        <v>41089</v>
      </c>
      <c r="K2076" s="153"/>
      <c r="L2076" s="153"/>
      <c r="M2076" s="153"/>
      <c r="N2076" s="153"/>
      <c r="O2076" s="153"/>
      <c r="P2076" s="150"/>
      <c r="Q2076" s="150"/>
      <c r="R2076" s="153"/>
      <c r="S2076" s="154"/>
      <c r="T2076" s="115"/>
    </row>
    <row r="2077" spans="1:20">
      <c r="A2077" t="s">
        <v>1230</v>
      </c>
      <c r="B2077" t="s">
        <v>71</v>
      </c>
      <c r="C2077" t="s">
        <v>54</v>
      </c>
      <c r="D2077" t="s">
        <v>676</v>
      </c>
      <c r="E2077" t="s">
        <v>3656</v>
      </c>
      <c r="F2077" s="121">
        <v>82.4</v>
      </c>
      <c r="G2077" s="121">
        <v>82.4</v>
      </c>
      <c r="H2077" t="s">
        <v>445</v>
      </c>
      <c r="I2077" s="156">
        <v>41089</v>
      </c>
      <c r="K2077" s="153"/>
      <c r="L2077" s="153"/>
      <c r="M2077" s="153"/>
      <c r="N2077" s="153"/>
      <c r="O2077" s="153"/>
      <c r="P2077" s="150"/>
      <c r="Q2077" s="150"/>
      <c r="R2077" s="153"/>
      <c r="S2077" s="154"/>
      <c r="T2077" s="115"/>
    </row>
    <row r="2078" spans="1:20">
      <c r="A2078" t="s">
        <v>1230</v>
      </c>
      <c r="B2078" t="s">
        <v>71</v>
      </c>
      <c r="C2078" t="s">
        <v>54</v>
      </c>
      <c r="D2078" t="s">
        <v>676</v>
      </c>
      <c r="E2078" t="s">
        <v>3657</v>
      </c>
      <c r="F2078" s="121">
        <v>82.4</v>
      </c>
      <c r="G2078" s="121">
        <v>82.4</v>
      </c>
      <c r="H2078" t="s">
        <v>445</v>
      </c>
      <c r="I2078" s="156">
        <v>41089</v>
      </c>
      <c r="K2078" s="153"/>
      <c r="L2078" s="153"/>
      <c r="M2078" s="153"/>
      <c r="N2078" s="153"/>
      <c r="O2078" s="153"/>
      <c r="P2078" s="150"/>
      <c r="Q2078" s="150"/>
      <c r="R2078" s="153"/>
      <c r="S2078" s="154"/>
      <c r="T2078" s="115"/>
    </row>
    <row r="2079" spans="1:20">
      <c r="A2079" t="s">
        <v>1230</v>
      </c>
      <c r="B2079" t="s">
        <v>71</v>
      </c>
      <c r="C2079" t="s">
        <v>54</v>
      </c>
      <c r="D2079" t="s">
        <v>676</v>
      </c>
      <c r="E2079" t="s">
        <v>3658</v>
      </c>
      <c r="F2079" s="121">
        <v>82.4</v>
      </c>
      <c r="G2079" s="121">
        <v>82.4</v>
      </c>
      <c r="H2079" t="s">
        <v>445</v>
      </c>
      <c r="I2079" s="156">
        <v>41089</v>
      </c>
      <c r="K2079" s="153"/>
      <c r="L2079" s="153"/>
      <c r="M2079" s="153"/>
      <c r="N2079" s="153"/>
      <c r="O2079" s="153"/>
      <c r="P2079" s="150"/>
      <c r="Q2079" s="150"/>
      <c r="R2079" s="153"/>
      <c r="S2079" s="154"/>
      <c r="T2079" s="115"/>
    </row>
    <row r="2080" spans="1:20">
      <c r="A2080" t="s">
        <v>1230</v>
      </c>
      <c r="B2080" t="s">
        <v>71</v>
      </c>
      <c r="C2080" t="s">
        <v>54</v>
      </c>
      <c r="D2080" t="s">
        <v>676</v>
      </c>
      <c r="E2080" t="s">
        <v>3659</v>
      </c>
      <c r="F2080" s="121">
        <v>82.4</v>
      </c>
      <c r="G2080" s="121">
        <v>82.4</v>
      </c>
      <c r="H2080" t="s">
        <v>445</v>
      </c>
      <c r="I2080" s="156">
        <v>41089</v>
      </c>
      <c r="K2080" s="153"/>
      <c r="L2080" s="153"/>
      <c r="M2080" s="153"/>
      <c r="N2080" s="153"/>
      <c r="O2080" s="153"/>
      <c r="P2080" s="152"/>
      <c r="Q2080" s="152"/>
      <c r="R2080" s="153"/>
      <c r="S2080" s="154"/>
      <c r="T2080" s="115"/>
    </row>
    <row r="2081" spans="1:20">
      <c r="A2081" t="s">
        <v>1230</v>
      </c>
      <c r="B2081" t="s">
        <v>71</v>
      </c>
      <c r="C2081" t="s">
        <v>54</v>
      </c>
      <c r="D2081" t="s">
        <v>676</v>
      </c>
      <c r="E2081" t="s">
        <v>3660</v>
      </c>
      <c r="F2081" s="121">
        <v>82.4</v>
      </c>
      <c r="G2081" s="121">
        <v>82.4</v>
      </c>
      <c r="H2081" t="s">
        <v>445</v>
      </c>
      <c r="I2081" s="156">
        <v>41089</v>
      </c>
      <c r="K2081" s="153"/>
      <c r="L2081" s="153"/>
      <c r="M2081" s="153"/>
      <c r="N2081" s="153"/>
      <c r="O2081" s="153"/>
      <c r="P2081" s="152"/>
      <c r="Q2081" s="152"/>
      <c r="R2081" s="153"/>
      <c r="S2081" s="154"/>
      <c r="T2081" s="115"/>
    </row>
    <row r="2082" spans="1:20">
      <c r="A2082" t="s">
        <v>1230</v>
      </c>
      <c r="B2082" t="s">
        <v>71</v>
      </c>
      <c r="C2082" t="s">
        <v>54</v>
      </c>
      <c r="D2082" t="s">
        <v>676</v>
      </c>
      <c r="E2082" t="s">
        <v>3661</v>
      </c>
      <c r="F2082" s="121">
        <v>82.4</v>
      </c>
      <c r="G2082" s="121">
        <v>82.4</v>
      </c>
      <c r="H2082" t="s">
        <v>445</v>
      </c>
      <c r="I2082" s="156">
        <v>41089</v>
      </c>
      <c r="K2082" s="153"/>
      <c r="L2082" s="153"/>
      <c r="M2082" s="153"/>
      <c r="N2082" s="153"/>
      <c r="O2082" s="153"/>
      <c r="P2082" s="152"/>
      <c r="Q2082" s="152"/>
      <c r="R2082" s="153"/>
      <c r="S2082" s="154"/>
      <c r="T2082" s="115"/>
    </row>
    <row r="2083" spans="1:20">
      <c r="A2083" t="s">
        <v>1230</v>
      </c>
      <c r="B2083" t="s">
        <v>71</v>
      </c>
      <c r="C2083" t="s">
        <v>54</v>
      </c>
      <c r="D2083" t="s">
        <v>676</v>
      </c>
      <c r="E2083" t="s">
        <v>3662</v>
      </c>
      <c r="F2083" s="121">
        <v>82.4</v>
      </c>
      <c r="G2083" s="121">
        <v>82.4</v>
      </c>
      <c r="H2083" t="s">
        <v>445</v>
      </c>
      <c r="I2083" s="156">
        <v>41089</v>
      </c>
      <c r="K2083" s="153"/>
      <c r="L2083" s="153"/>
      <c r="M2083" s="153"/>
      <c r="N2083" s="153"/>
      <c r="O2083" s="153"/>
      <c r="P2083" s="152"/>
      <c r="Q2083" s="152"/>
      <c r="R2083" s="153"/>
      <c r="S2083" s="154"/>
      <c r="T2083" s="115"/>
    </row>
    <row r="2084" spans="1:20">
      <c r="A2084" t="s">
        <v>1230</v>
      </c>
      <c r="B2084" t="s">
        <v>71</v>
      </c>
      <c r="C2084" t="s">
        <v>54</v>
      </c>
      <c r="D2084" t="s">
        <v>676</v>
      </c>
      <c r="E2084" t="s">
        <v>3663</v>
      </c>
      <c r="F2084" s="121">
        <v>82.4</v>
      </c>
      <c r="G2084" s="121">
        <v>82.4</v>
      </c>
      <c r="H2084" t="s">
        <v>445</v>
      </c>
      <c r="I2084" s="156">
        <v>41089</v>
      </c>
      <c r="K2084" s="153"/>
      <c r="L2084" s="153"/>
      <c r="M2084" s="153"/>
      <c r="N2084" s="153"/>
      <c r="O2084" s="153"/>
      <c r="P2084" s="150"/>
      <c r="Q2084" s="150"/>
      <c r="R2084" s="153"/>
      <c r="S2084" s="154"/>
      <c r="T2084" s="115"/>
    </row>
    <row r="2085" spans="1:20">
      <c r="A2085" t="s">
        <v>1230</v>
      </c>
      <c r="B2085" t="s">
        <v>71</v>
      </c>
      <c r="C2085" t="s">
        <v>54</v>
      </c>
      <c r="D2085" t="s">
        <v>676</v>
      </c>
      <c r="E2085" t="s">
        <v>3664</v>
      </c>
      <c r="F2085" s="121">
        <v>82.4</v>
      </c>
      <c r="G2085" s="121">
        <v>82.4</v>
      </c>
      <c r="H2085" t="s">
        <v>445</v>
      </c>
      <c r="I2085" s="156">
        <v>41089</v>
      </c>
      <c r="K2085" s="153"/>
      <c r="L2085" s="153"/>
      <c r="M2085" s="153"/>
      <c r="N2085" s="153"/>
      <c r="O2085" s="153"/>
      <c r="P2085" s="150"/>
      <c r="Q2085" s="150"/>
      <c r="R2085" s="153"/>
      <c r="S2085" s="154"/>
      <c r="T2085" s="115"/>
    </row>
    <row r="2086" spans="1:20">
      <c r="A2086" t="s">
        <v>1230</v>
      </c>
      <c r="B2086" t="s">
        <v>71</v>
      </c>
      <c r="C2086" t="s">
        <v>54</v>
      </c>
      <c r="D2086" t="s">
        <v>676</v>
      </c>
      <c r="E2086" t="s">
        <v>3665</v>
      </c>
      <c r="F2086" s="121">
        <v>82.4</v>
      </c>
      <c r="G2086" s="121">
        <v>82.4</v>
      </c>
      <c r="H2086" t="s">
        <v>445</v>
      </c>
      <c r="I2086" s="156">
        <v>41089</v>
      </c>
      <c r="K2086" s="153"/>
      <c r="L2086" s="153"/>
      <c r="M2086" s="153"/>
      <c r="N2086" s="153"/>
      <c r="O2086" s="153"/>
      <c r="P2086" s="150"/>
      <c r="Q2086" s="150"/>
      <c r="R2086" s="153"/>
      <c r="S2086" s="154"/>
      <c r="T2086" s="115"/>
    </row>
    <row r="2087" spans="1:20">
      <c r="A2087" t="s">
        <v>1230</v>
      </c>
      <c r="B2087" t="s">
        <v>71</v>
      </c>
      <c r="C2087" t="s">
        <v>54</v>
      </c>
      <c r="D2087" t="s">
        <v>676</v>
      </c>
      <c r="E2087" t="s">
        <v>3666</v>
      </c>
      <c r="F2087" s="121">
        <v>82.4</v>
      </c>
      <c r="G2087" s="121">
        <v>82.4</v>
      </c>
      <c r="H2087" t="s">
        <v>445</v>
      </c>
      <c r="I2087" s="156">
        <v>41089</v>
      </c>
      <c r="K2087" s="153"/>
      <c r="L2087" s="153"/>
      <c r="M2087" s="153"/>
      <c r="N2087" s="153"/>
      <c r="O2087" s="153"/>
      <c r="P2087" s="150"/>
      <c r="Q2087" s="150"/>
      <c r="R2087" s="153"/>
      <c r="S2087" s="154"/>
      <c r="T2087" s="115"/>
    </row>
    <row r="2088" spans="1:20">
      <c r="A2088" t="s">
        <v>1230</v>
      </c>
      <c r="B2088" t="s">
        <v>71</v>
      </c>
      <c r="C2088" t="s">
        <v>54</v>
      </c>
      <c r="D2088" t="s">
        <v>676</v>
      </c>
      <c r="E2088" t="s">
        <v>3667</v>
      </c>
      <c r="F2088" s="121">
        <v>82.4</v>
      </c>
      <c r="G2088" s="121">
        <v>82.4</v>
      </c>
      <c r="H2088" t="s">
        <v>445</v>
      </c>
      <c r="I2088" s="156">
        <v>41089</v>
      </c>
      <c r="K2088" s="153"/>
      <c r="L2088" s="153"/>
      <c r="M2088" s="153"/>
      <c r="N2088" s="153"/>
      <c r="O2088" s="153"/>
      <c r="P2088" s="150"/>
      <c r="Q2088" s="150"/>
      <c r="R2088" s="153"/>
      <c r="S2088" s="154"/>
      <c r="T2088" s="115"/>
    </row>
    <row r="2089" spans="1:20">
      <c r="A2089" t="s">
        <v>1230</v>
      </c>
      <c r="B2089" t="s">
        <v>71</v>
      </c>
      <c r="C2089" t="s">
        <v>54</v>
      </c>
      <c r="D2089" t="s">
        <v>676</v>
      </c>
      <c r="E2089" t="s">
        <v>3668</v>
      </c>
      <c r="F2089" s="121">
        <v>82.4</v>
      </c>
      <c r="G2089" s="121">
        <v>82.4</v>
      </c>
      <c r="H2089" t="s">
        <v>445</v>
      </c>
      <c r="I2089" s="156">
        <v>41089</v>
      </c>
      <c r="K2089" s="153"/>
      <c r="L2089" s="153"/>
      <c r="M2089" s="153"/>
      <c r="N2089" s="153"/>
      <c r="O2089" s="153"/>
      <c r="P2089" s="150"/>
      <c r="Q2089" s="150"/>
      <c r="R2089" s="153"/>
      <c r="S2089" s="154"/>
      <c r="T2089" s="115"/>
    </row>
    <row r="2090" spans="1:20">
      <c r="A2090" t="s">
        <v>1230</v>
      </c>
      <c r="B2090" t="s">
        <v>71</v>
      </c>
      <c r="C2090" t="s">
        <v>54</v>
      </c>
      <c r="D2090" t="s">
        <v>676</v>
      </c>
      <c r="E2090" t="s">
        <v>3669</v>
      </c>
      <c r="F2090" s="121">
        <v>82.4</v>
      </c>
      <c r="G2090" s="121">
        <v>82.4</v>
      </c>
      <c r="H2090" t="s">
        <v>445</v>
      </c>
      <c r="I2090" s="156">
        <v>41089</v>
      </c>
      <c r="K2090" s="153"/>
      <c r="L2090" s="153"/>
      <c r="M2090" s="153"/>
      <c r="N2090" s="153"/>
      <c r="O2090" s="153"/>
      <c r="P2090" s="152"/>
      <c r="Q2090" s="152"/>
      <c r="R2090" s="153"/>
      <c r="S2090" s="154"/>
      <c r="T2090" s="115"/>
    </row>
    <row r="2091" spans="1:20">
      <c r="A2091" t="s">
        <v>1230</v>
      </c>
      <c r="B2091" t="s">
        <v>71</v>
      </c>
      <c r="C2091" t="s">
        <v>54</v>
      </c>
      <c r="D2091" t="s">
        <v>676</v>
      </c>
      <c r="E2091" t="s">
        <v>3670</v>
      </c>
      <c r="F2091" s="121">
        <v>82.4</v>
      </c>
      <c r="G2091" s="121">
        <v>82.4</v>
      </c>
      <c r="H2091" t="s">
        <v>445</v>
      </c>
      <c r="I2091" s="156">
        <v>41089</v>
      </c>
      <c r="K2091" s="153"/>
      <c r="L2091" s="153"/>
      <c r="M2091" s="153"/>
      <c r="N2091" s="153"/>
      <c r="O2091" s="153"/>
      <c r="P2091" s="152"/>
      <c r="Q2091" s="152"/>
      <c r="R2091" s="153"/>
      <c r="S2091" s="154"/>
      <c r="T2091" s="115"/>
    </row>
    <row r="2092" spans="1:20">
      <c r="A2092" t="s">
        <v>1230</v>
      </c>
      <c r="B2092" t="s">
        <v>71</v>
      </c>
      <c r="C2092" t="s">
        <v>54</v>
      </c>
      <c r="D2092" t="s">
        <v>547</v>
      </c>
      <c r="E2092" t="s">
        <v>3671</v>
      </c>
      <c r="F2092" s="121">
        <v>618</v>
      </c>
      <c r="G2092" s="121">
        <v>618</v>
      </c>
      <c r="H2092" t="s">
        <v>445</v>
      </c>
      <c r="I2092" s="156">
        <v>41089</v>
      </c>
      <c r="K2092" s="153"/>
      <c r="L2092" s="153"/>
      <c r="M2092" s="153"/>
      <c r="N2092" s="153"/>
      <c r="O2092" s="153"/>
      <c r="P2092" s="152"/>
      <c r="Q2092" s="152"/>
      <c r="R2092" s="153"/>
      <c r="S2092" s="154"/>
      <c r="T2092" s="115"/>
    </row>
    <row r="2093" spans="1:20">
      <c r="A2093" t="s">
        <v>1230</v>
      </c>
      <c r="B2093" t="s">
        <v>71</v>
      </c>
      <c r="C2093" t="s">
        <v>43</v>
      </c>
      <c r="D2093" t="s">
        <v>620</v>
      </c>
      <c r="E2093" t="s">
        <v>7434</v>
      </c>
      <c r="F2093" s="121">
        <v>1133</v>
      </c>
      <c r="G2093" s="121">
        <v>1133</v>
      </c>
      <c r="H2093" t="s">
        <v>445</v>
      </c>
      <c r="I2093" s="156">
        <v>41089</v>
      </c>
      <c r="K2093" s="153"/>
      <c r="L2093" s="153"/>
      <c r="M2093" s="153"/>
      <c r="N2093" s="153"/>
      <c r="O2093" s="153"/>
      <c r="P2093" s="152"/>
      <c r="Q2093" s="152"/>
      <c r="R2093" s="153"/>
      <c r="S2093" s="154"/>
      <c r="T2093" s="115"/>
    </row>
    <row r="2094" spans="1:20">
      <c r="A2094" t="s">
        <v>1230</v>
      </c>
      <c r="B2094" t="s">
        <v>71</v>
      </c>
      <c r="C2094" t="s">
        <v>54</v>
      </c>
      <c r="D2094" t="s">
        <v>573</v>
      </c>
      <c r="E2094" t="s">
        <v>3672</v>
      </c>
      <c r="F2094" s="121">
        <v>669.5</v>
      </c>
      <c r="G2094" s="121">
        <v>669.5</v>
      </c>
      <c r="H2094" t="s">
        <v>445</v>
      </c>
      <c r="I2094" s="156">
        <v>41089</v>
      </c>
      <c r="K2094" s="153"/>
      <c r="L2094" s="153"/>
      <c r="M2094" s="153"/>
      <c r="N2094" s="153"/>
      <c r="O2094" s="153"/>
      <c r="P2094" s="150"/>
      <c r="Q2094" s="150"/>
      <c r="R2094" s="153"/>
      <c r="S2094" s="154"/>
      <c r="T2094" s="115"/>
    </row>
    <row r="2095" spans="1:20">
      <c r="A2095" t="s">
        <v>1230</v>
      </c>
      <c r="B2095" t="s">
        <v>71</v>
      </c>
      <c r="C2095" t="s">
        <v>54</v>
      </c>
      <c r="D2095" t="s">
        <v>589</v>
      </c>
      <c r="E2095" t="s">
        <v>3673</v>
      </c>
      <c r="F2095" s="121">
        <v>551.04999999999995</v>
      </c>
      <c r="G2095" s="121">
        <v>551.04999999999995</v>
      </c>
      <c r="H2095" t="s">
        <v>445</v>
      </c>
      <c r="I2095" s="156">
        <v>41089</v>
      </c>
      <c r="K2095" s="153"/>
      <c r="L2095" s="153"/>
      <c r="M2095" s="153"/>
      <c r="N2095" s="153"/>
      <c r="O2095" s="153"/>
      <c r="P2095" s="150"/>
      <c r="Q2095" s="150"/>
      <c r="R2095" s="153"/>
      <c r="S2095" s="154"/>
      <c r="T2095" s="115"/>
    </row>
    <row r="2096" spans="1:20">
      <c r="A2096" t="s">
        <v>1230</v>
      </c>
      <c r="B2096" t="s">
        <v>71</v>
      </c>
      <c r="C2096" t="s">
        <v>54</v>
      </c>
      <c r="D2096" t="s">
        <v>589</v>
      </c>
      <c r="E2096" t="s">
        <v>7435</v>
      </c>
      <c r="F2096" s="121">
        <v>139.05000000000001</v>
      </c>
      <c r="G2096" s="121">
        <v>139.05000000000001</v>
      </c>
      <c r="H2096" t="s">
        <v>445</v>
      </c>
      <c r="I2096" s="156">
        <v>41089</v>
      </c>
      <c r="K2096" s="153"/>
      <c r="L2096" s="153"/>
      <c r="M2096" s="153"/>
      <c r="N2096" s="153"/>
      <c r="O2096" s="153"/>
      <c r="P2096" s="152"/>
      <c r="Q2096" s="152"/>
      <c r="R2096" s="153"/>
      <c r="S2096" s="154"/>
      <c r="T2096" s="115"/>
    </row>
    <row r="2097" spans="1:20">
      <c r="A2097" t="s">
        <v>1230</v>
      </c>
      <c r="B2097" t="s">
        <v>71</v>
      </c>
      <c r="C2097" t="s">
        <v>54</v>
      </c>
      <c r="D2097" t="s">
        <v>589</v>
      </c>
      <c r="E2097" t="s">
        <v>7436</v>
      </c>
      <c r="F2097" s="121">
        <v>139.05000000000001</v>
      </c>
      <c r="G2097" s="121">
        <v>139.05000000000001</v>
      </c>
      <c r="H2097" t="s">
        <v>445</v>
      </c>
      <c r="I2097" s="156">
        <v>41089</v>
      </c>
      <c r="K2097" s="153"/>
      <c r="L2097" s="153"/>
      <c r="M2097" s="153"/>
      <c r="N2097" s="153"/>
      <c r="O2097" s="153"/>
      <c r="P2097" s="150"/>
      <c r="Q2097" s="150"/>
      <c r="R2097" s="153"/>
      <c r="S2097" s="154"/>
      <c r="T2097" s="115"/>
    </row>
    <row r="2098" spans="1:20">
      <c r="A2098" t="s">
        <v>1230</v>
      </c>
      <c r="B2098" t="s">
        <v>71</v>
      </c>
      <c r="C2098" t="s">
        <v>54</v>
      </c>
      <c r="D2098" t="s">
        <v>589</v>
      </c>
      <c r="E2098" t="s">
        <v>7437</v>
      </c>
      <c r="F2098" s="121">
        <v>230.72</v>
      </c>
      <c r="G2098" s="121">
        <v>230.72</v>
      </c>
      <c r="H2098" t="s">
        <v>445</v>
      </c>
      <c r="I2098" s="156">
        <v>41089</v>
      </c>
      <c r="K2098" s="153"/>
      <c r="L2098" s="153"/>
      <c r="M2098" s="153"/>
      <c r="N2098" s="153"/>
      <c r="O2098" s="153"/>
      <c r="P2098" s="152"/>
      <c r="Q2098" s="152"/>
      <c r="R2098" s="153"/>
      <c r="S2098" s="154"/>
      <c r="T2098" s="115"/>
    </row>
    <row r="2099" spans="1:20">
      <c r="A2099" t="s">
        <v>1230</v>
      </c>
      <c r="B2099" t="s">
        <v>71</v>
      </c>
      <c r="C2099" t="s">
        <v>54</v>
      </c>
      <c r="D2099" t="s">
        <v>589</v>
      </c>
      <c r="E2099" t="s">
        <v>7438</v>
      </c>
      <c r="F2099" s="121">
        <v>230.72</v>
      </c>
      <c r="G2099" s="121">
        <v>230.72</v>
      </c>
      <c r="H2099" t="s">
        <v>445</v>
      </c>
      <c r="I2099" s="156">
        <v>41089</v>
      </c>
      <c r="K2099" s="153"/>
      <c r="L2099" s="153"/>
      <c r="M2099" s="153"/>
      <c r="N2099" s="153"/>
      <c r="O2099" s="153"/>
      <c r="P2099" s="150"/>
      <c r="Q2099" s="150"/>
      <c r="R2099" s="153"/>
      <c r="S2099" s="154"/>
      <c r="T2099" s="115"/>
    </row>
    <row r="2100" spans="1:20">
      <c r="A2100" t="s">
        <v>1230</v>
      </c>
      <c r="B2100" t="s">
        <v>71</v>
      </c>
      <c r="C2100" t="s">
        <v>54</v>
      </c>
      <c r="D2100" t="s">
        <v>666</v>
      </c>
      <c r="E2100" t="s">
        <v>3674</v>
      </c>
      <c r="F2100" s="121">
        <v>504.7</v>
      </c>
      <c r="G2100" s="121">
        <v>504.7</v>
      </c>
      <c r="H2100" t="s">
        <v>445</v>
      </c>
      <c r="I2100" s="156">
        <v>41089</v>
      </c>
      <c r="K2100" s="153"/>
      <c r="L2100" s="153"/>
      <c r="M2100" s="153"/>
      <c r="N2100" s="153"/>
      <c r="O2100" s="153"/>
      <c r="P2100" s="150"/>
      <c r="Q2100" s="150"/>
      <c r="R2100" s="153"/>
      <c r="S2100" s="154"/>
      <c r="T2100" s="115"/>
    </row>
    <row r="2101" spans="1:20">
      <c r="A2101" t="s">
        <v>1230</v>
      </c>
      <c r="B2101" t="s">
        <v>71</v>
      </c>
      <c r="C2101" t="s">
        <v>54</v>
      </c>
      <c r="D2101" t="s">
        <v>547</v>
      </c>
      <c r="E2101" t="s">
        <v>3675</v>
      </c>
      <c r="F2101" s="121">
        <v>669.5</v>
      </c>
      <c r="G2101" s="121">
        <v>669.5</v>
      </c>
      <c r="H2101" t="s">
        <v>445</v>
      </c>
      <c r="I2101" s="156">
        <v>41089</v>
      </c>
      <c r="K2101" s="153"/>
      <c r="L2101" s="153"/>
      <c r="M2101" s="153"/>
      <c r="N2101" s="153"/>
      <c r="O2101" s="153"/>
      <c r="P2101" s="150"/>
      <c r="Q2101" s="150"/>
      <c r="R2101" s="153"/>
      <c r="S2101" s="154"/>
      <c r="T2101" s="115"/>
    </row>
    <row r="2102" spans="1:20">
      <c r="A2102" t="s">
        <v>1230</v>
      </c>
      <c r="B2102" t="s">
        <v>71</v>
      </c>
      <c r="C2102" t="s">
        <v>43</v>
      </c>
      <c r="D2102" t="s">
        <v>622</v>
      </c>
      <c r="E2102" t="s">
        <v>3676</v>
      </c>
      <c r="F2102" s="121">
        <v>283.25</v>
      </c>
      <c r="G2102" s="121">
        <v>283.25</v>
      </c>
      <c r="H2102" t="s">
        <v>445</v>
      </c>
      <c r="I2102" s="156">
        <v>41089</v>
      </c>
      <c r="K2102" s="153"/>
      <c r="L2102" s="153"/>
      <c r="M2102" s="153"/>
      <c r="N2102" s="153"/>
      <c r="O2102" s="153"/>
      <c r="P2102" s="152"/>
      <c r="Q2102" s="152"/>
      <c r="R2102" s="153"/>
      <c r="S2102" s="154"/>
      <c r="T2102" s="115"/>
    </row>
    <row r="2103" spans="1:20">
      <c r="A2103" t="s">
        <v>1230</v>
      </c>
      <c r="B2103" t="s">
        <v>71</v>
      </c>
      <c r="C2103" t="s">
        <v>54</v>
      </c>
      <c r="D2103" t="s">
        <v>591</v>
      </c>
      <c r="E2103" t="s">
        <v>3677</v>
      </c>
      <c r="F2103" s="121">
        <v>345.05</v>
      </c>
      <c r="G2103" s="121">
        <v>345.05</v>
      </c>
      <c r="H2103" t="s">
        <v>445</v>
      </c>
      <c r="I2103" s="156">
        <v>41089</v>
      </c>
      <c r="K2103" s="153"/>
      <c r="L2103" s="153"/>
      <c r="M2103" s="153"/>
      <c r="N2103" s="153"/>
      <c r="O2103" s="153"/>
      <c r="P2103" s="152"/>
      <c r="Q2103" s="152"/>
      <c r="R2103" s="153"/>
      <c r="S2103" s="154"/>
      <c r="T2103" s="115"/>
    </row>
    <row r="2104" spans="1:20">
      <c r="A2104" t="s">
        <v>1230</v>
      </c>
      <c r="B2104" t="s">
        <v>71</v>
      </c>
      <c r="C2104" t="s">
        <v>54</v>
      </c>
      <c r="D2104" t="s">
        <v>599</v>
      </c>
      <c r="E2104" t="s">
        <v>3678</v>
      </c>
      <c r="F2104" s="121">
        <v>381.1</v>
      </c>
      <c r="G2104" s="121">
        <v>381.1</v>
      </c>
      <c r="H2104" t="s">
        <v>445</v>
      </c>
      <c r="I2104" s="156">
        <v>41089</v>
      </c>
      <c r="K2104" s="153"/>
      <c r="L2104" s="153"/>
      <c r="M2104" s="153"/>
      <c r="N2104" s="153"/>
      <c r="O2104" s="153"/>
      <c r="P2104" s="152"/>
      <c r="Q2104" s="152"/>
      <c r="R2104" s="153"/>
      <c r="S2104" s="154"/>
      <c r="T2104" s="115"/>
    </row>
    <row r="2105" spans="1:20">
      <c r="A2105" t="s">
        <v>1230</v>
      </c>
      <c r="B2105" t="s">
        <v>71</v>
      </c>
      <c r="C2105" t="s">
        <v>43</v>
      </c>
      <c r="D2105" t="s">
        <v>625</v>
      </c>
      <c r="E2105" t="s">
        <v>3679</v>
      </c>
      <c r="F2105" s="121">
        <v>1854</v>
      </c>
      <c r="G2105" s="121">
        <v>1854</v>
      </c>
      <c r="H2105" t="s">
        <v>446</v>
      </c>
      <c r="I2105" s="156">
        <v>41089</v>
      </c>
      <c r="K2105" s="153"/>
      <c r="L2105" s="153"/>
      <c r="M2105" s="153"/>
      <c r="N2105" s="153"/>
      <c r="O2105" s="153"/>
      <c r="P2105" s="152"/>
      <c r="Q2105" s="152"/>
      <c r="R2105" s="153"/>
      <c r="S2105" s="154"/>
      <c r="T2105" s="115"/>
    </row>
    <row r="2106" spans="1:20">
      <c r="A2106" t="s">
        <v>1230</v>
      </c>
      <c r="B2106" t="s">
        <v>71</v>
      </c>
      <c r="C2106" t="s">
        <v>43</v>
      </c>
      <c r="D2106" t="s">
        <v>625</v>
      </c>
      <c r="E2106" t="s">
        <v>3680</v>
      </c>
      <c r="F2106" s="121">
        <v>1854</v>
      </c>
      <c r="G2106" s="121">
        <v>1854</v>
      </c>
      <c r="H2106" t="s">
        <v>446</v>
      </c>
      <c r="I2106" s="156">
        <v>41089</v>
      </c>
      <c r="K2106" s="153"/>
      <c r="L2106" s="153"/>
      <c r="M2106" s="153"/>
      <c r="N2106" s="153"/>
      <c r="O2106" s="153"/>
      <c r="P2106" s="152"/>
      <c r="Q2106" s="152"/>
      <c r="R2106" s="153"/>
      <c r="S2106" s="154"/>
      <c r="T2106" s="115"/>
    </row>
    <row r="2107" spans="1:20">
      <c r="A2107" t="s">
        <v>1231</v>
      </c>
      <c r="B2107" t="s">
        <v>71</v>
      </c>
      <c r="C2107" t="s">
        <v>43</v>
      </c>
      <c r="D2107" t="s">
        <v>618</v>
      </c>
      <c r="E2107" t="s">
        <v>3681</v>
      </c>
      <c r="F2107" s="121">
        <v>2930.11</v>
      </c>
      <c r="G2107" s="121">
        <v>2930.11</v>
      </c>
      <c r="H2107" t="s">
        <v>446</v>
      </c>
      <c r="I2107" s="156">
        <v>41089</v>
      </c>
      <c r="K2107" s="153"/>
      <c r="L2107" s="153"/>
      <c r="M2107" s="153"/>
      <c r="N2107" s="153"/>
      <c r="O2107" s="153"/>
      <c r="P2107" s="152"/>
      <c r="Q2107" s="152"/>
      <c r="R2107" s="153"/>
      <c r="S2107" s="154"/>
      <c r="T2107" s="115"/>
    </row>
    <row r="2108" spans="1:20">
      <c r="A2108" t="s">
        <v>1231</v>
      </c>
      <c r="B2108" t="s">
        <v>71</v>
      </c>
      <c r="C2108" t="s">
        <v>43</v>
      </c>
      <c r="D2108" t="s">
        <v>603</v>
      </c>
      <c r="E2108" t="s">
        <v>3682</v>
      </c>
      <c r="F2108" s="121">
        <v>4590.83</v>
      </c>
      <c r="G2108" s="121">
        <v>4590.83</v>
      </c>
      <c r="H2108" t="s">
        <v>446</v>
      </c>
      <c r="I2108" s="156">
        <v>41089</v>
      </c>
      <c r="K2108" s="153"/>
      <c r="L2108" s="153"/>
      <c r="M2108" s="153"/>
      <c r="N2108" s="153"/>
      <c r="O2108" s="153"/>
      <c r="P2108" s="152"/>
      <c r="Q2108" s="152"/>
      <c r="R2108" s="153"/>
      <c r="S2108" s="154"/>
      <c r="T2108" s="115"/>
    </row>
    <row r="2109" spans="1:20">
      <c r="A2109" t="s">
        <v>1231</v>
      </c>
      <c r="B2109" t="s">
        <v>71</v>
      </c>
      <c r="C2109" t="s">
        <v>43</v>
      </c>
      <c r="D2109" t="s">
        <v>603</v>
      </c>
      <c r="E2109" t="s">
        <v>3683</v>
      </c>
      <c r="F2109" s="121">
        <v>4590.83</v>
      </c>
      <c r="G2109" s="121">
        <v>4590.83</v>
      </c>
      <c r="H2109" t="s">
        <v>677</v>
      </c>
      <c r="I2109" s="156">
        <v>41089</v>
      </c>
      <c r="K2109" s="153"/>
      <c r="L2109" s="153"/>
      <c r="M2109" s="153"/>
      <c r="N2109" s="153"/>
      <c r="O2109" s="153"/>
      <c r="P2109" s="152"/>
      <c r="Q2109" s="152"/>
      <c r="R2109" s="153"/>
      <c r="S2109" s="154"/>
      <c r="T2109" s="115"/>
    </row>
    <row r="2110" spans="1:20">
      <c r="A2110" t="s">
        <v>1231</v>
      </c>
      <c r="B2110" t="s">
        <v>71</v>
      </c>
      <c r="C2110" t="s">
        <v>43</v>
      </c>
      <c r="D2110" t="s">
        <v>649</v>
      </c>
      <c r="E2110" t="s">
        <v>3684</v>
      </c>
      <c r="F2110" s="121">
        <v>24390.62</v>
      </c>
      <c r="G2110" s="121">
        <v>24390.62</v>
      </c>
      <c r="H2110" t="s">
        <v>446</v>
      </c>
      <c r="I2110" s="156">
        <v>41089</v>
      </c>
      <c r="K2110" s="153"/>
      <c r="L2110" s="153"/>
      <c r="M2110" s="153"/>
      <c r="N2110" s="153"/>
      <c r="O2110" s="153"/>
      <c r="P2110" s="152"/>
      <c r="Q2110" s="152"/>
      <c r="R2110" s="153"/>
      <c r="S2110" s="154"/>
      <c r="T2110" s="115"/>
    </row>
    <row r="2111" spans="1:20">
      <c r="A2111" t="s">
        <v>1230</v>
      </c>
      <c r="B2111" t="s">
        <v>71</v>
      </c>
      <c r="C2111" t="s">
        <v>54</v>
      </c>
      <c r="D2111" t="s">
        <v>678</v>
      </c>
      <c r="E2111" t="s">
        <v>3685</v>
      </c>
      <c r="F2111" s="121">
        <v>824</v>
      </c>
      <c r="G2111" s="121">
        <v>824</v>
      </c>
      <c r="H2111" t="s">
        <v>446</v>
      </c>
      <c r="I2111" s="156">
        <v>41089</v>
      </c>
      <c r="K2111" s="153"/>
      <c r="L2111" s="153"/>
      <c r="M2111" s="153"/>
      <c r="N2111" s="153"/>
      <c r="O2111" s="153"/>
      <c r="P2111" s="152"/>
      <c r="Q2111" s="152"/>
      <c r="R2111" s="153"/>
      <c r="S2111" s="154"/>
      <c r="T2111" s="115"/>
    </row>
    <row r="2112" spans="1:20">
      <c r="A2112" t="s">
        <v>1230</v>
      </c>
      <c r="B2112" t="s">
        <v>71</v>
      </c>
      <c r="C2112" t="s">
        <v>43</v>
      </c>
      <c r="D2112" t="s">
        <v>625</v>
      </c>
      <c r="E2112" t="s">
        <v>3686</v>
      </c>
      <c r="F2112" s="121">
        <v>1854</v>
      </c>
      <c r="G2112" s="121">
        <v>1854</v>
      </c>
      <c r="H2112" t="s">
        <v>446</v>
      </c>
      <c r="I2112" s="156">
        <v>41089</v>
      </c>
      <c r="K2112" s="153"/>
      <c r="L2112" s="153"/>
      <c r="M2112" s="153"/>
      <c r="N2112" s="153"/>
      <c r="O2112" s="153"/>
      <c r="P2112" s="152"/>
      <c r="Q2112" s="152"/>
      <c r="R2112" s="153"/>
      <c r="S2112" s="154"/>
      <c r="T2112" s="115"/>
    </row>
    <row r="2113" spans="1:20">
      <c r="A2113" t="s">
        <v>1231</v>
      </c>
      <c r="B2113" t="s">
        <v>71</v>
      </c>
      <c r="C2113" t="s">
        <v>43</v>
      </c>
      <c r="D2113" t="s">
        <v>679</v>
      </c>
      <c r="E2113" t="s">
        <v>3687</v>
      </c>
      <c r="F2113" s="121">
        <v>3630.67</v>
      </c>
      <c r="G2113" s="121">
        <v>3630.67</v>
      </c>
      <c r="H2113" t="s">
        <v>446</v>
      </c>
      <c r="I2113" s="156">
        <v>41089</v>
      </c>
      <c r="K2113" s="153"/>
      <c r="L2113" s="153"/>
      <c r="M2113" s="153"/>
      <c r="N2113" s="153"/>
      <c r="O2113" s="153"/>
      <c r="P2113" s="150"/>
      <c r="Q2113" s="150"/>
      <c r="R2113" s="153"/>
      <c r="S2113" s="154"/>
      <c r="T2113" s="115"/>
    </row>
    <row r="2114" spans="1:20">
      <c r="A2114" t="s">
        <v>1230</v>
      </c>
      <c r="B2114" t="s">
        <v>71</v>
      </c>
      <c r="C2114" t="s">
        <v>43</v>
      </c>
      <c r="D2114" t="s">
        <v>618</v>
      </c>
      <c r="E2114" t="s">
        <v>3688</v>
      </c>
      <c r="F2114" s="121">
        <v>1998.2</v>
      </c>
      <c r="G2114" s="121">
        <v>1998.2</v>
      </c>
      <c r="H2114" t="s">
        <v>446</v>
      </c>
      <c r="I2114" s="156">
        <v>41089</v>
      </c>
      <c r="K2114" s="153"/>
      <c r="L2114" s="153"/>
      <c r="M2114" s="153"/>
      <c r="N2114" s="153"/>
      <c r="O2114" s="153"/>
      <c r="P2114" s="152"/>
      <c r="Q2114" s="152"/>
      <c r="R2114" s="153"/>
      <c r="S2114" s="154"/>
      <c r="T2114" s="115"/>
    </row>
    <row r="2115" spans="1:20">
      <c r="A2115" t="s">
        <v>1230</v>
      </c>
      <c r="B2115" t="s">
        <v>71</v>
      </c>
      <c r="C2115" t="s">
        <v>54</v>
      </c>
      <c r="D2115" t="s">
        <v>680</v>
      </c>
      <c r="E2115" t="s">
        <v>3689</v>
      </c>
      <c r="F2115" s="121">
        <v>10300</v>
      </c>
      <c r="G2115" s="121">
        <v>10300</v>
      </c>
      <c r="H2115" t="s">
        <v>446</v>
      </c>
      <c r="I2115" s="156">
        <v>41089</v>
      </c>
      <c r="K2115" s="153"/>
      <c r="L2115" s="153"/>
      <c r="M2115" s="153"/>
      <c r="N2115" s="153"/>
      <c r="O2115" s="153"/>
      <c r="P2115" s="152"/>
      <c r="Q2115" s="152"/>
      <c r="R2115" s="153"/>
      <c r="S2115" s="154"/>
      <c r="T2115" s="115"/>
    </row>
    <row r="2116" spans="1:20">
      <c r="A2116" t="s">
        <v>1230</v>
      </c>
      <c r="B2116" t="s">
        <v>71</v>
      </c>
      <c r="C2116" t="s">
        <v>43</v>
      </c>
      <c r="D2116" t="s">
        <v>618</v>
      </c>
      <c r="E2116" t="s">
        <v>3690</v>
      </c>
      <c r="F2116" s="121">
        <v>1998.2</v>
      </c>
      <c r="G2116" s="121">
        <v>1998.2</v>
      </c>
      <c r="H2116" t="s">
        <v>442</v>
      </c>
      <c r="I2116" s="156">
        <v>41089</v>
      </c>
      <c r="K2116" s="153"/>
      <c r="L2116" s="153"/>
      <c r="M2116" s="153"/>
      <c r="N2116" s="153"/>
      <c r="O2116" s="153"/>
      <c r="P2116" s="150"/>
      <c r="Q2116" s="150"/>
      <c r="R2116" s="153"/>
      <c r="S2116" s="154"/>
      <c r="T2116" s="115"/>
    </row>
    <row r="2117" spans="1:20">
      <c r="A2117" t="s">
        <v>1230</v>
      </c>
      <c r="B2117" t="s">
        <v>71</v>
      </c>
      <c r="C2117" t="s">
        <v>43</v>
      </c>
      <c r="D2117" t="s">
        <v>623</v>
      </c>
      <c r="E2117" t="s">
        <v>3691</v>
      </c>
      <c r="F2117" s="121">
        <v>669.5</v>
      </c>
      <c r="G2117" s="121">
        <v>669.5</v>
      </c>
      <c r="H2117" t="s">
        <v>442</v>
      </c>
      <c r="I2117" s="156">
        <v>41089</v>
      </c>
      <c r="K2117" s="153"/>
      <c r="L2117" s="153"/>
      <c r="M2117" s="153"/>
      <c r="N2117" s="153"/>
      <c r="O2117" s="153"/>
      <c r="P2117" s="152"/>
      <c r="Q2117" s="152"/>
      <c r="R2117" s="153"/>
      <c r="S2117" s="154"/>
      <c r="T2117" s="115"/>
    </row>
    <row r="2118" spans="1:20">
      <c r="A2118" t="s">
        <v>1230</v>
      </c>
      <c r="B2118" t="s">
        <v>71</v>
      </c>
      <c r="C2118" t="s">
        <v>54</v>
      </c>
      <c r="D2118" t="s">
        <v>681</v>
      </c>
      <c r="E2118" t="s">
        <v>3692</v>
      </c>
      <c r="F2118" s="121">
        <v>257.5</v>
      </c>
      <c r="G2118" s="121">
        <v>257.5</v>
      </c>
      <c r="H2118" t="s">
        <v>442</v>
      </c>
      <c r="I2118" s="156">
        <v>41089</v>
      </c>
      <c r="K2118" s="153"/>
      <c r="L2118" s="153"/>
      <c r="M2118" s="153"/>
      <c r="N2118" s="153"/>
      <c r="O2118" s="153"/>
      <c r="P2118" s="150"/>
      <c r="Q2118" s="150"/>
      <c r="R2118" s="153"/>
      <c r="S2118" s="154"/>
      <c r="T2118" s="115"/>
    </row>
    <row r="2119" spans="1:20">
      <c r="A2119" t="s">
        <v>1231</v>
      </c>
      <c r="B2119" t="s">
        <v>71</v>
      </c>
      <c r="C2119" t="s">
        <v>43</v>
      </c>
      <c r="D2119" t="s">
        <v>682</v>
      </c>
      <c r="E2119" t="s">
        <v>3693</v>
      </c>
      <c r="F2119" s="121">
        <v>2179.65</v>
      </c>
      <c r="G2119" s="121">
        <v>2179.65</v>
      </c>
      <c r="H2119" t="s">
        <v>446</v>
      </c>
      <c r="I2119" s="156">
        <v>41089</v>
      </c>
      <c r="K2119" s="153"/>
      <c r="L2119" s="153"/>
      <c r="M2119" s="153"/>
      <c r="N2119" s="153"/>
      <c r="O2119" s="153"/>
      <c r="P2119" s="150"/>
      <c r="Q2119" s="150"/>
      <c r="R2119" s="153"/>
      <c r="S2119" s="154"/>
      <c r="T2119" s="115"/>
    </row>
    <row r="2120" spans="1:20">
      <c r="A2120" t="s">
        <v>1230</v>
      </c>
      <c r="B2120" t="s">
        <v>72</v>
      </c>
      <c r="C2120" t="s">
        <v>55</v>
      </c>
      <c r="D2120" t="s">
        <v>683</v>
      </c>
      <c r="E2120" t="s">
        <v>3694</v>
      </c>
      <c r="F2120" s="121">
        <v>72</v>
      </c>
      <c r="G2120" s="121">
        <v>72</v>
      </c>
      <c r="H2120" t="s">
        <v>474</v>
      </c>
      <c r="I2120" s="156">
        <v>41094</v>
      </c>
      <c r="K2120" s="153"/>
      <c r="L2120" s="153"/>
      <c r="M2120" s="153"/>
      <c r="N2120" s="153"/>
      <c r="O2120" s="153"/>
      <c r="P2120" s="150"/>
      <c r="Q2120" s="150"/>
      <c r="R2120" s="153"/>
      <c r="S2120" s="154"/>
      <c r="T2120" s="115"/>
    </row>
    <row r="2121" spans="1:20">
      <c r="A2121" t="s">
        <v>1230</v>
      </c>
      <c r="B2121" t="s">
        <v>72</v>
      </c>
      <c r="C2121" t="s">
        <v>55</v>
      </c>
      <c r="D2121" t="s">
        <v>683</v>
      </c>
      <c r="E2121" t="s">
        <v>3695</v>
      </c>
      <c r="F2121" s="121">
        <v>72</v>
      </c>
      <c r="G2121" s="121">
        <v>72</v>
      </c>
      <c r="H2121" t="s">
        <v>474</v>
      </c>
      <c r="I2121" s="156">
        <v>41094</v>
      </c>
      <c r="K2121" s="153"/>
      <c r="L2121" s="153"/>
      <c r="M2121" s="153"/>
      <c r="N2121" s="153"/>
      <c r="O2121" s="153"/>
      <c r="P2121" s="150"/>
      <c r="Q2121" s="150"/>
      <c r="R2121" s="153"/>
      <c r="S2121" s="154"/>
      <c r="T2121" s="115"/>
    </row>
    <row r="2122" spans="1:20">
      <c r="A2122" t="s">
        <v>1230</v>
      </c>
      <c r="B2122" t="s">
        <v>72</v>
      </c>
      <c r="C2122" t="s">
        <v>55</v>
      </c>
      <c r="D2122" t="s">
        <v>683</v>
      </c>
      <c r="E2122" t="s">
        <v>3696</v>
      </c>
      <c r="F2122" s="121">
        <v>72</v>
      </c>
      <c r="G2122" s="121">
        <v>72</v>
      </c>
      <c r="H2122" t="s">
        <v>474</v>
      </c>
      <c r="I2122" s="156">
        <v>41094</v>
      </c>
      <c r="K2122" s="153"/>
      <c r="L2122" s="153"/>
      <c r="M2122" s="153"/>
      <c r="N2122" s="153"/>
      <c r="O2122" s="153"/>
      <c r="P2122" s="150"/>
      <c r="Q2122" s="150"/>
      <c r="R2122" s="153"/>
      <c r="S2122" s="154"/>
      <c r="T2122" s="115"/>
    </row>
    <row r="2123" spans="1:20">
      <c r="A2123" t="s">
        <v>1230</v>
      </c>
      <c r="B2123" t="s">
        <v>72</v>
      </c>
      <c r="C2123" t="s">
        <v>55</v>
      </c>
      <c r="D2123" t="s">
        <v>683</v>
      </c>
      <c r="E2123" t="s">
        <v>3697</v>
      </c>
      <c r="F2123" s="121">
        <v>72</v>
      </c>
      <c r="G2123" s="121">
        <v>72</v>
      </c>
      <c r="H2123" t="s">
        <v>474</v>
      </c>
      <c r="I2123" s="156">
        <v>41094</v>
      </c>
      <c r="K2123" s="153"/>
      <c r="L2123" s="153"/>
      <c r="M2123" s="153"/>
      <c r="N2123" s="153"/>
      <c r="O2123" s="153"/>
      <c r="P2123" s="152"/>
      <c r="Q2123" s="152"/>
      <c r="R2123" s="153"/>
      <c r="S2123" s="154"/>
      <c r="T2123" s="115"/>
    </row>
    <row r="2124" spans="1:20">
      <c r="A2124" t="s">
        <v>1230</v>
      </c>
      <c r="B2124" t="s">
        <v>72</v>
      </c>
      <c r="C2124" t="s">
        <v>55</v>
      </c>
      <c r="D2124" t="s">
        <v>684</v>
      </c>
      <c r="E2124" t="s">
        <v>3698</v>
      </c>
      <c r="F2124" s="121">
        <v>240</v>
      </c>
      <c r="G2124" s="121">
        <v>240</v>
      </c>
      <c r="H2124" t="s">
        <v>474</v>
      </c>
      <c r="I2124" s="156">
        <v>41094</v>
      </c>
      <c r="K2124" s="153"/>
      <c r="L2124" s="153"/>
      <c r="M2124" s="153"/>
      <c r="N2124" s="153"/>
      <c r="O2124" s="153"/>
      <c r="P2124" s="150"/>
      <c r="Q2124" s="150"/>
      <c r="R2124" s="153"/>
      <c r="S2124" s="154"/>
      <c r="T2124" s="115"/>
    </row>
    <row r="2125" spans="1:20">
      <c r="A2125" t="s">
        <v>1230</v>
      </c>
      <c r="B2125" t="s">
        <v>72</v>
      </c>
      <c r="C2125" t="s">
        <v>55</v>
      </c>
      <c r="D2125" t="s">
        <v>685</v>
      </c>
      <c r="E2125" t="s">
        <v>3699</v>
      </c>
      <c r="F2125" s="121">
        <v>849</v>
      </c>
      <c r="G2125" s="121">
        <v>849</v>
      </c>
      <c r="H2125" t="s">
        <v>396</v>
      </c>
      <c r="I2125" s="156">
        <v>41108</v>
      </c>
      <c r="K2125" s="153"/>
      <c r="L2125" s="153"/>
      <c r="M2125" s="153"/>
      <c r="N2125" s="153"/>
      <c r="O2125" s="153"/>
      <c r="P2125" s="150"/>
      <c r="Q2125" s="150"/>
      <c r="R2125" s="153"/>
      <c r="S2125" s="154"/>
      <c r="T2125" s="115"/>
    </row>
    <row r="2126" spans="1:20">
      <c r="A2126" t="s">
        <v>1230</v>
      </c>
      <c r="B2126" t="s">
        <v>72</v>
      </c>
      <c r="C2126" t="s">
        <v>55</v>
      </c>
      <c r="D2126" t="s">
        <v>686</v>
      </c>
      <c r="E2126" t="s">
        <v>3700</v>
      </c>
      <c r="F2126" s="121">
        <v>1000</v>
      </c>
      <c r="G2126" s="121">
        <v>1000</v>
      </c>
      <c r="H2126" t="s">
        <v>474</v>
      </c>
      <c r="I2126" s="156">
        <v>41138</v>
      </c>
      <c r="K2126" s="153"/>
      <c r="L2126" s="153"/>
      <c r="M2126" s="153"/>
      <c r="N2126" s="153"/>
      <c r="O2126" s="153"/>
      <c r="P2126" s="152"/>
      <c r="Q2126" s="152"/>
      <c r="R2126" s="153"/>
      <c r="S2126" s="154"/>
      <c r="T2126" s="115"/>
    </row>
    <row r="2127" spans="1:20">
      <c r="A2127" t="s">
        <v>1230</v>
      </c>
      <c r="B2127" t="s">
        <v>72</v>
      </c>
      <c r="C2127" t="s">
        <v>55</v>
      </c>
      <c r="D2127" t="s">
        <v>687</v>
      </c>
      <c r="E2127" t="s">
        <v>3701</v>
      </c>
      <c r="F2127" s="121">
        <v>650</v>
      </c>
      <c r="G2127" s="121">
        <v>650</v>
      </c>
      <c r="H2127" t="s">
        <v>474</v>
      </c>
      <c r="I2127" s="156">
        <v>41138</v>
      </c>
      <c r="K2127" s="153"/>
      <c r="L2127" s="153"/>
      <c r="M2127" s="153"/>
      <c r="N2127" s="153"/>
      <c r="O2127" s="153"/>
      <c r="P2127" s="152"/>
      <c r="Q2127" s="152"/>
      <c r="R2127" s="153"/>
      <c r="S2127" s="154"/>
      <c r="T2127" s="115"/>
    </row>
    <row r="2128" spans="1:20">
      <c r="A2128" t="s">
        <v>1230</v>
      </c>
      <c r="B2128" t="s">
        <v>72</v>
      </c>
      <c r="C2128" t="s">
        <v>43</v>
      </c>
      <c r="D2128" t="s">
        <v>688</v>
      </c>
      <c r="E2128" t="s">
        <v>3702</v>
      </c>
      <c r="F2128" s="121">
        <v>615.48</v>
      </c>
      <c r="G2128" s="121">
        <v>615.48</v>
      </c>
      <c r="H2128" t="s">
        <v>474</v>
      </c>
      <c r="I2128" s="156">
        <v>41108</v>
      </c>
      <c r="K2128" s="153"/>
      <c r="L2128" s="153"/>
      <c r="M2128" s="153"/>
      <c r="N2128" s="153"/>
      <c r="O2128" s="153"/>
      <c r="P2128" s="152"/>
      <c r="Q2128" s="152"/>
      <c r="R2128" s="153"/>
      <c r="S2128" s="154"/>
      <c r="T2128" s="115"/>
    </row>
    <row r="2129" spans="1:20">
      <c r="A2129" t="s">
        <v>1230</v>
      </c>
      <c r="B2129" t="s">
        <v>72</v>
      </c>
      <c r="C2129" t="s">
        <v>43</v>
      </c>
      <c r="D2129" t="s">
        <v>689</v>
      </c>
      <c r="E2129" t="s">
        <v>3703</v>
      </c>
      <c r="F2129" s="121">
        <v>1880.48</v>
      </c>
      <c r="G2129" s="121">
        <v>1880.48</v>
      </c>
      <c r="H2129" t="s">
        <v>474</v>
      </c>
      <c r="I2129" s="156">
        <v>41100</v>
      </c>
      <c r="K2129" s="153"/>
      <c r="L2129" s="153"/>
      <c r="M2129" s="153"/>
      <c r="N2129" s="153"/>
      <c r="O2129" s="153"/>
      <c r="P2129" s="152"/>
      <c r="Q2129" s="152"/>
      <c r="R2129" s="153"/>
      <c r="S2129" s="154"/>
      <c r="T2129" s="115"/>
    </row>
    <row r="2130" spans="1:20">
      <c r="A2130" t="s">
        <v>1230</v>
      </c>
      <c r="B2130" t="s">
        <v>72</v>
      </c>
      <c r="C2130" t="s">
        <v>55</v>
      </c>
      <c r="D2130" t="s">
        <v>690</v>
      </c>
      <c r="E2130" t="s">
        <v>3704</v>
      </c>
      <c r="F2130" s="121">
        <v>1400</v>
      </c>
      <c r="G2130" s="121">
        <v>1400</v>
      </c>
      <c r="H2130" t="s">
        <v>474</v>
      </c>
      <c r="I2130" s="156">
        <v>41115</v>
      </c>
      <c r="K2130" s="153"/>
      <c r="L2130" s="153"/>
      <c r="M2130" s="153"/>
      <c r="N2130" s="153"/>
      <c r="O2130" s="153"/>
      <c r="P2130" s="150"/>
      <c r="Q2130" s="150"/>
      <c r="R2130" s="153"/>
      <c r="S2130" s="154"/>
      <c r="T2130" s="115"/>
    </row>
    <row r="2131" spans="1:20">
      <c r="A2131" t="s">
        <v>1230</v>
      </c>
      <c r="B2131" t="s">
        <v>72</v>
      </c>
      <c r="C2131" t="s">
        <v>55</v>
      </c>
      <c r="D2131" t="s">
        <v>683</v>
      </c>
      <c r="E2131" t="s">
        <v>3705</v>
      </c>
      <c r="F2131" s="121">
        <v>72</v>
      </c>
      <c r="G2131" s="121">
        <v>72</v>
      </c>
      <c r="H2131" t="s">
        <v>691</v>
      </c>
      <c r="I2131" s="156">
        <v>41094</v>
      </c>
      <c r="K2131" s="153"/>
      <c r="L2131" s="153"/>
      <c r="M2131" s="153"/>
      <c r="N2131" s="153"/>
      <c r="O2131" s="153"/>
      <c r="P2131" s="150"/>
      <c r="Q2131" s="150"/>
      <c r="R2131" s="153"/>
      <c r="S2131" s="154"/>
      <c r="T2131" s="115"/>
    </row>
    <row r="2132" spans="1:20">
      <c r="A2132" t="s">
        <v>1230</v>
      </c>
      <c r="B2132" t="s">
        <v>72</v>
      </c>
      <c r="C2132" t="s">
        <v>55</v>
      </c>
      <c r="D2132" t="s">
        <v>683</v>
      </c>
      <c r="E2132" t="s">
        <v>3706</v>
      </c>
      <c r="F2132" s="121">
        <v>72</v>
      </c>
      <c r="G2132" s="121">
        <v>72</v>
      </c>
      <c r="H2132" t="s">
        <v>691</v>
      </c>
      <c r="I2132" s="156">
        <v>41094</v>
      </c>
      <c r="K2132" s="153"/>
      <c r="L2132" s="153"/>
      <c r="M2132" s="153"/>
      <c r="N2132" s="153"/>
      <c r="O2132" s="153"/>
      <c r="P2132" s="152"/>
      <c r="Q2132" s="152"/>
      <c r="R2132" s="153"/>
      <c r="S2132" s="154"/>
      <c r="T2132" s="115"/>
    </row>
    <row r="2133" spans="1:20">
      <c r="A2133" t="s">
        <v>1230</v>
      </c>
      <c r="B2133" t="s">
        <v>72</v>
      </c>
      <c r="C2133" t="s">
        <v>55</v>
      </c>
      <c r="D2133" t="s">
        <v>683</v>
      </c>
      <c r="E2133" t="s">
        <v>3707</v>
      </c>
      <c r="F2133" s="121">
        <v>72</v>
      </c>
      <c r="G2133" s="121">
        <v>72</v>
      </c>
      <c r="H2133" t="s">
        <v>396</v>
      </c>
      <c r="I2133" s="156">
        <v>41094</v>
      </c>
      <c r="K2133" s="153"/>
      <c r="L2133" s="153"/>
      <c r="M2133" s="153"/>
      <c r="N2133" s="153"/>
      <c r="O2133" s="153"/>
      <c r="P2133" s="152"/>
      <c r="Q2133" s="152"/>
      <c r="R2133" s="153"/>
      <c r="S2133" s="154"/>
      <c r="T2133" s="115"/>
    </row>
    <row r="2134" spans="1:20">
      <c r="A2134" t="s">
        <v>1230</v>
      </c>
      <c r="B2134" t="s">
        <v>72</v>
      </c>
      <c r="C2134" t="s">
        <v>55</v>
      </c>
      <c r="D2134" t="s">
        <v>683</v>
      </c>
      <c r="E2134" t="s">
        <v>3708</v>
      </c>
      <c r="F2134" s="121">
        <v>72</v>
      </c>
      <c r="G2134" s="121">
        <v>72</v>
      </c>
      <c r="H2134" t="s">
        <v>396</v>
      </c>
      <c r="I2134" s="156">
        <v>41094</v>
      </c>
      <c r="K2134" s="153"/>
      <c r="L2134" s="153"/>
      <c r="M2134" s="153"/>
      <c r="N2134" s="153"/>
      <c r="O2134" s="153"/>
      <c r="P2134" s="150"/>
      <c r="Q2134" s="150"/>
      <c r="R2134" s="153"/>
      <c r="S2134" s="154"/>
      <c r="T2134" s="115"/>
    </row>
    <row r="2135" spans="1:20">
      <c r="A2135" t="s">
        <v>1230</v>
      </c>
      <c r="B2135" t="s">
        <v>72</v>
      </c>
      <c r="C2135" t="s">
        <v>55</v>
      </c>
      <c r="D2135" t="s">
        <v>683</v>
      </c>
      <c r="E2135" t="s">
        <v>3709</v>
      </c>
      <c r="F2135" s="121">
        <v>72</v>
      </c>
      <c r="G2135" s="121">
        <v>72</v>
      </c>
      <c r="H2135" t="s">
        <v>396</v>
      </c>
      <c r="I2135" s="156">
        <v>41094</v>
      </c>
      <c r="K2135" s="153"/>
      <c r="L2135" s="153"/>
      <c r="M2135" s="153"/>
      <c r="N2135" s="153"/>
      <c r="O2135" s="153"/>
      <c r="P2135" s="150"/>
      <c r="Q2135" s="150"/>
      <c r="R2135" s="153"/>
      <c r="S2135" s="154"/>
      <c r="T2135" s="115"/>
    </row>
    <row r="2136" spans="1:20">
      <c r="A2136" t="s">
        <v>1230</v>
      </c>
      <c r="B2136" t="s">
        <v>72</v>
      </c>
      <c r="C2136" t="s">
        <v>55</v>
      </c>
      <c r="D2136" t="s">
        <v>683</v>
      </c>
      <c r="E2136" t="s">
        <v>3710</v>
      </c>
      <c r="F2136" s="121">
        <v>72</v>
      </c>
      <c r="G2136" s="121">
        <v>72</v>
      </c>
      <c r="H2136" t="s">
        <v>396</v>
      </c>
      <c r="I2136" s="156">
        <v>41094</v>
      </c>
      <c r="K2136" s="153"/>
      <c r="L2136" s="153"/>
      <c r="M2136" s="153"/>
      <c r="N2136" s="153"/>
      <c r="O2136" s="153"/>
      <c r="P2136" s="150"/>
      <c r="Q2136" s="150"/>
      <c r="R2136" s="153"/>
      <c r="S2136" s="154"/>
      <c r="T2136" s="115"/>
    </row>
    <row r="2137" spans="1:20">
      <c r="A2137" t="s">
        <v>1230</v>
      </c>
      <c r="B2137" t="s">
        <v>72</v>
      </c>
      <c r="C2137" t="s">
        <v>55</v>
      </c>
      <c r="D2137" t="s">
        <v>683</v>
      </c>
      <c r="E2137" t="s">
        <v>3711</v>
      </c>
      <c r="F2137" s="121">
        <v>72</v>
      </c>
      <c r="G2137" s="121">
        <v>72</v>
      </c>
      <c r="H2137" t="s">
        <v>396</v>
      </c>
      <c r="I2137" s="156">
        <v>41094</v>
      </c>
      <c r="K2137" s="153"/>
      <c r="L2137" s="153"/>
      <c r="M2137" s="153"/>
      <c r="N2137" s="153"/>
      <c r="O2137" s="153"/>
      <c r="P2137" s="150"/>
      <c r="Q2137" s="150"/>
      <c r="R2137" s="153"/>
      <c r="S2137" s="154"/>
      <c r="T2137" s="115"/>
    </row>
    <row r="2138" spans="1:20">
      <c r="A2138" t="s">
        <v>1230</v>
      </c>
      <c r="B2138" t="s">
        <v>72</v>
      </c>
      <c r="C2138" t="s">
        <v>55</v>
      </c>
      <c r="D2138" t="s">
        <v>683</v>
      </c>
      <c r="E2138" t="s">
        <v>3712</v>
      </c>
      <c r="F2138" s="121">
        <v>72</v>
      </c>
      <c r="G2138" s="121">
        <v>72</v>
      </c>
      <c r="H2138" t="s">
        <v>396</v>
      </c>
      <c r="I2138" s="156">
        <v>41094</v>
      </c>
      <c r="K2138" s="153"/>
      <c r="L2138" s="153"/>
      <c r="M2138" s="153"/>
      <c r="N2138" s="153"/>
      <c r="O2138" s="153"/>
      <c r="P2138" s="150"/>
      <c r="Q2138" s="150"/>
      <c r="R2138" s="153"/>
      <c r="S2138" s="154"/>
      <c r="T2138" s="115"/>
    </row>
    <row r="2139" spans="1:20">
      <c r="A2139" t="s">
        <v>1230</v>
      </c>
      <c r="B2139" t="s">
        <v>72</v>
      </c>
      <c r="C2139" t="s">
        <v>55</v>
      </c>
      <c r="D2139" t="s">
        <v>683</v>
      </c>
      <c r="E2139" t="s">
        <v>3713</v>
      </c>
      <c r="F2139" s="121">
        <v>72</v>
      </c>
      <c r="G2139" s="121">
        <v>72</v>
      </c>
      <c r="H2139" t="s">
        <v>396</v>
      </c>
      <c r="I2139" s="156">
        <v>41094</v>
      </c>
      <c r="K2139" s="153"/>
      <c r="L2139" s="153"/>
      <c r="M2139" s="153"/>
      <c r="N2139" s="153"/>
      <c r="O2139" s="153"/>
      <c r="P2139" s="150"/>
      <c r="Q2139" s="150"/>
      <c r="R2139" s="153"/>
      <c r="S2139" s="154"/>
      <c r="T2139" s="115"/>
    </row>
    <row r="2140" spans="1:20">
      <c r="A2140" t="s">
        <v>1230</v>
      </c>
      <c r="B2140" t="s">
        <v>72</v>
      </c>
      <c r="C2140" t="s">
        <v>55</v>
      </c>
      <c r="D2140" t="s">
        <v>683</v>
      </c>
      <c r="E2140" t="s">
        <v>3714</v>
      </c>
      <c r="F2140" s="121">
        <v>72</v>
      </c>
      <c r="G2140" s="121">
        <v>72</v>
      </c>
      <c r="H2140" t="s">
        <v>396</v>
      </c>
      <c r="I2140" s="156">
        <v>41094</v>
      </c>
      <c r="K2140" s="153"/>
      <c r="L2140" s="153"/>
      <c r="M2140" s="153"/>
      <c r="N2140" s="153"/>
      <c r="O2140" s="153"/>
      <c r="P2140" s="150"/>
      <c r="Q2140" s="150"/>
      <c r="R2140" s="153"/>
      <c r="S2140" s="154"/>
      <c r="T2140" s="115"/>
    </row>
    <row r="2141" spans="1:20">
      <c r="A2141" t="s">
        <v>1230</v>
      </c>
      <c r="B2141" t="s">
        <v>72</v>
      </c>
      <c r="C2141" t="s">
        <v>43</v>
      </c>
      <c r="D2141" t="s">
        <v>692</v>
      </c>
      <c r="E2141" t="s">
        <v>3715</v>
      </c>
      <c r="F2141" s="121">
        <v>1310.08</v>
      </c>
      <c r="G2141" s="121">
        <v>1310.08</v>
      </c>
      <c r="H2141" t="s">
        <v>396</v>
      </c>
      <c r="I2141" s="156">
        <v>41100</v>
      </c>
      <c r="K2141" s="153"/>
      <c r="L2141" s="153"/>
      <c r="M2141" s="153"/>
      <c r="N2141" s="153"/>
      <c r="O2141" s="153"/>
      <c r="P2141" s="152"/>
      <c r="Q2141" s="152"/>
      <c r="R2141" s="153"/>
      <c r="S2141" s="154"/>
      <c r="T2141" s="115"/>
    </row>
    <row r="2142" spans="1:20">
      <c r="A2142" t="s">
        <v>1230</v>
      </c>
      <c r="B2142" t="s">
        <v>72</v>
      </c>
      <c r="C2142" t="s">
        <v>55</v>
      </c>
      <c r="D2142" t="s">
        <v>693</v>
      </c>
      <c r="E2142" t="s">
        <v>3716</v>
      </c>
      <c r="F2142" s="121">
        <v>129</v>
      </c>
      <c r="G2142" s="121">
        <v>129</v>
      </c>
      <c r="H2142" t="s">
        <v>396</v>
      </c>
      <c r="I2142" s="156">
        <v>41128</v>
      </c>
      <c r="K2142" s="153"/>
      <c r="L2142" s="153"/>
      <c r="M2142" s="153"/>
      <c r="N2142" s="153"/>
      <c r="O2142" s="153"/>
      <c r="P2142" s="150"/>
      <c r="Q2142" s="150"/>
      <c r="R2142" s="153"/>
      <c r="S2142" s="154"/>
      <c r="T2142" s="115"/>
    </row>
    <row r="2143" spans="1:20">
      <c r="A2143" t="s">
        <v>1230</v>
      </c>
      <c r="B2143" t="s">
        <v>72</v>
      </c>
      <c r="C2143" t="s">
        <v>55</v>
      </c>
      <c r="D2143" t="s">
        <v>694</v>
      </c>
      <c r="E2143" t="s">
        <v>3717</v>
      </c>
      <c r="F2143" s="121">
        <v>549</v>
      </c>
      <c r="G2143" s="121">
        <v>549</v>
      </c>
      <c r="H2143" t="s">
        <v>396</v>
      </c>
      <c r="I2143" s="156">
        <v>41108</v>
      </c>
      <c r="K2143" s="153"/>
      <c r="L2143" s="153"/>
      <c r="M2143" s="153"/>
      <c r="N2143" s="153"/>
      <c r="O2143" s="153"/>
      <c r="P2143" s="150"/>
      <c r="Q2143" s="150"/>
      <c r="R2143" s="153"/>
      <c r="S2143" s="154"/>
      <c r="T2143" s="115"/>
    </row>
    <row r="2144" spans="1:20">
      <c r="A2144" t="s">
        <v>1230</v>
      </c>
      <c r="B2144" t="s">
        <v>72</v>
      </c>
      <c r="C2144" t="s">
        <v>55</v>
      </c>
      <c r="D2144" t="s">
        <v>695</v>
      </c>
      <c r="E2144" t="s">
        <v>3718</v>
      </c>
      <c r="F2144" s="121">
        <v>1799</v>
      </c>
      <c r="G2144" s="121">
        <v>1799</v>
      </c>
      <c r="H2144" t="s">
        <v>396</v>
      </c>
      <c r="I2144" s="156">
        <v>41092</v>
      </c>
      <c r="K2144" s="153"/>
      <c r="L2144" s="153"/>
      <c r="M2144" s="153"/>
      <c r="N2144" s="153"/>
      <c r="O2144" s="153"/>
      <c r="P2144" s="150"/>
      <c r="Q2144" s="150"/>
      <c r="R2144" s="153"/>
      <c r="S2144" s="154"/>
      <c r="T2144" s="115"/>
    </row>
    <row r="2145" spans="1:20">
      <c r="A2145" t="s">
        <v>1230</v>
      </c>
      <c r="B2145" t="s">
        <v>72</v>
      </c>
      <c r="C2145" t="s">
        <v>55</v>
      </c>
      <c r="D2145" t="s">
        <v>696</v>
      </c>
      <c r="E2145" t="s">
        <v>3719</v>
      </c>
      <c r="F2145" s="121">
        <v>399</v>
      </c>
      <c r="G2145" s="121">
        <v>399</v>
      </c>
      <c r="H2145" t="s">
        <v>396</v>
      </c>
      <c r="I2145" s="156">
        <v>41108</v>
      </c>
      <c r="K2145" s="153"/>
      <c r="L2145" s="153"/>
      <c r="M2145" s="153"/>
      <c r="N2145" s="153"/>
      <c r="O2145" s="153"/>
      <c r="P2145" s="150"/>
      <c r="Q2145" s="150"/>
      <c r="R2145" s="153"/>
      <c r="S2145" s="154"/>
      <c r="T2145" s="115"/>
    </row>
    <row r="2146" spans="1:20">
      <c r="A2146" t="s">
        <v>1230</v>
      </c>
      <c r="B2146" t="s">
        <v>72</v>
      </c>
      <c r="C2146" t="s">
        <v>43</v>
      </c>
      <c r="D2146" t="s">
        <v>697</v>
      </c>
      <c r="E2146" t="s">
        <v>3720</v>
      </c>
      <c r="F2146" s="121">
        <v>700</v>
      </c>
      <c r="G2146" s="121">
        <v>700</v>
      </c>
      <c r="H2146" t="s">
        <v>396</v>
      </c>
      <c r="I2146" s="156">
        <v>40908</v>
      </c>
      <c r="K2146" s="153"/>
      <c r="L2146" s="153"/>
      <c r="M2146" s="153"/>
      <c r="N2146" s="153"/>
      <c r="O2146" s="153"/>
      <c r="P2146" s="152"/>
      <c r="Q2146" s="152"/>
      <c r="R2146" s="153"/>
      <c r="S2146" s="154"/>
      <c r="T2146" s="115"/>
    </row>
    <row r="2147" spans="1:20">
      <c r="A2147" t="s">
        <v>1230</v>
      </c>
      <c r="B2147" t="s">
        <v>72</v>
      </c>
      <c r="C2147" t="s">
        <v>55</v>
      </c>
      <c r="D2147" t="s">
        <v>698</v>
      </c>
      <c r="E2147" t="s">
        <v>3721</v>
      </c>
      <c r="F2147" s="121">
        <v>219</v>
      </c>
      <c r="G2147" s="121">
        <v>219</v>
      </c>
      <c r="H2147" t="s">
        <v>699</v>
      </c>
      <c r="I2147" s="156">
        <v>41115</v>
      </c>
      <c r="K2147" s="153"/>
      <c r="L2147" s="153"/>
      <c r="M2147" s="153"/>
      <c r="N2147" s="153"/>
      <c r="O2147" s="153"/>
      <c r="P2147" s="152"/>
      <c r="Q2147" s="152"/>
      <c r="R2147" s="153"/>
      <c r="S2147" s="154"/>
      <c r="T2147" s="115"/>
    </row>
    <row r="2148" spans="1:20">
      <c r="A2148" t="s">
        <v>1230</v>
      </c>
      <c r="B2148" t="s">
        <v>72</v>
      </c>
      <c r="C2148" t="s">
        <v>43</v>
      </c>
      <c r="D2148" t="s">
        <v>700</v>
      </c>
      <c r="E2148" t="s">
        <v>3722</v>
      </c>
      <c r="F2148" s="121">
        <v>933.8</v>
      </c>
      <c r="G2148" s="121">
        <v>933.8</v>
      </c>
      <c r="H2148" t="s">
        <v>396</v>
      </c>
      <c r="I2148" s="156">
        <v>41100</v>
      </c>
      <c r="K2148" s="153"/>
      <c r="L2148" s="153"/>
      <c r="M2148" s="153"/>
      <c r="N2148" s="153"/>
      <c r="O2148" s="153"/>
      <c r="P2148" s="152"/>
      <c r="Q2148" s="152"/>
      <c r="R2148" s="153"/>
      <c r="S2148" s="154"/>
      <c r="T2148" s="115"/>
    </row>
    <row r="2149" spans="1:20">
      <c r="A2149" t="s">
        <v>1230</v>
      </c>
      <c r="B2149" t="s">
        <v>72</v>
      </c>
      <c r="C2149" t="s">
        <v>55</v>
      </c>
      <c r="D2149" t="s">
        <v>701</v>
      </c>
      <c r="E2149" t="s">
        <v>3723</v>
      </c>
      <c r="F2149" s="121">
        <v>385</v>
      </c>
      <c r="G2149" s="121">
        <v>385</v>
      </c>
      <c r="H2149" t="s">
        <v>396</v>
      </c>
      <c r="I2149" s="156">
        <v>41108</v>
      </c>
      <c r="K2149" s="153"/>
      <c r="L2149" s="153"/>
      <c r="M2149" s="153"/>
      <c r="N2149" s="153"/>
      <c r="O2149" s="153"/>
      <c r="P2149" s="152"/>
      <c r="Q2149" s="152"/>
      <c r="R2149" s="153"/>
      <c r="S2149" s="154"/>
      <c r="T2149" s="115"/>
    </row>
    <row r="2150" spans="1:20">
      <c r="A2150" t="s">
        <v>1230</v>
      </c>
      <c r="B2150" t="s">
        <v>72</v>
      </c>
      <c r="C2150" t="s">
        <v>55</v>
      </c>
      <c r="D2150" t="s">
        <v>702</v>
      </c>
      <c r="E2150" t="s">
        <v>3724</v>
      </c>
      <c r="F2150" s="121">
        <v>229</v>
      </c>
      <c r="G2150" s="121">
        <v>229</v>
      </c>
      <c r="H2150" t="s">
        <v>396</v>
      </c>
      <c r="I2150" s="156">
        <v>41108</v>
      </c>
      <c r="K2150" s="153"/>
      <c r="L2150" s="153"/>
      <c r="M2150" s="153"/>
      <c r="N2150" s="153"/>
      <c r="O2150" s="153"/>
      <c r="P2150" s="152"/>
      <c r="Q2150" s="152"/>
      <c r="R2150" s="153"/>
      <c r="S2150" s="154"/>
      <c r="T2150" s="115"/>
    </row>
    <row r="2151" spans="1:20">
      <c r="A2151" t="s">
        <v>1230</v>
      </c>
      <c r="B2151" t="s">
        <v>72</v>
      </c>
      <c r="C2151" t="s">
        <v>55</v>
      </c>
      <c r="D2151" t="s">
        <v>702</v>
      </c>
      <c r="E2151" t="s">
        <v>3725</v>
      </c>
      <c r="F2151" s="121">
        <v>229</v>
      </c>
      <c r="G2151" s="121">
        <v>229</v>
      </c>
      <c r="H2151" t="s">
        <v>396</v>
      </c>
      <c r="I2151" s="156">
        <v>41108</v>
      </c>
      <c r="K2151" s="153"/>
      <c r="L2151" s="153"/>
      <c r="M2151" s="153"/>
      <c r="N2151" s="153"/>
      <c r="O2151" s="153"/>
      <c r="P2151" s="150"/>
      <c r="Q2151" s="150"/>
      <c r="R2151" s="153"/>
      <c r="S2151" s="154"/>
      <c r="T2151" s="115"/>
    </row>
    <row r="2152" spans="1:20">
      <c r="A2152" t="s">
        <v>1230</v>
      </c>
      <c r="B2152" t="s">
        <v>72</v>
      </c>
      <c r="C2152" t="s">
        <v>43</v>
      </c>
      <c r="D2152" t="s">
        <v>700</v>
      </c>
      <c r="E2152" t="s">
        <v>3726</v>
      </c>
      <c r="F2152" s="121">
        <v>805.92</v>
      </c>
      <c r="G2152" s="121">
        <v>805.92</v>
      </c>
      <c r="H2152" t="s">
        <v>396</v>
      </c>
      <c r="I2152" s="156">
        <v>41145</v>
      </c>
      <c r="K2152" s="153"/>
      <c r="L2152" s="153"/>
      <c r="M2152" s="153"/>
      <c r="N2152" s="153"/>
      <c r="O2152" s="153"/>
      <c r="P2152" s="150"/>
      <c r="Q2152" s="150"/>
      <c r="R2152" s="153"/>
      <c r="S2152" s="154"/>
      <c r="T2152" s="115"/>
    </row>
    <row r="2153" spans="1:20">
      <c r="A2153" t="s">
        <v>1230</v>
      </c>
      <c r="B2153" t="s">
        <v>72</v>
      </c>
      <c r="C2153" t="s">
        <v>53</v>
      </c>
      <c r="D2153" t="s">
        <v>703</v>
      </c>
      <c r="E2153" t="s">
        <v>3727</v>
      </c>
      <c r="F2153" s="121">
        <v>1137.5999999999999</v>
      </c>
      <c r="G2153" s="121">
        <v>1137.5999999999999</v>
      </c>
      <c r="H2153" t="s">
        <v>396</v>
      </c>
      <c r="I2153" s="156">
        <v>41099</v>
      </c>
      <c r="K2153" s="153"/>
      <c r="L2153" s="153"/>
      <c r="M2153" s="153"/>
      <c r="N2153" s="153"/>
      <c r="O2153" s="153"/>
      <c r="P2153" s="150"/>
      <c r="Q2153" s="150"/>
      <c r="R2153" s="153"/>
      <c r="S2153" s="154"/>
      <c r="T2153" s="115"/>
    </row>
    <row r="2154" spans="1:20">
      <c r="A2154" t="s">
        <v>1230</v>
      </c>
      <c r="B2154" t="s">
        <v>72</v>
      </c>
      <c r="C2154" t="s">
        <v>53</v>
      </c>
      <c r="D2154" t="s">
        <v>704</v>
      </c>
      <c r="E2154" t="s">
        <v>3728</v>
      </c>
      <c r="F2154" s="121">
        <v>1890.24</v>
      </c>
      <c r="G2154" s="121">
        <v>1890.24</v>
      </c>
      <c r="H2154" t="s">
        <v>396</v>
      </c>
      <c r="I2154" s="156">
        <v>41099</v>
      </c>
      <c r="K2154" s="153"/>
      <c r="L2154" s="153"/>
      <c r="M2154" s="153"/>
      <c r="N2154" s="153"/>
      <c r="O2154" s="153"/>
      <c r="P2154" s="150"/>
      <c r="Q2154" s="150"/>
      <c r="R2154" s="153"/>
      <c r="S2154" s="154"/>
      <c r="T2154" s="115"/>
    </row>
    <row r="2155" spans="1:20">
      <c r="A2155" t="s">
        <v>1230</v>
      </c>
      <c r="B2155" t="s">
        <v>72</v>
      </c>
      <c r="C2155" t="s">
        <v>53</v>
      </c>
      <c r="D2155" t="s">
        <v>705</v>
      </c>
      <c r="E2155" t="s">
        <v>3729</v>
      </c>
      <c r="F2155" s="121">
        <v>579.83000000000004</v>
      </c>
      <c r="G2155" s="121">
        <v>579.83000000000004</v>
      </c>
      <c r="H2155" t="s">
        <v>396</v>
      </c>
      <c r="I2155" s="156">
        <v>41099</v>
      </c>
      <c r="K2155" s="153"/>
      <c r="L2155" s="153"/>
      <c r="M2155" s="153"/>
      <c r="N2155" s="153"/>
      <c r="O2155" s="153"/>
      <c r="P2155" s="150"/>
      <c r="Q2155" s="150"/>
      <c r="R2155" s="153"/>
      <c r="S2155" s="154"/>
      <c r="T2155" s="115"/>
    </row>
    <row r="2156" spans="1:20">
      <c r="A2156" t="s">
        <v>1230</v>
      </c>
      <c r="B2156" t="s">
        <v>72</v>
      </c>
      <c r="C2156" t="s">
        <v>55</v>
      </c>
      <c r="D2156" t="s">
        <v>683</v>
      </c>
      <c r="E2156" t="s">
        <v>3730</v>
      </c>
      <c r="F2156" s="121">
        <v>72</v>
      </c>
      <c r="G2156" s="121">
        <v>72</v>
      </c>
      <c r="H2156" t="s">
        <v>396</v>
      </c>
      <c r="I2156" s="156">
        <v>41094</v>
      </c>
      <c r="K2156" s="153"/>
      <c r="L2156" s="153"/>
      <c r="M2156" s="153"/>
      <c r="N2156" s="153"/>
      <c r="O2156" s="153"/>
      <c r="P2156" s="150"/>
      <c r="Q2156" s="150"/>
      <c r="R2156" s="153"/>
      <c r="S2156" s="154"/>
      <c r="T2156" s="115"/>
    </row>
    <row r="2157" spans="1:20">
      <c r="A2157" t="s">
        <v>1230</v>
      </c>
      <c r="B2157" t="s">
        <v>72</v>
      </c>
      <c r="C2157" t="s">
        <v>55</v>
      </c>
      <c r="D2157" t="s">
        <v>683</v>
      </c>
      <c r="E2157" t="s">
        <v>3731</v>
      </c>
      <c r="F2157" s="121">
        <v>72</v>
      </c>
      <c r="G2157" s="121">
        <v>72</v>
      </c>
      <c r="H2157" t="s">
        <v>396</v>
      </c>
      <c r="I2157" s="156">
        <v>41094</v>
      </c>
      <c r="K2157" s="153"/>
      <c r="L2157" s="153"/>
      <c r="M2157" s="153"/>
      <c r="N2157" s="153"/>
      <c r="O2157" s="153"/>
      <c r="P2157" s="150"/>
      <c r="Q2157" s="150"/>
      <c r="R2157" s="153"/>
      <c r="S2157" s="154"/>
      <c r="T2157" s="115"/>
    </row>
    <row r="2158" spans="1:20">
      <c r="A2158" t="s">
        <v>1230</v>
      </c>
      <c r="B2158" t="s">
        <v>72</v>
      </c>
      <c r="C2158" t="s">
        <v>55</v>
      </c>
      <c r="D2158" t="s">
        <v>683</v>
      </c>
      <c r="E2158" t="s">
        <v>3732</v>
      </c>
      <c r="F2158" s="121">
        <v>72</v>
      </c>
      <c r="G2158" s="121">
        <v>72</v>
      </c>
      <c r="H2158" t="s">
        <v>396</v>
      </c>
      <c r="I2158" s="156">
        <v>41094</v>
      </c>
      <c r="K2158" s="153"/>
      <c r="L2158" s="153"/>
      <c r="M2158" s="153"/>
      <c r="N2158" s="153"/>
      <c r="O2158" s="153"/>
      <c r="P2158" s="150"/>
      <c r="Q2158" s="150"/>
      <c r="R2158" s="153"/>
      <c r="S2158" s="154"/>
      <c r="T2158" s="115"/>
    </row>
    <row r="2159" spans="1:20">
      <c r="A2159" t="s">
        <v>1230</v>
      </c>
      <c r="B2159" t="s">
        <v>72</v>
      </c>
      <c r="C2159" t="s">
        <v>55</v>
      </c>
      <c r="D2159" t="s">
        <v>683</v>
      </c>
      <c r="E2159" t="s">
        <v>3733</v>
      </c>
      <c r="F2159" s="121">
        <v>72</v>
      </c>
      <c r="G2159" s="121">
        <v>72</v>
      </c>
      <c r="H2159" t="s">
        <v>396</v>
      </c>
      <c r="I2159" s="156">
        <v>41094</v>
      </c>
      <c r="K2159" s="153"/>
      <c r="L2159" s="153"/>
      <c r="M2159" s="153"/>
      <c r="N2159" s="153"/>
      <c r="O2159" s="153"/>
      <c r="P2159" s="150"/>
      <c r="Q2159" s="150"/>
      <c r="R2159" s="153"/>
      <c r="S2159" s="154"/>
      <c r="T2159" s="115"/>
    </row>
    <row r="2160" spans="1:20">
      <c r="A2160" t="s">
        <v>1230</v>
      </c>
      <c r="B2160" t="s">
        <v>72</v>
      </c>
      <c r="C2160" t="s">
        <v>43</v>
      </c>
      <c r="D2160" t="s">
        <v>706</v>
      </c>
      <c r="E2160" t="s">
        <v>3734</v>
      </c>
      <c r="F2160" s="121">
        <v>1044.2</v>
      </c>
      <c r="G2160" s="121">
        <v>1044.2</v>
      </c>
      <c r="H2160" t="s">
        <v>442</v>
      </c>
      <c r="I2160" s="156">
        <v>41108</v>
      </c>
      <c r="K2160" s="153"/>
      <c r="L2160" s="153"/>
      <c r="M2160" s="153"/>
      <c r="N2160" s="153"/>
      <c r="O2160" s="153"/>
      <c r="P2160" s="150"/>
      <c r="Q2160" s="150"/>
      <c r="R2160" s="153"/>
      <c r="S2160" s="154"/>
      <c r="T2160" s="115"/>
    </row>
    <row r="2161" spans="1:20">
      <c r="A2161" t="s">
        <v>1230</v>
      </c>
      <c r="B2161" t="s">
        <v>74</v>
      </c>
      <c r="C2161" t="s">
        <v>53</v>
      </c>
      <c r="D2161" t="s">
        <v>707</v>
      </c>
      <c r="E2161" t="s">
        <v>3735</v>
      </c>
      <c r="F2161" s="121">
        <v>1188</v>
      </c>
      <c r="G2161" s="121">
        <v>1188</v>
      </c>
      <c r="H2161" t="s">
        <v>452</v>
      </c>
      <c r="I2161" s="156">
        <v>41099</v>
      </c>
      <c r="K2161" s="153"/>
      <c r="L2161" s="153"/>
      <c r="M2161" s="153"/>
      <c r="N2161" s="153"/>
      <c r="O2161" s="153"/>
      <c r="P2161" s="152"/>
      <c r="Q2161" s="152"/>
      <c r="R2161" s="153"/>
      <c r="S2161" s="154"/>
      <c r="T2161" s="115"/>
    </row>
    <row r="2162" spans="1:20">
      <c r="A2162" t="s">
        <v>1230</v>
      </c>
      <c r="B2162" t="s">
        <v>74</v>
      </c>
      <c r="C2162" t="s">
        <v>53</v>
      </c>
      <c r="D2162" t="s">
        <v>708</v>
      </c>
      <c r="E2162" t="s">
        <v>3736</v>
      </c>
      <c r="F2162" s="121">
        <v>1718.4</v>
      </c>
      <c r="G2162" s="121">
        <v>1718.4</v>
      </c>
      <c r="H2162" t="s">
        <v>452</v>
      </c>
      <c r="I2162" s="156">
        <v>41099</v>
      </c>
      <c r="K2162" s="153"/>
      <c r="L2162" s="153"/>
      <c r="M2162" s="153"/>
      <c r="N2162" s="153"/>
      <c r="O2162" s="153"/>
      <c r="P2162" s="152"/>
      <c r="Q2162" s="152"/>
      <c r="R2162" s="153"/>
      <c r="S2162" s="154"/>
      <c r="T2162" s="115"/>
    </row>
    <row r="2163" spans="1:20">
      <c r="A2163" t="s">
        <v>1230</v>
      </c>
      <c r="B2163" t="s">
        <v>74</v>
      </c>
      <c r="C2163" t="s">
        <v>53</v>
      </c>
      <c r="D2163" t="s">
        <v>709</v>
      </c>
      <c r="E2163" t="s">
        <v>3737</v>
      </c>
      <c r="F2163" s="121">
        <v>4598.3999999999996</v>
      </c>
      <c r="G2163" s="121">
        <v>4598.3999999999996</v>
      </c>
      <c r="H2163" t="s">
        <v>452</v>
      </c>
      <c r="I2163" s="156">
        <v>41099</v>
      </c>
      <c r="K2163" s="153"/>
      <c r="L2163" s="153"/>
      <c r="M2163" s="153"/>
      <c r="N2163" s="153"/>
      <c r="O2163" s="153"/>
      <c r="P2163" s="152"/>
      <c r="Q2163" s="152"/>
      <c r="R2163" s="153"/>
      <c r="S2163" s="154"/>
      <c r="T2163" s="115"/>
    </row>
    <row r="2164" spans="1:20">
      <c r="A2164" t="s">
        <v>1230</v>
      </c>
      <c r="B2164" t="s">
        <v>72</v>
      </c>
      <c r="C2164" t="s">
        <v>43</v>
      </c>
      <c r="D2164" t="s">
        <v>710</v>
      </c>
      <c r="E2164" t="s">
        <v>3738</v>
      </c>
      <c r="F2164" s="121">
        <v>275.08</v>
      </c>
      <c r="G2164" s="121">
        <v>275.08</v>
      </c>
      <c r="H2164" t="s">
        <v>396</v>
      </c>
      <c r="I2164" s="156">
        <v>41108</v>
      </c>
      <c r="K2164" s="153"/>
      <c r="L2164" s="153"/>
      <c r="M2164" s="153"/>
      <c r="N2164" s="153"/>
      <c r="O2164" s="153"/>
      <c r="P2164" s="152"/>
      <c r="Q2164" s="152"/>
      <c r="R2164" s="153"/>
      <c r="S2164" s="154"/>
      <c r="T2164" s="115"/>
    </row>
    <row r="2165" spans="1:20">
      <c r="A2165" t="s">
        <v>1230</v>
      </c>
      <c r="B2165" t="s">
        <v>73</v>
      </c>
      <c r="C2165" t="s">
        <v>55</v>
      </c>
      <c r="D2165" t="s">
        <v>711</v>
      </c>
      <c r="E2165" t="s">
        <v>3739</v>
      </c>
      <c r="F2165" s="121">
        <v>450</v>
      </c>
      <c r="G2165" s="121">
        <v>450</v>
      </c>
      <c r="H2165" t="s">
        <v>457</v>
      </c>
      <c r="I2165" s="156">
        <v>41108</v>
      </c>
      <c r="K2165" s="153"/>
      <c r="L2165" s="153"/>
      <c r="M2165" s="153"/>
      <c r="N2165" s="153"/>
      <c r="O2165" s="153"/>
      <c r="P2165" s="152"/>
      <c r="Q2165" s="152"/>
      <c r="R2165" s="153"/>
      <c r="S2165" s="154"/>
      <c r="T2165" s="115"/>
    </row>
    <row r="2166" spans="1:20">
      <c r="A2166" t="s">
        <v>1230</v>
      </c>
      <c r="B2166" t="s">
        <v>73</v>
      </c>
      <c r="C2166" t="s">
        <v>55</v>
      </c>
      <c r="D2166" t="s">
        <v>711</v>
      </c>
      <c r="E2166" t="s">
        <v>3740</v>
      </c>
      <c r="F2166" s="121">
        <v>450</v>
      </c>
      <c r="G2166" s="121">
        <v>450</v>
      </c>
      <c r="H2166" t="s">
        <v>457</v>
      </c>
      <c r="I2166" s="156">
        <v>41108</v>
      </c>
      <c r="K2166" s="153"/>
      <c r="L2166" s="153"/>
      <c r="M2166" s="153"/>
      <c r="N2166" s="153"/>
      <c r="O2166" s="153"/>
      <c r="P2166" s="152"/>
      <c r="Q2166" s="152"/>
      <c r="R2166" s="153"/>
      <c r="S2166" s="154"/>
      <c r="T2166" s="115"/>
    </row>
    <row r="2167" spans="1:20">
      <c r="A2167" t="s">
        <v>1230</v>
      </c>
      <c r="B2167" t="s">
        <v>73</v>
      </c>
      <c r="C2167" t="s">
        <v>55</v>
      </c>
      <c r="D2167" t="s">
        <v>711</v>
      </c>
      <c r="E2167" t="s">
        <v>3741</v>
      </c>
      <c r="F2167" s="121">
        <v>450</v>
      </c>
      <c r="G2167" s="121">
        <v>450</v>
      </c>
      <c r="H2167" t="s">
        <v>457</v>
      </c>
      <c r="I2167" s="156">
        <v>41108</v>
      </c>
      <c r="K2167" s="153"/>
      <c r="L2167" s="153"/>
      <c r="M2167" s="153"/>
      <c r="N2167" s="153"/>
      <c r="O2167" s="153"/>
      <c r="P2167" s="152"/>
      <c r="Q2167" s="152"/>
      <c r="R2167" s="153"/>
      <c r="S2167" s="154"/>
      <c r="T2167" s="115"/>
    </row>
    <row r="2168" spans="1:20">
      <c r="A2168" t="s">
        <v>1230</v>
      </c>
      <c r="B2168" t="s">
        <v>73</v>
      </c>
      <c r="C2168" t="s">
        <v>55</v>
      </c>
      <c r="D2168" t="s">
        <v>711</v>
      </c>
      <c r="E2168" t="s">
        <v>3742</v>
      </c>
      <c r="F2168" s="121">
        <v>450</v>
      </c>
      <c r="G2168" s="121">
        <v>450</v>
      </c>
      <c r="H2168" t="s">
        <v>457</v>
      </c>
      <c r="I2168" s="156">
        <v>41108</v>
      </c>
      <c r="K2168" s="153"/>
      <c r="L2168" s="153"/>
      <c r="M2168" s="153"/>
      <c r="N2168" s="153"/>
      <c r="O2168" s="153"/>
      <c r="P2168" s="152"/>
      <c r="Q2168" s="152"/>
      <c r="R2168" s="153"/>
      <c r="S2168" s="154"/>
      <c r="T2168" s="115"/>
    </row>
    <row r="2169" spans="1:20">
      <c r="A2169" t="s">
        <v>1230</v>
      </c>
      <c r="B2169" t="s">
        <v>72</v>
      </c>
      <c r="C2169" t="s">
        <v>55</v>
      </c>
      <c r="D2169" t="s">
        <v>712</v>
      </c>
      <c r="E2169" t="s">
        <v>3743</v>
      </c>
      <c r="F2169" s="121">
        <v>270</v>
      </c>
      <c r="G2169" s="121">
        <v>270</v>
      </c>
      <c r="H2169" t="s">
        <v>474</v>
      </c>
      <c r="I2169" s="156">
        <v>41138</v>
      </c>
      <c r="K2169" s="153"/>
      <c r="L2169" s="153"/>
      <c r="M2169" s="153"/>
      <c r="N2169" s="153"/>
      <c r="O2169" s="153"/>
      <c r="P2169" s="152"/>
      <c r="Q2169" s="152"/>
      <c r="R2169" s="153"/>
      <c r="S2169" s="154"/>
      <c r="T2169" s="115"/>
    </row>
    <row r="2170" spans="1:20">
      <c r="A2170" t="s">
        <v>1230</v>
      </c>
      <c r="B2170" t="s">
        <v>72</v>
      </c>
      <c r="C2170" t="s">
        <v>43</v>
      </c>
      <c r="D2170" t="s">
        <v>713</v>
      </c>
      <c r="E2170" t="s">
        <v>3744</v>
      </c>
      <c r="F2170" s="121">
        <v>2943.08</v>
      </c>
      <c r="G2170" s="121">
        <v>2943.08</v>
      </c>
      <c r="H2170" t="s">
        <v>442</v>
      </c>
      <c r="I2170" s="156">
        <v>41129</v>
      </c>
      <c r="K2170" s="153"/>
      <c r="L2170" s="153"/>
      <c r="M2170" s="153"/>
      <c r="N2170" s="153"/>
      <c r="O2170" s="153"/>
      <c r="P2170" s="152"/>
      <c r="Q2170" s="152"/>
      <c r="R2170" s="153"/>
      <c r="S2170" s="154"/>
      <c r="T2170" s="115"/>
    </row>
    <row r="2171" spans="1:20">
      <c r="A2171" t="s">
        <v>1230</v>
      </c>
      <c r="B2171" t="s">
        <v>72</v>
      </c>
      <c r="C2171" t="s">
        <v>50</v>
      </c>
      <c r="D2171" t="s">
        <v>714</v>
      </c>
      <c r="E2171" t="s">
        <v>3745</v>
      </c>
      <c r="F2171" s="121">
        <v>7000</v>
      </c>
      <c r="G2171" s="121">
        <v>7000</v>
      </c>
      <c r="H2171" t="s">
        <v>715</v>
      </c>
      <c r="I2171" s="156">
        <v>41129</v>
      </c>
      <c r="K2171" s="153"/>
      <c r="L2171" s="153"/>
      <c r="M2171" s="153"/>
      <c r="N2171" s="153"/>
      <c r="O2171" s="153"/>
      <c r="P2171" s="150"/>
      <c r="Q2171" s="150"/>
      <c r="R2171" s="153"/>
      <c r="S2171" s="154"/>
      <c r="T2171" s="115"/>
    </row>
    <row r="2172" spans="1:20">
      <c r="A2172" t="s">
        <v>1230</v>
      </c>
      <c r="B2172" t="s">
        <v>72</v>
      </c>
      <c r="C2172" t="s">
        <v>50</v>
      </c>
      <c r="D2172" t="s">
        <v>714</v>
      </c>
      <c r="E2172" t="s">
        <v>3746</v>
      </c>
      <c r="F2172" s="121">
        <v>7000</v>
      </c>
      <c r="G2172" s="121">
        <v>7000</v>
      </c>
      <c r="H2172" t="s">
        <v>396</v>
      </c>
      <c r="I2172" s="156">
        <v>41129</v>
      </c>
      <c r="K2172" s="153"/>
      <c r="L2172" s="153"/>
      <c r="M2172" s="153"/>
      <c r="N2172" s="153"/>
      <c r="O2172" s="153"/>
      <c r="P2172" s="150"/>
      <c r="Q2172" s="150"/>
      <c r="R2172" s="153"/>
      <c r="S2172" s="154"/>
      <c r="T2172" s="115"/>
    </row>
    <row r="2173" spans="1:20">
      <c r="A2173" t="s">
        <v>1230</v>
      </c>
      <c r="B2173" t="s">
        <v>72</v>
      </c>
      <c r="C2173" t="s">
        <v>52</v>
      </c>
      <c r="D2173" t="s">
        <v>198</v>
      </c>
      <c r="E2173" t="s">
        <v>3747</v>
      </c>
      <c r="F2173" s="121">
        <v>50269.25</v>
      </c>
      <c r="G2173" s="121">
        <v>50269.25</v>
      </c>
      <c r="H2173" t="s">
        <v>455</v>
      </c>
      <c r="I2173" s="156">
        <v>41129</v>
      </c>
      <c r="K2173" s="153"/>
      <c r="L2173" s="153"/>
      <c r="M2173" s="153"/>
      <c r="N2173" s="153"/>
      <c r="O2173" s="153"/>
      <c r="P2173" s="150"/>
      <c r="Q2173" s="150"/>
      <c r="R2173" s="153"/>
      <c r="S2173" s="154"/>
      <c r="T2173" s="115"/>
    </row>
    <row r="2174" spans="1:20">
      <c r="A2174" t="s">
        <v>1230</v>
      </c>
      <c r="B2174" t="s">
        <v>72</v>
      </c>
      <c r="C2174" t="s">
        <v>55</v>
      </c>
      <c r="D2174" t="s">
        <v>540</v>
      </c>
      <c r="E2174" t="s">
        <v>3748</v>
      </c>
      <c r="F2174" s="121">
        <v>233</v>
      </c>
      <c r="G2174" s="121">
        <v>233</v>
      </c>
      <c r="H2174" t="s">
        <v>716</v>
      </c>
      <c r="I2174" s="156">
        <v>41143</v>
      </c>
      <c r="K2174" s="153"/>
      <c r="L2174" s="153"/>
      <c r="M2174" s="153"/>
      <c r="N2174" s="153"/>
      <c r="O2174" s="153"/>
      <c r="P2174" s="152"/>
      <c r="Q2174" s="152"/>
      <c r="R2174" s="153"/>
      <c r="S2174" s="154"/>
      <c r="T2174" s="115"/>
    </row>
    <row r="2175" spans="1:20">
      <c r="A2175" t="s">
        <v>1230</v>
      </c>
      <c r="B2175" t="s">
        <v>72</v>
      </c>
      <c r="C2175" t="s">
        <v>43</v>
      </c>
      <c r="D2175" t="s">
        <v>717</v>
      </c>
      <c r="E2175" t="s">
        <v>3749</v>
      </c>
      <c r="F2175" s="121">
        <v>640</v>
      </c>
      <c r="G2175" s="121">
        <v>640</v>
      </c>
      <c r="H2175" t="s">
        <v>396</v>
      </c>
      <c r="I2175" s="156">
        <v>41143</v>
      </c>
      <c r="K2175" s="153"/>
      <c r="L2175" s="153"/>
      <c r="M2175" s="153"/>
      <c r="N2175" s="153"/>
      <c r="O2175" s="153"/>
      <c r="P2175" s="150"/>
      <c r="Q2175" s="150"/>
      <c r="R2175" s="153"/>
      <c r="S2175" s="154"/>
      <c r="T2175" s="115"/>
    </row>
    <row r="2176" spans="1:20">
      <c r="A2176" t="s">
        <v>1230</v>
      </c>
      <c r="B2176" t="s">
        <v>72</v>
      </c>
      <c r="C2176" t="s">
        <v>43</v>
      </c>
      <c r="D2176" t="s">
        <v>718</v>
      </c>
      <c r="E2176" t="s">
        <v>3750</v>
      </c>
      <c r="F2176" s="121">
        <v>1174.42</v>
      </c>
      <c r="G2176" s="121">
        <v>1174.42</v>
      </c>
      <c r="H2176" t="s">
        <v>719</v>
      </c>
      <c r="I2176" s="156">
        <v>41128</v>
      </c>
      <c r="K2176" s="153"/>
      <c r="L2176" s="153"/>
      <c r="M2176" s="153"/>
      <c r="N2176" s="153"/>
      <c r="O2176" s="153"/>
      <c r="P2176" s="150"/>
      <c r="Q2176" s="150"/>
      <c r="R2176" s="153"/>
      <c r="S2176" s="154"/>
      <c r="T2176" s="115"/>
    </row>
    <row r="2177" spans="1:20">
      <c r="A2177" t="s">
        <v>1230</v>
      </c>
      <c r="B2177" t="s">
        <v>72</v>
      </c>
      <c r="C2177" t="s">
        <v>43</v>
      </c>
      <c r="D2177" t="s">
        <v>717</v>
      </c>
      <c r="E2177" t="s">
        <v>3751</v>
      </c>
      <c r="F2177" s="121">
        <v>325.57</v>
      </c>
      <c r="G2177" s="121">
        <v>325.57</v>
      </c>
      <c r="H2177" t="s">
        <v>719</v>
      </c>
      <c r="I2177" s="156">
        <v>41128</v>
      </c>
      <c r="K2177" s="153"/>
      <c r="L2177" s="153"/>
      <c r="M2177" s="153"/>
      <c r="N2177" s="153"/>
      <c r="O2177" s="153"/>
      <c r="P2177" s="150"/>
      <c r="Q2177" s="150"/>
      <c r="R2177" s="153"/>
      <c r="S2177" s="154"/>
      <c r="T2177" s="115"/>
    </row>
    <row r="2178" spans="1:20">
      <c r="A2178" t="s">
        <v>1230</v>
      </c>
      <c r="B2178" t="s">
        <v>72</v>
      </c>
      <c r="C2178" t="s">
        <v>43</v>
      </c>
      <c r="D2178" t="s">
        <v>718</v>
      </c>
      <c r="E2178" t="s">
        <v>3752</v>
      </c>
      <c r="F2178" s="121">
        <v>1174.43</v>
      </c>
      <c r="G2178" s="121">
        <v>1174.43</v>
      </c>
      <c r="H2178" t="s">
        <v>719</v>
      </c>
      <c r="I2178" s="156">
        <v>41128</v>
      </c>
      <c r="K2178" s="153"/>
      <c r="L2178" s="153"/>
      <c r="M2178" s="153"/>
      <c r="N2178" s="153"/>
      <c r="O2178" s="153"/>
      <c r="P2178" s="150"/>
      <c r="Q2178" s="150"/>
      <c r="R2178" s="153"/>
      <c r="S2178" s="154"/>
      <c r="T2178" s="115"/>
    </row>
    <row r="2179" spans="1:20">
      <c r="A2179" t="s">
        <v>1230</v>
      </c>
      <c r="B2179" t="s">
        <v>72</v>
      </c>
      <c r="C2179" t="s">
        <v>43</v>
      </c>
      <c r="D2179" t="s">
        <v>717</v>
      </c>
      <c r="E2179" t="s">
        <v>3753</v>
      </c>
      <c r="F2179" s="121">
        <v>325.58</v>
      </c>
      <c r="G2179" s="121">
        <v>325.58</v>
      </c>
      <c r="H2179" t="s">
        <v>719</v>
      </c>
      <c r="I2179" s="156">
        <v>41128</v>
      </c>
      <c r="K2179" s="153"/>
      <c r="L2179" s="153"/>
      <c r="M2179" s="153"/>
      <c r="N2179" s="153"/>
      <c r="O2179" s="153"/>
      <c r="P2179" s="150"/>
      <c r="Q2179" s="150"/>
      <c r="R2179" s="153"/>
      <c r="S2179" s="154"/>
      <c r="T2179" s="115"/>
    </row>
    <row r="2180" spans="1:20">
      <c r="A2180" t="s">
        <v>1230</v>
      </c>
      <c r="B2180" t="s">
        <v>73</v>
      </c>
      <c r="C2180" t="s">
        <v>55</v>
      </c>
      <c r="D2180" t="s">
        <v>720</v>
      </c>
      <c r="E2180" t="s">
        <v>3754</v>
      </c>
      <c r="F2180" s="121">
        <v>190</v>
      </c>
      <c r="G2180" s="121">
        <v>190</v>
      </c>
      <c r="H2180" t="s">
        <v>719</v>
      </c>
      <c r="I2180" s="156">
        <v>41129</v>
      </c>
      <c r="K2180" s="153"/>
      <c r="L2180" s="153"/>
      <c r="M2180" s="153"/>
      <c r="N2180" s="153"/>
      <c r="O2180" s="153"/>
      <c r="P2180" s="150"/>
      <c r="Q2180" s="150"/>
      <c r="R2180" s="153"/>
      <c r="S2180" s="154"/>
      <c r="T2180" s="115"/>
    </row>
    <row r="2181" spans="1:20">
      <c r="A2181" t="s">
        <v>1230</v>
      </c>
      <c r="B2181" t="s">
        <v>74</v>
      </c>
      <c r="C2181" t="s">
        <v>55</v>
      </c>
      <c r="D2181" t="s">
        <v>721</v>
      </c>
      <c r="E2181" t="s">
        <v>3755</v>
      </c>
      <c r="F2181" s="121">
        <v>800</v>
      </c>
      <c r="G2181" s="121">
        <v>800</v>
      </c>
      <c r="H2181" t="s">
        <v>719</v>
      </c>
      <c r="I2181" s="156">
        <v>41183</v>
      </c>
      <c r="K2181" s="153"/>
      <c r="L2181" s="153"/>
      <c r="M2181" s="153"/>
      <c r="N2181" s="153"/>
      <c r="O2181" s="153"/>
      <c r="P2181" s="150"/>
      <c r="Q2181" s="150"/>
      <c r="R2181" s="153"/>
      <c r="S2181" s="154"/>
      <c r="T2181" s="115"/>
    </row>
    <row r="2182" spans="1:20">
      <c r="A2182" t="s">
        <v>1230</v>
      </c>
      <c r="B2182" t="s">
        <v>72</v>
      </c>
      <c r="C2182" t="s">
        <v>55</v>
      </c>
      <c r="D2182" t="s">
        <v>722</v>
      </c>
      <c r="E2182" t="s">
        <v>3756</v>
      </c>
      <c r="F2182" s="121">
        <v>1800</v>
      </c>
      <c r="G2182" s="121">
        <v>1800</v>
      </c>
      <c r="H2182" t="s">
        <v>396</v>
      </c>
      <c r="I2182" s="156">
        <v>41129</v>
      </c>
      <c r="K2182" s="153"/>
      <c r="L2182" s="153"/>
      <c r="M2182" s="153"/>
      <c r="N2182" s="153"/>
      <c r="O2182" s="153"/>
      <c r="P2182" s="150"/>
      <c r="Q2182" s="150"/>
      <c r="R2182" s="153"/>
      <c r="S2182" s="154"/>
      <c r="T2182" s="115"/>
    </row>
    <row r="2183" spans="1:20">
      <c r="A2183" t="s">
        <v>1230</v>
      </c>
      <c r="B2183" t="s">
        <v>72</v>
      </c>
      <c r="C2183" t="s">
        <v>43</v>
      </c>
      <c r="D2183" t="s">
        <v>723</v>
      </c>
      <c r="E2183" t="s">
        <v>3757</v>
      </c>
      <c r="F2183" s="121">
        <v>2929</v>
      </c>
      <c r="G2183" s="121">
        <v>2929</v>
      </c>
      <c r="H2183" t="s">
        <v>719</v>
      </c>
      <c r="I2183" s="156">
        <v>41164</v>
      </c>
      <c r="K2183" s="153"/>
      <c r="L2183" s="153"/>
      <c r="M2183" s="153"/>
      <c r="N2183" s="153"/>
      <c r="O2183" s="153"/>
      <c r="P2183" s="150"/>
      <c r="Q2183" s="150"/>
      <c r="R2183" s="153"/>
      <c r="S2183" s="154"/>
      <c r="T2183" s="115"/>
    </row>
    <row r="2184" spans="1:20">
      <c r="A2184" t="s">
        <v>1230</v>
      </c>
      <c r="B2184" t="s">
        <v>72</v>
      </c>
      <c r="C2184" t="s">
        <v>43</v>
      </c>
      <c r="D2184" t="s">
        <v>723</v>
      </c>
      <c r="E2184" t="s">
        <v>3758</v>
      </c>
      <c r="F2184" s="121">
        <v>2929</v>
      </c>
      <c r="G2184" s="121">
        <v>2929</v>
      </c>
      <c r="H2184" t="s">
        <v>719</v>
      </c>
      <c r="I2184" s="156">
        <v>41164</v>
      </c>
      <c r="K2184" s="153"/>
      <c r="L2184" s="153"/>
      <c r="M2184" s="153"/>
      <c r="N2184" s="153"/>
      <c r="O2184" s="153"/>
      <c r="P2184" s="150"/>
      <c r="Q2184" s="150"/>
      <c r="R2184" s="153"/>
      <c r="S2184" s="154"/>
      <c r="T2184" s="115"/>
    </row>
    <row r="2185" spans="1:20">
      <c r="A2185" t="s">
        <v>1230</v>
      </c>
      <c r="B2185" t="s">
        <v>72</v>
      </c>
      <c r="C2185" t="s">
        <v>43</v>
      </c>
      <c r="D2185" t="s">
        <v>723</v>
      </c>
      <c r="E2185" t="s">
        <v>3759</v>
      </c>
      <c r="F2185" s="121">
        <v>2929</v>
      </c>
      <c r="G2185" s="121">
        <v>2929</v>
      </c>
      <c r="H2185" t="s">
        <v>719</v>
      </c>
      <c r="I2185" s="156">
        <v>41164</v>
      </c>
      <c r="K2185" s="153"/>
      <c r="L2185" s="153"/>
      <c r="M2185" s="153"/>
      <c r="N2185" s="153"/>
      <c r="O2185" s="153"/>
      <c r="P2185" s="152"/>
      <c r="Q2185" s="152"/>
      <c r="R2185" s="153"/>
      <c r="S2185" s="154"/>
      <c r="T2185" s="115"/>
    </row>
    <row r="2186" spans="1:20">
      <c r="A2186" t="s">
        <v>1230</v>
      </c>
      <c r="B2186" t="s">
        <v>71</v>
      </c>
      <c r="C2186" t="s">
        <v>43</v>
      </c>
      <c r="D2186" t="s">
        <v>724</v>
      </c>
      <c r="E2186" t="s">
        <v>3760</v>
      </c>
      <c r="F2186" s="121">
        <v>2118.06</v>
      </c>
      <c r="G2186" s="121">
        <v>2118.06</v>
      </c>
      <c r="H2186" t="s">
        <v>442</v>
      </c>
      <c r="I2186" s="156">
        <v>41031</v>
      </c>
      <c r="K2186" s="153"/>
      <c r="L2186" s="153"/>
      <c r="M2186" s="153"/>
      <c r="N2186" s="153"/>
      <c r="O2186" s="153"/>
      <c r="P2186" s="150"/>
      <c r="Q2186" s="150"/>
      <c r="R2186" s="153"/>
      <c r="S2186" s="154"/>
      <c r="T2186" s="115"/>
    </row>
    <row r="2187" spans="1:20">
      <c r="A2187" t="s">
        <v>1230</v>
      </c>
      <c r="B2187" t="s">
        <v>72</v>
      </c>
      <c r="C2187" t="s">
        <v>51</v>
      </c>
      <c r="D2187" t="s">
        <v>725</v>
      </c>
      <c r="E2187" t="s">
        <v>3761</v>
      </c>
      <c r="F2187" s="121">
        <v>11000</v>
      </c>
      <c r="G2187" s="121">
        <v>11000</v>
      </c>
      <c r="H2187" t="s">
        <v>396</v>
      </c>
      <c r="I2187" s="156">
        <v>41171</v>
      </c>
      <c r="K2187" s="153"/>
      <c r="L2187" s="153"/>
      <c r="M2187" s="153"/>
      <c r="N2187" s="153"/>
      <c r="O2187" s="153"/>
      <c r="P2187" s="150"/>
      <c r="Q2187" s="150"/>
      <c r="R2187" s="153"/>
      <c r="S2187" s="154"/>
      <c r="T2187" s="115"/>
    </row>
    <row r="2188" spans="1:20">
      <c r="A2188" t="s">
        <v>1230</v>
      </c>
      <c r="B2188" t="s">
        <v>72</v>
      </c>
      <c r="C2188" t="s">
        <v>51</v>
      </c>
      <c r="D2188" t="s">
        <v>725</v>
      </c>
      <c r="E2188" t="s">
        <v>3762</v>
      </c>
      <c r="F2188" s="121">
        <v>11000</v>
      </c>
      <c r="G2188" s="121">
        <v>11000</v>
      </c>
      <c r="H2188" t="s">
        <v>396</v>
      </c>
      <c r="I2188" s="156">
        <v>41171</v>
      </c>
      <c r="K2188" s="153"/>
      <c r="L2188" s="153"/>
      <c r="M2188" s="153"/>
      <c r="N2188" s="153"/>
      <c r="O2188" s="153"/>
      <c r="P2188" s="150"/>
      <c r="Q2188" s="150"/>
      <c r="R2188" s="153"/>
      <c r="S2188" s="154"/>
      <c r="T2188" s="115"/>
    </row>
    <row r="2189" spans="1:20">
      <c r="A2189" t="s">
        <v>1230</v>
      </c>
      <c r="B2189" t="s">
        <v>72</v>
      </c>
      <c r="C2189" t="s">
        <v>51</v>
      </c>
      <c r="D2189" t="s">
        <v>725</v>
      </c>
      <c r="E2189" t="s">
        <v>3763</v>
      </c>
      <c r="F2189" s="121">
        <v>11000</v>
      </c>
      <c r="G2189" s="121">
        <v>11000</v>
      </c>
      <c r="H2189" t="s">
        <v>396</v>
      </c>
      <c r="I2189" s="156">
        <v>41171</v>
      </c>
      <c r="K2189" s="153"/>
      <c r="L2189" s="153"/>
      <c r="M2189" s="153"/>
      <c r="N2189" s="153"/>
      <c r="O2189" s="153"/>
      <c r="P2189" s="150"/>
      <c r="Q2189" s="150"/>
      <c r="R2189" s="153"/>
      <c r="S2189" s="154"/>
      <c r="T2189" s="115"/>
    </row>
    <row r="2190" spans="1:20">
      <c r="A2190" t="s">
        <v>1230</v>
      </c>
      <c r="B2190" t="s">
        <v>72</v>
      </c>
      <c r="C2190" t="s">
        <v>51</v>
      </c>
      <c r="D2190" t="s">
        <v>725</v>
      </c>
      <c r="E2190" t="s">
        <v>3764</v>
      </c>
      <c r="F2190" s="121">
        <v>11000</v>
      </c>
      <c r="G2190" s="121">
        <v>11000</v>
      </c>
      <c r="H2190" t="s">
        <v>396</v>
      </c>
      <c r="I2190" s="156">
        <v>41171</v>
      </c>
      <c r="K2190" s="153"/>
      <c r="L2190" s="153"/>
      <c r="M2190" s="153"/>
      <c r="N2190" s="153"/>
      <c r="O2190" s="153"/>
      <c r="P2190" s="150"/>
      <c r="Q2190" s="150"/>
      <c r="R2190" s="153"/>
      <c r="S2190" s="154"/>
      <c r="T2190" s="115"/>
    </row>
    <row r="2191" spans="1:20">
      <c r="A2191" t="s">
        <v>1230</v>
      </c>
      <c r="B2191" t="s">
        <v>72</v>
      </c>
      <c r="C2191" t="s">
        <v>51</v>
      </c>
      <c r="D2191" t="s">
        <v>725</v>
      </c>
      <c r="E2191" t="s">
        <v>3765</v>
      </c>
      <c r="F2191" s="121">
        <v>11000</v>
      </c>
      <c r="G2191" s="121">
        <v>11000</v>
      </c>
      <c r="H2191" t="s">
        <v>875</v>
      </c>
      <c r="I2191" s="156">
        <v>41171</v>
      </c>
      <c r="K2191" s="153"/>
      <c r="L2191" s="153"/>
      <c r="M2191" s="153"/>
      <c r="N2191" s="153"/>
      <c r="O2191" s="153"/>
      <c r="P2191" s="150"/>
      <c r="Q2191" s="150"/>
      <c r="R2191" s="153"/>
      <c r="S2191" s="154"/>
      <c r="T2191" s="115"/>
    </row>
    <row r="2192" spans="1:20">
      <c r="A2192" t="s">
        <v>1230</v>
      </c>
      <c r="B2192" t="s">
        <v>72</v>
      </c>
      <c r="C2192" t="s">
        <v>43</v>
      </c>
      <c r="D2192" t="s">
        <v>618</v>
      </c>
      <c r="E2192" t="s">
        <v>3766</v>
      </c>
      <c r="F2192" s="121">
        <v>1450</v>
      </c>
      <c r="G2192" s="121">
        <v>1450</v>
      </c>
      <c r="H2192" t="s">
        <v>477</v>
      </c>
      <c r="I2192" s="156">
        <v>41176</v>
      </c>
      <c r="K2192" s="153"/>
      <c r="L2192" s="153"/>
      <c r="M2192" s="153"/>
      <c r="N2192" s="153"/>
      <c r="O2192" s="153"/>
      <c r="P2192" s="152"/>
      <c r="Q2192" s="152"/>
      <c r="R2192" s="153"/>
      <c r="S2192" s="154"/>
      <c r="T2192" s="115"/>
    </row>
    <row r="2193" spans="1:20">
      <c r="A2193" t="s">
        <v>1230</v>
      </c>
      <c r="B2193" t="s">
        <v>72</v>
      </c>
      <c r="C2193" t="s">
        <v>55</v>
      </c>
      <c r="D2193" t="s">
        <v>702</v>
      </c>
      <c r="E2193" t="s">
        <v>3767</v>
      </c>
      <c r="F2193" s="121">
        <v>210</v>
      </c>
      <c r="G2193" s="121">
        <v>210</v>
      </c>
      <c r="H2193" t="s">
        <v>726</v>
      </c>
      <c r="I2193" s="156">
        <v>41176</v>
      </c>
      <c r="K2193" s="153"/>
      <c r="L2193" s="153"/>
      <c r="M2193" s="153"/>
      <c r="N2193" s="153"/>
      <c r="O2193" s="153"/>
      <c r="P2193" s="150"/>
      <c r="Q2193" s="150"/>
      <c r="R2193" s="153"/>
      <c r="S2193" s="154"/>
      <c r="T2193" s="115"/>
    </row>
    <row r="2194" spans="1:20">
      <c r="A2194" t="s">
        <v>1231</v>
      </c>
      <c r="B2194" t="s">
        <v>71</v>
      </c>
      <c r="C2194" t="s">
        <v>64</v>
      </c>
      <c r="D2194" t="s">
        <v>7439</v>
      </c>
      <c r="E2194" t="s">
        <v>7440</v>
      </c>
      <c r="F2194" s="121">
        <v>13998.46</v>
      </c>
      <c r="G2194" s="121">
        <v>13998.46</v>
      </c>
      <c r="H2194" t="s">
        <v>7440</v>
      </c>
      <c r="I2194" s="156">
        <v>40703</v>
      </c>
      <c r="K2194" s="153"/>
      <c r="L2194" s="153"/>
      <c r="M2194" s="153"/>
      <c r="N2194" s="153"/>
      <c r="O2194" s="153"/>
      <c r="P2194" s="152"/>
      <c r="Q2194" s="152"/>
      <c r="R2194" s="153"/>
      <c r="S2194" s="154"/>
      <c r="T2194" s="115"/>
    </row>
    <row r="2195" spans="1:20">
      <c r="A2195" t="s">
        <v>1230</v>
      </c>
      <c r="B2195" t="s">
        <v>73</v>
      </c>
      <c r="C2195" t="s">
        <v>55</v>
      </c>
      <c r="D2195" t="s">
        <v>727</v>
      </c>
      <c r="E2195" t="s">
        <v>3768</v>
      </c>
      <c r="F2195" s="121">
        <v>80</v>
      </c>
      <c r="G2195" s="121">
        <v>80</v>
      </c>
      <c r="H2195" t="s">
        <v>719</v>
      </c>
      <c r="I2195" s="156">
        <v>41129</v>
      </c>
      <c r="K2195" s="153"/>
      <c r="L2195" s="153"/>
      <c r="M2195" s="153"/>
      <c r="N2195" s="153"/>
      <c r="O2195" s="153"/>
      <c r="P2195" s="152"/>
      <c r="Q2195" s="152"/>
      <c r="R2195" s="153"/>
      <c r="S2195" s="154"/>
      <c r="T2195" s="115"/>
    </row>
    <row r="2196" spans="1:20">
      <c r="A2196" t="s">
        <v>1230</v>
      </c>
      <c r="B2196" t="s">
        <v>72</v>
      </c>
      <c r="C2196" t="s">
        <v>53</v>
      </c>
      <c r="D2196" t="s">
        <v>728</v>
      </c>
      <c r="E2196" t="s">
        <v>3769</v>
      </c>
      <c r="F2196" s="121">
        <v>6374</v>
      </c>
      <c r="G2196" s="121">
        <v>6374</v>
      </c>
      <c r="H2196" t="s">
        <v>396</v>
      </c>
      <c r="I2196" s="156">
        <v>41185</v>
      </c>
      <c r="K2196" s="153"/>
      <c r="L2196" s="153"/>
      <c r="M2196" s="153"/>
      <c r="N2196" s="153"/>
      <c r="O2196" s="153"/>
      <c r="P2196" s="150"/>
      <c r="Q2196" s="150"/>
      <c r="R2196" s="153"/>
      <c r="S2196" s="154"/>
      <c r="T2196" s="115"/>
    </row>
    <row r="2197" spans="1:20">
      <c r="A2197" t="s">
        <v>1230</v>
      </c>
      <c r="B2197" t="s">
        <v>72</v>
      </c>
      <c r="C2197" t="s">
        <v>55</v>
      </c>
      <c r="D2197" t="s">
        <v>540</v>
      </c>
      <c r="E2197" t="s">
        <v>3770</v>
      </c>
      <c r="F2197" s="121">
        <v>233</v>
      </c>
      <c r="G2197" s="121">
        <v>233</v>
      </c>
      <c r="H2197" t="s">
        <v>396</v>
      </c>
      <c r="I2197" s="156">
        <v>41185</v>
      </c>
      <c r="K2197" s="153"/>
      <c r="L2197" s="153"/>
      <c r="M2197" s="153"/>
      <c r="N2197" s="153"/>
      <c r="O2197" s="153"/>
      <c r="P2197" s="150"/>
      <c r="Q2197" s="150"/>
      <c r="R2197" s="153"/>
      <c r="S2197" s="154"/>
      <c r="T2197" s="115"/>
    </row>
    <row r="2198" spans="1:20">
      <c r="A2198" t="s">
        <v>1230</v>
      </c>
      <c r="B2198" t="s">
        <v>72</v>
      </c>
      <c r="C2198" t="s">
        <v>55</v>
      </c>
      <c r="D2198" t="s">
        <v>540</v>
      </c>
      <c r="E2198" t="s">
        <v>3771</v>
      </c>
      <c r="F2198" s="121">
        <v>233</v>
      </c>
      <c r="G2198" s="121">
        <v>233</v>
      </c>
      <c r="H2198" t="s">
        <v>396</v>
      </c>
      <c r="I2198" s="156">
        <v>41185</v>
      </c>
      <c r="K2198" s="153"/>
      <c r="L2198" s="153"/>
      <c r="M2198" s="153"/>
      <c r="N2198" s="153"/>
      <c r="O2198" s="153"/>
      <c r="P2198" s="152"/>
      <c r="Q2198" s="152"/>
      <c r="R2198" s="153"/>
      <c r="S2198" s="154"/>
      <c r="T2198" s="115"/>
    </row>
    <row r="2199" spans="1:20">
      <c r="A2199" t="s">
        <v>1230</v>
      </c>
      <c r="B2199" t="s">
        <v>72</v>
      </c>
      <c r="C2199" t="s">
        <v>55</v>
      </c>
      <c r="D2199" t="s">
        <v>540</v>
      </c>
      <c r="E2199" t="s">
        <v>3772</v>
      </c>
      <c r="F2199" s="121">
        <v>233</v>
      </c>
      <c r="G2199" s="121">
        <v>233</v>
      </c>
      <c r="H2199" t="s">
        <v>396</v>
      </c>
      <c r="I2199" s="156">
        <v>41185</v>
      </c>
      <c r="K2199" s="153"/>
      <c r="L2199" s="153"/>
      <c r="M2199" s="153"/>
      <c r="N2199" s="153"/>
      <c r="O2199" s="153"/>
      <c r="P2199" s="150"/>
      <c r="Q2199" s="150"/>
      <c r="R2199" s="153"/>
      <c r="S2199" s="154"/>
      <c r="T2199" s="115"/>
    </row>
    <row r="2200" spans="1:20">
      <c r="A2200" t="s">
        <v>1230</v>
      </c>
      <c r="B2200" t="s">
        <v>74</v>
      </c>
      <c r="C2200" t="s">
        <v>55</v>
      </c>
      <c r="D2200" t="s">
        <v>701</v>
      </c>
      <c r="E2200" t="s">
        <v>3773</v>
      </c>
      <c r="F2200" s="121">
        <v>379</v>
      </c>
      <c r="G2200" s="121">
        <v>379</v>
      </c>
      <c r="H2200" t="s">
        <v>396</v>
      </c>
      <c r="I2200" s="156">
        <v>41185</v>
      </c>
      <c r="K2200" s="153"/>
      <c r="L2200" s="153"/>
      <c r="M2200" s="153"/>
      <c r="N2200" s="153"/>
      <c r="O2200" s="153"/>
      <c r="P2200" s="152"/>
      <c r="Q2200" s="152"/>
      <c r="R2200" s="153"/>
      <c r="S2200" s="154"/>
      <c r="T2200" s="115"/>
    </row>
    <row r="2201" spans="1:20">
      <c r="A2201" t="s">
        <v>1230</v>
      </c>
      <c r="B2201" t="s">
        <v>74</v>
      </c>
      <c r="C2201" t="s">
        <v>55</v>
      </c>
      <c r="D2201" t="s">
        <v>598</v>
      </c>
      <c r="E2201" t="s">
        <v>3774</v>
      </c>
      <c r="F2201" s="121">
        <v>229</v>
      </c>
      <c r="G2201" s="121">
        <v>229</v>
      </c>
      <c r="H2201" t="s">
        <v>396</v>
      </c>
      <c r="I2201" s="156">
        <v>41185</v>
      </c>
      <c r="K2201" s="153"/>
      <c r="L2201" s="153"/>
      <c r="M2201" s="153"/>
      <c r="N2201" s="153"/>
      <c r="O2201" s="153"/>
      <c r="P2201" s="150"/>
      <c r="Q2201" s="150"/>
      <c r="R2201" s="153"/>
      <c r="S2201" s="154"/>
      <c r="T2201" s="115"/>
    </row>
    <row r="2202" spans="1:20">
      <c r="A2202" t="s">
        <v>1230</v>
      </c>
      <c r="B2202" t="s">
        <v>72</v>
      </c>
      <c r="C2202" t="s">
        <v>43</v>
      </c>
      <c r="D2202" t="s">
        <v>618</v>
      </c>
      <c r="E2202" t="s">
        <v>3775</v>
      </c>
      <c r="F2202" s="121">
        <v>1599</v>
      </c>
      <c r="G2202" s="121">
        <v>1599</v>
      </c>
      <c r="H2202" t="s">
        <v>396</v>
      </c>
      <c r="I2202" s="156">
        <v>41192</v>
      </c>
      <c r="K2202" s="153"/>
      <c r="L2202" s="153"/>
      <c r="M2202" s="153"/>
      <c r="N2202" s="153"/>
      <c r="O2202" s="153"/>
      <c r="P2202" s="152"/>
      <c r="Q2202" s="152"/>
      <c r="R2202" s="153"/>
      <c r="S2202" s="154"/>
      <c r="T2202" s="115"/>
    </row>
    <row r="2203" spans="1:20">
      <c r="A2203" t="s">
        <v>1230</v>
      </c>
      <c r="B2203" t="s">
        <v>72</v>
      </c>
      <c r="C2203" t="s">
        <v>55</v>
      </c>
      <c r="D2203" t="s">
        <v>729</v>
      </c>
      <c r="E2203" t="s">
        <v>3776</v>
      </c>
      <c r="F2203" s="121">
        <v>729</v>
      </c>
      <c r="G2203" s="121">
        <v>729</v>
      </c>
      <c r="H2203" t="s">
        <v>730</v>
      </c>
      <c r="I2203" s="156">
        <v>41128</v>
      </c>
      <c r="K2203" s="153"/>
      <c r="L2203" s="153"/>
      <c r="M2203" s="153"/>
      <c r="N2203" s="153"/>
      <c r="O2203" s="153"/>
      <c r="P2203" s="150"/>
      <c r="Q2203" s="150"/>
      <c r="R2203" s="153"/>
      <c r="S2203" s="154"/>
      <c r="T2203" s="115"/>
    </row>
    <row r="2204" spans="1:20">
      <c r="A2204" t="s">
        <v>1230</v>
      </c>
      <c r="B2204" t="s">
        <v>72</v>
      </c>
      <c r="C2204" t="s">
        <v>55</v>
      </c>
      <c r="D2204" t="s">
        <v>701</v>
      </c>
      <c r="E2204" t="s">
        <v>3777</v>
      </c>
      <c r="F2204" s="121">
        <v>385</v>
      </c>
      <c r="G2204" s="121">
        <v>385</v>
      </c>
      <c r="H2204" t="s">
        <v>396</v>
      </c>
      <c r="I2204" s="156">
        <v>41204</v>
      </c>
      <c r="K2204" s="153"/>
      <c r="L2204" s="153"/>
      <c r="M2204" s="153"/>
      <c r="N2204" s="153"/>
      <c r="O2204" s="153"/>
      <c r="P2204" s="152"/>
      <c r="Q2204" s="152"/>
      <c r="R2204" s="153"/>
      <c r="S2204" s="154"/>
      <c r="T2204" s="115"/>
    </row>
    <row r="2205" spans="1:20">
      <c r="A2205" t="s">
        <v>1230</v>
      </c>
      <c r="B2205" t="s">
        <v>72</v>
      </c>
      <c r="C2205" t="s">
        <v>43</v>
      </c>
      <c r="D2205" t="s">
        <v>731</v>
      </c>
      <c r="E2205" t="s">
        <v>3778</v>
      </c>
      <c r="F2205" s="121">
        <v>2070</v>
      </c>
      <c r="G2205" s="121">
        <v>2070</v>
      </c>
      <c r="H2205" t="s">
        <v>396</v>
      </c>
      <c r="I2205" s="156">
        <v>41212</v>
      </c>
      <c r="K2205" s="153"/>
      <c r="L2205" s="153"/>
      <c r="M2205" s="153"/>
      <c r="N2205" s="153"/>
      <c r="O2205" s="153"/>
      <c r="P2205" s="152"/>
      <c r="Q2205" s="152"/>
      <c r="R2205" s="153"/>
      <c r="S2205" s="154"/>
      <c r="T2205" s="115"/>
    </row>
    <row r="2206" spans="1:20">
      <c r="A2206" t="s">
        <v>1230</v>
      </c>
      <c r="B2206" t="s">
        <v>72</v>
      </c>
      <c r="C2206" t="s">
        <v>43</v>
      </c>
      <c r="D2206" t="s">
        <v>732</v>
      </c>
      <c r="E2206" t="s">
        <v>3779</v>
      </c>
      <c r="F2206" s="121">
        <v>2099</v>
      </c>
      <c r="G2206" s="121">
        <v>2099</v>
      </c>
      <c r="H2206" t="s">
        <v>396</v>
      </c>
      <c r="I2206" s="156">
        <v>41213</v>
      </c>
      <c r="K2206" s="153"/>
      <c r="L2206" s="153"/>
      <c r="M2206" s="153"/>
      <c r="N2206" s="153"/>
      <c r="O2206" s="153"/>
      <c r="P2206" s="150"/>
      <c r="Q2206" s="150"/>
      <c r="R2206" s="153"/>
      <c r="S2206" s="154"/>
      <c r="T2206" s="115"/>
    </row>
    <row r="2207" spans="1:20">
      <c r="A2207" t="s">
        <v>1230</v>
      </c>
      <c r="B2207" t="s">
        <v>72</v>
      </c>
      <c r="C2207" t="s">
        <v>43</v>
      </c>
      <c r="D2207" t="s">
        <v>733</v>
      </c>
      <c r="E2207" t="s">
        <v>3780</v>
      </c>
      <c r="F2207" s="121">
        <v>3199</v>
      </c>
      <c r="G2207" s="121">
        <v>3199</v>
      </c>
      <c r="H2207" t="s">
        <v>477</v>
      </c>
      <c r="I2207" s="156">
        <v>41213</v>
      </c>
      <c r="K2207" s="153"/>
      <c r="L2207" s="153"/>
      <c r="M2207" s="153"/>
      <c r="N2207" s="153"/>
      <c r="O2207" s="153"/>
      <c r="P2207" s="150"/>
      <c r="Q2207" s="150"/>
      <c r="R2207" s="153"/>
      <c r="S2207" s="154"/>
      <c r="T2207" s="115"/>
    </row>
    <row r="2208" spans="1:20">
      <c r="A2208" t="s">
        <v>1230</v>
      </c>
      <c r="B2208" t="s">
        <v>72</v>
      </c>
      <c r="C2208" t="s">
        <v>55</v>
      </c>
      <c r="D2208" t="s">
        <v>734</v>
      </c>
      <c r="E2208" t="s">
        <v>3781</v>
      </c>
      <c r="F2208" s="121">
        <v>1290</v>
      </c>
      <c r="G2208" s="121">
        <v>1290</v>
      </c>
      <c r="H2208" t="s">
        <v>507</v>
      </c>
      <c r="I2208" s="156">
        <v>41234</v>
      </c>
      <c r="K2208" s="153"/>
      <c r="L2208" s="153"/>
      <c r="M2208" s="153"/>
      <c r="N2208" s="153"/>
      <c r="O2208" s="153"/>
      <c r="P2208" s="152"/>
      <c r="Q2208" s="152"/>
      <c r="R2208" s="153"/>
      <c r="S2208" s="154"/>
      <c r="T2208" s="115"/>
    </row>
    <row r="2209" spans="1:20">
      <c r="A2209" t="s">
        <v>1230</v>
      </c>
      <c r="B2209" t="s">
        <v>72</v>
      </c>
      <c r="C2209" t="s">
        <v>55</v>
      </c>
      <c r="D2209" t="s">
        <v>735</v>
      </c>
      <c r="E2209" t="s">
        <v>3782</v>
      </c>
      <c r="F2209" s="121">
        <v>169</v>
      </c>
      <c r="G2209" s="121">
        <v>169</v>
      </c>
      <c r="H2209" t="s">
        <v>512</v>
      </c>
      <c r="I2209" s="156">
        <v>41234</v>
      </c>
      <c r="K2209" s="153"/>
      <c r="L2209" s="153"/>
      <c r="M2209" s="153"/>
      <c r="N2209" s="153"/>
      <c r="O2209" s="153"/>
      <c r="P2209" s="150"/>
      <c r="Q2209" s="150"/>
      <c r="R2209" s="153"/>
      <c r="S2209" s="154"/>
      <c r="T2209" s="115"/>
    </row>
    <row r="2210" spans="1:20">
      <c r="A2210" t="s">
        <v>1230</v>
      </c>
      <c r="B2210" t="s">
        <v>72</v>
      </c>
      <c r="C2210" t="s">
        <v>55</v>
      </c>
      <c r="D2210" t="s">
        <v>597</v>
      </c>
      <c r="E2210" t="s">
        <v>3783</v>
      </c>
      <c r="F2210" s="121">
        <v>379</v>
      </c>
      <c r="G2210" s="121">
        <v>379</v>
      </c>
      <c r="H2210" t="s">
        <v>512</v>
      </c>
      <c r="I2210" s="156">
        <v>41234</v>
      </c>
      <c r="K2210" s="153"/>
      <c r="L2210" s="153"/>
      <c r="M2210" s="153"/>
      <c r="N2210" s="153"/>
      <c r="O2210" s="153"/>
      <c r="P2210" s="152"/>
      <c r="Q2210" s="152"/>
      <c r="R2210" s="153"/>
      <c r="S2210" s="154"/>
      <c r="T2210" s="115"/>
    </row>
    <row r="2211" spans="1:20">
      <c r="A2211" t="s">
        <v>1230</v>
      </c>
      <c r="B2211" t="s">
        <v>72</v>
      </c>
      <c r="C2211" t="s">
        <v>55</v>
      </c>
      <c r="D2211" t="s">
        <v>736</v>
      </c>
      <c r="E2211" t="s">
        <v>3784</v>
      </c>
      <c r="F2211" s="121">
        <v>1480</v>
      </c>
      <c r="G2211" s="121">
        <v>1480</v>
      </c>
      <c r="H2211" t="s">
        <v>512</v>
      </c>
      <c r="I2211" s="156">
        <v>41234</v>
      </c>
      <c r="K2211" s="153"/>
      <c r="L2211" s="153"/>
      <c r="M2211" s="153"/>
      <c r="N2211" s="153"/>
      <c r="O2211" s="153"/>
      <c r="P2211" s="152"/>
      <c r="Q2211" s="152"/>
      <c r="R2211" s="153"/>
      <c r="S2211" s="154"/>
      <c r="T2211" s="115"/>
    </row>
    <row r="2212" spans="1:20">
      <c r="A2212" t="s">
        <v>1230</v>
      </c>
      <c r="B2212" t="s">
        <v>72</v>
      </c>
      <c r="C2212" t="s">
        <v>43</v>
      </c>
      <c r="D2212" t="s">
        <v>737</v>
      </c>
      <c r="E2212" t="s">
        <v>3785</v>
      </c>
      <c r="F2212" s="121">
        <v>7139</v>
      </c>
      <c r="G2212" s="121">
        <v>7139</v>
      </c>
      <c r="H2212" t="s">
        <v>519</v>
      </c>
      <c r="I2212" s="156">
        <v>41239</v>
      </c>
      <c r="K2212" s="153"/>
      <c r="L2212" s="153"/>
      <c r="M2212" s="153"/>
      <c r="N2212" s="153"/>
      <c r="O2212" s="153"/>
      <c r="P2212" s="150"/>
      <c r="Q2212" s="150"/>
      <c r="R2212" s="153"/>
      <c r="S2212" s="154"/>
      <c r="T2212" s="115"/>
    </row>
    <row r="2213" spans="1:20">
      <c r="A2213" t="s">
        <v>1230</v>
      </c>
      <c r="B2213" t="s">
        <v>72</v>
      </c>
      <c r="C2213" t="s">
        <v>43</v>
      </c>
      <c r="D2213" t="s">
        <v>706</v>
      </c>
      <c r="E2213" t="s">
        <v>3786</v>
      </c>
      <c r="F2213" s="121">
        <v>735</v>
      </c>
      <c r="G2213" s="121">
        <v>735</v>
      </c>
      <c r="H2213" t="s">
        <v>738</v>
      </c>
      <c r="I2213" s="156">
        <v>41277</v>
      </c>
      <c r="K2213" s="153"/>
      <c r="L2213" s="153"/>
      <c r="M2213" s="153"/>
      <c r="N2213" s="153"/>
      <c r="O2213" s="153"/>
      <c r="P2213" s="150"/>
      <c r="Q2213" s="150"/>
      <c r="R2213" s="153"/>
      <c r="S2213" s="154"/>
      <c r="T2213" s="115"/>
    </row>
    <row r="2214" spans="1:20">
      <c r="A2214" t="s">
        <v>1230</v>
      </c>
      <c r="B2214" t="s">
        <v>73</v>
      </c>
      <c r="C2214" t="s">
        <v>55</v>
      </c>
      <c r="D2214" t="s">
        <v>739</v>
      </c>
      <c r="E2214" t="s">
        <v>3787</v>
      </c>
      <c r="F2214" s="121">
        <v>480</v>
      </c>
      <c r="G2214" s="121">
        <v>480</v>
      </c>
      <c r="H2214" t="s">
        <v>519</v>
      </c>
      <c r="I2214" s="156">
        <v>41277</v>
      </c>
      <c r="K2214" s="153"/>
      <c r="L2214" s="153"/>
      <c r="M2214" s="153"/>
      <c r="N2214" s="153"/>
      <c r="O2214" s="153"/>
      <c r="P2214" s="152"/>
      <c r="Q2214" s="152"/>
      <c r="R2214" s="153"/>
      <c r="S2214" s="154"/>
      <c r="T2214" s="115"/>
    </row>
    <row r="2215" spans="1:20">
      <c r="A2215" t="s">
        <v>1230</v>
      </c>
      <c r="B2215" t="s">
        <v>73</v>
      </c>
      <c r="C2215" t="s">
        <v>55</v>
      </c>
      <c r="D2215" t="s">
        <v>740</v>
      </c>
      <c r="E2215" t="s">
        <v>3788</v>
      </c>
      <c r="F2215" s="121">
        <v>460</v>
      </c>
      <c r="G2215" s="121">
        <v>460</v>
      </c>
      <c r="H2215" t="s">
        <v>457</v>
      </c>
      <c r="I2215" s="156">
        <v>41257</v>
      </c>
      <c r="K2215" s="153"/>
      <c r="L2215" s="153"/>
      <c r="M2215" s="153"/>
      <c r="N2215" s="153"/>
      <c r="O2215" s="153"/>
      <c r="P2215" s="152"/>
      <c r="Q2215" s="152"/>
      <c r="R2215" s="153"/>
      <c r="S2215" s="154"/>
      <c r="T2215" s="115"/>
    </row>
    <row r="2216" spans="1:20">
      <c r="A2216" t="s">
        <v>1230</v>
      </c>
      <c r="B2216" t="s">
        <v>73</v>
      </c>
      <c r="C2216" t="s">
        <v>55</v>
      </c>
      <c r="D2216" t="s">
        <v>740</v>
      </c>
      <c r="E2216" t="s">
        <v>3789</v>
      </c>
      <c r="F2216" s="121">
        <v>460</v>
      </c>
      <c r="G2216" s="121">
        <v>460</v>
      </c>
      <c r="H2216" t="s">
        <v>457</v>
      </c>
      <c r="I2216" s="156">
        <v>41257</v>
      </c>
      <c r="K2216" s="153"/>
      <c r="L2216" s="153"/>
      <c r="M2216" s="153"/>
      <c r="N2216" s="153"/>
      <c r="O2216" s="153"/>
      <c r="P2216" s="150"/>
      <c r="Q2216" s="150"/>
      <c r="R2216" s="153"/>
      <c r="S2216" s="154"/>
      <c r="T2216" s="115"/>
    </row>
    <row r="2217" spans="1:20">
      <c r="A2217" t="s">
        <v>1230</v>
      </c>
      <c r="B2217" t="s">
        <v>73</v>
      </c>
      <c r="C2217" t="s">
        <v>55</v>
      </c>
      <c r="D2217" t="s">
        <v>740</v>
      </c>
      <c r="E2217" t="s">
        <v>3790</v>
      </c>
      <c r="F2217" s="121">
        <v>460</v>
      </c>
      <c r="G2217" s="121">
        <v>460</v>
      </c>
      <c r="H2217" t="s">
        <v>457</v>
      </c>
      <c r="I2217" s="156">
        <v>41257</v>
      </c>
      <c r="K2217" s="153"/>
      <c r="L2217" s="153"/>
      <c r="M2217" s="153"/>
      <c r="N2217" s="153"/>
      <c r="O2217" s="153"/>
      <c r="P2217" s="150"/>
      <c r="Q2217" s="150"/>
      <c r="R2217" s="153"/>
      <c r="S2217" s="154"/>
      <c r="T2217" s="115"/>
    </row>
    <row r="2218" spans="1:20">
      <c r="A2218" t="s">
        <v>1230</v>
      </c>
      <c r="B2218" t="s">
        <v>73</v>
      </c>
      <c r="C2218" t="s">
        <v>55</v>
      </c>
      <c r="D2218" t="s">
        <v>740</v>
      </c>
      <c r="E2218" t="s">
        <v>3791</v>
      </c>
      <c r="F2218" s="121">
        <v>460</v>
      </c>
      <c r="G2218" s="121">
        <v>460</v>
      </c>
      <c r="H2218" t="s">
        <v>457</v>
      </c>
      <c r="I2218" s="156">
        <v>41257</v>
      </c>
      <c r="K2218" s="153"/>
      <c r="L2218" s="153"/>
      <c r="M2218" s="153"/>
      <c r="N2218" s="153"/>
      <c r="O2218" s="153"/>
      <c r="P2218" s="152"/>
      <c r="Q2218" s="152"/>
      <c r="R2218" s="153"/>
      <c r="S2218" s="154"/>
      <c r="T2218" s="115"/>
    </row>
    <row r="2219" spans="1:20">
      <c r="A2219" t="s">
        <v>1230</v>
      </c>
      <c r="B2219" t="s">
        <v>73</v>
      </c>
      <c r="C2219" t="s">
        <v>55</v>
      </c>
      <c r="D2219" t="s">
        <v>740</v>
      </c>
      <c r="E2219" t="s">
        <v>3792</v>
      </c>
      <c r="F2219" s="121">
        <v>460</v>
      </c>
      <c r="G2219" s="121">
        <v>460</v>
      </c>
      <c r="H2219" t="s">
        <v>457</v>
      </c>
      <c r="I2219" s="156">
        <v>41257</v>
      </c>
      <c r="K2219" s="153"/>
      <c r="L2219" s="153"/>
      <c r="M2219" s="153"/>
      <c r="N2219" s="153"/>
      <c r="O2219" s="153"/>
      <c r="P2219" s="150"/>
      <c r="Q2219" s="150"/>
      <c r="R2219" s="153"/>
      <c r="S2219" s="154"/>
      <c r="T2219" s="115"/>
    </row>
    <row r="2220" spans="1:20">
      <c r="A2220" t="s">
        <v>1230</v>
      </c>
      <c r="B2220" t="s">
        <v>72</v>
      </c>
      <c r="C2220" t="s">
        <v>43</v>
      </c>
      <c r="D2220" t="s">
        <v>741</v>
      </c>
      <c r="E2220" t="s">
        <v>3793</v>
      </c>
      <c r="F2220" s="121">
        <v>1399</v>
      </c>
      <c r="G2220" s="121">
        <v>1399</v>
      </c>
      <c r="H2220" t="s">
        <v>396</v>
      </c>
      <c r="I2220" s="156">
        <v>41257</v>
      </c>
      <c r="K2220" s="153"/>
      <c r="L2220" s="153"/>
      <c r="M2220" s="153"/>
      <c r="N2220" s="153"/>
      <c r="O2220" s="153"/>
      <c r="P2220" s="152"/>
      <c r="Q2220" s="152"/>
      <c r="R2220" s="153"/>
      <c r="S2220" s="154"/>
      <c r="T2220" s="115"/>
    </row>
    <row r="2221" spans="1:20">
      <c r="A2221" t="s">
        <v>1230</v>
      </c>
      <c r="B2221" t="s">
        <v>72</v>
      </c>
      <c r="C2221" t="s">
        <v>55</v>
      </c>
      <c r="D2221" t="s">
        <v>742</v>
      </c>
      <c r="E2221" t="s">
        <v>3794</v>
      </c>
      <c r="F2221" s="121">
        <v>280</v>
      </c>
      <c r="G2221" s="121">
        <v>280</v>
      </c>
      <c r="H2221" t="s">
        <v>396</v>
      </c>
      <c r="I2221" s="156">
        <v>41257</v>
      </c>
      <c r="K2221" s="153"/>
      <c r="L2221" s="153"/>
      <c r="M2221" s="153"/>
      <c r="N2221" s="153"/>
      <c r="O2221" s="153"/>
      <c r="P2221" s="150"/>
      <c r="Q2221" s="150"/>
      <c r="R2221" s="153"/>
      <c r="S2221" s="154"/>
      <c r="T2221" s="115"/>
    </row>
    <row r="2222" spans="1:20">
      <c r="A2222" t="s">
        <v>1230</v>
      </c>
      <c r="B2222" t="s">
        <v>72</v>
      </c>
      <c r="C2222" t="s">
        <v>55</v>
      </c>
      <c r="D2222" t="s">
        <v>742</v>
      </c>
      <c r="E2222" t="s">
        <v>3795</v>
      </c>
      <c r="F2222" s="121">
        <v>280</v>
      </c>
      <c r="G2222" s="121">
        <v>280</v>
      </c>
      <c r="H2222" t="s">
        <v>474</v>
      </c>
      <c r="I2222" s="156">
        <v>41257</v>
      </c>
      <c r="K2222" s="153"/>
      <c r="L2222" s="153"/>
      <c r="M2222" s="153"/>
      <c r="N2222" s="153"/>
      <c r="O2222" s="153"/>
      <c r="P2222" s="152"/>
      <c r="Q2222" s="152"/>
      <c r="R2222" s="153"/>
      <c r="S2222" s="154"/>
      <c r="T2222" s="115"/>
    </row>
    <row r="2223" spans="1:20">
      <c r="A2223" t="s">
        <v>1230</v>
      </c>
      <c r="B2223" t="s">
        <v>72</v>
      </c>
      <c r="C2223" t="s">
        <v>55</v>
      </c>
      <c r="D2223" t="s">
        <v>742</v>
      </c>
      <c r="E2223" t="s">
        <v>3796</v>
      </c>
      <c r="F2223" s="121">
        <v>250</v>
      </c>
      <c r="G2223" s="121">
        <v>250</v>
      </c>
      <c r="H2223" t="s">
        <v>474</v>
      </c>
      <c r="I2223" s="156">
        <v>41257</v>
      </c>
      <c r="K2223" s="153"/>
      <c r="L2223" s="153"/>
      <c r="M2223" s="153"/>
      <c r="N2223" s="153"/>
      <c r="O2223" s="153"/>
      <c r="P2223" s="152"/>
      <c r="Q2223" s="152"/>
      <c r="R2223" s="153"/>
      <c r="S2223" s="154"/>
      <c r="T2223" s="115"/>
    </row>
    <row r="2224" spans="1:20">
      <c r="A2224" t="s">
        <v>1230</v>
      </c>
      <c r="B2224" t="s">
        <v>72</v>
      </c>
      <c r="C2224" t="s">
        <v>55</v>
      </c>
      <c r="D2224" t="s">
        <v>686</v>
      </c>
      <c r="E2224" t="s">
        <v>3797</v>
      </c>
      <c r="F2224" s="121">
        <v>500</v>
      </c>
      <c r="G2224" s="121">
        <v>500</v>
      </c>
      <c r="H2224" t="s">
        <v>474</v>
      </c>
      <c r="I2224" s="156">
        <v>41257</v>
      </c>
      <c r="K2224" s="153"/>
      <c r="L2224" s="153"/>
      <c r="M2224" s="153"/>
      <c r="N2224" s="153"/>
      <c r="O2224" s="153"/>
      <c r="P2224" s="150"/>
      <c r="Q2224" s="150"/>
      <c r="R2224" s="153"/>
      <c r="S2224" s="154"/>
      <c r="T2224" s="115"/>
    </row>
    <row r="2225" spans="1:20">
      <c r="A2225" t="s">
        <v>1230</v>
      </c>
      <c r="B2225" t="s">
        <v>72</v>
      </c>
      <c r="C2225" t="s">
        <v>53</v>
      </c>
      <c r="D2225" t="s">
        <v>743</v>
      </c>
      <c r="E2225" t="s">
        <v>3798</v>
      </c>
      <c r="F2225" s="121">
        <v>1620</v>
      </c>
      <c r="G2225" s="121">
        <v>1620</v>
      </c>
      <c r="H2225" t="s">
        <v>396</v>
      </c>
      <c r="I2225" s="156">
        <v>41283</v>
      </c>
      <c r="K2225" s="153"/>
      <c r="L2225" s="153"/>
      <c r="M2225" s="153"/>
      <c r="N2225" s="153"/>
      <c r="O2225" s="153"/>
      <c r="P2225" s="152"/>
      <c r="Q2225" s="152"/>
      <c r="R2225" s="153"/>
      <c r="S2225" s="154"/>
      <c r="T2225" s="115"/>
    </row>
    <row r="2226" spans="1:20">
      <c r="A2226" t="s">
        <v>1230</v>
      </c>
      <c r="B2226" t="s">
        <v>73</v>
      </c>
      <c r="C2226" t="s">
        <v>54</v>
      </c>
      <c r="D2226" t="s">
        <v>744</v>
      </c>
      <c r="E2226" t="s">
        <v>3799</v>
      </c>
      <c r="F2226" s="121">
        <v>3568.98</v>
      </c>
      <c r="G2226" s="121">
        <v>3568.98</v>
      </c>
      <c r="H2226" t="s">
        <v>519</v>
      </c>
      <c r="I2226" s="156">
        <v>41295</v>
      </c>
      <c r="K2226" s="153"/>
      <c r="L2226" s="153"/>
      <c r="M2226" s="153"/>
      <c r="N2226" s="153"/>
      <c r="O2226" s="153"/>
      <c r="P2226" s="150"/>
      <c r="Q2226" s="150"/>
      <c r="R2226" s="153"/>
      <c r="S2226" s="154"/>
      <c r="T2226" s="115"/>
    </row>
    <row r="2227" spans="1:20">
      <c r="A2227" t="s">
        <v>1230</v>
      </c>
      <c r="B2227" t="s">
        <v>73</v>
      </c>
      <c r="C2227" t="s">
        <v>54</v>
      </c>
      <c r="D2227" t="s">
        <v>744</v>
      </c>
      <c r="E2227" t="s">
        <v>3800</v>
      </c>
      <c r="F2227" s="121">
        <v>3568.98</v>
      </c>
      <c r="G2227" s="121">
        <v>3568.98</v>
      </c>
      <c r="H2227" t="s">
        <v>519</v>
      </c>
      <c r="I2227" s="156">
        <v>41295</v>
      </c>
      <c r="K2227" s="153"/>
      <c r="L2227" s="153"/>
      <c r="M2227" s="153"/>
      <c r="N2227" s="153"/>
      <c r="O2227" s="153"/>
      <c r="P2227" s="152"/>
      <c r="Q2227" s="152"/>
      <c r="R2227" s="153"/>
      <c r="S2227" s="154"/>
      <c r="T2227" s="115"/>
    </row>
    <row r="2228" spans="1:20">
      <c r="A2228" t="s">
        <v>1230</v>
      </c>
      <c r="B2228" t="s">
        <v>73</v>
      </c>
      <c r="C2228" t="s">
        <v>54</v>
      </c>
      <c r="D2228" t="s">
        <v>744</v>
      </c>
      <c r="E2228" t="s">
        <v>3801</v>
      </c>
      <c r="F2228" s="121">
        <v>3568.98</v>
      </c>
      <c r="G2228" s="121">
        <v>3568.98</v>
      </c>
      <c r="H2228" t="s">
        <v>519</v>
      </c>
      <c r="I2228" s="156">
        <v>41295</v>
      </c>
      <c r="K2228" s="153"/>
      <c r="L2228" s="153"/>
      <c r="M2228" s="153"/>
      <c r="N2228" s="153"/>
      <c r="O2228" s="153"/>
      <c r="P2228" s="150"/>
      <c r="Q2228" s="150"/>
      <c r="R2228" s="153"/>
      <c r="S2228" s="154"/>
      <c r="T2228" s="115"/>
    </row>
    <row r="2229" spans="1:20">
      <c r="A2229" t="s">
        <v>1230</v>
      </c>
      <c r="B2229" t="s">
        <v>73</v>
      </c>
      <c r="C2229" t="s">
        <v>54</v>
      </c>
      <c r="D2229" t="s">
        <v>744</v>
      </c>
      <c r="E2229" t="s">
        <v>3802</v>
      </c>
      <c r="F2229" s="121">
        <v>3568.98</v>
      </c>
      <c r="G2229" s="121">
        <v>3568.98</v>
      </c>
      <c r="H2229" t="s">
        <v>519</v>
      </c>
      <c r="I2229" s="156">
        <v>41295</v>
      </c>
      <c r="K2229" s="153"/>
      <c r="L2229" s="153"/>
      <c r="M2229" s="153"/>
      <c r="N2229" s="153"/>
      <c r="O2229" s="153"/>
      <c r="P2229" s="152"/>
      <c r="Q2229" s="152"/>
      <c r="R2229" s="153"/>
      <c r="S2229" s="154"/>
      <c r="T2229" s="115"/>
    </row>
    <row r="2230" spans="1:20">
      <c r="A2230" t="s">
        <v>1230</v>
      </c>
      <c r="B2230" t="s">
        <v>72</v>
      </c>
      <c r="C2230" t="s">
        <v>43</v>
      </c>
      <c r="D2230" t="s">
        <v>745</v>
      </c>
      <c r="E2230" t="s">
        <v>3803</v>
      </c>
      <c r="F2230" s="121">
        <v>395.12</v>
      </c>
      <c r="G2230" s="121">
        <v>395.12</v>
      </c>
      <c r="H2230" t="s">
        <v>519</v>
      </c>
      <c r="I2230" s="156">
        <v>41291</v>
      </c>
      <c r="K2230" s="153"/>
      <c r="L2230" s="153"/>
      <c r="M2230" s="153"/>
      <c r="N2230" s="153"/>
      <c r="O2230" s="153"/>
      <c r="P2230" s="150"/>
      <c r="Q2230" s="150"/>
      <c r="R2230" s="153"/>
      <c r="S2230" s="154"/>
      <c r="T2230" s="115"/>
    </row>
    <row r="2231" spans="1:20">
      <c r="A2231" t="s">
        <v>1230</v>
      </c>
      <c r="B2231" t="s">
        <v>72</v>
      </c>
      <c r="C2231" t="s">
        <v>43</v>
      </c>
      <c r="D2231" t="s">
        <v>745</v>
      </c>
      <c r="E2231" t="s">
        <v>3804</v>
      </c>
      <c r="F2231" s="121">
        <v>395.12</v>
      </c>
      <c r="G2231" s="121">
        <v>395.12</v>
      </c>
      <c r="H2231" t="s">
        <v>519</v>
      </c>
      <c r="I2231" s="156">
        <v>41291</v>
      </c>
      <c r="K2231" s="153"/>
      <c r="L2231" s="153"/>
      <c r="M2231" s="153"/>
      <c r="N2231" s="153"/>
      <c r="O2231" s="153"/>
      <c r="P2231" s="150"/>
      <c r="Q2231" s="150"/>
      <c r="R2231" s="153"/>
      <c r="S2231" s="154"/>
      <c r="T2231" s="115"/>
    </row>
    <row r="2232" spans="1:20">
      <c r="A2232" t="s">
        <v>1230</v>
      </c>
      <c r="B2232" t="s">
        <v>72</v>
      </c>
      <c r="C2232" t="s">
        <v>43</v>
      </c>
      <c r="D2232" t="s">
        <v>745</v>
      </c>
      <c r="E2232" t="s">
        <v>3805</v>
      </c>
      <c r="F2232" s="121">
        <v>395.12</v>
      </c>
      <c r="G2232" s="121">
        <v>395.12</v>
      </c>
      <c r="H2232" t="s">
        <v>519</v>
      </c>
      <c r="I2232" s="156">
        <v>41291</v>
      </c>
      <c r="K2232" s="153"/>
      <c r="L2232" s="153"/>
      <c r="M2232" s="153"/>
      <c r="N2232" s="153"/>
      <c r="O2232" s="153"/>
      <c r="P2232" s="152"/>
      <c r="Q2232" s="152"/>
      <c r="R2232" s="153"/>
      <c r="S2232" s="154"/>
      <c r="T2232" s="115"/>
    </row>
    <row r="2233" spans="1:20">
      <c r="A2233" t="s">
        <v>1230</v>
      </c>
      <c r="B2233" t="s">
        <v>72</v>
      </c>
      <c r="C2233" t="s">
        <v>43</v>
      </c>
      <c r="D2233" t="s">
        <v>745</v>
      </c>
      <c r="E2233" t="s">
        <v>3806</v>
      </c>
      <c r="F2233" s="121">
        <v>395.12</v>
      </c>
      <c r="G2233" s="121">
        <v>395.12</v>
      </c>
      <c r="H2233" t="s">
        <v>519</v>
      </c>
      <c r="I2233" s="156">
        <v>41291</v>
      </c>
      <c r="K2233" s="153"/>
      <c r="L2233" s="153"/>
      <c r="M2233" s="153"/>
      <c r="N2233" s="153"/>
      <c r="O2233" s="153"/>
      <c r="P2233" s="150"/>
      <c r="Q2233" s="150"/>
      <c r="R2233" s="153"/>
      <c r="S2233" s="154"/>
      <c r="T2233" s="115"/>
    </row>
    <row r="2234" spans="1:20">
      <c r="A2234" t="s">
        <v>1230</v>
      </c>
      <c r="B2234" t="s">
        <v>72</v>
      </c>
      <c r="C2234" t="s">
        <v>43</v>
      </c>
      <c r="D2234" t="s">
        <v>745</v>
      </c>
      <c r="E2234" t="s">
        <v>3807</v>
      </c>
      <c r="F2234" s="121">
        <v>395.12</v>
      </c>
      <c r="G2234" s="121">
        <v>395.12</v>
      </c>
      <c r="H2234" t="s">
        <v>519</v>
      </c>
      <c r="I2234" s="156">
        <v>41291</v>
      </c>
      <c r="K2234" s="153"/>
      <c r="L2234" s="153"/>
      <c r="M2234" s="153"/>
      <c r="N2234" s="153"/>
      <c r="O2234" s="153"/>
      <c r="P2234" s="152"/>
      <c r="Q2234" s="152"/>
      <c r="R2234" s="153"/>
      <c r="S2234" s="154"/>
      <c r="T2234" s="115"/>
    </row>
    <row r="2235" spans="1:20">
      <c r="A2235" t="s">
        <v>1230</v>
      </c>
      <c r="B2235" t="s">
        <v>72</v>
      </c>
      <c r="C2235" t="s">
        <v>43</v>
      </c>
      <c r="D2235" t="s">
        <v>745</v>
      </c>
      <c r="E2235" t="s">
        <v>3808</v>
      </c>
      <c r="F2235" s="121">
        <v>395.12</v>
      </c>
      <c r="G2235" s="121">
        <v>395.12</v>
      </c>
      <c r="H2235" t="s">
        <v>457</v>
      </c>
      <c r="I2235" s="156">
        <v>41291</v>
      </c>
      <c r="K2235" s="153"/>
      <c r="L2235" s="153"/>
      <c r="M2235" s="153"/>
      <c r="N2235" s="153"/>
      <c r="O2235" s="153"/>
      <c r="P2235" s="152"/>
      <c r="Q2235" s="152"/>
      <c r="R2235" s="153"/>
      <c r="S2235" s="154"/>
      <c r="T2235" s="115"/>
    </row>
    <row r="2236" spans="1:20">
      <c r="A2236" t="s">
        <v>1230</v>
      </c>
      <c r="B2236" t="s">
        <v>72</v>
      </c>
      <c r="C2236" t="s">
        <v>43</v>
      </c>
      <c r="D2236" t="s">
        <v>745</v>
      </c>
      <c r="E2236" t="s">
        <v>3809</v>
      </c>
      <c r="F2236" s="121">
        <v>392.81</v>
      </c>
      <c r="G2236" s="121">
        <v>392.81</v>
      </c>
      <c r="H2236" t="s">
        <v>519</v>
      </c>
      <c r="I2236" s="156">
        <v>41291</v>
      </c>
      <c r="K2236" s="153"/>
      <c r="L2236" s="153"/>
      <c r="M2236" s="153"/>
      <c r="N2236" s="153"/>
      <c r="O2236" s="153"/>
      <c r="P2236" s="150"/>
      <c r="Q2236" s="150"/>
      <c r="R2236" s="153"/>
      <c r="S2236" s="154"/>
      <c r="T2236" s="115"/>
    </row>
    <row r="2237" spans="1:20">
      <c r="A2237" t="s">
        <v>1230</v>
      </c>
      <c r="B2237" t="s">
        <v>72</v>
      </c>
      <c r="C2237" t="s">
        <v>43</v>
      </c>
      <c r="D2237" t="s">
        <v>745</v>
      </c>
      <c r="E2237" t="s">
        <v>3810</v>
      </c>
      <c r="F2237" s="121">
        <v>392.81</v>
      </c>
      <c r="G2237" s="121">
        <v>392.81</v>
      </c>
      <c r="H2237" t="s">
        <v>519</v>
      </c>
      <c r="I2237" s="156">
        <v>41291</v>
      </c>
      <c r="K2237" s="153"/>
      <c r="L2237" s="153"/>
      <c r="M2237" s="153"/>
      <c r="N2237" s="153"/>
      <c r="O2237" s="153"/>
      <c r="P2237" s="152"/>
      <c r="Q2237" s="152"/>
      <c r="R2237" s="153"/>
      <c r="S2237" s="154"/>
      <c r="T2237" s="115"/>
    </row>
    <row r="2238" spans="1:20">
      <c r="A2238" t="s">
        <v>1230</v>
      </c>
      <c r="B2238" t="s">
        <v>72</v>
      </c>
      <c r="C2238" t="s">
        <v>43</v>
      </c>
      <c r="D2238" t="s">
        <v>745</v>
      </c>
      <c r="E2238" t="s">
        <v>3811</v>
      </c>
      <c r="F2238" s="121">
        <v>392.81</v>
      </c>
      <c r="G2238" s="121">
        <v>392.81</v>
      </c>
      <c r="H2238" t="s">
        <v>519</v>
      </c>
      <c r="I2238" s="156">
        <v>41291</v>
      </c>
      <c r="K2238" s="153"/>
      <c r="L2238" s="153"/>
      <c r="M2238" s="153"/>
      <c r="N2238" s="153"/>
      <c r="O2238" s="153"/>
      <c r="P2238" s="152"/>
      <c r="Q2238" s="152"/>
      <c r="R2238" s="153"/>
      <c r="S2238" s="154"/>
      <c r="T2238" s="115"/>
    </row>
    <row r="2239" spans="1:20">
      <c r="A2239" t="s">
        <v>1230</v>
      </c>
      <c r="B2239" t="s">
        <v>72</v>
      </c>
      <c r="C2239" t="s">
        <v>43</v>
      </c>
      <c r="D2239" t="s">
        <v>745</v>
      </c>
      <c r="E2239" t="s">
        <v>3812</v>
      </c>
      <c r="F2239" s="121">
        <v>392.82</v>
      </c>
      <c r="G2239" s="121">
        <v>392.82</v>
      </c>
      <c r="H2239" t="s">
        <v>519</v>
      </c>
      <c r="I2239" s="156">
        <v>41291</v>
      </c>
      <c r="K2239" s="153"/>
      <c r="L2239" s="153"/>
      <c r="M2239" s="153"/>
      <c r="N2239" s="153"/>
      <c r="O2239" s="153"/>
      <c r="P2239" s="152"/>
      <c r="Q2239" s="152"/>
      <c r="R2239" s="153"/>
      <c r="S2239" s="154"/>
      <c r="T2239" s="115"/>
    </row>
    <row r="2240" spans="1:20">
      <c r="A2240" t="s">
        <v>1230</v>
      </c>
      <c r="B2240" t="s">
        <v>72</v>
      </c>
      <c r="C2240" t="s">
        <v>43</v>
      </c>
      <c r="D2240" t="s">
        <v>746</v>
      </c>
      <c r="E2240" t="s">
        <v>3813</v>
      </c>
      <c r="F2240" s="121">
        <v>1109.33</v>
      </c>
      <c r="G2240" s="121">
        <v>1109.33</v>
      </c>
      <c r="H2240" t="s">
        <v>519</v>
      </c>
      <c r="I2240" s="156">
        <v>41291</v>
      </c>
      <c r="K2240" s="153"/>
      <c r="L2240" s="153"/>
      <c r="M2240" s="153"/>
      <c r="N2240" s="153"/>
      <c r="O2240" s="153"/>
      <c r="P2240" s="152"/>
      <c r="Q2240" s="152"/>
      <c r="R2240" s="153"/>
      <c r="S2240" s="154"/>
      <c r="T2240" s="115"/>
    </row>
    <row r="2241" spans="1:20">
      <c r="A2241" t="s">
        <v>1230</v>
      </c>
      <c r="B2241" t="s">
        <v>72</v>
      </c>
      <c r="C2241" t="s">
        <v>43</v>
      </c>
      <c r="D2241" t="s">
        <v>746</v>
      </c>
      <c r="E2241" t="s">
        <v>3814</v>
      </c>
      <c r="F2241" s="121">
        <v>1109.33</v>
      </c>
      <c r="G2241" s="121">
        <v>1109.33</v>
      </c>
      <c r="H2241" t="s">
        <v>519</v>
      </c>
      <c r="I2241" s="156">
        <v>41291</v>
      </c>
      <c r="K2241" s="153"/>
      <c r="L2241" s="153"/>
      <c r="M2241" s="153"/>
      <c r="N2241" s="153"/>
      <c r="O2241" s="153"/>
      <c r="P2241" s="152"/>
      <c r="Q2241" s="152"/>
      <c r="R2241" s="153"/>
      <c r="S2241" s="154"/>
      <c r="T2241" s="115"/>
    </row>
    <row r="2242" spans="1:20">
      <c r="A2242" t="s">
        <v>1230</v>
      </c>
      <c r="B2242" t="s">
        <v>72</v>
      </c>
      <c r="C2242" t="s">
        <v>43</v>
      </c>
      <c r="D2242" t="s">
        <v>746</v>
      </c>
      <c r="E2242" t="s">
        <v>3815</v>
      </c>
      <c r="F2242" s="121">
        <v>1109.33</v>
      </c>
      <c r="G2242" s="121">
        <v>1109.33</v>
      </c>
      <c r="H2242" t="s">
        <v>519</v>
      </c>
      <c r="I2242" s="156">
        <v>41291</v>
      </c>
      <c r="K2242" s="153"/>
      <c r="L2242" s="153"/>
      <c r="M2242" s="153"/>
      <c r="N2242" s="153"/>
      <c r="O2242" s="153"/>
      <c r="P2242" s="152"/>
      <c r="Q2242" s="152"/>
      <c r="R2242" s="153"/>
      <c r="S2242" s="154"/>
      <c r="T2242" s="115"/>
    </row>
    <row r="2243" spans="1:20">
      <c r="A2243" t="s">
        <v>1230</v>
      </c>
      <c r="B2243" t="s">
        <v>72</v>
      </c>
      <c r="C2243" t="s">
        <v>43</v>
      </c>
      <c r="D2243" t="s">
        <v>746</v>
      </c>
      <c r="E2243" t="s">
        <v>3816</v>
      </c>
      <c r="F2243" s="121">
        <v>1109.33</v>
      </c>
      <c r="G2243" s="121">
        <v>1109.33</v>
      </c>
      <c r="H2243" t="s">
        <v>519</v>
      </c>
      <c r="I2243" s="156">
        <v>41291</v>
      </c>
      <c r="K2243" s="153"/>
      <c r="L2243" s="153"/>
      <c r="M2243" s="153"/>
      <c r="N2243" s="153"/>
      <c r="O2243" s="153"/>
      <c r="P2243" s="152"/>
      <c r="Q2243" s="152"/>
      <c r="R2243" s="153"/>
      <c r="S2243" s="154"/>
      <c r="T2243" s="115"/>
    </row>
    <row r="2244" spans="1:20">
      <c r="A2244" t="s">
        <v>1230</v>
      </c>
      <c r="B2244" t="s">
        <v>72</v>
      </c>
      <c r="C2244" t="s">
        <v>43</v>
      </c>
      <c r="D2244" t="s">
        <v>718</v>
      </c>
      <c r="E2244" t="s">
        <v>3817</v>
      </c>
      <c r="F2244" s="121">
        <v>1177.92</v>
      </c>
      <c r="G2244" s="121">
        <v>1177.92</v>
      </c>
      <c r="H2244" t="s">
        <v>457</v>
      </c>
      <c r="I2244" s="156">
        <v>41284</v>
      </c>
      <c r="K2244" s="153"/>
      <c r="L2244" s="153"/>
      <c r="M2244" s="153"/>
      <c r="N2244" s="153"/>
      <c r="O2244" s="153"/>
      <c r="P2244" s="152"/>
      <c r="Q2244" s="152"/>
      <c r="R2244" s="153"/>
      <c r="S2244" s="154"/>
      <c r="T2244" s="115"/>
    </row>
    <row r="2245" spans="1:20">
      <c r="A2245" t="s">
        <v>1230</v>
      </c>
      <c r="B2245" t="s">
        <v>72</v>
      </c>
      <c r="C2245" t="s">
        <v>43</v>
      </c>
      <c r="D2245" t="s">
        <v>718</v>
      </c>
      <c r="E2245" t="s">
        <v>3818</v>
      </c>
      <c r="F2245" s="121">
        <v>1177.92</v>
      </c>
      <c r="G2245" s="121">
        <v>1177.92</v>
      </c>
      <c r="H2245" t="s">
        <v>519</v>
      </c>
      <c r="I2245" s="156">
        <v>41284</v>
      </c>
      <c r="K2245" s="153"/>
      <c r="L2245" s="153"/>
      <c r="M2245" s="153"/>
      <c r="N2245" s="153"/>
      <c r="O2245" s="153"/>
      <c r="P2245" s="152"/>
      <c r="Q2245" s="152"/>
      <c r="R2245" s="153"/>
      <c r="S2245" s="154"/>
      <c r="T2245" s="115"/>
    </row>
    <row r="2246" spans="1:20">
      <c r="A2246" t="s">
        <v>1230</v>
      </c>
      <c r="B2246" t="s">
        <v>72</v>
      </c>
      <c r="C2246" t="s">
        <v>43</v>
      </c>
      <c r="D2246" t="s">
        <v>718</v>
      </c>
      <c r="E2246" t="s">
        <v>3819</v>
      </c>
      <c r="F2246" s="121">
        <v>1177.92</v>
      </c>
      <c r="G2246" s="121">
        <v>1177.92</v>
      </c>
      <c r="H2246" t="s">
        <v>519</v>
      </c>
      <c r="I2246" s="156">
        <v>41284</v>
      </c>
      <c r="K2246" s="153"/>
      <c r="L2246" s="153"/>
      <c r="M2246" s="153"/>
      <c r="N2246" s="153"/>
      <c r="O2246" s="153"/>
      <c r="P2246" s="152"/>
      <c r="Q2246" s="152"/>
      <c r="R2246" s="153"/>
      <c r="S2246" s="154"/>
      <c r="T2246" s="115"/>
    </row>
    <row r="2247" spans="1:20">
      <c r="A2247" t="s">
        <v>1230</v>
      </c>
      <c r="B2247" t="s">
        <v>72</v>
      </c>
      <c r="C2247" t="s">
        <v>43</v>
      </c>
      <c r="D2247" t="s">
        <v>718</v>
      </c>
      <c r="E2247" t="s">
        <v>3820</v>
      </c>
      <c r="F2247" s="121">
        <v>1177.92</v>
      </c>
      <c r="G2247" s="121">
        <v>1177.92</v>
      </c>
      <c r="H2247" t="s">
        <v>519</v>
      </c>
      <c r="I2247" s="156">
        <v>41284</v>
      </c>
      <c r="K2247" s="153"/>
      <c r="L2247" s="153"/>
      <c r="M2247" s="153"/>
      <c r="N2247" s="153"/>
      <c r="O2247" s="153"/>
      <c r="P2247" s="152"/>
      <c r="Q2247" s="152"/>
      <c r="R2247" s="153"/>
      <c r="S2247" s="154"/>
      <c r="T2247" s="115"/>
    </row>
    <row r="2248" spans="1:20">
      <c r="A2248" t="s">
        <v>1230</v>
      </c>
      <c r="B2248" t="s">
        <v>72</v>
      </c>
      <c r="C2248" t="s">
        <v>43</v>
      </c>
      <c r="D2248" t="s">
        <v>718</v>
      </c>
      <c r="E2248" t="s">
        <v>3821</v>
      </c>
      <c r="F2248" s="121">
        <v>1177.92</v>
      </c>
      <c r="G2248" s="121">
        <v>1177.92</v>
      </c>
      <c r="H2248" t="s">
        <v>519</v>
      </c>
      <c r="I2248" s="156">
        <v>41284</v>
      </c>
      <c r="K2248" s="153"/>
      <c r="L2248" s="153"/>
      <c r="M2248" s="153"/>
      <c r="N2248" s="153"/>
      <c r="O2248" s="153"/>
      <c r="P2248" s="152"/>
      <c r="Q2248" s="152"/>
      <c r="R2248" s="153"/>
      <c r="S2248" s="154"/>
      <c r="T2248" s="115"/>
    </row>
    <row r="2249" spans="1:20">
      <c r="A2249" t="s">
        <v>1230</v>
      </c>
      <c r="B2249" t="s">
        <v>72</v>
      </c>
      <c r="C2249" t="s">
        <v>43</v>
      </c>
      <c r="D2249" t="s">
        <v>718</v>
      </c>
      <c r="E2249" t="s">
        <v>3822</v>
      </c>
      <c r="F2249" s="121">
        <v>1177.92</v>
      </c>
      <c r="G2249" s="121">
        <v>1177.92</v>
      </c>
      <c r="H2249" t="s">
        <v>519</v>
      </c>
      <c r="I2249" s="156">
        <v>41284</v>
      </c>
      <c r="K2249" s="153"/>
      <c r="L2249" s="153"/>
      <c r="M2249" s="153"/>
      <c r="N2249" s="153"/>
      <c r="O2249" s="153"/>
      <c r="P2249" s="152"/>
      <c r="Q2249" s="152"/>
      <c r="R2249" s="153"/>
      <c r="S2249" s="154"/>
      <c r="T2249" s="115"/>
    </row>
    <row r="2250" spans="1:20">
      <c r="A2250" t="s">
        <v>1230</v>
      </c>
      <c r="B2250" t="s">
        <v>72</v>
      </c>
      <c r="C2250" t="s">
        <v>55</v>
      </c>
      <c r="D2250" t="s">
        <v>701</v>
      </c>
      <c r="E2250" t="s">
        <v>3823</v>
      </c>
      <c r="F2250" s="121">
        <v>380</v>
      </c>
      <c r="G2250" s="121">
        <v>380</v>
      </c>
      <c r="H2250" t="s">
        <v>747</v>
      </c>
      <c r="I2250" s="156">
        <v>41291</v>
      </c>
      <c r="K2250" s="153"/>
      <c r="L2250" s="153"/>
      <c r="M2250" s="153"/>
      <c r="N2250" s="153"/>
      <c r="O2250" s="153"/>
      <c r="P2250" s="152"/>
      <c r="Q2250" s="152"/>
      <c r="R2250" s="153"/>
      <c r="S2250" s="154"/>
      <c r="T2250" s="115"/>
    </row>
    <row r="2251" spans="1:20">
      <c r="A2251" t="s">
        <v>1230</v>
      </c>
      <c r="B2251" t="s">
        <v>72</v>
      </c>
      <c r="C2251" t="s">
        <v>55</v>
      </c>
      <c r="D2251" t="s">
        <v>701</v>
      </c>
      <c r="E2251" t="s">
        <v>3824</v>
      </c>
      <c r="F2251" s="121">
        <v>380</v>
      </c>
      <c r="G2251" s="121">
        <v>380</v>
      </c>
      <c r="H2251" t="s">
        <v>747</v>
      </c>
      <c r="I2251" s="156">
        <v>41291</v>
      </c>
      <c r="K2251" s="153"/>
      <c r="L2251" s="153"/>
      <c r="M2251" s="153"/>
      <c r="N2251" s="153"/>
      <c r="O2251" s="153"/>
      <c r="P2251" s="152"/>
      <c r="Q2251" s="152"/>
      <c r="R2251" s="153"/>
      <c r="S2251" s="154"/>
      <c r="T2251" s="115"/>
    </row>
    <row r="2252" spans="1:20">
      <c r="A2252" t="s">
        <v>1230</v>
      </c>
      <c r="B2252" t="s">
        <v>72</v>
      </c>
      <c r="C2252" t="s">
        <v>55</v>
      </c>
      <c r="D2252" t="s">
        <v>748</v>
      </c>
      <c r="E2252" t="s">
        <v>3825</v>
      </c>
      <c r="F2252" s="121">
        <v>195</v>
      </c>
      <c r="G2252" s="121">
        <v>195</v>
      </c>
      <c r="H2252" t="s">
        <v>747</v>
      </c>
      <c r="I2252" s="156">
        <v>41291</v>
      </c>
      <c r="K2252" s="153"/>
      <c r="L2252" s="153"/>
      <c r="M2252" s="153"/>
      <c r="N2252" s="153"/>
      <c r="O2252" s="153"/>
      <c r="P2252" s="152"/>
      <c r="Q2252" s="152"/>
      <c r="R2252" s="153"/>
      <c r="S2252" s="154"/>
      <c r="T2252" s="115"/>
    </row>
    <row r="2253" spans="1:20">
      <c r="A2253" t="s">
        <v>1230</v>
      </c>
      <c r="B2253" t="s">
        <v>72</v>
      </c>
      <c r="C2253" t="s">
        <v>55</v>
      </c>
      <c r="D2253" t="s">
        <v>749</v>
      </c>
      <c r="E2253" t="s">
        <v>3826</v>
      </c>
      <c r="F2253" s="121">
        <v>1490</v>
      </c>
      <c r="G2253" s="121">
        <v>1490</v>
      </c>
      <c r="H2253" t="s">
        <v>747</v>
      </c>
      <c r="I2253" s="156">
        <v>41291</v>
      </c>
      <c r="K2253" s="153"/>
      <c r="L2253" s="153"/>
      <c r="M2253" s="153"/>
      <c r="N2253" s="153"/>
      <c r="O2253" s="153"/>
      <c r="P2253" s="152"/>
      <c r="Q2253" s="152"/>
      <c r="R2253" s="153"/>
      <c r="S2253" s="154"/>
      <c r="T2253" s="115"/>
    </row>
    <row r="2254" spans="1:20">
      <c r="A2254" t="s">
        <v>1230</v>
      </c>
      <c r="B2254" t="s">
        <v>73</v>
      </c>
      <c r="C2254" t="s">
        <v>54</v>
      </c>
      <c r="D2254" t="s">
        <v>750</v>
      </c>
      <c r="E2254" t="s">
        <v>3827</v>
      </c>
      <c r="F2254" s="121">
        <v>231</v>
      </c>
      <c r="G2254" s="121">
        <v>231</v>
      </c>
      <c r="H2254" t="s">
        <v>519</v>
      </c>
      <c r="I2254" s="156">
        <v>41285</v>
      </c>
      <c r="K2254" s="153"/>
      <c r="L2254" s="153"/>
      <c r="M2254" s="153"/>
      <c r="N2254" s="153"/>
      <c r="O2254" s="153"/>
      <c r="P2254" s="152"/>
      <c r="Q2254" s="152"/>
      <c r="R2254" s="153"/>
      <c r="S2254" s="154"/>
      <c r="T2254" s="115"/>
    </row>
    <row r="2255" spans="1:20">
      <c r="A2255" t="s">
        <v>1230</v>
      </c>
      <c r="B2255" t="s">
        <v>73</v>
      </c>
      <c r="C2255" t="s">
        <v>54</v>
      </c>
      <c r="D2255" t="s">
        <v>751</v>
      </c>
      <c r="E2255" t="s">
        <v>3828</v>
      </c>
      <c r="F2255" s="121">
        <v>589</v>
      </c>
      <c r="G2255" s="121">
        <v>589</v>
      </c>
      <c r="H2255" t="s">
        <v>519</v>
      </c>
      <c r="I2255" s="156">
        <v>41285</v>
      </c>
      <c r="K2255" s="153"/>
      <c r="L2255" s="153"/>
      <c r="M2255" s="153"/>
      <c r="N2255" s="153"/>
      <c r="O2255" s="153"/>
      <c r="P2255" s="150"/>
      <c r="Q2255" s="150"/>
      <c r="R2255" s="153"/>
      <c r="S2255" s="154"/>
      <c r="T2255" s="115"/>
    </row>
    <row r="2256" spans="1:20">
      <c r="A2256" t="s">
        <v>1230</v>
      </c>
      <c r="B2256" t="s">
        <v>73</v>
      </c>
      <c r="C2256" t="s">
        <v>54</v>
      </c>
      <c r="D2256" t="s">
        <v>752</v>
      </c>
      <c r="E2256" t="s">
        <v>3829</v>
      </c>
      <c r="F2256" s="121">
        <v>356</v>
      </c>
      <c r="G2256" s="121">
        <v>356</v>
      </c>
      <c r="H2256" t="s">
        <v>519</v>
      </c>
      <c r="I2256" s="156">
        <v>41285</v>
      </c>
      <c r="K2256" s="153"/>
      <c r="L2256" s="153"/>
      <c r="M2256" s="153"/>
      <c r="N2256" s="153"/>
      <c r="O2256" s="153"/>
      <c r="P2256" s="152"/>
      <c r="Q2256" s="152"/>
      <c r="R2256" s="153"/>
      <c r="S2256" s="154"/>
      <c r="T2256" s="115"/>
    </row>
    <row r="2257" spans="1:20">
      <c r="A2257" t="s">
        <v>1230</v>
      </c>
      <c r="B2257" t="s">
        <v>73</v>
      </c>
      <c r="C2257" t="s">
        <v>54</v>
      </c>
      <c r="D2257" t="s">
        <v>752</v>
      </c>
      <c r="E2257" t="s">
        <v>3830</v>
      </c>
      <c r="F2257" s="121">
        <v>364</v>
      </c>
      <c r="G2257" s="121">
        <v>364</v>
      </c>
      <c r="H2257" t="s">
        <v>519</v>
      </c>
      <c r="I2257" s="156">
        <v>41285</v>
      </c>
      <c r="K2257" s="153"/>
      <c r="L2257" s="153"/>
      <c r="M2257" s="153"/>
      <c r="N2257" s="153"/>
      <c r="O2257" s="153"/>
      <c r="P2257" s="152"/>
      <c r="Q2257" s="152"/>
      <c r="R2257" s="153"/>
      <c r="S2257" s="154"/>
      <c r="T2257" s="115"/>
    </row>
    <row r="2258" spans="1:20">
      <c r="A2258" t="s">
        <v>1230</v>
      </c>
      <c r="B2258" t="s">
        <v>72</v>
      </c>
      <c r="C2258" t="s">
        <v>55</v>
      </c>
      <c r="D2258" t="s">
        <v>754</v>
      </c>
      <c r="E2258" t="s">
        <v>3831</v>
      </c>
      <c r="F2258" s="121">
        <v>249</v>
      </c>
      <c r="G2258" s="121">
        <v>249</v>
      </c>
      <c r="H2258" t="s">
        <v>507</v>
      </c>
      <c r="I2258" s="156">
        <v>41291</v>
      </c>
      <c r="K2258" s="153"/>
      <c r="L2258" s="153"/>
      <c r="M2258" s="153"/>
      <c r="N2258" s="153"/>
      <c r="O2258" s="153"/>
      <c r="P2258" s="152"/>
      <c r="Q2258" s="152"/>
      <c r="R2258" s="153"/>
      <c r="S2258" s="154"/>
      <c r="T2258" s="115"/>
    </row>
    <row r="2259" spans="1:20">
      <c r="A2259" t="s">
        <v>1230</v>
      </c>
      <c r="B2259" t="s">
        <v>72</v>
      </c>
      <c r="C2259" t="s">
        <v>55</v>
      </c>
      <c r="D2259" t="s">
        <v>753</v>
      </c>
      <c r="E2259" t="s">
        <v>3831</v>
      </c>
      <c r="F2259" s="121">
        <v>129</v>
      </c>
      <c r="G2259" s="121">
        <v>129</v>
      </c>
      <c r="H2259" t="s">
        <v>507</v>
      </c>
      <c r="I2259" s="156">
        <v>41291</v>
      </c>
      <c r="K2259" s="153"/>
      <c r="L2259" s="153"/>
      <c r="M2259" s="153"/>
      <c r="N2259" s="153"/>
      <c r="O2259" s="153"/>
      <c r="P2259" s="152"/>
      <c r="Q2259" s="152"/>
      <c r="R2259" s="153"/>
      <c r="S2259" s="154"/>
      <c r="T2259" s="115"/>
    </row>
    <row r="2260" spans="1:20">
      <c r="A2260" t="s">
        <v>1230</v>
      </c>
      <c r="B2260" t="s">
        <v>72</v>
      </c>
      <c r="C2260" t="s">
        <v>55</v>
      </c>
      <c r="D2260" t="s">
        <v>597</v>
      </c>
      <c r="E2260" t="s">
        <v>3831</v>
      </c>
      <c r="F2260" s="121">
        <v>379</v>
      </c>
      <c r="G2260" s="121">
        <v>379</v>
      </c>
      <c r="H2260" t="s">
        <v>507</v>
      </c>
      <c r="I2260" s="156">
        <v>41291</v>
      </c>
      <c r="K2260" s="153"/>
      <c r="L2260" s="153"/>
      <c r="M2260" s="153"/>
      <c r="N2260" s="153"/>
      <c r="O2260" s="153"/>
      <c r="P2260" s="152"/>
      <c r="Q2260" s="152"/>
      <c r="R2260" s="153"/>
      <c r="S2260" s="154"/>
      <c r="T2260" s="115"/>
    </row>
    <row r="2261" spans="1:20">
      <c r="A2261" t="s">
        <v>1230</v>
      </c>
      <c r="B2261" t="s">
        <v>72</v>
      </c>
      <c r="C2261" t="s">
        <v>55</v>
      </c>
      <c r="D2261" t="s">
        <v>755</v>
      </c>
      <c r="E2261" t="s">
        <v>3832</v>
      </c>
      <c r="F2261" s="121">
        <v>299</v>
      </c>
      <c r="G2261" s="121">
        <v>299</v>
      </c>
      <c r="H2261" t="s">
        <v>507</v>
      </c>
      <c r="I2261" s="156">
        <v>41291</v>
      </c>
      <c r="K2261" s="153"/>
      <c r="L2261" s="153"/>
      <c r="M2261" s="153"/>
      <c r="N2261" s="153"/>
      <c r="O2261" s="153"/>
      <c r="P2261" s="152"/>
      <c r="Q2261" s="152"/>
      <c r="R2261" s="153"/>
      <c r="S2261" s="154"/>
      <c r="T2261" s="115"/>
    </row>
    <row r="2262" spans="1:20">
      <c r="A2262" t="s">
        <v>1230</v>
      </c>
      <c r="B2262" t="s">
        <v>72</v>
      </c>
      <c r="C2262" t="s">
        <v>43</v>
      </c>
      <c r="D2262" t="s">
        <v>756</v>
      </c>
      <c r="E2262" t="s">
        <v>3833</v>
      </c>
      <c r="F2262" s="121">
        <v>900</v>
      </c>
      <c r="G2262" s="121">
        <v>900</v>
      </c>
      <c r="H2262" t="s">
        <v>396</v>
      </c>
      <c r="I2262" s="156">
        <v>41291</v>
      </c>
      <c r="K2262" s="153"/>
      <c r="L2262" s="153"/>
      <c r="M2262" s="153"/>
      <c r="N2262" s="153"/>
      <c r="O2262" s="153"/>
      <c r="P2262" s="150"/>
      <c r="Q2262" s="150"/>
      <c r="R2262" s="153"/>
      <c r="S2262" s="154"/>
      <c r="T2262" s="115"/>
    </row>
    <row r="2263" spans="1:20">
      <c r="A2263" t="s">
        <v>1230</v>
      </c>
      <c r="B2263" t="s">
        <v>72</v>
      </c>
      <c r="C2263" t="s">
        <v>43</v>
      </c>
      <c r="D2263" t="s">
        <v>756</v>
      </c>
      <c r="E2263" t="s">
        <v>3834</v>
      </c>
      <c r="F2263" s="121">
        <v>900</v>
      </c>
      <c r="G2263" s="121">
        <v>900</v>
      </c>
      <c r="H2263" t="s">
        <v>396</v>
      </c>
      <c r="I2263" s="156">
        <v>41291</v>
      </c>
      <c r="K2263" s="153"/>
      <c r="L2263" s="153"/>
      <c r="M2263" s="153"/>
      <c r="N2263" s="153"/>
      <c r="O2263" s="153"/>
      <c r="P2263" s="150"/>
      <c r="Q2263" s="150"/>
      <c r="R2263" s="153"/>
      <c r="S2263" s="154"/>
      <c r="T2263" s="115"/>
    </row>
    <row r="2264" spans="1:20">
      <c r="A2264" t="s">
        <v>1230</v>
      </c>
      <c r="B2264" t="s">
        <v>72</v>
      </c>
      <c r="C2264" t="s">
        <v>43</v>
      </c>
      <c r="D2264" t="s">
        <v>757</v>
      </c>
      <c r="E2264" t="s">
        <v>3835</v>
      </c>
      <c r="F2264" s="121">
        <v>1499</v>
      </c>
      <c r="G2264" s="121">
        <v>1499</v>
      </c>
      <c r="H2264" t="s">
        <v>747</v>
      </c>
      <c r="I2264" s="156">
        <v>41290</v>
      </c>
      <c r="K2264" s="153"/>
      <c r="L2264" s="153"/>
      <c r="M2264" s="153"/>
      <c r="N2264" s="153"/>
      <c r="O2264" s="153"/>
      <c r="P2264" s="150"/>
      <c r="Q2264" s="150"/>
      <c r="R2264" s="153"/>
      <c r="S2264" s="154"/>
      <c r="T2264" s="115"/>
    </row>
    <row r="2265" spans="1:20">
      <c r="A2265" t="s">
        <v>1230</v>
      </c>
      <c r="B2265" t="s">
        <v>72</v>
      </c>
      <c r="C2265" t="s">
        <v>43</v>
      </c>
      <c r="D2265" t="s">
        <v>758</v>
      </c>
      <c r="E2265" t="s">
        <v>3836</v>
      </c>
      <c r="F2265" s="121">
        <v>394.82</v>
      </c>
      <c r="G2265" s="121">
        <v>394.82</v>
      </c>
      <c r="H2265" t="s">
        <v>759</v>
      </c>
      <c r="I2265" s="156">
        <v>41296</v>
      </c>
      <c r="K2265" s="153"/>
      <c r="L2265" s="153"/>
      <c r="M2265" s="153"/>
      <c r="N2265" s="153"/>
      <c r="O2265" s="153"/>
      <c r="P2265" s="150"/>
      <c r="Q2265" s="150"/>
      <c r="R2265" s="153"/>
      <c r="S2265" s="154"/>
      <c r="T2265" s="115"/>
    </row>
    <row r="2266" spans="1:20">
      <c r="A2266" t="s">
        <v>1230</v>
      </c>
      <c r="B2266" t="s">
        <v>72</v>
      </c>
      <c r="C2266" t="s">
        <v>55</v>
      </c>
      <c r="D2266" t="s">
        <v>701</v>
      </c>
      <c r="E2266" t="s">
        <v>3837</v>
      </c>
      <c r="F2266" s="121">
        <v>385</v>
      </c>
      <c r="G2266" s="121">
        <v>385</v>
      </c>
      <c r="H2266" t="s">
        <v>396</v>
      </c>
      <c r="I2266" s="156">
        <v>41304</v>
      </c>
      <c r="K2266" s="153"/>
      <c r="L2266" s="153"/>
      <c r="M2266" s="153"/>
      <c r="N2266" s="153"/>
      <c r="O2266" s="153"/>
      <c r="P2266" s="150"/>
      <c r="Q2266" s="150"/>
      <c r="R2266" s="153"/>
      <c r="S2266" s="154"/>
      <c r="T2266" s="115"/>
    </row>
    <row r="2267" spans="1:20">
      <c r="A2267" t="s">
        <v>1230</v>
      </c>
      <c r="B2267" t="s">
        <v>73</v>
      </c>
      <c r="C2267" t="s">
        <v>54</v>
      </c>
      <c r="D2267" t="s">
        <v>750</v>
      </c>
      <c r="E2267" t="s">
        <v>3838</v>
      </c>
      <c r="F2267" s="121">
        <v>231</v>
      </c>
      <c r="G2267" s="121">
        <v>231</v>
      </c>
      <c r="H2267" t="s">
        <v>519</v>
      </c>
      <c r="I2267" s="156">
        <v>41304</v>
      </c>
      <c r="K2267" s="153"/>
      <c r="L2267" s="153"/>
      <c r="M2267" s="153"/>
      <c r="N2267" s="153"/>
      <c r="O2267" s="153"/>
      <c r="P2267" s="150"/>
      <c r="Q2267" s="150"/>
      <c r="R2267" s="153"/>
      <c r="S2267" s="154"/>
      <c r="T2267" s="115"/>
    </row>
    <row r="2268" spans="1:20">
      <c r="A2268" t="s">
        <v>1230</v>
      </c>
      <c r="B2268" t="s">
        <v>73</v>
      </c>
      <c r="C2268" t="s">
        <v>54</v>
      </c>
      <c r="D2268" t="s">
        <v>760</v>
      </c>
      <c r="E2268" t="s">
        <v>3839</v>
      </c>
      <c r="F2268" s="121">
        <v>166.5</v>
      </c>
      <c r="G2268" s="121">
        <v>166.5</v>
      </c>
      <c r="H2268" t="s">
        <v>519</v>
      </c>
      <c r="I2268" s="156">
        <v>41304</v>
      </c>
      <c r="K2268" s="153"/>
      <c r="L2268" s="153"/>
      <c r="M2268" s="153"/>
      <c r="N2268" s="153"/>
      <c r="O2268" s="153"/>
      <c r="P2268" s="150"/>
      <c r="Q2268" s="150"/>
      <c r="R2268" s="153"/>
      <c r="S2268" s="154"/>
      <c r="T2268" s="115"/>
    </row>
    <row r="2269" spans="1:20">
      <c r="A2269" t="s">
        <v>1230</v>
      </c>
      <c r="B2269" t="s">
        <v>73</v>
      </c>
      <c r="C2269" t="s">
        <v>54</v>
      </c>
      <c r="D2269" t="s">
        <v>760</v>
      </c>
      <c r="E2269" t="s">
        <v>3840</v>
      </c>
      <c r="F2269" s="121">
        <v>166.5</v>
      </c>
      <c r="G2269" s="121">
        <v>166.5</v>
      </c>
      <c r="H2269" t="s">
        <v>519</v>
      </c>
      <c r="I2269" s="156">
        <v>41304</v>
      </c>
      <c r="K2269" s="153"/>
      <c r="L2269" s="153"/>
      <c r="M2269" s="153"/>
      <c r="N2269" s="153"/>
      <c r="O2269" s="153"/>
      <c r="P2269" s="150"/>
      <c r="Q2269" s="150"/>
      <c r="R2269" s="153"/>
      <c r="S2269" s="154"/>
      <c r="T2269" s="115"/>
    </row>
    <row r="2270" spans="1:20">
      <c r="A2270" t="s">
        <v>1230</v>
      </c>
      <c r="B2270" t="s">
        <v>72</v>
      </c>
      <c r="C2270" t="s">
        <v>51</v>
      </c>
      <c r="D2270" t="s">
        <v>762</v>
      </c>
      <c r="E2270" t="s">
        <v>3841</v>
      </c>
      <c r="F2270" s="121">
        <v>650</v>
      </c>
      <c r="G2270" s="121">
        <v>650</v>
      </c>
      <c r="H2270" t="s">
        <v>396</v>
      </c>
      <c r="I2270" s="156">
        <v>41310</v>
      </c>
      <c r="K2270" s="153"/>
      <c r="L2270" s="153"/>
      <c r="M2270" s="153"/>
      <c r="N2270" s="153"/>
      <c r="O2270" s="153"/>
      <c r="P2270" s="150"/>
      <c r="Q2270" s="150"/>
      <c r="R2270" s="153"/>
      <c r="S2270" s="154"/>
      <c r="T2270" s="115"/>
    </row>
    <row r="2271" spans="1:20">
      <c r="A2271" t="s">
        <v>1230</v>
      </c>
      <c r="B2271" t="s">
        <v>72</v>
      </c>
      <c r="C2271" t="s">
        <v>51</v>
      </c>
      <c r="D2271" t="s">
        <v>761</v>
      </c>
      <c r="E2271" t="s">
        <v>3841</v>
      </c>
      <c r="F2271" s="121">
        <v>6400</v>
      </c>
      <c r="G2271" s="121">
        <v>6400</v>
      </c>
      <c r="H2271" t="s">
        <v>396</v>
      </c>
      <c r="I2271" s="156">
        <v>41310</v>
      </c>
      <c r="K2271" s="153"/>
      <c r="L2271" s="153"/>
      <c r="M2271" s="153"/>
      <c r="N2271" s="153"/>
      <c r="O2271" s="153"/>
      <c r="P2271" s="150"/>
      <c r="Q2271" s="150"/>
      <c r="R2271" s="153"/>
      <c r="S2271" s="154"/>
      <c r="T2271" s="115"/>
    </row>
    <row r="2272" spans="1:20">
      <c r="A2272" t="s">
        <v>1230</v>
      </c>
      <c r="B2272" t="s">
        <v>72</v>
      </c>
      <c r="C2272" t="s">
        <v>51</v>
      </c>
      <c r="D2272" t="s">
        <v>762</v>
      </c>
      <c r="E2272" t="s">
        <v>3842</v>
      </c>
      <c r="F2272" s="121">
        <v>650</v>
      </c>
      <c r="G2272" s="121">
        <v>650</v>
      </c>
      <c r="H2272" t="s">
        <v>396</v>
      </c>
      <c r="I2272" s="156">
        <v>41310</v>
      </c>
      <c r="K2272" s="153"/>
      <c r="L2272" s="153"/>
      <c r="M2272" s="153"/>
      <c r="N2272" s="153"/>
      <c r="O2272" s="153"/>
      <c r="P2272" s="150"/>
      <c r="Q2272" s="150"/>
      <c r="R2272" s="153"/>
      <c r="S2272" s="154"/>
      <c r="T2272" s="115"/>
    </row>
    <row r="2273" spans="1:20">
      <c r="A2273" t="s">
        <v>1230</v>
      </c>
      <c r="B2273" t="s">
        <v>72</v>
      </c>
      <c r="C2273" t="s">
        <v>51</v>
      </c>
      <c r="D2273" t="s">
        <v>761</v>
      </c>
      <c r="E2273" t="s">
        <v>3842</v>
      </c>
      <c r="F2273" s="121">
        <v>6400</v>
      </c>
      <c r="G2273" s="121">
        <v>6400</v>
      </c>
      <c r="H2273" t="s">
        <v>396</v>
      </c>
      <c r="I2273" s="156">
        <v>41310</v>
      </c>
      <c r="K2273" s="153"/>
      <c r="L2273" s="153"/>
      <c r="M2273" s="153"/>
      <c r="N2273" s="153"/>
      <c r="O2273" s="153"/>
      <c r="P2273" s="150"/>
      <c r="Q2273" s="150"/>
      <c r="R2273" s="153"/>
      <c r="S2273" s="154"/>
      <c r="T2273" s="115"/>
    </row>
    <row r="2274" spans="1:20">
      <c r="A2274" t="s">
        <v>1230</v>
      </c>
      <c r="B2274" t="s">
        <v>72</v>
      </c>
      <c r="C2274" t="s">
        <v>51</v>
      </c>
      <c r="D2274" t="s">
        <v>761</v>
      </c>
      <c r="E2274" t="s">
        <v>3843</v>
      </c>
      <c r="F2274" s="121">
        <v>6400</v>
      </c>
      <c r="G2274" s="121">
        <v>6400</v>
      </c>
      <c r="H2274" t="s">
        <v>396</v>
      </c>
      <c r="I2274" s="156">
        <v>41310</v>
      </c>
      <c r="K2274" s="153"/>
      <c r="L2274" s="153"/>
      <c r="M2274" s="153"/>
      <c r="N2274" s="153"/>
      <c r="O2274" s="153"/>
      <c r="P2274" s="150"/>
      <c r="Q2274" s="150"/>
      <c r="R2274" s="153"/>
      <c r="S2274" s="154"/>
      <c r="T2274" s="115"/>
    </row>
    <row r="2275" spans="1:20">
      <c r="A2275" t="s">
        <v>1230</v>
      </c>
      <c r="B2275" t="s">
        <v>72</v>
      </c>
      <c r="C2275" t="s">
        <v>51</v>
      </c>
      <c r="D2275" t="s">
        <v>762</v>
      </c>
      <c r="E2275" t="s">
        <v>3843</v>
      </c>
      <c r="F2275" s="121">
        <v>650</v>
      </c>
      <c r="G2275" s="121">
        <v>650</v>
      </c>
      <c r="H2275" t="s">
        <v>396</v>
      </c>
      <c r="I2275" s="156">
        <v>41310</v>
      </c>
      <c r="K2275" s="153"/>
      <c r="L2275" s="153"/>
      <c r="M2275" s="153"/>
      <c r="N2275" s="153"/>
      <c r="O2275" s="153"/>
      <c r="P2275" s="150"/>
      <c r="Q2275" s="150"/>
      <c r="R2275" s="153"/>
      <c r="S2275" s="154"/>
      <c r="T2275" s="115"/>
    </row>
    <row r="2276" spans="1:20">
      <c r="A2276" t="s">
        <v>1230</v>
      </c>
      <c r="B2276" t="s">
        <v>72</v>
      </c>
      <c r="C2276" t="s">
        <v>51</v>
      </c>
      <c r="D2276" t="s">
        <v>761</v>
      </c>
      <c r="E2276" t="s">
        <v>3844</v>
      </c>
      <c r="F2276" s="121">
        <v>6400</v>
      </c>
      <c r="G2276" s="121">
        <v>6400</v>
      </c>
      <c r="H2276" t="s">
        <v>396</v>
      </c>
      <c r="I2276" s="156">
        <v>41310</v>
      </c>
      <c r="K2276" s="153"/>
      <c r="L2276" s="153"/>
      <c r="M2276" s="153"/>
      <c r="N2276" s="153"/>
      <c r="O2276" s="153"/>
      <c r="P2276" s="150"/>
      <c r="Q2276" s="150"/>
      <c r="R2276" s="153"/>
      <c r="S2276" s="154"/>
      <c r="T2276" s="115"/>
    </row>
    <row r="2277" spans="1:20">
      <c r="A2277" t="s">
        <v>1230</v>
      </c>
      <c r="B2277" t="s">
        <v>72</v>
      </c>
      <c r="C2277" t="s">
        <v>51</v>
      </c>
      <c r="D2277" t="s">
        <v>762</v>
      </c>
      <c r="E2277" t="s">
        <v>3844</v>
      </c>
      <c r="F2277" s="121">
        <v>650</v>
      </c>
      <c r="G2277" s="121">
        <v>650</v>
      </c>
      <c r="H2277" t="s">
        <v>396</v>
      </c>
      <c r="I2277" s="156">
        <v>41310</v>
      </c>
      <c r="K2277" s="153"/>
      <c r="L2277" s="153"/>
      <c r="M2277" s="153"/>
      <c r="N2277" s="153"/>
      <c r="O2277" s="153"/>
      <c r="P2277" s="150"/>
      <c r="Q2277" s="150"/>
      <c r="R2277" s="153"/>
      <c r="S2277" s="154"/>
      <c r="T2277" s="115"/>
    </row>
    <row r="2278" spans="1:20">
      <c r="A2278" t="s">
        <v>1230</v>
      </c>
      <c r="B2278" t="s">
        <v>72</v>
      </c>
      <c r="C2278" t="s">
        <v>51</v>
      </c>
      <c r="D2278" t="s">
        <v>762</v>
      </c>
      <c r="E2278" t="s">
        <v>3845</v>
      </c>
      <c r="F2278" s="121">
        <v>650</v>
      </c>
      <c r="G2278" s="121">
        <v>650</v>
      </c>
      <c r="H2278" t="s">
        <v>396</v>
      </c>
      <c r="I2278" s="156">
        <v>41310</v>
      </c>
      <c r="K2278" s="153"/>
      <c r="L2278" s="153"/>
      <c r="M2278" s="153"/>
      <c r="N2278" s="153"/>
      <c r="O2278" s="153"/>
      <c r="P2278" s="150"/>
      <c r="Q2278" s="150"/>
      <c r="R2278" s="153"/>
      <c r="S2278" s="154"/>
      <c r="T2278" s="115"/>
    </row>
    <row r="2279" spans="1:20">
      <c r="A2279" t="s">
        <v>1230</v>
      </c>
      <c r="B2279" t="s">
        <v>72</v>
      </c>
      <c r="C2279" t="s">
        <v>51</v>
      </c>
      <c r="D2279" t="s">
        <v>761</v>
      </c>
      <c r="E2279" t="s">
        <v>3845</v>
      </c>
      <c r="F2279" s="121">
        <v>6400</v>
      </c>
      <c r="G2279" s="121">
        <v>6400</v>
      </c>
      <c r="H2279" t="s">
        <v>396</v>
      </c>
      <c r="I2279" s="156">
        <v>41310</v>
      </c>
      <c r="K2279" s="153"/>
      <c r="L2279" s="153"/>
      <c r="M2279" s="153"/>
      <c r="N2279" s="153"/>
      <c r="O2279" s="153"/>
      <c r="P2279" s="150"/>
      <c r="Q2279" s="150"/>
      <c r="R2279" s="153"/>
      <c r="S2279" s="154"/>
      <c r="T2279" s="115"/>
    </row>
    <row r="2280" spans="1:20">
      <c r="A2280" t="s">
        <v>1230</v>
      </c>
      <c r="B2280" t="s">
        <v>72</v>
      </c>
      <c r="C2280" t="s">
        <v>51</v>
      </c>
      <c r="D2280" t="s">
        <v>762</v>
      </c>
      <c r="E2280" t="s">
        <v>3846</v>
      </c>
      <c r="F2280" s="121">
        <v>650</v>
      </c>
      <c r="G2280" s="121">
        <v>650</v>
      </c>
      <c r="H2280" t="s">
        <v>396</v>
      </c>
      <c r="I2280" s="156">
        <v>41310</v>
      </c>
      <c r="K2280" s="153"/>
      <c r="L2280" s="153"/>
      <c r="M2280" s="153"/>
      <c r="N2280" s="153"/>
      <c r="O2280" s="153"/>
      <c r="P2280" s="150"/>
      <c r="Q2280" s="150"/>
      <c r="R2280" s="153"/>
      <c r="S2280" s="154"/>
      <c r="T2280" s="115"/>
    </row>
    <row r="2281" spans="1:20">
      <c r="A2281" t="s">
        <v>1230</v>
      </c>
      <c r="B2281" t="s">
        <v>72</v>
      </c>
      <c r="C2281" t="s">
        <v>51</v>
      </c>
      <c r="D2281" t="s">
        <v>761</v>
      </c>
      <c r="E2281" t="s">
        <v>3846</v>
      </c>
      <c r="F2281" s="121">
        <v>6400</v>
      </c>
      <c r="G2281" s="121">
        <v>6400</v>
      </c>
      <c r="H2281" t="s">
        <v>396</v>
      </c>
      <c r="I2281" s="156">
        <v>41310</v>
      </c>
      <c r="K2281" s="153"/>
      <c r="L2281" s="153"/>
      <c r="M2281" s="153"/>
      <c r="N2281" s="153"/>
      <c r="O2281" s="153"/>
      <c r="P2281" s="150"/>
      <c r="Q2281" s="150"/>
      <c r="R2281" s="153"/>
      <c r="S2281" s="154"/>
      <c r="T2281" s="115"/>
    </row>
    <row r="2282" spans="1:20">
      <c r="A2282" t="s">
        <v>1230</v>
      </c>
      <c r="B2282" t="s">
        <v>72</v>
      </c>
      <c r="C2282" t="s">
        <v>51</v>
      </c>
      <c r="D2282" t="s">
        <v>761</v>
      </c>
      <c r="E2282" t="s">
        <v>3847</v>
      </c>
      <c r="F2282" s="121">
        <v>6400</v>
      </c>
      <c r="G2282" s="121">
        <v>6400</v>
      </c>
      <c r="H2282" t="s">
        <v>396</v>
      </c>
      <c r="I2282" s="156">
        <v>41310</v>
      </c>
      <c r="K2282" s="153"/>
      <c r="L2282" s="153"/>
      <c r="M2282" s="153"/>
      <c r="N2282" s="153"/>
      <c r="O2282" s="153"/>
      <c r="P2282" s="150"/>
      <c r="Q2282" s="150"/>
      <c r="R2282" s="153"/>
      <c r="S2282" s="154"/>
      <c r="T2282" s="115"/>
    </row>
    <row r="2283" spans="1:20">
      <c r="A2283" t="s">
        <v>1230</v>
      </c>
      <c r="B2283" t="s">
        <v>72</v>
      </c>
      <c r="C2283" t="s">
        <v>51</v>
      </c>
      <c r="D2283" t="s">
        <v>762</v>
      </c>
      <c r="E2283" t="s">
        <v>3847</v>
      </c>
      <c r="F2283" s="121">
        <v>650</v>
      </c>
      <c r="G2283" s="121">
        <v>650</v>
      </c>
      <c r="H2283" t="s">
        <v>396</v>
      </c>
      <c r="I2283" s="156">
        <v>41310</v>
      </c>
      <c r="K2283" s="153"/>
      <c r="L2283" s="153"/>
      <c r="M2283" s="153"/>
      <c r="N2283" s="153"/>
      <c r="O2283" s="153"/>
      <c r="P2283" s="150"/>
      <c r="Q2283" s="150"/>
      <c r="R2283" s="153"/>
      <c r="S2283" s="154"/>
      <c r="T2283" s="115"/>
    </row>
    <row r="2284" spans="1:20">
      <c r="A2284" t="s">
        <v>1230</v>
      </c>
      <c r="B2284" t="s">
        <v>72</v>
      </c>
      <c r="C2284" t="s">
        <v>51</v>
      </c>
      <c r="D2284" t="s">
        <v>761</v>
      </c>
      <c r="E2284" t="s">
        <v>3848</v>
      </c>
      <c r="F2284" s="121">
        <v>6400</v>
      </c>
      <c r="G2284" s="121">
        <v>6400</v>
      </c>
      <c r="H2284" t="s">
        <v>396</v>
      </c>
      <c r="I2284" s="156">
        <v>41310</v>
      </c>
      <c r="K2284" s="153"/>
      <c r="L2284" s="153"/>
      <c r="M2284" s="153"/>
      <c r="N2284" s="153"/>
      <c r="O2284" s="153"/>
      <c r="P2284" s="150"/>
      <c r="Q2284" s="150"/>
      <c r="R2284" s="153"/>
      <c r="S2284" s="154"/>
      <c r="T2284" s="115"/>
    </row>
    <row r="2285" spans="1:20">
      <c r="A2285" t="s">
        <v>1230</v>
      </c>
      <c r="B2285" t="s">
        <v>72</v>
      </c>
      <c r="C2285" t="s">
        <v>51</v>
      </c>
      <c r="D2285" t="s">
        <v>762</v>
      </c>
      <c r="E2285" t="s">
        <v>3848</v>
      </c>
      <c r="F2285" s="121">
        <v>650</v>
      </c>
      <c r="G2285" s="121">
        <v>650</v>
      </c>
      <c r="H2285" t="s">
        <v>396</v>
      </c>
      <c r="I2285" s="156">
        <v>41310</v>
      </c>
      <c r="K2285" s="153"/>
      <c r="L2285" s="153"/>
      <c r="M2285" s="153"/>
      <c r="N2285" s="153"/>
      <c r="O2285" s="153"/>
      <c r="P2285" s="150"/>
      <c r="Q2285" s="150"/>
      <c r="R2285" s="153"/>
      <c r="S2285" s="154"/>
      <c r="T2285" s="115"/>
    </row>
    <row r="2286" spans="1:20">
      <c r="A2286" t="s">
        <v>1230</v>
      </c>
      <c r="B2286" t="s">
        <v>72</v>
      </c>
      <c r="C2286" t="s">
        <v>51</v>
      </c>
      <c r="D2286" t="s">
        <v>762</v>
      </c>
      <c r="E2286" t="s">
        <v>3849</v>
      </c>
      <c r="F2286" s="121">
        <v>650</v>
      </c>
      <c r="G2286" s="121">
        <v>650</v>
      </c>
      <c r="H2286" t="s">
        <v>396</v>
      </c>
      <c r="I2286" s="156">
        <v>41310</v>
      </c>
      <c r="K2286" s="153"/>
      <c r="L2286" s="153"/>
      <c r="M2286" s="153"/>
      <c r="N2286" s="153"/>
      <c r="O2286" s="153"/>
      <c r="P2286" s="150"/>
      <c r="Q2286" s="150"/>
      <c r="R2286" s="153"/>
      <c r="S2286" s="154"/>
      <c r="T2286" s="115"/>
    </row>
    <row r="2287" spans="1:20">
      <c r="A2287" t="s">
        <v>1230</v>
      </c>
      <c r="B2287" t="s">
        <v>72</v>
      </c>
      <c r="C2287" t="s">
        <v>51</v>
      </c>
      <c r="D2287" t="s">
        <v>761</v>
      </c>
      <c r="E2287" t="s">
        <v>3849</v>
      </c>
      <c r="F2287" s="121">
        <v>6400</v>
      </c>
      <c r="G2287" s="121">
        <v>6400</v>
      </c>
      <c r="H2287" t="s">
        <v>396</v>
      </c>
      <c r="I2287" s="156">
        <v>41310</v>
      </c>
      <c r="K2287" s="153"/>
      <c r="L2287" s="153"/>
      <c r="M2287" s="153"/>
      <c r="N2287" s="153"/>
      <c r="O2287" s="153"/>
      <c r="P2287" s="150"/>
      <c r="Q2287" s="150"/>
      <c r="R2287" s="153"/>
      <c r="S2287" s="154"/>
      <c r="T2287" s="115"/>
    </row>
    <row r="2288" spans="1:20">
      <c r="A2288" t="s">
        <v>1230</v>
      </c>
      <c r="B2288" t="s">
        <v>72</v>
      </c>
      <c r="C2288" t="s">
        <v>51</v>
      </c>
      <c r="D2288" t="s">
        <v>762</v>
      </c>
      <c r="E2288" t="s">
        <v>3850</v>
      </c>
      <c r="F2288" s="121">
        <v>650</v>
      </c>
      <c r="G2288" s="121">
        <v>650</v>
      </c>
      <c r="H2288" t="s">
        <v>396</v>
      </c>
      <c r="I2288" s="156">
        <v>41310</v>
      </c>
      <c r="K2288" s="153"/>
      <c r="L2288" s="153"/>
      <c r="M2288" s="153"/>
      <c r="N2288" s="153"/>
      <c r="O2288" s="153"/>
      <c r="P2288" s="150"/>
      <c r="Q2288" s="150"/>
      <c r="R2288" s="153"/>
      <c r="S2288" s="154"/>
      <c r="T2288" s="115"/>
    </row>
    <row r="2289" spans="1:20">
      <c r="A2289" t="s">
        <v>1230</v>
      </c>
      <c r="B2289" t="s">
        <v>72</v>
      </c>
      <c r="C2289" t="s">
        <v>51</v>
      </c>
      <c r="D2289" t="s">
        <v>761</v>
      </c>
      <c r="E2289" t="s">
        <v>3850</v>
      </c>
      <c r="F2289" s="121">
        <v>6400</v>
      </c>
      <c r="G2289" s="121">
        <v>6400</v>
      </c>
      <c r="H2289" t="s">
        <v>396</v>
      </c>
      <c r="I2289" s="156">
        <v>41310</v>
      </c>
      <c r="K2289" s="153"/>
      <c r="L2289" s="153"/>
      <c r="M2289" s="153"/>
      <c r="N2289" s="153"/>
      <c r="O2289" s="153"/>
      <c r="P2289" s="150"/>
      <c r="Q2289" s="150"/>
      <c r="R2289" s="153"/>
      <c r="S2289" s="154"/>
      <c r="T2289" s="115"/>
    </row>
    <row r="2290" spans="1:20">
      <c r="A2290" t="s">
        <v>1230</v>
      </c>
      <c r="B2290" t="s">
        <v>72</v>
      </c>
      <c r="C2290" t="s">
        <v>51</v>
      </c>
      <c r="D2290" t="s">
        <v>761</v>
      </c>
      <c r="E2290" t="s">
        <v>3851</v>
      </c>
      <c r="F2290" s="121">
        <v>6400</v>
      </c>
      <c r="G2290" s="121">
        <v>6400</v>
      </c>
      <c r="H2290" t="s">
        <v>396</v>
      </c>
      <c r="I2290" s="156">
        <v>41310</v>
      </c>
      <c r="K2290" s="153"/>
      <c r="L2290" s="153"/>
      <c r="M2290" s="153"/>
      <c r="N2290" s="153"/>
      <c r="O2290" s="153"/>
      <c r="P2290" s="150"/>
      <c r="Q2290" s="150"/>
      <c r="R2290" s="153"/>
      <c r="S2290" s="154"/>
      <c r="T2290" s="115"/>
    </row>
    <row r="2291" spans="1:20">
      <c r="A2291" t="s">
        <v>1230</v>
      </c>
      <c r="B2291" t="s">
        <v>72</v>
      </c>
      <c r="C2291" t="s">
        <v>51</v>
      </c>
      <c r="D2291" t="s">
        <v>762</v>
      </c>
      <c r="E2291" t="s">
        <v>3851</v>
      </c>
      <c r="F2291" s="121">
        <v>650</v>
      </c>
      <c r="G2291" s="121">
        <v>650</v>
      </c>
      <c r="H2291" t="s">
        <v>396</v>
      </c>
      <c r="I2291" s="156">
        <v>41310</v>
      </c>
      <c r="K2291" s="153"/>
      <c r="L2291" s="153"/>
      <c r="M2291" s="153"/>
      <c r="N2291" s="153"/>
      <c r="O2291" s="153"/>
      <c r="P2291" s="150"/>
      <c r="Q2291" s="150"/>
      <c r="R2291" s="153"/>
      <c r="S2291" s="154"/>
      <c r="T2291" s="115"/>
    </row>
    <row r="2292" spans="1:20">
      <c r="A2292" t="s">
        <v>1230</v>
      </c>
      <c r="B2292" t="s">
        <v>72</v>
      </c>
      <c r="C2292" t="s">
        <v>51</v>
      </c>
      <c r="D2292" t="s">
        <v>762</v>
      </c>
      <c r="E2292" t="s">
        <v>3852</v>
      </c>
      <c r="F2292" s="121">
        <v>650</v>
      </c>
      <c r="G2292" s="121">
        <v>650</v>
      </c>
      <c r="H2292" t="s">
        <v>396</v>
      </c>
      <c r="I2292" s="156">
        <v>41310</v>
      </c>
      <c r="K2292" s="153"/>
      <c r="L2292" s="153"/>
      <c r="M2292" s="153"/>
      <c r="N2292" s="153"/>
      <c r="O2292" s="153"/>
      <c r="P2292" s="150"/>
      <c r="Q2292" s="150"/>
      <c r="R2292" s="153"/>
      <c r="S2292" s="154"/>
      <c r="T2292" s="115"/>
    </row>
    <row r="2293" spans="1:20">
      <c r="A2293" t="s">
        <v>1230</v>
      </c>
      <c r="B2293" t="s">
        <v>72</v>
      </c>
      <c r="C2293" t="s">
        <v>51</v>
      </c>
      <c r="D2293" t="s">
        <v>761</v>
      </c>
      <c r="E2293" t="s">
        <v>3852</v>
      </c>
      <c r="F2293" s="121">
        <v>6400</v>
      </c>
      <c r="G2293" s="121">
        <v>6400</v>
      </c>
      <c r="H2293" t="s">
        <v>396</v>
      </c>
      <c r="I2293" s="156">
        <v>41310</v>
      </c>
      <c r="K2293" s="153"/>
      <c r="L2293" s="153"/>
      <c r="M2293" s="153"/>
      <c r="N2293" s="153"/>
      <c r="O2293" s="153"/>
      <c r="P2293" s="150"/>
      <c r="Q2293" s="150"/>
      <c r="R2293" s="153"/>
      <c r="S2293" s="154"/>
      <c r="T2293" s="115"/>
    </row>
    <row r="2294" spans="1:20">
      <c r="A2294" t="s">
        <v>1230</v>
      </c>
      <c r="B2294" t="s">
        <v>72</v>
      </c>
      <c r="C2294" t="s">
        <v>51</v>
      </c>
      <c r="D2294" t="s">
        <v>761</v>
      </c>
      <c r="E2294" t="s">
        <v>3853</v>
      </c>
      <c r="F2294" s="121">
        <v>6400</v>
      </c>
      <c r="G2294" s="121">
        <v>6400</v>
      </c>
      <c r="H2294" t="s">
        <v>396</v>
      </c>
      <c r="I2294" s="156">
        <v>41310</v>
      </c>
      <c r="K2294" s="153"/>
      <c r="L2294" s="153"/>
      <c r="M2294" s="153"/>
      <c r="N2294" s="153"/>
      <c r="O2294" s="153"/>
      <c r="P2294" s="150"/>
      <c r="Q2294" s="150"/>
      <c r="R2294" s="153"/>
      <c r="S2294" s="154"/>
      <c r="T2294" s="115"/>
    </row>
    <row r="2295" spans="1:20">
      <c r="A2295" t="s">
        <v>1230</v>
      </c>
      <c r="B2295" t="s">
        <v>72</v>
      </c>
      <c r="C2295" t="s">
        <v>51</v>
      </c>
      <c r="D2295" t="s">
        <v>762</v>
      </c>
      <c r="E2295" t="s">
        <v>3853</v>
      </c>
      <c r="F2295" s="121">
        <v>650</v>
      </c>
      <c r="G2295" s="121">
        <v>650</v>
      </c>
      <c r="H2295" t="s">
        <v>396</v>
      </c>
      <c r="I2295" s="156">
        <v>41310</v>
      </c>
      <c r="K2295" s="153"/>
      <c r="L2295" s="153"/>
      <c r="M2295" s="153"/>
      <c r="N2295" s="153"/>
      <c r="O2295" s="153"/>
      <c r="P2295" s="150"/>
      <c r="Q2295" s="150"/>
      <c r="R2295" s="153"/>
      <c r="S2295" s="154"/>
      <c r="T2295" s="115"/>
    </row>
    <row r="2296" spans="1:20">
      <c r="A2296" t="s">
        <v>1230</v>
      </c>
      <c r="B2296" t="s">
        <v>72</v>
      </c>
      <c r="C2296" t="s">
        <v>51</v>
      </c>
      <c r="D2296" t="s">
        <v>762</v>
      </c>
      <c r="E2296" t="s">
        <v>3854</v>
      </c>
      <c r="F2296" s="121">
        <v>650</v>
      </c>
      <c r="G2296" s="121">
        <v>650</v>
      </c>
      <c r="H2296" t="s">
        <v>396</v>
      </c>
      <c r="I2296" s="156">
        <v>41310</v>
      </c>
      <c r="K2296" s="153"/>
      <c r="L2296" s="153"/>
      <c r="M2296" s="153"/>
      <c r="N2296" s="153"/>
      <c r="O2296" s="153"/>
      <c r="P2296" s="150"/>
      <c r="Q2296" s="150"/>
      <c r="R2296" s="153"/>
      <c r="S2296" s="154"/>
      <c r="T2296" s="115"/>
    </row>
    <row r="2297" spans="1:20">
      <c r="A2297" t="s">
        <v>1230</v>
      </c>
      <c r="B2297" t="s">
        <v>72</v>
      </c>
      <c r="C2297" t="s">
        <v>51</v>
      </c>
      <c r="D2297" t="s">
        <v>761</v>
      </c>
      <c r="E2297" t="s">
        <v>3854</v>
      </c>
      <c r="F2297" s="121">
        <v>6400</v>
      </c>
      <c r="G2297" s="121">
        <v>6400</v>
      </c>
      <c r="H2297" t="s">
        <v>396</v>
      </c>
      <c r="I2297" s="156">
        <v>41310</v>
      </c>
      <c r="K2297" s="153"/>
      <c r="L2297" s="153"/>
      <c r="M2297" s="153"/>
      <c r="N2297" s="153"/>
      <c r="O2297" s="153"/>
      <c r="P2297" s="150"/>
      <c r="Q2297" s="150"/>
      <c r="R2297" s="153"/>
      <c r="S2297" s="154"/>
      <c r="T2297" s="115"/>
    </row>
    <row r="2298" spans="1:20">
      <c r="A2298" t="s">
        <v>1230</v>
      </c>
      <c r="B2298" t="s">
        <v>72</v>
      </c>
      <c r="C2298" t="s">
        <v>51</v>
      </c>
      <c r="D2298" t="s">
        <v>762</v>
      </c>
      <c r="E2298" t="s">
        <v>3855</v>
      </c>
      <c r="F2298" s="121">
        <v>650</v>
      </c>
      <c r="G2298" s="121">
        <v>650</v>
      </c>
      <c r="H2298" t="s">
        <v>396</v>
      </c>
      <c r="I2298" s="156">
        <v>41310</v>
      </c>
      <c r="K2298" s="153"/>
      <c r="L2298" s="153"/>
      <c r="M2298" s="153"/>
      <c r="N2298" s="153"/>
      <c r="O2298" s="153"/>
      <c r="P2298" s="150"/>
      <c r="Q2298" s="150"/>
      <c r="R2298" s="153"/>
      <c r="S2298" s="154"/>
      <c r="T2298" s="115"/>
    </row>
    <row r="2299" spans="1:20">
      <c r="A2299" t="s">
        <v>1230</v>
      </c>
      <c r="B2299" t="s">
        <v>72</v>
      </c>
      <c r="C2299" t="s">
        <v>51</v>
      </c>
      <c r="D2299" t="s">
        <v>761</v>
      </c>
      <c r="E2299" t="s">
        <v>3855</v>
      </c>
      <c r="F2299" s="121">
        <v>6400</v>
      </c>
      <c r="G2299" s="121">
        <v>6400</v>
      </c>
      <c r="H2299" t="s">
        <v>396</v>
      </c>
      <c r="I2299" s="156">
        <v>41310</v>
      </c>
      <c r="K2299" s="153"/>
      <c r="L2299" s="153"/>
      <c r="M2299" s="153"/>
      <c r="N2299" s="153"/>
      <c r="O2299" s="153"/>
      <c r="P2299" s="152"/>
      <c r="Q2299" s="152"/>
      <c r="R2299" s="153"/>
      <c r="S2299" s="154"/>
      <c r="T2299" s="115"/>
    </row>
    <row r="2300" spans="1:20">
      <c r="A2300" t="s">
        <v>1230</v>
      </c>
      <c r="B2300" t="s">
        <v>72</v>
      </c>
      <c r="C2300" t="s">
        <v>51</v>
      </c>
      <c r="D2300" t="s">
        <v>762</v>
      </c>
      <c r="E2300" t="s">
        <v>3856</v>
      </c>
      <c r="F2300" s="121">
        <v>650</v>
      </c>
      <c r="G2300" s="121">
        <v>650</v>
      </c>
      <c r="H2300" t="s">
        <v>396</v>
      </c>
      <c r="I2300" s="156">
        <v>41310</v>
      </c>
      <c r="K2300" s="153"/>
      <c r="L2300" s="153"/>
      <c r="M2300" s="153"/>
      <c r="N2300" s="153"/>
      <c r="O2300" s="153"/>
      <c r="P2300" s="150"/>
      <c r="Q2300" s="150"/>
      <c r="R2300" s="153"/>
      <c r="S2300" s="154"/>
      <c r="T2300" s="115"/>
    </row>
    <row r="2301" spans="1:20">
      <c r="A2301" t="s">
        <v>1230</v>
      </c>
      <c r="B2301" t="s">
        <v>72</v>
      </c>
      <c r="C2301" t="s">
        <v>51</v>
      </c>
      <c r="D2301" t="s">
        <v>761</v>
      </c>
      <c r="E2301" t="s">
        <v>3856</v>
      </c>
      <c r="F2301" s="121">
        <v>6400</v>
      </c>
      <c r="G2301" s="121">
        <v>6400</v>
      </c>
      <c r="H2301" t="s">
        <v>396</v>
      </c>
      <c r="I2301" s="156">
        <v>41310</v>
      </c>
      <c r="K2301" s="153"/>
      <c r="L2301" s="153"/>
      <c r="M2301" s="153"/>
      <c r="N2301" s="153"/>
      <c r="O2301" s="153"/>
      <c r="P2301" s="150"/>
      <c r="Q2301" s="150"/>
      <c r="R2301" s="153"/>
      <c r="S2301" s="154"/>
      <c r="T2301" s="115"/>
    </row>
    <row r="2302" spans="1:20">
      <c r="A2302" t="s">
        <v>1230</v>
      </c>
      <c r="B2302" t="s">
        <v>72</v>
      </c>
      <c r="C2302" t="s">
        <v>51</v>
      </c>
      <c r="D2302" t="s">
        <v>761</v>
      </c>
      <c r="E2302" t="s">
        <v>3857</v>
      </c>
      <c r="F2302" s="121">
        <v>6400</v>
      </c>
      <c r="G2302" s="121">
        <v>6400</v>
      </c>
      <c r="H2302" t="s">
        <v>396</v>
      </c>
      <c r="I2302" s="156">
        <v>41310</v>
      </c>
      <c r="K2302" s="153"/>
      <c r="L2302" s="153"/>
      <c r="M2302" s="153"/>
      <c r="N2302" s="153"/>
      <c r="O2302" s="153"/>
      <c r="P2302" s="150"/>
      <c r="Q2302" s="150"/>
      <c r="R2302" s="153"/>
      <c r="S2302" s="154"/>
      <c r="T2302" s="115"/>
    </row>
    <row r="2303" spans="1:20">
      <c r="A2303" t="s">
        <v>1230</v>
      </c>
      <c r="B2303" t="s">
        <v>72</v>
      </c>
      <c r="C2303" t="s">
        <v>51</v>
      </c>
      <c r="D2303" t="s">
        <v>762</v>
      </c>
      <c r="E2303" t="s">
        <v>3857</v>
      </c>
      <c r="F2303" s="121">
        <v>650</v>
      </c>
      <c r="G2303" s="121">
        <v>650</v>
      </c>
      <c r="H2303" t="s">
        <v>396</v>
      </c>
      <c r="I2303" s="156">
        <v>41310</v>
      </c>
      <c r="K2303" s="153"/>
      <c r="L2303" s="153"/>
      <c r="M2303" s="153"/>
      <c r="N2303" s="153"/>
      <c r="O2303" s="153"/>
      <c r="P2303" s="150"/>
      <c r="Q2303" s="150"/>
      <c r="R2303" s="153"/>
      <c r="S2303" s="154"/>
      <c r="T2303" s="115"/>
    </row>
    <row r="2304" spans="1:20">
      <c r="A2304" t="s">
        <v>1230</v>
      </c>
      <c r="B2304" t="s">
        <v>72</v>
      </c>
      <c r="C2304" t="s">
        <v>51</v>
      </c>
      <c r="D2304" t="s">
        <v>762</v>
      </c>
      <c r="E2304" t="s">
        <v>3858</v>
      </c>
      <c r="F2304" s="121">
        <v>650</v>
      </c>
      <c r="G2304" s="121">
        <v>650</v>
      </c>
      <c r="H2304" t="s">
        <v>396</v>
      </c>
      <c r="I2304" s="156">
        <v>41310</v>
      </c>
      <c r="K2304" s="153"/>
      <c r="L2304" s="153"/>
      <c r="M2304" s="153"/>
      <c r="N2304" s="153"/>
      <c r="O2304" s="153"/>
      <c r="P2304" s="152"/>
      <c r="Q2304" s="152"/>
      <c r="R2304" s="153"/>
      <c r="S2304" s="154"/>
      <c r="T2304" s="115"/>
    </row>
    <row r="2305" spans="1:20">
      <c r="A2305" t="s">
        <v>1230</v>
      </c>
      <c r="B2305" t="s">
        <v>72</v>
      </c>
      <c r="C2305" t="s">
        <v>51</v>
      </c>
      <c r="D2305" t="s">
        <v>761</v>
      </c>
      <c r="E2305" t="s">
        <v>3858</v>
      </c>
      <c r="F2305" s="121">
        <v>6400</v>
      </c>
      <c r="G2305" s="121">
        <v>6400</v>
      </c>
      <c r="H2305" t="s">
        <v>396</v>
      </c>
      <c r="I2305" s="156">
        <v>41310</v>
      </c>
      <c r="K2305" s="153"/>
      <c r="L2305" s="153"/>
      <c r="M2305" s="153"/>
      <c r="N2305" s="153"/>
      <c r="O2305" s="153"/>
      <c r="P2305" s="150"/>
      <c r="Q2305" s="150"/>
      <c r="R2305" s="153"/>
      <c r="S2305" s="154"/>
      <c r="T2305" s="115"/>
    </row>
    <row r="2306" spans="1:20">
      <c r="A2306" t="s">
        <v>1230</v>
      </c>
      <c r="B2306" t="s">
        <v>72</v>
      </c>
      <c r="C2306" t="s">
        <v>51</v>
      </c>
      <c r="D2306" t="s">
        <v>762</v>
      </c>
      <c r="E2306" t="s">
        <v>3859</v>
      </c>
      <c r="F2306" s="121">
        <v>650</v>
      </c>
      <c r="G2306" s="121">
        <v>650</v>
      </c>
      <c r="H2306" t="s">
        <v>396</v>
      </c>
      <c r="I2306" s="156">
        <v>41310</v>
      </c>
      <c r="K2306" s="153"/>
      <c r="L2306" s="153"/>
      <c r="M2306" s="153"/>
      <c r="N2306" s="153"/>
      <c r="O2306" s="153"/>
      <c r="P2306" s="152"/>
      <c r="Q2306" s="152"/>
      <c r="R2306" s="153"/>
      <c r="S2306" s="154"/>
      <c r="T2306" s="115"/>
    </row>
    <row r="2307" spans="1:20">
      <c r="A2307" t="s">
        <v>1230</v>
      </c>
      <c r="B2307" t="s">
        <v>72</v>
      </c>
      <c r="C2307" t="s">
        <v>51</v>
      </c>
      <c r="D2307" t="s">
        <v>761</v>
      </c>
      <c r="E2307" t="s">
        <v>3859</v>
      </c>
      <c r="F2307" s="121">
        <v>6400</v>
      </c>
      <c r="G2307" s="121">
        <v>6400</v>
      </c>
      <c r="H2307" t="s">
        <v>396</v>
      </c>
      <c r="I2307" s="156">
        <v>41310</v>
      </c>
      <c r="K2307" s="153"/>
      <c r="L2307" s="153"/>
      <c r="M2307" s="153"/>
      <c r="N2307" s="153"/>
      <c r="O2307" s="153"/>
      <c r="P2307" s="150"/>
      <c r="Q2307" s="150"/>
      <c r="R2307" s="153"/>
      <c r="S2307" s="154"/>
      <c r="T2307" s="115"/>
    </row>
    <row r="2308" spans="1:20">
      <c r="A2308" t="s">
        <v>1230</v>
      </c>
      <c r="B2308" t="s">
        <v>72</v>
      </c>
      <c r="C2308" t="s">
        <v>51</v>
      </c>
      <c r="D2308" t="s">
        <v>761</v>
      </c>
      <c r="E2308" t="s">
        <v>3860</v>
      </c>
      <c r="F2308" s="121">
        <v>6400</v>
      </c>
      <c r="G2308" s="121">
        <v>6400</v>
      </c>
      <c r="H2308" t="s">
        <v>396</v>
      </c>
      <c r="I2308" s="156">
        <v>41310</v>
      </c>
      <c r="K2308" s="153"/>
      <c r="L2308" s="153"/>
      <c r="M2308" s="153"/>
      <c r="N2308" s="153"/>
      <c r="O2308" s="153"/>
      <c r="P2308" s="150"/>
      <c r="Q2308" s="150"/>
      <c r="R2308" s="153"/>
      <c r="S2308" s="154"/>
      <c r="T2308" s="115"/>
    </row>
    <row r="2309" spans="1:20">
      <c r="A2309" t="s">
        <v>1230</v>
      </c>
      <c r="B2309" t="s">
        <v>72</v>
      </c>
      <c r="C2309" t="s">
        <v>51</v>
      </c>
      <c r="D2309" t="s">
        <v>762</v>
      </c>
      <c r="E2309" t="s">
        <v>3860</v>
      </c>
      <c r="F2309" s="121">
        <v>650</v>
      </c>
      <c r="G2309" s="121">
        <v>650</v>
      </c>
      <c r="H2309" t="s">
        <v>396</v>
      </c>
      <c r="I2309" s="156">
        <v>41310</v>
      </c>
      <c r="K2309" s="153"/>
      <c r="L2309" s="153"/>
      <c r="M2309" s="153"/>
      <c r="N2309" s="153"/>
      <c r="O2309" s="153"/>
      <c r="P2309" s="150"/>
      <c r="Q2309" s="150"/>
      <c r="R2309" s="153"/>
      <c r="S2309" s="154"/>
      <c r="T2309" s="115"/>
    </row>
    <row r="2310" spans="1:20">
      <c r="A2310" t="s">
        <v>1230</v>
      </c>
      <c r="B2310" t="s">
        <v>72</v>
      </c>
      <c r="C2310" t="s">
        <v>51</v>
      </c>
      <c r="D2310" t="s">
        <v>762</v>
      </c>
      <c r="E2310" t="s">
        <v>3861</v>
      </c>
      <c r="F2310" s="121">
        <v>650</v>
      </c>
      <c r="G2310" s="121">
        <v>650</v>
      </c>
      <c r="H2310" t="s">
        <v>396</v>
      </c>
      <c r="I2310" s="156">
        <v>41310</v>
      </c>
      <c r="K2310" s="153"/>
      <c r="L2310" s="153"/>
      <c r="M2310" s="153"/>
      <c r="N2310" s="153"/>
      <c r="O2310" s="153"/>
      <c r="P2310" s="150"/>
      <c r="Q2310" s="150"/>
      <c r="R2310" s="153"/>
      <c r="S2310" s="154"/>
      <c r="T2310" s="115"/>
    </row>
    <row r="2311" spans="1:20">
      <c r="A2311" t="s">
        <v>1230</v>
      </c>
      <c r="B2311" t="s">
        <v>72</v>
      </c>
      <c r="C2311" t="s">
        <v>51</v>
      </c>
      <c r="D2311" t="s">
        <v>761</v>
      </c>
      <c r="E2311" t="s">
        <v>3861</v>
      </c>
      <c r="F2311" s="121">
        <v>6400</v>
      </c>
      <c r="G2311" s="121">
        <v>6400</v>
      </c>
      <c r="H2311" t="s">
        <v>396</v>
      </c>
      <c r="I2311" s="156">
        <v>41310</v>
      </c>
      <c r="K2311" s="153"/>
      <c r="L2311" s="153"/>
      <c r="M2311" s="153"/>
      <c r="N2311" s="153"/>
      <c r="O2311" s="153"/>
      <c r="P2311" s="150"/>
      <c r="Q2311" s="150"/>
      <c r="R2311" s="153"/>
      <c r="S2311" s="154"/>
      <c r="T2311" s="115"/>
    </row>
    <row r="2312" spans="1:20">
      <c r="A2312" t="s">
        <v>1230</v>
      </c>
      <c r="B2312" t="s">
        <v>72</v>
      </c>
      <c r="C2312" t="s">
        <v>51</v>
      </c>
      <c r="D2312" t="s">
        <v>762</v>
      </c>
      <c r="E2312" t="s">
        <v>3862</v>
      </c>
      <c r="F2312" s="121">
        <v>650</v>
      </c>
      <c r="G2312" s="121">
        <v>650</v>
      </c>
      <c r="H2312" t="s">
        <v>396</v>
      </c>
      <c r="I2312" s="156">
        <v>41310</v>
      </c>
      <c r="K2312" s="153"/>
      <c r="L2312" s="153"/>
      <c r="M2312" s="153"/>
      <c r="N2312" s="153"/>
      <c r="O2312" s="153"/>
      <c r="P2312" s="150"/>
      <c r="Q2312" s="150"/>
      <c r="R2312" s="153"/>
      <c r="S2312" s="154"/>
      <c r="T2312" s="115"/>
    </row>
    <row r="2313" spans="1:20">
      <c r="A2313" t="s">
        <v>1230</v>
      </c>
      <c r="B2313" t="s">
        <v>72</v>
      </c>
      <c r="C2313" t="s">
        <v>51</v>
      </c>
      <c r="D2313" t="s">
        <v>761</v>
      </c>
      <c r="E2313" t="s">
        <v>3862</v>
      </c>
      <c r="F2313" s="121">
        <v>6400</v>
      </c>
      <c r="G2313" s="121">
        <v>6400</v>
      </c>
      <c r="H2313" t="s">
        <v>396</v>
      </c>
      <c r="I2313" s="156">
        <v>41310</v>
      </c>
      <c r="K2313" s="153"/>
      <c r="L2313" s="153"/>
      <c r="M2313" s="153"/>
      <c r="N2313" s="153"/>
      <c r="O2313" s="153"/>
      <c r="P2313" s="150"/>
      <c r="Q2313" s="150"/>
      <c r="R2313" s="153"/>
      <c r="S2313" s="154"/>
      <c r="T2313" s="115"/>
    </row>
    <row r="2314" spans="1:20">
      <c r="A2314" t="s">
        <v>1230</v>
      </c>
      <c r="B2314" t="s">
        <v>72</v>
      </c>
      <c r="C2314" t="s">
        <v>51</v>
      </c>
      <c r="D2314" t="s">
        <v>762</v>
      </c>
      <c r="E2314" t="s">
        <v>3863</v>
      </c>
      <c r="F2314" s="121">
        <v>650</v>
      </c>
      <c r="G2314" s="121">
        <v>650</v>
      </c>
      <c r="H2314" t="s">
        <v>396</v>
      </c>
      <c r="I2314" s="156">
        <v>41310</v>
      </c>
      <c r="K2314" s="153"/>
      <c r="L2314" s="153"/>
      <c r="M2314" s="153"/>
      <c r="N2314" s="153"/>
      <c r="O2314" s="153"/>
      <c r="P2314" s="150"/>
      <c r="Q2314" s="150"/>
      <c r="R2314" s="153"/>
      <c r="S2314" s="154"/>
      <c r="T2314" s="115"/>
    </row>
    <row r="2315" spans="1:20">
      <c r="A2315" t="s">
        <v>1230</v>
      </c>
      <c r="B2315" t="s">
        <v>72</v>
      </c>
      <c r="C2315" t="s">
        <v>51</v>
      </c>
      <c r="D2315" t="s">
        <v>761</v>
      </c>
      <c r="E2315" t="s">
        <v>3863</v>
      </c>
      <c r="F2315" s="121">
        <v>6400</v>
      </c>
      <c r="G2315" s="121">
        <v>6400</v>
      </c>
      <c r="H2315" t="s">
        <v>396</v>
      </c>
      <c r="I2315" s="156">
        <v>41310</v>
      </c>
      <c r="K2315" s="153"/>
      <c r="L2315" s="153"/>
      <c r="M2315" s="153"/>
      <c r="N2315" s="153"/>
      <c r="O2315" s="153"/>
      <c r="P2315" s="150"/>
      <c r="Q2315" s="150"/>
      <c r="R2315" s="153"/>
      <c r="S2315" s="154"/>
      <c r="T2315" s="115"/>
    </row>
    <row r="2316" spans="1:20">
      <c r="A2316" t="s">
        <v>1230</v>
      </c>
      <c r="B2316" t="s">
        <v>72</v>
      </c>
      <c r="C2316" t="s">
        <v>43</v>
      </c>
      <c r="D2316" t="s">
        <v>741</v>
      </c>
      <c r="E2316" t="s">
        <v>3864</v>
      </c>
      <c r="F2316" s="121">
        <v>1361.72</v>
      </c>
      <c r="G2316" s="121">
        <v>1361.72</v>
      </c>
      <c r="H2316" t="s">
        <v>373</v>
      </c>
      <c r="I2316" s="156">
        <v>41313</v>
      </c>
      <c r="K2316" s="153"/>
      <c r="L2316" s="153"/>
      <c r="M2316" s="153"/>
      <c r="N2316" s="153"/>
      <c r="O2316" s="153"/>
      <c r="P2316" s="150"/>
      <c r="Q2316" s="150"/>
      <c r="R2316" s="153"/>
      <c r="S2316" s="154"/>
      <c r="T2316" s="115"/>
    </row>
    <row r="2317" spans="1:20">
      <c r="A2317" t="s">
        <v>1230</v>
      </c>
      <c r="B2317" t="s">
        <v>72</v>
      </c>
      <c r="C2317" t="s">
        <v>43</v>
      </c>
      <c r="D2317" t="s">
        <v>741</v>
      </c>
      <c r="E2317" t="s">
        <v>3865</v>
      </c>
      <c r="F2317" s="121">
        <v>1361.72</v>
      </c>
      <c r="G2317" s="121">
        <v>1361.72</v>
      </c>
      <c r="H2317" t="s">
        <v>424</v>
      </c>
      <c r="I2317" s="156">
        <v>41313</v>
      </c>
      <c r="K2317" s="153"/>
      <c r="L2317" s="153"/>
      <c r="M2317" s="153"/>
      <c r="N2317" s="153"/>
      <c r="O2317" s="153"/>
      <c r="P2317" s="150"/>
      <c r="Q2317" s="150"/>
      <c r="R2317" s="153"/>
      <c r="S2317" s="154"/>
      <c r="T2317" s="115"/>
    </row>
    <row r="2318" spans="1:20">
      <c r="A2318" t="s">
        <v>1230</v>
      </c>
      <c r="B2318" t="s">
        <v>72</v>
      </c>
      <c r="C2318" t="s">
        <v>55</v>
      </c>
      <c r="D2318" t="s">
        <v>712</v>
      </c>
      <c r="E2318" t="s">
        <v>3866</v>
      </c>
      <c r="F2318" s="121">
        <v>2000</v>
      </c>
      <c r="G2318" s="121">
        <v>2000</v>
      </c>
      <c r="H2318" t="s">
        <v>396</v>
      </c>
      <c r="I2318" s="156">
        <v>41311</v>
      </c>
      <c r="K2318" s="153"/>
      <c r="L2318" s="153"/>
      <c r="M2318" s="153"/>
      <c r="N2318" s="153"/>
      <c r="O2318" s="153"/>
      <c r="P2318" s="150"/>
      <c r="Q2318" s="150"/>
      <c r="R2318" s="153"/>
      <c r="S2318" s="154"/>
      <c r="T2318" s="115"/>
    </row>
    <row r="2319" spans="1:20">
      <c r="A2319" t="s">
        <v>1230</v>
      </c>
      <c r="B2319" t="s">
        <v>73</v>
      </c>
      <c r="C2319" t="s">
        <v>54</v>
      </c>
      <c r="D2319" t="s">
        <v>763</v>
      </c>
      <c r="E2319" t="s">
        <v>3867</v>
      </c>
      <c r="F2319" s="121">
        <v>1009.8</v>
      </c>
      <c r="G2319" s="121">
        <v>1009.8</v>
      </c>
      <c r="H2319" t="s">
        <v>519</v>
      </c>
      <c r="I2319" s="156">
        <v>41318</v>
      </c>
      <c r="K2319" s="153"/>
      <c r="L2319" s="153"/>
      <c r="M2319" s="153"/>
      <c r="N2319" s="153"/>
      <c r="O2319" s="153"/>
      <c r="P2319" s="150"/>
      <c r="Q2319" s="150"/>
      <c r="R2319" s="153"/>
      <c r="S2319" s="154"/>
      <c r="T2319" s="115"/>
    </row>
    <row r="2320" spans="1:20">
      <c r="A2320" t="s">
        <v>1230</v>
      </c>
      <c r="B2320" t="s">
        <v>73</v>
      </c>
      <c r="C2320" t="s">
        <v>54</v>
      </c>
      <c r="D2320" t="s">
        <v>763</v>
      </c>
      <c r="E2320" t="s">
        <v>3868</v>
      </c>
      <c r="F2320" s="121">
        <v>1009.8</v>
      </c>
      <c r="G2320" s="121">
        <v>1009.8</v>
      </c>
      <c r="H2320" t="s">
        <v>519</v>
      </c>
      <c r="I2320" s="156">
        <v>41318</v>
      </c>
      <c r="K2320" s="153"/>
      <c r="L2320" s="153"/>
      <c r="M2320" s="153"/>
      <c r="N2320" s="153"/>
      <c r="O2320" s="153"/>
      <c r="P2320" s="150"/>
      <c r="Q2320" s="150"/>
      <c r="R2320" s="153"/>
      <c r="S2320" s="154"/>
      <c r="T2320" s="115"/>
    </row>
    <row r="2321" spans="1:20">
      <c r="A2321" t="s">
        <v>1230</v>
      </c>
      <c r="B2321" t="s">
        <v>73</v>
      </c>
      <c r="C2321" t="s">
        <v>54</v>
      </c>
      <c r="D2321" t="s">
        <v>763</v>
      </c>
      <c r="E2321" t="s">
        <v>3869</v>
      </c>
      <c r="F2321" s="121">
        <v>1009.8</v>
      </c>
      <c r="G2321" s="121">
        <v>1009.8</v>
      </c>
      <c r="H2321" t="s">
        <v>519</v>
      </c>
      <c r="I2321" s="156">
        <v>41318</v>
      </c>
      <c r="K2321" s="153"/>
      <c r="L2321" s="153"/>
      <c r="M2321" s="153"/>
      <c r="N2321" s="153"/>
      <c r="O2321" s="153"/>
      <c r="P2321" s="150"/>
      <c r="Q2321" s="150"/>
      <c r="R2321" s="153"/>
      <c r="S2321" s="154"/>
      <c r="T2321" s="115"/>
    </row>
    <row r="2322" spans="1:20">
      <c r="A2322" t="s">
        <v>1230</v>
      </c>
      <c r="B2322" t="s">
        <v>73</v>
      </c>
      <c r="C2322" t="s">
        <v>54</v>
      </c>
      <c r="D2322" t="s">
        <v>763</v>
      </c>
      <c r="E2322" t="s">
        <v>3870</v>
      </c>
      <c r="F2322" s="121">
        <v>1009.8</v>
      </c>
      <c r="G2322" s="121">
        <v>1009.8</v>
      </c>
      <c r="H2322" t="s">
        <v>519</v>
      </c>
      <c r="I2322" s="156">
        <v>41318</v>
      </c>
      <c r="K2322" s="153"/>
      <c r="L2322" s="153"/>
      <c r="M2322" s="153"/>
      <c r="N2322" s="153"/>
      <c r="O2322" s="153"/>
      <c r="P2322" s="150"/>
      <c r="Q2322" s="150"/>
      <c r="R2322" s="153"/>
      <c r="S2322" s="154"/>
      <c r="T2322" s="115"/>
    </row>
    <row r="2323" spans="1:20">
      <c r="A2323" t="s">
        <v>1230</v>
      </c>
      <c r="B2323" t="s">
        <v>73</v>
      </c>
      <c r="C2323" t="s">
        <v>54</v>
      </c>
      <c r="D2323" t="s">
        <v>764</v>
      </c>
      <c r="E2323" t="s">
        <v>3871</v>
      </c>
      <c r="F2323" s="121">
        <v>1522.18</v>
      </c>
      <c r="G2323" s="121">
        <v>1522.18</v>
      </c>
      <c r="H2323" t="s">
        <v>519</v>
      </c>
      <c r="I2323" s="156">
        <v>41318</v>
      </c>
      <c r="K2323" s="153"/>
      <c r="L2323" s="153"/>
      <c r="M2323" s="153"/>
      <c r="N2323" s="153"/>
      <c r="O2323" s="153"/>
      <c r="P2323" s="150"/>
      <c r="Q2323" s="150"/>
      <c r="R2323" s="153"/>
      <c r="S2323" s="154"/>
      <c r="T2323" s="115"/>
    </row>
    <row r="2324" spans="1:20">
      <c r="A2324" t="s">
        <v>1230</v>
      </c>
      <c r="B2324" t="s">
        <v>73</v>
      </c>
      <c r="C2324" t="s">
        <v>54</v>
      </c>
      <c r="D2324" t="s">
        <v>764</v>
      </c>
      <c r="E2324" t="s">
        <v>3872</v>
      </c>
      <c r="F2324" s="121">
        <v>1522.18</v>
      </c>
      <c r="G2324" s="121">
        <v>1522.18</v>
      </c>
      <c r="H2324" t="s">
        <v>519</v>
      </c>
      <c r="I2324" s="156">
        <v>41318</v>
      </c>
      <c r="K2324" s="153"/>
      <c r="L2324" s="153"/>
      <c r="M2324" s="153"/>
      <c r="N2324" s="153"/>
      <c r="O2324" s="153"/>
      <c r="P2324" s="150"/>
      <c r="Q2324" s="150"/>
      <c r="R2324" s="153"/>
      <c r="S2324" s="154"/>
      <c r="T2324" s="115"/>
    </row>
    <row r="2325" spans="1:20">
      <c r="A2325" t="s">
        <v>1230</v>
      </c>
      <c r="B2325" t="s">
        <v>73</v>
      </c>
      <c r="C2325" t="s">
        <v>54</v>
      </c>
      <c r="D2325" t="s">
        <v>765</v>
      </c>
      <c r="E2325" t="s">
        <v>3873</v>
      </c>
      <c r="F2325" s="121">
        <v>1364.55</v>
      </c>
      <c r="G2325" s="121">
        <v>1364.55</v>
      </c>
      <c r="H2325" t="s">
        <v>519</v>
      </c>
      <c r="I2325" s="156">
        <v>41318</v>
      </c>
      <c r="K2325" s="153"/>
      <c r="L2325" s="153"/>
      <c r="M2325" s="153"/>
      <c r="N2325" s="153"/>
      <c r="O2325" s="153"/>
      <c r="P2325" s="150"/>
      <c r="Q2325" s="150"/>
      <c r="R2325" s="153"/>
      <c r="S2325" s="154"/>
      <c r="T2325" s="115"/>
    </row>
    <row r="2326" spans="1:20">
      <c r="A2326" t="s">
        <v>1230</v>
      </c>
      <c r="B2326" t="s">
        <v>73</v>
      </c>
      <c r="C2326" t="s">
        <v>54</v>
      </c>
      <c r="D2326" t="s">
        <v>765</v>
      </c>
      <c r="E2326" t="s">
        <v>3874</v>
      </c>
      <c r="F2326" s="121">
        <v>1364.55</v>
      </c>
      <c r="G2326" s="121">
        <v>1364.55</v>
      </c>
      <c r="H2326" t="s">
        <v>519</v>
      </c>
      <c r="I2326" s="156">
        <v>41318</v>
      </c>
      <c r="K2326" s="153"/>
      <c r="L2326" s="153"/>
      <c r="M2326" s="153"/>
      <c r="N2326" s="153"/>
      <c r="O2326" s="153"/>
      <c r="P2326" s="150"/>
      <c r="Q2326" s="150"/>
      <c r="R2326" s="153"/>
      <c r="S2326" s="154"/>
      <c r="T2326" s="115"/>
    </row>
    <row r="2327" spans="1:20">
      <c r="A2327" t="s">
        <v>1230</v>
      </c>
      <c r="B2327" t="s">
        <v>73</v>
      </c>
      <c r="C2327" t="s">
        <v>54</v>
      </c>
      <c r="D2327" t="s">
        <v>765</v>
      </c>
      <c r="E2327" t="s">
        <v>3875</v>
      </c>
      <c r="F2327" s="121">
        <v>1364.55</v>
      </c>
      <c r="G2327" s="121">
        <v>1364.55</v>
      </c>
      <c r="H2327" t="s">
        <v>519</v>
      </c>
      <c r="I2327" s="156">
        <v>41318</v>
      </c>
      <c r="K2327" s="153"/>
      <c r="L2327" s="153"/>
      <c r="M2327" s="153"/>
      <c r="N2327" s="153"/>
      <c r="O2327" s="153"/>
      <c r="P2327" s="150"/>
      <c r="Q2327" s="150"/>
      <c r="R2327" s="153"/>
      <c r="S2327" s="154"/>
      <c r="T2327" s="115"/>
    </row>
    <row r="2328" spans="1:20">
      <c r="A2328" t="s">
        <v>1230</v>
      </c>
      <c r="B2328" t="s">
        <v>73</v>
      </c>
      <c r="C2328" t="s">
        <v>54</v>
      </c>
      <c r="D2328" t="s">
        <v>765</v>
      </c>
      <c r="E2328" t="s">
        <v>3876</v>
      </c>
      <c r="F2328" s="121">
        <v>1364.55</v>
      </c>
      <c r="G2328" s="121">
        <v>1364.55</v>
      </c>
      <c r="H2328" t="s">
        <v>519</v>
      </c>
      <c r="I2328" s="156">
        <v>41318</v>
      </c>
      <c r="K2328" s="153"/>
      <c r="L2328" s="153"/>
      <c r="M2328" s="153"/>
      <c r="N2328" s="153"/>
      <c r="O2328" s="153"/>
      <c r="P2328" s="150"/>
      <c r="Q2328" s="150"/>
      <c r="R2328" s="153"/>
      <c r="S2328" s="154"/>
      <c r="T2328" s="115"/>
    </row>
    <row r="2329" spans="1:20">
      <c r="A2329" t="s">
        <v>1230</v>
      </c>
      <c r="B2329" t="s">
        <v>73</v>
      </c>
      <c r="C2329" t="s">
        <v>54</v>
      </c>
      <c r="D2329" t="s">
        <v>765</v>
      </c>
      <c r="E2329" t="s">
        <v>3877</v>
      </c>
      <c r="F2329" s="121">
        <v>1364.56</v>
      </c>
      <c r="G2329" s="121">
        <v>1364.56</v>
      </c>
      <c r="H2329" t="s">
        <v>519</v>
      </c>
      <c r="I2329" s="156">
        <v>41318</v>
      </c>
      <c r="K2329" s="153"/>
      <c r="L2329" s="153"/>
      <c r="M2329" s="153"/>
      <c r="N2329" s="153"/>
      <c r="O2329" s="153"/>
      <c r="P2329" s="150"/>
      <c r="Q2329" s="150"/>
      <c r="R2329" s="153"/>
      <c r="S2329" s="154"/>
      <c r="T2329" s="115"/>
    </row>
    <row r="2330" spans="1:20">
      <c r="A2330" t="s">
        <v>1230</v>
      </c>
      <c r="B2330" t="s">
        <v>73</v>
      </c>
      <c r="C2330" t="s">
        <v>54</v>
      </c>
      <c r="D2330" t="s">
        <v>765</v>
      </c>
      <c r="E2330" t="s">
        <v>3878</v>
      </c>
      <c r="F2330" s="121">
        <v>1364.56</v>
      </c>
      <c r="G2330" s="121">
        <v>1364.56</v>
      </c>
      <c r="H2330" t="s">
        <v>519</v>
      </c>
      <c r="I2330" s="156">
        <v>41318</v>
      </c>
      <c r="K2330" s="153"/>
      <c r="L2330" s="153"/>
      <c r="M2330" s="153"/>
      <c r="N2330" s="153"/>
      <c r="O2330" s="153"/>
      <c r="P2330" s="150"/>
      <c r="Q2330" s="150"/>
      <c r="R2330" s="153"/>
      <c r="S2330" s="154"/>
      <c r="T2330" s="115"/>
    </row>
    <row r="2331" spans="1:20">
      <c r="A2331" t="s">
        <v>1230</v>
      </c>
      <c r="B2331" t="s">
        <v>73</v>
      </c>
      <c r="C2331" t="s">
        <v>54</v>
      </c>
      <c r="D2331" t="s">
        <v>765</v>
      </c>
      <c r="E2331" t="s">
        <v>3879</v>
      </c>
      <c r="F2331" s="121">
        <v>1364.56</v>
      </c>
      <c r="G2331" s="121">
        <v>1364.56</v>
      </c>
      <c r="H2331" t="s">
        <v>519</v>
      </c>
      <c r="I2331" s="156">
        <v>41318</v>
      </c>
      <c r="K2331" s="153"/>
      <c r="L2331" s="153"/>
      <c r="M2331" s="153"/>
      <c r="N2331" s="153"/>
      <c r="O2331" s="153"/>
      <c r="P2331" s="150"/>
      <c r="Q2331" s="150"/>
      <c r="R2331" s="153"/>
      <c r="S2331" s="154"/>
      <c r="T2331" s="115"/>
    </row>
    <row r="2332" spans="1:20">
      <c r="A2332" t="s">
        <v>1230</v>
      </c>
      <c r="B2332" t="s">
        <v>73</v>
      </c>
      <c r="C2332" t="s">
        <v>54</v>
      </c>
      <c r="D2332" t="s">
        <v>765</v>
      </c>
      <c r="E2332" t="s">
        <v>3880</v>
      </c>
      <c r="F2332" s="121">
        <v>1364.56</v>
      </c>
      <c r="G2332" s="121">
        <v>1364.56</v>
      </c>
      <c r="H2332" t="s">
        <v>519</v>
      </c>
      <c r="I2332" s="156">
        <v>41318</v>
      </c>
      <c r="K2332" s="153"/>
      <c r="L2332" s="153"/>
      <c r="M2332" s="153"/>
      <c r="N2332" s="153"/>
      <c r="O2332" s="153"/>
      <c r="P2332" s="150"/>
      <c r="Q2332" s="150"/>
      <c r="R2332" s="153"/>
      <c r="S2332" s="154"/>
      <c r="T2332" s="115"/>
    </row>
    <row r="2333" spans="1:20">
      <c r="A2333" t="s">
        <v>1230</v>
      </c>
      <c r="B2333" t="s">
        <v>73</v>
      </c>
      <c r="C2333" t="s">
        <v>54</v>
      </c>
      <c r="D2333" t="s">
        <v>766</v>
      </c>
      <c r="E2333" t="s">
        <v>3881</v>
      </c>
      <c r="F2333" s="121">
        <v>4250</v>
      </c>
      <c r="G2333" s="121">
        <v>4250</v>
      </c>
      <c r="H2333" t="s">
        <v>519</v>
      </c>
      <c r="I2333" s="156">
        <v>41337</v>
      </c>
      <c r="K2333" s="153"/>
      <c r="L2333" s="153"/>
      <c r="M2333" s="153"/>
      <c r="N2333" s="153"/>
      <c r="O2333" s="153"/>
      <c r="P2333" s="150"/>
      <c r="Q2333" s="150"/>
      <c r="R2333" s="153"/>
      <c r="S2333" s="154"/>
      <c r="T2333" s="115"/>
    </row>
    <row r="2334" spans="1:20">
      <c r="A2334" t="s">
        <v>1230</v>
      </c>
      <c r="B2334" t="s">
        <v>72</v>
      </c>
      <c r="C2334" t="s">
        <v>55</v>
      </c>
      <c r="D2334" t="s">
        <v>702</v>
      </c>
      <c r="E2334" t="s">
        <v>3882</v>
      </c>
      <c r="F2334" s="121">
        <v>229</v>
      </c>
      <c r="G2334" s="121">
        <v>229</v>
      </c>
      <c r="H2334" t="s">
        <v>396</v>
      </c>
      <c r="I2334" s="156">
        <v>41334</v>
      </c>
      <c r="K2334" s="153"/>
      <c r="L2334" s="153"/>
      <c r="M2334" s="153"/>
      <c r="N2334" s="153"/>
      <c r="O2334" s="153"/>
      <c r="P2334" s="150"/>
      <c r="Q2334" s="150"/>
      <c r="R2334" s="153"/>
      <c r="S2334" s="154"/>
      <c r="T2334" s="115"/>
    </row>
    <row r="2335" spans="1:20">
      <c r="A2335" t="s">
        <v>1230</v>
      </c>
      <c r="B2335" t="s">
        <v>72</v>
      </c>
      <c r="C2335" t="s">
        <v>43</v>
      </c>
      <c r="D2335" t="s">
        <v>718</v>
      </c>
      <c r="E2335" t="s">
        <v>3883</v>
      </c>
      <c r="F2335" s="121">
        <v>1430</v>
      </c>
      <c r="G2335" s="121">
        <v>1430</v>
      </c>
      <c r="H2335" t="s">
        <v>519</v>
      </c>
      <c r="I2335" s="156">
        <v>41327</v>
      </c>
      <c r="K2335" s="153"/>
      <c r="L2335" s="153"/>
      <c r="M2335" s="153"/>
      <c r="N2335" s="153"/>
      <c r="O2335" s="153"/>
      <c r="P2335" s="150"/>
      <c r="Q2335" s="150"/>
      <c r="R2335" s="153"/>
      <c r="S2335" s="154"/>
      <c r="T2335" s="115"/>
    </row>
    <row r="2336" spans="1:20">
      <c r="A2336" t="s">
        <v>1230</v>
      </c>
      <c r="B2336" t="s">
        <v>72</v>
      </c>
      <c r="C2336" t="s">
        <v>43</v>
      </c>
      <c r="D2336" t="s">
        <v>767</v>
      </c>
      <c r="E2336" t="s">
        <v>3884</v>
      </c>
      <c r="F2336" s="121">
        <v>1682.1</v>
      </c>
      <c r="G2336" s="121">
        <v>1682.1</v>
      </c>
      <c r="H2336" t="s">
        <v>519</v>
      </c>
      <c r="I2336" s="156">
        <v>41324</v>
      </c>
      <c r="K2336" s="153"/>
      <c r="L2336" s="153"/>
      <c r="M2336" s="153"/>
      <c r="N2336" s="153"/>
      <c r="O2336" s="153"/>
      <c r="P2336" s="150"/>
      <c r="Q2336" s="150"/>
      <c r="R2336" s="153"/>
      <c r="S2336" s="154"/>
      <c r="T2336" s="115"/>
    </row>
    <row r="2337" spans="1:20">
      <c r="A2337" t="s">
        <v>1230</v>
      </c>
      <c r="B2337" t="s">
        <v>73</v>
      </c>
      <c r="C2337" t="s">
        <v>54</v>
      </c>
      <c r="D2337" t="s">
        <v>740</v>
      </c>
      <c r="E2337" t="s">
        <v>3885</v>
      </c>
      <c r="F2337" s="121">
        <v>5681</v>
      </c>
      <c r="G2337" s="121">
        <v>5681</v>
      </c>
      <c r="H2337" t="s">
        <v>519</v>
      </c>
      <c r="I2337" s="156">
        <v>41324</v>
      </c>
      <c r="K2337" s="153"/>
      <c r="L2337" s="153"/>
      <c r="M2337" s="153"/>
      <c r="N2337" s="153"/>
      <c r="O2337" s="153"/>
      <c r="P2337" s="152"/>
      <c r="Q2337" s="152"/>
      <c r="R2337" s="153"/>
      <c r="S2337" s="154"/>
      <c r="T2337" s="115"/>
    </row>
    <row r="2338" spans="1:20">
      <c r="A2338" t="s">
        <v>1230</v>
      </c>
      <c r="B2338" t="s">
        <v>73</v>
      </c>
      <c r="C2338" t="s">
        <v>54</v>
      </c>
      <c r="D2338" t="s">
        <v>768</v>
      </c>
      <c r="E2338" t="s">
        <v>3886</v>
      </c>
      <c r="F2338" s="121">
        <v>1691</v>
      </c>
      <c r="G2338" s="121">
        <v>1691</v>
      </c>
      <c r="H2338" t="s">
        <v>519</v>
      </c>
      <c r="I2338" s="156">
        <v>41324</v>
      </c>
      <c r="K2338" s="153"/>
      <c r="L2338" s="153"/>
      <c r="M2338" s="153"/>
      <c r="N2338" s="153"/>
      <c r="O2338" s="153"/>
      <c r="P2338" s="150"/>
      <c r="Q2338" s="150"/>
      <c r="R2338" s="153"/>
      <c r="S2338" s="154"/>
      <c r="T2338" s="115"/>
    </row>
    <row r="2339" spans="1:20">
      <c r="A2339" t="s">
        <v>1230</v>
      </c>
      <c r="B2339" t="s">
        <v>73</v>
      </c>
      <c r="C2339" t="s">
        <v>54</v>
      </c>
      <c r="D2339" t="s">
        <v>769</v>
      </c>
      <c r="E2339" t="s">
        <v>3887</v>
      </c>
      <c r="F2339" s="121">
        <v>1881</v>
      </c>
      <c r="G2339" s="121">
        <v>1881</v>
      </c>
      <c r="H2339" t="s">
        <v>519</v>
      </c>
      <c r="I2339" s="156">
        <v>41324</v>
      </c>
      <c r="K2339" s="153"/>
      <c r="L2339" s="153"/>
      <c r="M2339" s="153"/>
      <c r="N2339" s="153"/>
      <c r="O2339" s="153"/>
      <c r="P2339" s="152"/>
      <c r="Q2339" s="152"/>
      <c r="R2339" s="153"/>
      <c r="S2339" s="154"/>
      <c r="T2339" s="115"/>
    </row>
    <row r="2340" spans="1:20">
      <c r="A2340" t="s">
        <v>1230</v>
      </c>
      <c r="B2340" t="s">
        <v>73</v>
      </c>
      <c r="C2340" t="s">
        <v>54</v>
      </c>
      <c r="D2340" t="s">
        <v>770</v>
      </c>
      <c r="E2340" t="s">
        <v>3888</v>
      </c>
      <c r="F2340" s="121">
        <v>1520</v>
      </c>
      <c r="G2340" s="121">
        <v>1520</v>
      </c>
      <c r="H2340" t="s">
        <v>519</v>
      </c>
      <c r="I2340" s="156">
        <v>41324</v>
      </c>
      <c r="K2340" s="153"/>
      <c r="L2340" s="153"/>
      <c r="M2340" s="153"/>
      <c r="N2340" s="153"/>
      <c r="O2340" s="153"/>
      <c r="P2340" s="152"/>
      <c r="Q2340" s="152"/>
      <c r="R2340" s="153"/>
      <c r="S2340" s="154"/>
      <c r="T2340" s="115"/>
    </row>
    <row r="2341" spans="1:20">
      <c r="A2341" t="s">
        <v>1230</v>
      </c>
      <c r="B2341" t="s">
        <v>72</v>
      </c>
      <c r="C2341" t="s">
        <v>55</v>
      </c>
      <c r="D2341" t="s">
        <v>540</v>
      </c>
      <c r="E2341" t="s">
        <v>3889</v>
      </c>
      <c r="F2341" s="121">
        <v>238</v>
      </c>
      <c r="G2341" s="121">
        <v>238</v>
      </c>
      <c r="H2341" t="s">
        <v>396</v>
      </c>
      <c r="I2341" s="156">
        <v>41330</v>
      </c>
      <c r="K2341" s="153"/>
      <c r="L2341" s="153"/>
      <c r="M2341" s="153"/>
      <c r="N2341" s="153"/>
      <c r="O2341" s="153"/>
      <c r="P2341" s="152"/>
      <c r="Q2341" s="152"/>
      <c r="R2341" s="153"/>
      <c r="S2341" s="154"/>
      <c r="T2341" s="115"/>
    </row>
    <row r="2342" spans="1:20">
      <c r="A2342" t="s">
        <v>1230</v>
      </c>
      <c r="B2342" t="s">
        <v>72</v>
      </c>
      <c r="C2342" t="s">
        <v>55</v>
      </c>
      <c r="D2342" t="s">
        <v>540</v>
      </c>
      <c r="E2342" t="s">
        <v>3890</v>
      </c>
      <c r="F2342" s="121">
        <v>238</v>
      </c>
      <c r="G2342" s="121">
        <v>238</v>
      </c>
      <c r="H2342" t="s">
        <v>396</v>
      </c>
      <c r="I2342" s="156">
        <v>41330</v>
      </c>
      <c r="K2342" s="153"/>
      <c r="L2342" s="153"/>
      <c r="M2342" s="153"/>
      <c r="N2342" s="153"/>
      <c r="O2342" s="153"/>
      <c r="P2342" s="150"/>
      <c r="Q2342" s="150"/>
      <c r="R2342" s="153"/>
      <c r="S2342" s="154"/>
      <c r="T2342" s="115"/>
    </row>
    <row r="2343" spans="1:20">
      <c r="A2343" t="s">
        <v>1230</v>
      </c>
      <c r="B2343" t="s">
        <v>72</v>
      </c>
      <c r="C2343" t="s">
        <v>55</v>
      </c>
      <c r="D2343" t="s">
        <v>540</v>
      </c>
      <c r="E2343" t="s">
        <v>3891</v>
      </c>
      <c r="F2343" s="121">
        <v>238</v>
      </c>
      <c r="G2343" s="121">
        <v>238</v>
      </c>
      <c r="H2343" t="s">
        <v>396</v>
      </c>
      <c r="I2343" s="156">
        <v>41330</v>
      </c>
      <c r="K2343" s="153"/>
      <c r="L2343" s="153"/>
      <c r="M2343" s="153"/>
      <c r="N2343" s="153"/>
      <c r="O2343" s="153"/>
      <c r="P2343" s="150"/>
      <c r="Q2343" s="150"/>
      <c r="R2343" s="153"/>
      <c r="S2343" s="154"/>
      <c r="T2343" s="115"/>
    </row>
    <row r="2344" spans="1:20">
      <c r="A2344" t="s">
        <v>1230</v>
      </c>
      <c r="B2344" t="s">
        <v>72</v>
      </c>
      <c r="C2344" t="s">
        <v>55</v>
      </c>
      <c r="D2344" t="s">
        <v>683</v>
      </c>
      <c r="E2344" t="s">
        <v>3892</v>
      </c>
      <c r="F2344" s="121">
        <v>84</v>
      </c>
      <c r="G2344" s="121">
        <v>84</v>
      </c>
      <c r="H2344" t="s">
        <v>396</v>
      </c>
      <c r="I2344" s="156">
        <v>41330</v>
      </c>
      <c r="K2344" s="153"/>
      <c r="L2344" s="153"/>
      <c r="M2344" s="153"/>
      <c r="N2344" s="153"/>
      <c r="O2344" s="153"/>
      <c r="P2344" s="150"/>
      <c r="Q2344" s="150"/>
      <c r="R2344" s="153"/>
      <c r="S2344" s="154"/>
      <c r="T2344" s="115"/>
    </row>
    <row r="2345" spans="1:20">
      <c r="A2345" t="s">
        <v>1230</v>
      </c>
      <c r="B2345" t="s">
        <v>72</v>
      </c>
      <c r="C2345" t="s">
        <v>55</v>
      </c>
      <c r="D2345" t="s">
        <v>683</v>
      </c>
      <c r="E2345" t="s">
        <v>3893</v>
      </c>
      <c r="F2345" s="121">
        <v>84</v>
      </c>
      <c r="G2345" s="121">
        <v>84</v>
      </c>
      <c r="H2345" t="s">
        <v>396</v>
      </c>
      <c r="I2345" s="156">
        <v>41330</v>
      </c>
      <c r="K2345" s="153"/>
      <c r="L2345" s="153"/>
      <c r="M2345" s="153"/>
      <c r="N2345" s="153"/>
      <c r="O2345" s="153"/>
      <c r="P2345" s="150"/>
      <c r="Q2345" s="150"/>
      <c r="R2345" s="153"/>
      <c r="S2345" s="154"/>
      <c r="T2345" s="115"/>
    </row>
    <row r="2346" spans="1:20">
      <c r="A2346" t="s">
        <v>1230</v>
      </c>
      <c r="B2346" t="s">
        <v>1012</v>
      </c>
      <c r="C2346" t="s">
        <v>55</v>
      </c>
      <c r="D2346" t="s">
        <v>771</v>
      </c>
      <c r="E2346" t="s">
        <v>3894</v>
      </c>
      <c r="F2346" s="121">
        <v>100</v>
      </c>
      <c r="G2346" s="121">
        <v>100</v>
      </c>
      <c r="H2346" t="s">
        <v>458</v>
      </c>
      <c r="I2346" s="156">
        <v>41330</v>
      </c>
      <c r="K2346" s="153"/>
      <c r="L2346" s="153"/>
      <c r="M2346" s="153"/>
      <c r="N2346" s="153"/>
      <c r="O2346" s="153"/>
      <c r="P2346" s="150"/>
      <c r="Q2346" s="150"/>
      <c r="R2346" s="153"/>
      <c r="S2346" s="154"/>
      <c r="T2346" s="115"/>
    </row>
    <row r="2347" spans="1:20">
      <c r="A2347" t="s">
        <v>1230</v>
      </c>
      <c r="B2347" t="s">
        <v>1012</v>
      </c>
      <c r="C2347" t="s">
        <v>55</v>
      </c>
      <c r="D2347" t="s">
        <v>727</v>
      </c>
      <c r="E2347" t="s">
        <v>3894</v>
      </c>
      <c r="F2347" s="121">
        <v>50</v>
      </c>
      <c r="G2347" s="121">
        <v>50</v>
      </c>
      <c r="H2347" t="s">
        <v>458</v>
      </c>
      <c r="I2347" s="156">
        <v>41330</v>
      </c>
      <c r="K2347" s="153"/>
      <c r="L2347" s="153"/>
      <c r="M2347" s="153"/>
      <c r="N2347" s="153"/>
      <c r="O2347" s="153"/>
      <c r="P2347" s="150"/>
      <c r="Q2347" s="150"/>
      <c r="R2347" s="153"/>
      <c r="S2347" s="154"/>
      <c r="T2347" s="115"/>
    </row>
    <row r="2348" spans="1:20">
      <c r="A2348" t="s">
        <v>1230</v>
      </c>
      <c r="B2348" t="s">
        <v>72</v>
      </c>
      <c r="C2348" t="s">
        <v>55</v>
      </c>
      <c r="D2348" t="s">
        <v>772</v>
      </c>
      <c r="E2348" t="s">
        <v>3895</v>
      </c>
      <c r="F2348" s="121">
        <v>329</v>
      </c>
      <c r="G2348" s="121">
        <v>329</v>
      </c>
      <c r="H2348" t="s">
        <v>396</v>
      </c>
      <c r="I2348" s="156">
        <v>41333</v>
      </c>
      <c r="K2348" s="153"/>
      <c r="L2348" s="153"/>
      <c r="M2348" s="153"/>
      <c r="N2348" s="153"/>
      <c r="O2348" s="153"/>
      <c r="P2348" s="150"/>
      <c r="Q2348" s="150"/>
      <c r="R2348" s="153"/>
      <c r="S2348" s="154"/>
      <c r="T2348" s="115"/>
    </row>
    <row r="2349" spans="1:20">
      <c r="A2349" t="s">
        <v>1230</v>
      </c>
      <c r="B2349" t="s">
        <v>72</v>
      </c>
      <c r="C2349" t="s">
        <v>55</v>
      </c>
      <c r="D2349" t="s">
        <v>772</v>
      </c>
      <c r="E2349" t="s">
        <v>3896</v>
      </c>
      <c r="F2349" s="121">
        <v>329</v>
      </c>
      <c r="G2349" s="121">
        <v>329</v>
      </c>
      <c r="H2349" t="s">
        <v>396</v>
      </c>
      <c r="I2349" s="156">
        <v>41333</v>
      </c>
      <c r="K2349" s="153"/>
      <c r="L2349" s="153"/>
      <c r="M2349" s="153"/>
      <c r="N2349" s="153"/>
      <c r="O2349" s="153"/>
      <c r="P2349" s="150"/>
      <c r="Q2349" s="150"/>
      <c r="R2349" s="153"/>
      <c r="S2349" s="154"/>
      <c r="T2349" s="115"/>
    </row>
    <row r="2350" spans="1:20">
      <c r="A2350" t="s">
        <v>1230</v>
      </c>
      <c r="B2350" t="s">
        <v>72</v>
      </c>
      <c r="C2350" t="s">
        <v>55</v>
      </c>
      <c r="D2350" t="s">
        <v>748</v>
      </c>
      <c r="E2350" t="s">
        <v>3897</v>
      </c>
      <c r="F2350" s="121">
        <v>219</v>
      </c>
      <c r="G2350" s="121">
        <v>219</v>
      </c>
      <c r="H2350" t="s">
        <v>396</v>
      </c>
      <c r="I2350" s="156">
        <v>41333</v>
      </c>
      <c r="K2350" s="153"/>
      <c r="L2350" s="153"/>
      <c r="M2350" s="153"/>
      <c r="N2350" s="153"/>
      <c r="O2350" s="153"/>
      <c r="P2350" s="150"/>
      <c r="Q2350" s="150"/>
      <c r="R2350" s="153"/>
      <c r="S2350" s="154"/>
      <c r="T2350" s="115"/>
    </row>
    <row r="2351" spans="1:20">
      <c r="A2351" t="s">
        <v>1230</v>
      </c>
      <c r="B2351" t="s">
        <v>72</v>
      </c>
      <c r="C2351" t="s">
        <v>55</v>
      </c>
      <c r="D2351" t="s">
        <v>598</v>
      </c>
      <c r="E2351" t="s">
        <v>3898</v>
      </c>
      <c r="F2351" s="121">
        <v>249</v>
      </c>
      <c r="G2351" s="121">
        <v>249</v>
      </c>
      <c r="H2351" t="s">
        <v>396</v>
      </c>
      <c r="I2351" s="156">
        <v>41333</v>
      </c>
      <c r="K2351" s="153"/>
      <c r="L2351" s="153"/>
      <c r="M2351" s="153"/>
      <c r="N2351" s="153"/>
      <c r="O2351" s="153"/>
      <c r="P2351" s="150"/>
      <c r="Q2351" s="150"/>
      <c r="R2351" s="153"/>
      <c r="S2351" s="154"/>
      <c r="T2351" s="115"/>
    </row>
    <row r="2352" spans="1:20">
      <c r="A2352" t="s">
        <v>1230</v>
      </c>
      <c r="B2352" t="s">
        <v>72</v>
      </c>
      <c r="C2352" t="s">
        <v>55</v>
      </c>
      <c r="D2352" t="s">
        <v>702</v>
      </c>
      <c r="E2352" t="s">
        <v>3899</v>
      </c>
      <c r="F2352" s="121">
        <v>249</v>
      </c>
      <c r="G2352" s="121">
        <v>249</v>
      </c>
      <c r="H2352" t="s">
        <v>396</v>
      </c>
      <c r="I2352" s="156">
        <v>41333</v>
      </c>
      <c r="K2352" s="153"/>
      <c r="L2352" s="153"/>
      <c r="M2352" s="153"/>
      <c r="N2352" s="153"/>
      <c r="O2352" s="153"/>
      <c r="P2352" s="150"/>
      <c r="Q2352" s="150"/>
      <c r="R2352" s="153"/>
      <c r="S2352" s="154"/>
      <c r="T2352" s="115"/>
    </row>
    <row r="2353" spans="1:20">
      <c r="A2353" t="s">
        <v>1230</v>
      </c>
      <c r="B2353" t="s">
        <v>72</v>
      </c>
      <c r="C2353" t="s">
        <v>55</v>
      </c>
      <c r="D2353" t="s">
        <v>773</v>
      </c>
      <c r="E2353" t="s">
        <v>3900</v>
      </c>
      <c r="F2353" s="121">
        <v>129</v>
      </c>
      <c r="G2353" s="121">
        <v>129</v>
      </c>
      <c r="H2353" t="s">
        <v>396</v>
      </c>
      <c r="I2353" s="156">
        <v>41333</v>
      </c>
      <c r="K2353" s="153"/>
      <c r="L2353" s="153"/>
      <c r="M2353" s="153"/>
      <c r="N2353" s="153"/>
      <c r="O2353" s="153"/>
      <c r="P2353" s="150"/>
      <c r="Q2353" s="150"/>
      <c r="R2353" s="153"/>
      <c r="S2353" s="154"/>
      <c r="T2353" s="115"/>
    </row>
    <row r="2354" spans="1:20">
      <c r="A2354" t="s">
        <v>1230</v>
      </c>
      <c r="B2354" t="s">
        <v>72</v>
      </c>
      <c r="C2354" t="s">
        <v>55</v>
      </c>
      <c r="D2354" t="s">
        <v>773</v>
      </c>
      <c r="E2354" t="s">
        <v>3901</v>
      </c>
      <c r="F2354" s="121">
        <v>129</v>
      </c>
      <c r="G2354" s="121">
        <v>129</v>
      </c>
      <c r="H2354" t="s">
        <v>396</v>
      </c>
      <c r="I2354" s="156">
        <v>41333</v>
      </c>
      <c r="K2354" s="153"/>
      <c r="L2354" s="153"/>
      <c r="M2354" s="153"/>
      <c r="N2354" s="153"/>
      <c r="O2354" s="153"/>
      <c r="P2354" s="152"/>
      <c r="Q2354" s="152"/>
      <c r="R2354" s="153"/>
      <c r="S2354" s="154"/>
      <c r="T2354" s="115"/>
    </row>
    <row r="2355" spans="1:20">
      <c r="A2355" t="s">
        <v>1230</v>
      </c>
      <c r="B2355" t="s">
        <v>72</v>
      </c>
      <c r="C2355" t="s">
        <v>55</v>
      </c>
      <c r="D2355" t="s">
        <v>773</v>
      </c>
      <c r="E2355" t="s">
        <v>3902</v>
      </c>
      <c r="F2355" s="121">
        <v>129</v>
      </c>
      <c r="G2355" s="121">
        <v>129</v>
      </c>
      <c r="H2355" t="s">
        <v>396</v>
      </c>
      <c r="I2355" s="156">
        <v>41333</v>
      </c>
      <c r="K2355" s="153"/>
      <c r="L2355" s="153"/>
      <c r="M2355" s="153"/>
      <c r="N2355" s="153"/>
      <c r="O2355" s="153"/>
      <c r="P2355" s="152"/>
      <c r="Q2355" s="152"/>
      <c r="R2355" s="153"/>
      <c r="S2355" s="154"/>
      <c r="T2355" s="115"/>
    </row>
    <row r="2356" spans="1:20">
      <c r="A2356" t="s">
        <v>1230</v>
      </c>
      <c r="B2356" t="s">
        <v>72</v>
      </c>
      <c r="C2356" t="s">
        <v>55</v>
      </c>
      <c r="D2356" t="s">
        <v>773</v>
      </c>
      <c r="E2356" t="s">
        <v>3903</v>
      </c>
      <c r="F2356" s="121">
        <v>129</v>
      </c>
      <c r="G2356" s="121">
        <v>129</v>
      </c>
      <c r="H2356" t="s">
        <v>396</v>
      </c>
      <c r="I2356" s="156">
        <v>41333</v>
      </c>
      <c r="K2356" s="153"/>
      <c r="L2356" s="153"/>
      <c r="M2356" s="153"/>
      <c r="N2356" s="153"/>
      <c r="O2356" s="153"/>
      <c r="P2356" s="150"/>
      <c r="Q2356" s="150"/>
      <c r="R2356" s="153"/>
      <c r="S2356" s="154"/>
      <c r="T2356" s="115"/>
    </row>
    <row r="2357" spans="1:20">
      <c r="A2357" t="s">
        <v>1230</v>
      </c>
      <c r="B2357" t="s">
        <v>72</v>
      </c>
      <c r="C2357" t="s">
        <v>55</v>
      </c>
      <c r="D2357" t="s">
        <v>773</v>
      </c>
      <c r="E2357" t="s">
        <v>3904</v>
      </c>
      <c r="F2357" s="121">
        <v>129</v>
      </c>
      <c r="G2357" s="121">
        <v>129</v>
      </c>
      <c r="H2357" t="s">
        <v>396</v>
      </c>
      <c r="I2357" s="156">
        <v>41333</v>
      </c>
      <c r="K2357" s="153"/>
      <c r="L2357" s="153"/>
      <c r="M2357" s="153"/>
      <c r="N2357" s="153"/>
      <c r="O2357" s="153"/>
      <c r="P2357" s="152"/>
      <c r="Q2357" s="152"/>
      <c r="R2357" s="153"/>
      <c r="S2357" s="154"/>
      <c r="T2357" s="151"/>
    </row>
    <row r="2358" spans="1:20">
      <c r="A2358" t="s">
        <v>1230</v>
      </c>
      <c r="B2358" t="s">
        <v>72</v>
      </c>
      <c r="C2358" t="s">
        <v>55</v>
      </c>
      <c r="D2358" t="s">
        <v>773</v>
      </c>
      <c r="E2358" t="s">
        <v>3905</v>
      </c>
      <c r="F2358" s="121">
        <v>129</v>
      </c>
      <c r="G2358" s="121">
        <v>129</v>
      </c>
      <c r="H2358" t="s">
        <v>396</v>
      </c>
      <c r="I2358" s="156">
        <v>41333</v>
      </c>
      <c r="K2358" s="153"/>
      <c r="L2358" s="153"/>
      <c r="M2358" s="153"/>
      <c r="N2358" s="153"/>
      <c r="O2358" s="153"/>
      <c r="P2358" s="150"/>
      <c r="Q2358" s="150"/>
      <c r="R2358" s="153"/>
      <c r="S2358" s="154"/>
      <c r="T2358" s="151"/>
    </row>
    <row r="2359" spans="1:20">
      <c r="A2359" t="s">
        <v>1230</v>
      </c>
      <c r="B2359" t="s">
        <v>72</v>
      </c>
      <c r="C2359" t="s">
        <v>55</v>
      </c>
      <c r="D2359" t="s">
        <v>774</v>
      </c>
      <c r="E2359" t="s">
        <v>3906</v>
      </c>
      <c r="F2359" s="121">
        <v>229</v>
      </c>
      <c r="G2359" s="121">
        <v>229</v>
      </c>
      <c r="H2359" t="s">
        <v>396</v>
      </c>
      <c r="I2359" s="156">
        <v>41333</v>
      </c>
      <c r="K2359" s="153"/>
      <c r="L2359" s="153"/>
      <c r="M2359" s="153"/>
      <c r="N2359" s="153"/>
      <c r="O2359" s="153"/>
      <c r="P2359" s="152"/>
      <c r="Q2359" s="152"/>
      <c r="R2359" s="153"/>
      <c r="S2359" s="154"/>
      <c r="T2359" s="151"/>
    </row>
    <row r="2360" spans="1:20">
      <c r="A2360" t="s">
        <v>1230</v>
      </c>
      <c r="B2360" t="s">
        <v>72</v>
      </c>
      <c r="C2360" t="s">
        <v>55</v>
      </c>
      <c r="D2360" t="s">
        <v>774</v>
      </c>
      <c r="E2360" t="s">
        <v>3907</v>
      </c>
      <c r="F2360" s="121">
        <v>229</v>
      </c>
      <c r="G2360" s="121">
        <v>229</v>
      </c>
      <c r="H2360" t="s">
        <v>396</v>
      </c>
      <c r="I2360" s="156">
        <v>41333</v>
      </c>
      <c r="K2360" s="153"/>
      <c r="L2360" s="153"/>
      <c r="M2360" s="153"/>
      <c r="N2360" s="153"/>
      <c r="O2360" s="153"/>
      <c r="P2360" s="150"/>
      <c r="Q2360" s="150"/>
      <c r="R2360" s="153"/>
      <c r="S2360" s="154"/>
      <c r="T2360" s="151"/>
    </row>
    <row r="2361" spans="1:20">
      <c r="A2361" t="s">
        <v>1230</v>
      </c>
      <c r="B2361" t="s">
        <v>72</v>
      </c>
      <c r="C2361" t="s">
        <v>55</v>
      </c>
      <c r="D2361" t="s">
        <v>774</v>
      </c>
      <c r="E2361" t="s">
        <v>3908</v>
      </c>
      <c r="F2361" s="121">
        <v>229</v>
      </c>
      <c r="G2361" s="121">
        <v>229</v>
      </c>
      <c r="H2361" t="s">
        <v>396</v>
      </c>
      <c r="I2361" s="156">
        <v>41333</v>
      </c>
      <c r="K2361" s="153"/>
      <c r="L2361" s="153"/>
      <c r="M2361" s="153"/>
      <c r="N2361" s="153"/>
      <c r="O2361" s="153"/>
      <c r="P2361" s="150"/>
      <c r="Q2361" s="150"/>
      <c r="R2361" s="153"/>
      <c r="S2361" s="154"/>
      <c r="T2361" s="115"/>
    </row>
    <row r="2362" spans="1:20">
      <c r="A2362" t="s">
        <v>1230</v>
      </c>
      <c r="B2362" t="s">
        <v>72</v>
      </c>
      <c r="C2362" t="s">
        <v>55</v>
      </c>
      <c r="D2362" t="s">
        <v>774</v>
      </c>
      <c r="E2362" t="s">
        <v>3909</v>
      </c>
      <c r="F2362" s="121">
        <v>229</v>
      </c>
      <c r="G2362" s="121">
        <v>229</v>
      </c>
      <c r="H2362" t="s">
        <v>396</v>
      </c>
      <c r="I2362" s="156">
        <v>41333</v>
      </c>
      <c r="K2362" s="153"/>
      <c r="L2362" s="153"/>
      <c r="M2362" s="153"/>
      <c r="N2362" s="153"/>
      <c r="O2362" s="153"/>
      <c r="P2362" s="152"/>
      <c r="Q2362" s="152"/>
      <c r="R2362" s="153"/>
      <c r="S2362" s="154"/>
      <c r="T2362" s="115"/>
    </row>
    <row r="2363" spans="1:20">
      <c r="A2363" t="s">
        <v>1230</v>
      </c>
      <c r="B2363" t="s">
        <v>72</v>
      </c>
      <c r="C2363" t="s">
        <v>55</v>
      </c>
      <c r="D2363" t="s">
        <v>774</v>
      </c>
      <c r="E2363" t="s">
        <v>3910</v>
      </c>
      <c r="F2363" s="121">
        <v>229</v>
      </c>
      <c r="G2363" s="121">
        <v>229</v>
      </c>
      <c r="H2363" t="s">
        <v>396</v>
      </c>
      <c r="I2363" s="156">
        <v>41333</v>
      </c>
      <c r="K2363" s="153"/>
      <c r="L2363" s="153"/>
      <c r="M2363" s="153"/>
      <c r="N2363" s="153"/>
      <c r="O2363" s="153"/>
      <c r="P2363" s="150"/>
      <c r="Q2363" s="150"/>
      <c r="R2363" s="153"/>
      <c r="S2363" s="154"/>
      <c r="T2363" s="115"/>
    </row>
    <row r="2364" spans="1:20">
      <c r="A2364" t="s">
        <v>1230</v>
      </c>
      <c r="B2364" t="s">
        <v>72</v>
      </c>
      <c r="C2364" t="s">
        <v>55</v>
      </c>
      <c r="D2364" t="s">
        <v>774</v>
      </c>
      <c r="E2364" t="s">
        <v>3911</v>
      </c>
      <c r="F2364" s="121">
        <v>229</v>
      </c>
      <c r="G2364" s="121">
        <v>229</v>
      </c>
      <c r="H2364" t="s">
        <v>396</v>
      </c>
      <c r="I2364" s="156">
        <v>41333</v>
      </c>
      <c r="K2364" s="153"/>
      <c r="L2364" s="153"/>
      <c r="M2364" s="153"/>
      <c r="N2364" s="153"/>
      <c r="O2364" s="153"/>
      <c r="P2364" s="150"/>
      <c r="Q2364" s="150"/>
      <c r="R2364" s="153"/>
      <c r="S2364" s="154"/>
      <c r="T2364" s="115"/>
    </row>
    <row r="2365" spans="1:20">
      <c r="A2365" t="s">
        <v>1230</v>
      </c>
      <c r="B2365" t="s">
        <v>72</v>
      </c>
      <c r="C2365" t="s">
        <v>55</v>
      </c>
      <c r="D2365" t="s">
        <v>774</v>
      </c>
      <c r="E2365" t="s">
        <v>3912</v>
      </c>
      <c r="F2365" s="121">
        <v>229</v>
      </c>
      <c r="G2365" s="121">
        <v>229</v>
      </c>
      <c r="H2365" t="s">
        <v>396</v>
      </c>
      <c r="I2365" s="156">
        <v>41333</v>
      </c>
      <c r="K2365" s="153"/>
      <c r="L2365" s="153"/>
      <c r="M2365" s="153"/>
      <c r="N2365" s="153"/>
      <c r="O2365" s="153"/>
      <c r="P2365" s="152"/>
      <c r="Q2365" s="152"/>
      <c r="R2365" s="153"/>
      <c r="S2365" s="154"/>
      <c r="T2365" s="115"/>
    </row>
    <row r="2366" spans="1:20">
      <c r="A2366" t="s">
        <v>1230</v>
      </c>
      <c r="B2366" t="s">
        <v>72</v>
      </c>
      <c r="C2366" t="s">
        <v>55</v>
      </c>
      <c r="D2366" t="s">
        <v>774</v>
      </c>
      <c r="E2366" t="s">
        <v>3913</v>
      </c>
      <c r="F2366" s="121">
        <v>229</v>
      </c>
      <c r="G2366" s="121">
        <v>229</v>
      </c>
      <c r="H2366" t="s">
        <v>396</v>
      </c>
      <c r="I2366" s="156">
        <v>41333</v>
      </c>
      <c r="K2366" s="153"/>
      <c r="L2366" s="153"/>
      <c r="M2366" s="153"/>
      <c r="N2366" s="153"/>
      <c r="O2366" s="153"/>
      <c r="P2366" s="152"/>
      <c r="Q2366" s="152"/>
      <c r="R2366" s="153"/>
      <c r="S2366" s="154"/>
      <c r="T2366" s="115"/>
    </row>
    <row r="2367" spans="1:20">
      <c r="A2367" t="s">
        <v>1230</v>
      </c>
      <c r="B2367" t="s">
        <v>72</v>
      </c>
      <c r="C2367" t="s">
        <v>55</v>
      </c>
      <c r="D2367" t="s">
        <v>774</v>
      </c>
      <c r="E2367" t="s">
        <v>3914</v>
      </c>
      <c r="F2367" s="121">
        <v>229</v>
      </c>
      <c r="G2367" s="121">
        <v>229</v>
      </c>
      <c r="H2367" t="s">
        <v>396</v>
      </c>
      <c r="I2367" s="156">
        <v>41333</v>
      </c>
      <c r="K2367" s="153"/>
      <c r="L2367" s="153"/>
      <c r="M2367" s="153"/>
      <c r="N2367" s="153"/>
      <c r="O2367" s="153"/>
      <c r="P2367" s="152"/>
      <c r="Q2367" s="152"/>
      <c r="R2367" s="153"/>
      <c r="S2367" s="154"/>
      <c r="T2367" s="115"/>
    </row>
    <row r="2368" spans="1:20">
      <c r="A2368" t="s">
        <v>1230</v>
      </c>
      <c r="B2368" t="s">
        <v>72</v>
      </c>
      <c r="C2368" t="s">
        <v>55</v>
      </c>
      <c r="D2368" t="s">
        <v>774</v>
      </c>
      <c r="E2368" t="s">
        <v>3915</v>
      </c>
      <c r="F2368" s="121">
        <v>229</v>
      </c>
      <c r="G2368" s="121">
        <v>229</v>
      </c>
      <c r="H2368" t="s">
        <v>396</v>
      </c>
      <c r="I2368" s="156">
        <v>41333</v>
      </c>
      <c r="K2368" s="153"/>
      <c r="L2368" s="153"/>
      <c r="M2368" s="153"/>
      <c r="N2368" s="153"/>
      <c r="O2368" s="153"/>
      <c r="P2368" s="150"/>
      <c r="Q2368" s="150"/>
      <c r="R2368" s="153"/>
      <c r="S2368" s="154"/>
      <c r="T2368" s="115"/>
    </row>
    <row r="2369" spans="1:20">
      <c r="A2369" t="s">
        <v>1230</v>
      </c>
      <c r="B2369" t="s">
        <v>72</v>
      </c>
      <c r="C2369" t="s">
        <v>55</v>
      </c>
      <c r="D2369" t="s">
        <v>774</v>
      </c>
      <c r="E2369" t="s">
        <v>3916</v>
      </c>
      <c r="F2369" s="121">
        <v>229</v>
      </c>
      <c r="G2369" s="121">
        <v>229</v>
      </c>
      <c r="H2369" t="s">
        <v>396</v>
      </c>
      <c r="I2369" s="156">
        <v>41333</v>
      </c>
      <c r="K2369" s="153"/>
      <c r="L2369" s="153"/>
      <c r="M2369" s="153"/>
      <c r="N2369" s="153"/>
      <c r="O2369" s="153"/>
      <c r="P2369" s="150"/>
      <c r="Q2369" s="150"/>
      <c r="R2369" s="153"/>
      <c r="S2369" s="154"/>
      <c r="T2369" s="115"/>
    </row>
    <row r="2370" spans="1:20">
      <c r="A2370" t="s">
        <v>1230</v>
      </c>
      <c r="B2370" t="s">
        <v>72</v>
      </c>
      <c r="C2370" t="s">
        <v>55</v>
      </c>
      <c r="D2370" t="s">
        <v>774</v>
      </c>
      <c r="E2370" t="s">
        <v>3917</v>
      </c>
      <c r="F2370" s="121">
        <v>229</v>
      </c>
      <c r="G2370" s="121">
        <v>229</v>
      </c>
      <c r="H2370" t="s">
        <v>396</v>
      </c>
      <c r="I2370" s="156">
        <v>41333</v>
      </c>
      <c r="K2370" s="153"/>
      <c r="L2370" s="153"/>
      <c r="M2370" s="153"/>
      <c r="N2370" s="153"/>
      <c r="O2370" s="153"/>
      <c r="P2370" s="150"/>
      <c r="Q2370" s="150"/>
      <c r="R2370" s="153"/>
      <c r="S2370" s="154"/>
      <c r="T2370" s="115"/>
    </row>
    <row r="2371" spans="1:20">
      <c r="A2371" t="s">
        <v>1230</v>
      </c>
      <c r="B2371" t="s">
        <v>72</v>
      </c>
      <c r="C2371" t="s">
        <v>55</v>
      </c>
      <c r="D2371" t="s">
        <v>774</v>
      </c>
      <c r="E2371" t="s">
        <v>3918</v>
      </c>
      <c r="F2371" s="121">
        <v>229</v>
      </c>
      <c r="G2371" s="121">
        <v>229</v>
      </c>
      <c r="H2371" t="s">
        <v>396</v>
      </c>
      <c r="I2371" s="156">
        <v>41333</v>
      </c>
      <c r="K2371" s="153"/>
      <c r="L2371" s="153"/>
      <c r="M2371" s="153"/>
      <c r="N2371" s="153"/>
      <c r="O2371" s="153"/>
      <c r="P2371" s="150"/>
      <c r="Q2371" s="150"/>
      <c r="R2371" s="153"/>
      <c r="S2371" s="154"/>
      <c r="T2371" s="115"/>
    </row>
    <row r="2372" spans="1:20">
      <c r="A2372" t="s">
        <v>1230</v>
      </c>
      <c r="B2372" t="s">
        <v>72</v>
      </c>
      <c r="C2372" t="s">
        <v>55</v>
      </c>
      <c r="D2372" t="s">
        <v>774</v>
      </c>
      <c r="E2372" t="s">
        <v>3919</v>
      </c>
      <c r="F2372" s="121">
        <v>229</v>
      </c>
      <c r="G2372" s="121">
        <v>229</v>
      </c>
      <c r="H2372" t="s">
        <v>396</v>
      </c>
      <c r="I2372" s="156">
        <v>41333</v>
      </c>
      <c r="K2372" s="153"/>
      <c r="L2372" s="153"/>
      <c r="M2372" s="153"/>
      <c r="N2372" s="153"/>
      <c r="O2372" s="153"/>
      <c r="P2372" s="150"/>
      <c r="Q2372" s="150"/>
      <c r="R2372" s="153"/>
      <c r="S2372" s="154"/>
      <c r="T2372" s="115"/>
    </row>
    <row r="2373" spans="1:20">
      <c r="A2373" t="s">
        <v>1230</v>
      </c>
      <c r="B2373" t="s">
        <v>72</v>
      </c>
      <c r="C2373" t="s">
        <v>55</v>
      </c>
      <c r="D2373" t="s">
        <v>774</v>
      </c>
      <c r="E2373" t="s">
        <v>3920</v>
      </c>
      <c r="F2373" s="121">
        <v>229</v>
      </c>
      <c r="G2373" s="121">
        <v>229</v>
      </c>
      <c r="H2373" t="s">
        <v>396</v>
      </c>
      <c r="I2373" s="156">
        <v>41333</v>
      </c>
      <c r="K2373" s="153"/>
      <c r="L2373" s="153"/>
      <c r="M2373" s="153"/>
      <c r="N2373" s="153"/>
      <c r="O2373" s="153"/>
      <c r="P2373" s="150"/>
      <c r="Q2373" s="150"/>
      <c r="R2373" s="153"/>
      <c r="S2373" s="154"/>
      <c r="T2373" s="115"/>
    </row>
    <row r="2374" spans="1:20">
      <c r="A2374" t="s">
        <v>1230</v>
      </c>
      <c r="B2374" t="s">
        <v>72</v>
      </c>
      <c r="C2374" t="s">
        <v>55</v>
      </c>
      <c r="D2374" t="s">
        <v>774</v>
      </c>
      <c r="E2374" t="s">
        <v>3921</v>
      </c>
      <c r="F2374" s="121">
        <v>229</v>
      </c>
      <c r="G2374" s="121">
        <v>229</v>
      </c>
      <c r="H2374" t="s">
        <v>396</v>
      </c>
      <c r="I2374" s="156">
        <v>41333</v>
      </c>
      <c r="K2374" s="153"/>
      <c r="L2374" s="153"/>
      <c r="M2374" s="153"/>
      <c r="N2374" s="153"/>
      <c r="O2374" s="153"/>
      <c r="P2374" s="150"/>
      <c r="Q2374" s="150"/>
      <c r="R2374" s="153"/>
      <c r="S2374" s="154"/>
      <c r="T2374" s="115"/>
    </row>
    <row r="2375" spans="1:20">
      <c r="A2375" t="s">
        <v>1230</v>
      </c>
      <c r="B2375" t="s">
        <v>72</v>
      </c>
      <c r="C2375" t="s">
        <v>55</v>
      </c>
      <c r="D2375" t="s">
        <v>774</v>
      </c>
      <c r="E2375" t="s">
        <v>3922</v>
      </c>
      <c r="F2375" s="121">
        <v>229</v>
      </c>
      <c r="G2375" s="121">
        <v>229</v>
      </c>
      <c r="H2375" t="s">
        <v>396</v>
      </c>
      <c r="I2375" s="156">
        <v>41333</v>
      </c>
      <c r="K2375" s="153"/>
      <c r="L2375" s="153"/>
      <c r="M2375" s="153"/>
      <c r="N2375" s="153"/>
      <c r="O2375" s="153"/>
      <c r="P2375" s="150"/>
      <c r="Q2375" s="150"/>
      <c r="R2375" s="153"/>
      <c r="S2375" s="154"/>
      <c r="T2375" s="115"/>
    </row>
    <row r="2376" spans="1:20">
      <c r="A2376" t="s">
        <v>1230</v>
      </c>
      <c r="B2376" t="s">
        <v>72</v>
      </c>
      <c r="C2376" t="s">
        <v>55</v>
      </c>
      <c r="D2376" t="s">
        <v>774</v>
      </c>
      <c r="E2376" t="s">
        <v>3923</v>
      </c>
      <c r="F2376" s="121">
        <v>229</v>
      </c>
      <c r="G2376" s="121">
        <v>229</v>
      </c>
      <c r="H2376" t="s">
        <v>396</v>
      </c>
      <c r="I2376" s="156">
        <v>41333</v>
      </c>
      <c r="K2376" s="153"/>
      <c r="L2376" s="153"/>
      <c r="M2376" s="153"/>
      <c r="N2376" s="153"/>
      <c r="O2376" s="153"/>
      <c r="P2376" s="150"/>
      <c r="Q2376" s="150"/>
      <c r="R2376" s="153"/>
      <c r="S2376" s="154"/>
      <c r="T2376" s="115"/>
    </row>
    <row r="2377" spans="1:20">
      <c r="A2377" t="s">
        <v>1230</v>
      </c>
      <c r="B2377" t="s">
        <v>72</v>
      </c>
      <c r="C2377" t="s">
        <v>55</v>
      </c>
      <c r="D2377" t="s">
        <v>774</v>
      </c>
      <c r="E2377" t="s">
        <v>3924</v>
      </c>
      <c r="F2377" s="121">
        <v>229</v>
      </c>
      <c r="G2377" s="121">
        <v>229</v>
      </c>
      <c r="H2377" t="s">
        <v>396</v>
      </c>
      <c r="I2377" s="156">
        <v>41333</v>
      </c>
      <c r="K2377" s="153"/>
      <c r="L2377" s="153"/>
      <c r="M2377" s="153"/>
      <c r="N2377" s="153"/>
      <c r="O2377" s="153"/>
      <c r="P2377" s="150"/>
      <c r="Q2377" s="150"/>
      <c r="R2377" s="153"/>
      <c r="S2377" s="154"/>
      <c r="T2377" s="115"/>
    </row>
    <row r="2378" spans="1:20">
      <c r="A2378" t="s">
        <v>1230</v>
      </c>
      <c r="B2378" t="s">
        <v>72</v>
      </c>
      <c r="C2378" t="s">
        <v>55</v>
      </c>
      <c r="D2378" t="s">
        <v>775</v>
      </c>
      <c r="E2378" t="s">
        <v>3925</v>
      </c>
      <c r="F2378" s="121">
        <v>1499</v>
      </c>
      <c r="G2378" s="121">
        <v>1499</v>
      </c>
      <c r="H2378" t="s">
        <v>507</v>
      </c>
      <c r="I2378" s="156">
        <v>41341</v>
      </c>
      <c r="K2378" s="153"/>
      <c r="L2378" s="153"/>
      <c r="M2378" s="153"/>
      <c r="N2378" s="153"/>
      <c r="O2378" s="153"/>
      <c r="P2378" s="150"/>
      <c r="Q2378" s="150"/>
      <c r="R2378" s="153"/>
      <c r="S2378" s="154"/>
      <c r="T2378" s="115"/>
    </row>
    <row r="2379" spans="1:20">
      <c r="A2379" t="s">
        <v>1230</v>
      </c>
      <c r="B2379" t="s">
        <v>73</v>
      </c>
      <c r="C2379" t="s">
        <v>54</v>
      </c>
      <c r="D2379" t="s">
        <v>776</v>
      </c>
      <c r="E2379" t="s">
        <v>3926</v>
      </c>
      <c r="F2379" s="121">
        <v>925</v>
      </c>
      <c r="G2379" s="121">
        <v>925</v>
      </c>
      <c r="H2379" t="s">
        <v>519</v>
      </c>
      <c r="I2379" s="156">
        <v>41341</v>
      </c>
      <c r="K2379" s="153"/>
      <c r="L2379" s="153"/>
      <c r="M2379" s="153"/>
      <c r="N2379" s="153"/>
      <c r="O2379" s="153"/>
      <c r="P2379" s="150"/>
      <c r="Q2379" s="150"/>
      <c r="R2379" s="153"/>
      <c r="S2379" s="154"/>
      <c r="T2379" s="115"/>
    </row>
    <row r="2380" spans="1:20">
      <c r="A2380" t="s">
        <v>1230</v>
      </c>
      <c r="B2380" t="s">
        <v>73</v>
      </c>
      <c r="C2380" t="s">
        <v>54</v>
      </c>
      <c r="D2380" t="s">
        <v>776</v>
      </c>
      <c r="E2380" t="s">
        <v>3927</v>
      </c>
      <c r="F2380" s="121">
        <v>925</v>
      </c>
      <c r="G2380" s="121">
        <v>925</v>
      </c>
      <c r="H2380" t="s">
        <v>519</v>
      </c>
      <c r="I2380" s="156">
        <v>41341</v>
      </c>
      <c r="K2380" s="153"/>
      <c r="L2380" s="153"/>
      <c r="M2380" s="153"/>
      <c r="N2380" s="153"/>
      <c r="O2380" s="153"/>
      <c r="P2380" s="150"/>
      <c r="Q2380" s="150"/>
      <c r="R2380" s="153"/>
      <c r="S2380" s="154"/>
      <c r="T2380" s="115"/>
    </row>
    <row r="2381" spans="1:20">
      <c r="A2381" t="s">
        <v>1230</v>
      </c>
      <c r="B2381" t="s">
        <v>73</v>
      </c>
      <c r="C2381" t="s">
        <v>54</v>
      </c>
      <c r="D2381" t="s">
        <v>776</v>
      </c>
      <c r="E2381" t="s">
        <v>3928</v>
      </c>
      <c r="F2381" s="121">
        <v>925</v>
      </c>
      <c r="G2381" s="121">
        <v>925</v>
      </c>
      <c r="H2381" t="s">
        <v>519</v>
      </c>
      <c r="I2381" s="156">
        <v>41341</v>
      </c>
      <c r="K2381" s="153"/>
      <c r="L2381" s="153"/>
      <c r="M2381" s="153"/>
      <c r="N2381" s="153"/>
      <c r="O2381" s="153"/>
      <c r="P2381" s="150"/>
      <c r="Q2381" s="150"/>
      <c r="R2381" s="153"/>
      <c r="S2381" s="154"/>
      <c r="T2381" s="115"/>
    </row>
    <row r="2382" spans="1:20">
      <c r="A2382" t="s">
        <v>1230</v>
      </c>
      <c r="B2382" t="s">
        <v>73</v>
      </c>
      <c r="C2382" t="s">
        <v>54</v>
      </c>
      <c r="D2382" t="s">
        <v>776</v>
      </c>
      <c r="E2382" t="s">
        <v>3929</v>
      </c>
      <c r="F2382" s="121">
        <v>925</v>
      </c>
      <c r="G2382" s="121">
        <v>925</v>
      </c>
      <c r="H2382" t="s">
        <v>519</v>
      </c>
      <c r="I2382" s="156">
        <v>41341</v>
      </c>
      <c r="K2382" s="153"/>
      <c r="L2382" s="153"/>
      <c r="M2382" s="153"/>
      <c r="N2382" s="153"/>
      <c r="O2382" s="153"/>
      <c r="P2382" s="150"/>
      <c r="Q2382" s="150"/>
      <c r="R2382" s="153"/>
      <c r="S2382" s="154"/>
      <c r="T2382" s="115"/>
    </row>
    <row r="2383" spans="1:20">
      <c r="A2383" t="s">
        <v>1230</v>
      </c>
      <c r="B2383" t="s">
        <v>73</v>
      </c>
      <c r="C2383" t="s">
        <v>54</v>
      </c>
      <c r="D2383" t="s">
        <v>777</v>
      </c>
      <c r="E2383" t="s">
        <v>3930</v>
      </c>
      <c r="F2383" s="121">
        <v>1300</v>
      </c>
      <c r="G2383" s="121">
        <v>1300</v>
      </c>
      <c r="H2383" t="s">
        <v>519</v>
      </c>
      <c r="I2383" s="156">
        <v>41341</v>
      </c>
      <c r="K2383" s="153"/>
      <c r="L2383" s="153"/>
      <c r="M2383" s="153"/>
      <c r="N2383" s="153"/>
      <c r="O2383" s="153"/>
      <c r="P2383" s="150"/>
      <c r="Q2383" s="150"/>
      <c r="R2383" s="153"/>
      <c r="S2383" s="154"/>
      <c r="T2383" s="115"/>
    </row>
    <row r="2384" spans="1:20">
      <c r="A2384" t="s">
        <v>1230</v>
      </c>
      <c r="B2384" t="s">
        <v>72</v>
      </c>
      <c r="C2384" t="s">
        <v>55</v>
      </c>
      <c r="D2384" t="s">
        <v>778</v>
      </c>
      <c r="E2384" t="s">
        <v>3931</v>
      </c>
      <c r="F2384" s="121">
        <v>499</v>
      </c>
      <c r="G2384" s="121">
        <v>499</v>
      </c>
      <c r="H2384" t="s">
        <v>396</v>
      </c>
      <c r="I2384" s="156">
        <v>41344</v>
      </c>
      <c r="K2384" s="153"/>
      <c r="L2384" s="153"/>
      <c r="M2384" s="153"/>
      <c r="N2384" s="153"/>
      <c r="O2384" s="153"/>
      <c r="P2384" s="150"/>
      <c r="Q2384" s="150"/>
      <c r="R2384" s="153"/>
      <c r="S2384" s="154"/>
      <c r="T2384" s="115"/>
    </row>
    <row r="2385" spans="1:20">
      <c r="A2385" t="s">
        <v>1230</v>
      </c>
      <c r="B2385" t="s">
        <v>72</v>
      </c>
      <c r="C2385" t="s">
        <v>55</v>
      </c>
      <c r="D2385" t="s">
        <v>779</v>
      </c>
      <c r="E2385" t="s">
        <v>3932</v>
      </c>
      <c r="F2385" s="121">
        <v>1049</v>
      </c>
      <c r="G2385" s="121">
        <v>1049</v>
      </c>
      <c r="H2385" t="s">
        <v>396</v>
      </c>
      <c r="I2385" s="156">
        <v>41344</v>
      </c>
      <c r="K2385" s="153"/>
      <c r="L2385" s="153"/>
      <c r="M2385" s="153"/>
      <c r="N2385" s="153"/>
      <c r="O2385" s="153"/>
      <c r="P2385" s="150"/>
      <c r="Q2385" s="150"/>
      <c r="R2385" s="153"/>
      <c r="S2385" s="154"/>
      <c r="T2385" s="115"/>
    </row>
    <row r="2386" spans="1:20">
      <c r="A2386" t="s">
        <v>1230</v>
      </c>
      <c r="B2386" t="s">
        <v>72</v>
      </c>
      <c r="C2386" t="s">
        <v>55</v>
      </c>
      <c r="D2386" t="s">
        <v>774</v>
      </c>
      <c r="E2386" t="s">
        <v>3933</v>
      </c>
      <c r="F2386" s="121">
        <v>229</v>
      </c>
      <c r="G2386" s="121">
        <v>229</v>
      </c>
      <c r="H2386" t="s">
        <v>396</v>
      </c>
      <c r="I2386" s="156">
        <v>41344</v>
      </c>
      <c r="K2386" s="153"/>
      <c r="L2386" s="153"/>
      <c r="M2386" s="153"/>
      <c r="N2386" s="153"/>
      <c r="O2386" s="153"/>
      <c r="P2386" s="150"/>
      <c r="Q2386" s="150"/>
      <c r="R2386" s="153"/>
      <c r="S2386" s="154"/>
      <c r="T2386" s="115"/>
    </row>
    <row r="2387" spans="1:20">
      <c r="A2387" t="s">
        <v>1230</v>
      </c>
      <c r="B2387" t="s">
        <v>72</v>
      </c>
      <c r="C2387" t="s">
        <v>55</v>
      </c>
      <c r="D2387" t="s">
        <v>774</v>
      </c>
      <c r="E2387" t="s">
        <v>3934</v>
      </c>
      <c r="F2387" s="121">
        <v>229</v>
      </c>
      <c r="G2387" s="121">
        <v>229</v>
      </c>
      <c r="H2387" t="s">
        <v>396</v>
      </c>
      <c r="I2387" s="156">
        <v>41344</v>
      </c>
      <c r="K2387" s="153"/>
      <c r="L2387" s="153"/>
      <c r="M2387" s="153"/>
      <c r="N2387" s="153"/>
      <c r="O2387" s="153"/>
      <c r="P2387" s="150"/>
      <c r="Q2387" s="150"/>
      <c r="R2387" s="153"/>
      <c r="S2387" s="154"/>
      <c r="T2387" s="115"/>
    </row>
    <row r="2388" spans="1:20">
      <c r="A2388" t="s">
        <v>1230</v>
      </c>
      <c r="B2388" t="s">
        <v>72</v>
      </c>
      <c r="C2388" t="s">
        <v>55</v>
      </c>
      <c r="D2388" t="s">
        <v>774</v>
      </c>
      <c r="E2388" t="s">
        <v>3935</v>
      </c>
      <c r="F2388" s="121">
        <v>229</v>
      </c>
      <c r="G2388" s="121">
        <v>229</v>
      </c>
      <c r="H2388" t="s">
        <v>396</v>
      </c>
      <c r="I2388" s="156">
        <v>41344</v>
      </c>
      <c r="K2388" s="153"/>
      <c r="L2388" s="153"/>
      <c r="M2388" s="153"/>
      <c r="N2388" s="153"/>
      <c r="O2388" s="153"/>
      <c r="P2388" s="150"/>
      <c r="Q2388" s="150"/>
      <c r="R2388" s="153"/>
      <c r="S2388" s="154"/>
      <c r="T2388" s="115"/>
    </row>
    <row r="2389" spans="1:20">
      <c r="A2389" t="s">
        <v>1230</v>
      </c>
      <c r="B2389" t="s">
        <v>72</v>
      </c>
      <c r="C2389" t="s">
        <v>55</v>
      </c>
      <c r="D2389" t="s">
        <v>774</v>
      </c>
      <c r="E2389" t="s">
        <v>3936</v>
      </c>
      <c r="F2389" s="121">
        <v>229</v>
      </c>
      <c r="G2389" s="121">
        <v>229</v>
      </c>
      <c r="H2389" t="s">
        <v>396</v>
      </c>
      <c r="I2389" s="156">
        <v>41344</v>
      </c>
      <c r="K2389" s="153"/>
      <c r="L2389" s="153"/>
      <c r="M2389" s="153"/>
      <c r="N2389" s="153"/>
      <c r="O2389" s="153"/>
      <c r="P2389" s="150"/>
      <c r="Q2389" s="150"/>
      <c r="R2389" s="153"/>
      <c r="S2389" s="154"/>
      <c r="T2389" s="115"/>
    </row>
    <row r="2390" spans="1:20">
      <c r="A2390" t="s">
        <v>1230</v>
      </c>
      <c r="B2390" t="s">
        <v>72</v>
      </c>
      <c r="C2390" t="s">
        <v>55</v>
      </c>
      <c r="D2390" t="s">
        <v>774</v>
      </c>
      <c r="E2390" t="s">
        <v>3937</v>
      </c>
      <c r="F2390" s="121">
        <v>229</v>
      </c>
      <c r="G2390" s="121">
        <v>229</v>
      </c>
      <c r="H2390" t="s">
        <v>396</v>
      </c>
      <c r="I2390" s="156">
        <v>41344</v>
      </c>
      <c r="K2390" s="153"/>
      <c r="L2390" s="153"/>
      <c r="M2390" s="153"/>
      <c r="N2390" s="153"/>
      <c r="O2390" s="153"/>
      <c r="P2390" s="152"/>
      <c r="Q2390" s="152"/>
      <c r="R2390" s="153"/>
      <c r="S2390" s="154"/>
      <c r="T2390" s="115"/>
    </row>
    <row r="2391" spans="1:20">
      <c r="A2391" t="s">
        <v>1230</v>
      </c>
      <c r="B2391" t="s">
        <v>72</v>
      </c>
      <c r="C2391" t="s">
        <v>55</v>
      </c>
      <c r="D2391" t="s">
        <v>774</v>
      </c>
      <c r="E2391" t="s">
        <v>3938</v>
      </c>
      <c r="F2391" s="121">
        <v>229</v>
      </c>
      <c r="G2391" s="121">
        <v>229</v>
      </c>
      <c r="H2391" t="s">
        <v>396</v>
      </c>
      <c r="I2391" s="156">
        <v>41344</v>
      </c>
      <c r="K2391" s="153"/>
      <c r="L2391" s="153"/>
      <c r="M2391" s="153"/>
      <c r="N2391" s="153"/>
      <c r="O2391" s="153"/>
      <c r="P2391" s="152"/>
      <c r="Q2391" s="152"/>
      <c r="R2391" s="153"/>
      <c r="S2391" s="154"/>
      <c r="T2391" s="115"/>
    </row>
    <row r="2392" spans="1:20">
      <c r="A2392" t="s">
        <v>1230</v>
      </c>
      <c r="B2392" t="s">
        <v>72</v>
      </c>
      <c r="C2392" t="s">
        <v>55</v>
      </c>
      <c r="D2392" t="s">
        <v>774</v>
      </c>
      <c r="E2392" t="s">
        <v>3939</v>
      </c>
      <c r="F2392" s="121">
        <v>229</v>
      </c>
      <c r="G2392" s="121">
        <v>229</v>
      </c>
      <c r="H2392" t="s">
        <v>396</v>
      </c>
      <c r="I2392" s="156">
        <v>41344</v>
      </c>
      <c r="K2392" s="153"/>
      <c r="L2392" s="153"/>
      <c r="M2392" s="153"/>
      <c r="N2392" s="153"/>
      <c r="O2392" s="153"/>
      <c r="P2392" s="152"/>
      <c r="Q2392" s="152"/>
      <c r="R2392" s="153"/>
      <c r="S2392" s="154"/>
      <c r="T2392" s="115"/>
    </row>
    <row r="2393" spans="1:20">
      <c r="A2393" t="s">
        <v>1230</v>
      </c>
      <c r="B2393" t="s">
        <v>72</v>
      </c>
      <c r="C2393" t="s">
        <v>55</v>
      </c>
      <c r="D2393" t="s">
        <v>774</v>
      </c>
      <c r="E2393" t="s">
        <v>3940</v>
      </c>
      <c r="F2393" s="121">
        <v>229</v>
      </c>
      <c r="G2393" s="121">
        <v>229</v>
      </c>
      <c r="H2393" t="s">
        <v>396</v>
      </c>
      <c r="I2393" s="156">
        <v>41344</v>
      </c>
      <c r="K2393" s="153"/>
      <c r="L2393" s="153"/>
      <c r="M2393" s="153"/>
      <c r="N2393" s="153"/>
      <c r="O2393" s="153"/>
      <c r="P2393" s="152"/>
      <c r="Q2393" s="152"/>
      <c r="R2393" s="153"/>
      <c r="S2393" s="154"/>
      <c r="T2393" s="115"/>
    </row>
    <row r="2394" spans="1:20">
      <c r="A2394" t="s">
        <v>1230</v>
      </c>
      <c r="B2394" t="s">
        <v>72</v>
      </c>
      <c r="C2394" t="s">
        <v>55</v>
      </c>
      <c r="D2394" t="s">
        <v>774</v>
      </c>
      <c r="E2394" t="s">
        <v>3941</v>
      </c>
      <c r="F2394" s="121">
        <v>229</v>
      </c>
      <c r="G2394" s="121">
        <v>229</v>
      </c>
      <c r="H2394" t="s">
        <v>396</v>
      </c>
      <c r="I2394" s="156">
        <v>41344</v>
      </c>
      <c r="K2394" s="153"/>
      <c r="L2394" s="153"/>
      <c r="M2394" s="153"/>
      <c r="N2394" s="153"/>
      <c r="O2394" s="153"/>
      <c r="P2394" s="152"/>
      <c r="Q2394" s="152"/>
      <c r="R2394" s="153"/>
      <c r="S2394" s="154"/>
      <c r="T2394" s="115"/>
    </row>
    <row r="2395" spans="1:20">
      <c r="A2395" t="s">
        <v>1230</v>
      </c>
      <c r="B2395" t="s">
        <v>72</v>
      </c>
      <c r="C2395" t="s">
        <v>55</v>
      </c>
      <c r="D2395" t="s">
        <v>774</v>
      </c>
      <c r="E2395" t="s">
        <v>3942</v>
      </c>
      <c r="F2395" s="121">
        <v>229</v>
      </c>
      <c r="G2395" s="121">
        <v>229</v>
      </c>
      <c r="H2395" t="s">
        <v>396</v>
      </c>
      <c r="I2395" s="156">
        <v>41344</v>
      </c>
      <c r="K2395" s="153"/>
      <c r="L2395" s="153"/>
      <c r="M2395" s="153"/>
      <c r="N2395" s="153"/>
      <c r="O2395" s="153"/>
      <c r="P2395" s="152"/>
      <c r="Q2395" s="152"/>
      <c r="R2395" s="153"/>
      <c r="S2395" s="154"/>
      <c r="T2395" s="115"/>
    </row>
    <row r="2396" spans="1:20">
      <c r="A2396" t="s">
        <v>1230</v>
      </c>
      <c r="B2396" t="s">
        <v>72</v>
      </c>
      <c r="C2396" t="s">
        <v>55</v>
      </c>
      <c r="D2396" t="s">
        <v>774</v>
      </c>
      <c r="E2396" t="s">
        <v>3943</v>
      </c>
      <c r="F2396" s="121">
        <v>229</v>
      </c>
      <c r="G2396" s="121">
        <v>229</v>
      </c>
      <c r="H2396" t="s">
        <v>396</v>
      </c>
      <c r="I2396" s="156">
        <v>41344</v>
      </c>
      <c r="K2396" s="153"/>
      <c r="L2396" s="153"/>
      <c r="M2396" s="153"/>
      <c r="N2396" s="153"/>
      <c r="O2396" s="153"/>
      <c r="P2396" s="150"/>
      <c r="Q2396" s="150"/>
      <c r="R2396" s="153"/>
      <c r="S2396" s="154"/>
      <c r="T2396" s="115"/>
    </row>
    <row r="2397" spans="1:20">
      <c r="A2397" t="s">
        <v>1230</v>
      </c>
      <c r="B2397" t="s">
        <v>72</v>
      </c>
      <c r="C2397" t="s">
        <v>55</v>
      </c>
      <c r="D2397" t="s">
        <v>774</v>
      </c>
      <c r="E2397" t="s">
        <v>3944</v>
      </c>
      <c r="F2397" s="121">
        <v>229</v>
      </c>
      <c r="G2397" s="121">
        <v>229</v>
      </c>
      <c r="H2397" t="s">
        <v>396</v>
      </c>
      <c r="I2397" s="156">
        <v>41344</v>
      </c>
      <c r="K2397" s="153"/>
      <c r="L2397" s="153"/>
      <c r="M2397" s="153"/>
      <c r="N2397" s="153"/>
      <c r="O2397" s="153"/>
      <c r="P2397" s="150"/>
      <c r="Q2397" s="150"/>
      <c r="R2397" s="153"/>
      <c r="S2397" s="154"/>
      <c r="T2397" s="115"/>
    </row>
    <row r="2398" spans="1:20">
      <c r="A2398" t="s">
        <v>1230</v>
      </c>
      <c r="B2398" t="s">
        <v>72</v>
      </c>
      <c r="C2398" t="s">
        <v>55</v>
      </c>
      <c r="D2398" t="s">
        <v>774</v>
      </c>
      <c r="E2398" t="s">
        <v>3945</v>
      </c>
      <c r="F2398" s="121">
        <v>229</v>
      </c>
      <c r="G2398" s="121">
        <v>229</v>
      </c>
      <c r="H2398" t="s">
        <v>396</v>
      </c>
      <c r="I2398" s="156">
        <v>41344</v>
      </c>
      <c r="K2398" s="153"/>
      <c r="L2398" s="153"/>
      <c r="M2398" s="153"/>
      <c r="N2398" s="153"/>
      <c r="O2398" s="153"/>
      <c r="P2398" s="150"/>
      <c r="Q2398" s="150"/>
      <c r="R2398" s="153"/>
      <c r="S2398" s="154"/>
      <c r="T2398" s="115"/>
    </row>
    <row r="2399" spans="1:20">
      <c r="A2399" t="s">
        <v>1230</v>
      </c>
      <c r="B2399" t="s">
        <v>72</v>
      </c>
      <c r="C2399" t="s">
        <v>55</v>
      </c>
      <c r="D2399" t="s">
        <v>774</v>
      </c>
      <c r="E2399" t="s">
        <v>3946</v>
      </c>
      <c r="F2399" s="121">
        <v>229</v>
      </c>
      <c r="G2399" s="121">
        <v>229</v>
      </c>
      <c r="H2399" t="s">
        <v>396</v>
      </c>
      <c r="I2399" s="156">
        <v>41344</v>
      </c>
      <c r="K2399" s="153"/>
      <c r="L2399" s="153"/>
      <c r="M2399" s="153"/>
      <c r="N2399" s="153"/>
      <c r="O2399" s="153"/>
      <c r="P2399" s="150"/>
      <c r="Q2399" s="150"/>
      <c r="R2399" s="153"/>
      <c r="S2399" s="154"/>
      <c r="T2399" s="115"/>
    </row>
    <row r="2400" spans="1:20">
      <c r="A2400" t="s">
        <v>1230</v>
      </c>
      <c r="B2400" t="s">
        <v>72</v>
      </c>
      <c r="C2400" t="s">
        <v>55</v>
      </c>
      <c r="D2400" t="s">
        <v>774</v>
      </c>
      <c r="E2400" t="s">
        <v>3947</v>
      </c>
      <c r="F2400" s="121">
        <v>229</v>
      </c>
      <c r="G2400" s="121">
        <v>229</v>
      </c>
      <c r="H2400" t="s">
        <v>396</v>
      </c>
      <c r="I2400" s="156">
        <v>41344</v>
      </c>
      <c r="K2400" s="153"/>
      <c r="L2400" s="153"/>
      <c r="M2400" s="153"/>
      <c r="N2400" s="153"/>
      <c r="O2400" s="153"/>
      <c r="P2400" s="150"/>
      <c r="Q2400" s="150"/>
      <c r="R2400" s="153"/>
      <c r="S2400" s="154"/>
      <c r="T2400" s="115"/>
    </row>
    <row r="2401" spans="1:20">
      <c r="A2401" t="s">
        <v>1230</v>
      </c>
      <c r="B2401" t="s">
        <v>72</v>
      </c>
      <c r="C2401" t="s">
        <v>55</v>
      </c>
      <c r="D2401" t="s">
        <v>774</v>
      </c>
      <c r="E2401" t="s">
        <v>3948</v>
      </c>
      <c r="F2401" s="121">
        <v>229</v>
      </c>
      <c r="G2401" s="121">
        <v>229</v>
      </c>
      <c r="H2401" t="s">
        <v>396</v>
      </c>
      <c r="I2401" s="156">
        <v>41344</v>
      </c>
      <c r="K2401" s="153"/>
      <c r="L2401" s="153"/>
      <c r="M2401" s="153"/>
      <c r="N2401" s="153"/>
      <c r="O2401" s="153"/>
      <c r="P2401" s="152"/>
      <c r="Q2401" s="152"/>
      <c r="R2401" s="153"/>
      <c r="S2401" s="154"/>
      <c r="T2401" s="115"/>
    </row>
    <row r="2402" spans="1:20">
      <c r="A2402" t="s">
        <v>1230</v>
      </c>
      <c r="B2402" t="s">
        <v>72</v>
      </c>
      <c r="C2402" t="s">
        <v>55</v>
      </c>
      <c r="D2402" t="s">
        <v>774</v>
      </c>
      <c r="E2402" t="s">
        <v>3949</v>
      </c>
      <c r="F2402" s="121">
        <v>229</v>
      </c>
      <c r="G2402" s="121">
        <v>229</v>
      </c>
      <c r="H2402" t="s">
        <v>396</v>
      </c>
      <c r="I2402" s="156">
        <v>41344</v>
      </c>
      <c r="K2402" s="153"/>
      <c r="L2402" s="153"/>
      <c r="M2402" s="153"/>
      <c r="N2402" s="153"/>
      <c r="O2402" s="153"/>
      <c r="P2402" s="152"/>
      <c r="Q2402" s="152"/>
      <c r="R2402" s="153"/>
      <c r="S2402" s="154"/>
      <c r="T2402" s="115"/>
    </row>
    <row r="2403" spans="1:20">
      <c r="A2403" t="s">
        <v>1230</v>
      </c>
      <c r="B2403" t="s">
        <v>72</v>
      </c>
      <c r="C2403" t="s">
        <v>55</v>
      </c>
      <c r="D2403" t="s">
        <v>774</v>
      </c>
      <c r="E2403" t="s">
        <v>3950</v>
      </c>
      <c r="F2403" s="121">
        <v>229</v>
      </c>
      <c r="G2403" s="121">
        <v>229</v>
      </c>
      <c r="H2403" t="s">
        <v>396</v>
      </c>
      <c r="I2403" s="156">
        <v>41344</v>
      </c>
      <c r="K2403" s="153"/>
      <c r="L2403" s="153"/>
      <c r="M2403" s="153"/>
      <c r="N2403" s="153"/>
      <c r="O2403" s="153"/>
      <c r="P2403" s="150"/>
      <c r="Q2403" s="150"/>
      <c r="R2403" s="153"/>
      <c r="S2403" s="154"/>
      <c r="T2403" s="115"/>
    </row>
    <row r="2404" spans="1:20">
      <c r="A2404" t="s">
        <v>1230</v>
      </c>
      <c r="B2404" t="s">
        <v>72</v>
      </c>
      <c r="C2404" t="s">
        <v>55</v>
      </c>
      <c r="D2404" t="s">
        <v>774</v>
      </c>
      <c r="E2404" t="s">
        <v>3951</v>
      </c>
      <c r="F2404" s="121">
        <v>229</v>
      </c>
      <c r="G2404" s="121">
        <v>229</v>
      </c>
      <c r="H2404" t="s">
        <v>396</v>
      </c>
      <c r="I2404" s="156">
        <v>41344</v>
      </c>
      <c r="K2404" s="153"/>
      <c r="L2404" s="153"/>
      <c r="M2404" s="153"/>
      <c r="N2404" s="153"/>
      <c r="O2404" s="153"/>
      <c r="P2404" s="150"/>
      <c r="Q2404" s="150"/>
      <c r="R2404" s="153"/>
      <c r="S2404" s="154"/>
      <c r="T2404" s="115"/>
    </row>
    <row r="2405" spans="1:20">
      <c r="A2405" t="s">
        <v>1230</v>
      </c>
      <c r="B2405" t="s">
        <v>72</v>
      </c>
      <c r="C2405" t="s">
        <v>55</v>
      </c>
      <c r="D2405" t="s">
        <v>774</v>
      </c>
      <c r="E2405" t="s">
        <v>3952</v>
      </c>
      <c r="F2405" s="121">
        <v>229</v>
      </c>
      <c r="G2405" s="121">
        <v>229</v>
      </c>
      <c r="H2405" t="s">
        <v>396</v>
      </c>
      <c r="I2405" s="156">
        <v>41344</v>
      </c>
      <c r="K2405" s="153"/>
      <c r="L2405" s="153"/>
      <c r="M2405" s="153"/>
      <c r="N2405" s="153"/>
      <c r="O2405" s="153"/>
      <c r="P2405" s="152"/>
      <c r="Q2405" s="152"/>
      <c r="R2405" s="153"/>
      <c r="S2405" s="154"/>
      <c r="T2405" s="115"/>
    </row>
    <row r="2406" spans="1:20">
      <c r="A2406" t="s">
        <v>1230</v>
      </c>
      <c r="B2406" t="s">
        <v>72</v>
      </c>
      <c r="C2406" t="s">
        <v>55</v>
      </c>
      <c r="D2406" t="s">
        <v>774</v>
      </c>
      <c r="E2406" t="s">
        <v>3953</v>
      </c>
      <c r="F2406" s="121">
        <v>229</v>
      </c>
      <c r="G2406" s="121">
        <v>229</v>
      </c>
      <c r="H2406" t="s">
        <v>396</v>
      </c>
      <c r="I2406" s="156">
        <v>41344</v>
      </c>
      <c r="K2406" s="153"/>
      <c r="L2406" s="153"/>
      <c r="M2406" s="153"/>
      <c r="N2406" s="153"/>
      <c r="O2406" s="153"/>
      <c r="P2406" s="152"/>
      <c r="Q2406" s="152"/>
      <c r="R2406" s="153"/>
      <c r="S2406" s="154"/>
      <c r="T2406" s="115"/>
    </row>
    <row r="2407" spans="1:20">
      <c r="A2407" t="s">
        <v>1230</v>
      </c>
      <c r="B2407" t="s">
        <v>72</v>
      </c>
      <c r="C2407" t="s">
        <v>55</v>
      </c>
      <c r="D2407" t="s">
        <v>774</v>
      </c>
      <c r="E2407" t="s">
        <v>3954</v>
      </c>
      <c r="F2407" s="121">
        <v>229</v>
      </c>
      <c r="G2407" s="121">
        <v>229</v>
      </c>
      <c r="H2407" t="s">
        <v>396</v>
      </c>
      <c r="I2407" s="156">
        <v>41344</v>
      </c>
      <c r="K2407" s="153"/>
      <c r="L2407" s="153"/>
      <c r="M2407" s="153"/>
      <c r="N2407" s="153"/>
      <c r="O2407" s="153"/>
      <c r="P2407" s="150"/>
      <c r="Q2407" s="150"/>
      <c r="R2407" s="153"/>
      <c r="S2407" s="154"/>
      <c r="T2407" s="115"/>
    </row>
    <row r="2408" spans="1:20">
      <c r="A2408" t="s">
        <v>1230</v>
      </c>
      <c r="B2408" t="s">
        <v>72</v>
      </c>
      <c r="C2408" t="s">
        <v>55</v>
      </c>
      <c r="D2408" t="s">
        <v>774</v>
      </c>
      <c r="E2408" t="s">
        <v>3955</v>
      </c>
      <c r="F2408" s="121">
        <v>229</v>
      </c>
      <c r="G2408" s="121">
        <v>229</v>
      </c>
      <c r="H2408" t="s">
        <v>396</v>
      </c>
      <c r="I2408" s="156">
        <v>41344</v>
      </c>
      <c r="K2408" s="153"/>
      <c r="L2408" s="153"/>
      <c r="M2408" s="153"/>
      <c r="N2408" s="153"/>
      <c r="O2408" s="153"/>
      <c r="P2408" s="150"/>
      <c r="Q2408" s="150"/>
      <c r="R2408" s="153"/>
      <c r="S2408" s="154"/>
      <c r="T2408" s="115"/>
    </row>
    <row r="2409" spans="1:20">
      <c r="A2409" t="s">
        <v>1230</v>
      </c>
      <c r="B2409" t="s">
        <v>72</v>
      </c>
      <c r="C2409" t="s">
        <v>55</v>
      </c>
      <c r="D2409" t="s">
        <v>774</v>
      </c>
      <c r="E2409" t="s">
        <v>3956</v>
      </c>
      <c r="F2409" s="121">
        <v>229</v>
      </c>
      <c r="G2409" s="121">
        <v>229</v>
      </c>
      <c r="H2409" t="s">
        <v>396</v>
      </c>
      <c r="I2409" s="156">
        <v>41344</v>
      </c>
      <c r="K2409" s="153"/>
      <c r="L2409" s="153"/>
      <c r="M2409" s="153"/>
      <c r="N2409" s="153"/>
      <c r="O2409" s="153"/>
      <c r="P2409" s="152"/>
      <c r="Q2409" s="152"/>
      <c r="R2409" s="153"/>
      <c r="S2409" s="154"/>
      <c r="T2409" s="115"/>
    </row>
    <row r="2410" spans="1:20">
      <c r="A2410" t="s">
        <v>1230</v>
      </c>
      <c r="B2410" t="s">
        <v>72</v>
      </c>
      <c r="C2410" t="s">
        <v>55</v>
      </c>
      <c r="D2410" t="s">
        <v>774</v>
      </c>
      <c r="E2410" t="s">
        <v>3957</v>
      </c>
      <c r="F2410" s="121">
        <v>229</v>
      </c>
      <c r="G2410" s="121">
        <v>229</v>
      </c>
      <c r="H2410" t="s">
        <v>396</v>
      </c>
      <c r="I2410" s="156">
        <v>41344</v>
      </c>
      <c r="K2410" s="153"/>
      <c r="L2410" s="153"/>
      <c r="M2410" s="153"/>
      <c r="N2410" s="153"/>
      <c r="O2410" s="153"/>
      <c r="P2410" s="152"/>
      <c r="Q2410" s="152"/>
      <c r="R2410" s="153"/>
      <c r="S2410" s="154"/>
      <c r="T2410" s="115"/>
    </row>
    <row r="2411" spans="1:20">
      <c r="A2411" t="s">
        <v>1230</v>
      </c>
      <c r="B2411" t="s">
        <v>72</v>
      </c>
      <c r="C2411" t="s">
        <v>55</v>
      </c>
      <c r="D2411" t="s">
        <v>774</v>
      </c>
      <c r="E2411" t="s">
        <v>3958</v>
      </c>
      <c r="F2411" s="121">
        <v>229</v>
      </c>
      <c r="G2411" s="121">
        <v>229</v>
      </c>
      <c r="H2411" t="s">
        <v>396</v>
      </c>
      <c r="I2411" s="156">
        <v>41344</v>
      </c>
      <c r="K2411" s="153"/>
      <c r="L2411" s="153"/>
      <c r="M2411" s="153"/>
      <c r="N2411" s="153"/>
      <c r="O2411" s="153"/>
      <c r="P2411" s="152"/>
      <c r="Q2411" s="152"/>
      <c r="R2411" s="153"/>
      <c r="S2411" s="154"/>
      <c r="T2411" s="115"/>
    </row>
    <row r="2412" spans="1:20">
      <c r="A2412" t="s">
        <v>1230</v>
      </c>
      <c r="B2412" t="s">
        <v>72</v>
      </c>
      <c r="C2412" t="s">
        <v>55</v>
      </c>
      <c r="D2412" t="s">
        <v>774</v>
      </c>
      <c r="E2412" t="s">
        <v>3959</v>
      </c>
      <c r="F2412" s="121">
        <v>229</v>
      </c>
      <c r="G2412" s="121">
        <v>229</v>
      </c>
      <c r="H2412" t="s">
        <v>396</v>
      </c>
      <c r="I2412" s="156">
        <v>41344</v>
      </c>
      <c r="K2412" s="153"/>
      <c r="L2412" s="153"/>
      <c r="M2412" s="153"/>
      <c r="N2412" s="153"/>
      <c r="O2412" s="153"/>
      <c r="P2412" s="152"/>
      <c r="Q2412" s="152"/>
      <c r="R2412" s="153"/>
      <c r="S2412" s="154"/>
      <c r="T2412" s="115"/>
    </row>
    <row r="2413" spans="1:20">
      <c r="A2413" t="s">
        <v>1230</v>
      </c>
      <c r="B2413" t="s">
        <v>72</v>
      </c>
      <c r="C2413" t="s">
        <v>55</v>
      </c>
      <c r="D2413" t="s">
        <v>774</v>
      </c>
      <c r="E2413" t="s">
        <v>3960</v>
      </c>
      <c r="F2413" s="121">
        <v>229</v>
      </c>
      <c r="G2413" s="121">
        <v>229</v>
      </c>
      <c r="H2413" t="s">
        <v>396</v>
      </c>
      <c r="I2413" s="156">
        <v>41344</v>
      </c>
      <c r="K2413" s="153"/>
      <c r="L2413" s="153"/>
      <c r="M2413" s="153"/>
      <c r="N2413" s="153"/>
      <c r="O2413" s="153"/>
      <c r="P2413" s="150"/>
      <c r="Q2413" s="150"/>
      <c r="R2413" s="153"/>
      <c r="S2413" s="154"/>
      <c r="T2413" s="115"/>
    </row>
    <row r="2414" spans="1:20">
      <c r="A2414" t="s">
        <v>1230</v>
      </c>
      <c r="B2414" t="s">
        <v>72</v>
      </c>
      <c r="C2414" t="s">
        <v>55</v>
      </c>
      <c r="D2414" t="s">
        <v>774</v>
      </c>
      <c r="E2414" t="s">
        <v>3961</v>
      </c>
      <c r="F2414" s="121">
        <v>229</v>
      </c>
      <c r="G2414" s="121">
        <v>229</v>
      </c>
      <c r="H2414" t="s">
        <v>396</v>
      </c>
      <c r="I2414" s="156">
        <v>41344</v>
      </c>
      <c r="K2414" s="153"/>
      <c r="L2414" s="153"/>
      <c r="M2414" s="153"/>
      <c r="N2414" s="153"/>
      <c r="O2414" s="153"/>
      <c r="P2414" s="150"/>
      <c r="Q2414" s="150"/>
      <c r="R2414" s="153"/>
      <c r="S2414" s="154"/>
      <c r="T2414" s="115"/>
    </row>
    <row r="2415" spans="1:20">
      <c r="A2415" t="s">
        <v>1230</v>
      </c>
      <c r="B2415" t="s">
        <v>72</v>
      </c>
      <c r="C2415" t="s">
        <v>55</v>
      </c>
      <c r="D2415" t="s">
        <v>774</v>
      </c>
      <c r="E2415" t="s">
        <v>3962</v>
      </c>
      <c r="F2415" s="121">
        <v>229</v>
      </c>
      <c r="G2415" s="121">
        <v>229</v>
      </c>
      <c r="H2415" t="s">
        <v>396</v>
      </c>
      <c r="I2415" s="156">
        <v>41344</v>
      </c>
      <c r="K2415" s="153"/>
      <c r="L2415" s="153"/>
      <c r="M2415" s="153"/>
      <c r="N2415" s="153"/>
      <c r="O2415" s="153"/>
      <c r="P2415" s="150"/>
      <c r="Q2415" s="150"/>
      <c r="R2415" s="153"/>
      <c r="S2415" s="154"/>
      <c r="T2415" s="115"/>
    </row>
    <row r="2416" spans="1:20">
      <c r="A2416" t="s">
        <v>1230</v>
      </c>
      <c r="B2416" t="s">
        <v>72</v>
      </c>
      <c r="C2416" t="s">
        <v>55</v>
      </c>
      <c r="D2416" t="s">
        <v>780</v>
      </c>
      <c r="E2416" t="s">
        <v>3963</v>
      </c>
      <c r="F2416" s="121">
        <v>1690</v>
      </c>
      <c r="G2416" s="121">
        <v>1690</v>
      </c>
      <c r="H2416" t="s">
        <v>396</v>
      </c>
      <c r="I2416" s="156">
        <v>41348</v>
      </c>
      <c r="K2416" s="153"/>
      <c r="L2416" s="153"/>
      <c r="M2416" s="153"/>
      <c r="N2416" s="153"/>
      <c r="O2416" s="153"/>
      <c r="P2416" s="150"/>
      <c r="Q2416" s="150"/>
      <c r="R2416" s="153"/>
      <c r="S2416" s="154"/>
      <c r="T2416" s="115"/>
    </row>
    <row r="2417" spans="1:20">
      <c r="A2417" t="s">
        <v>1230</v>
      </c>
      <c r="B2417" t="s">
        <v>72</v>
      </c>
      <c r="C2417" t="s">
        <v>55</v>
      </c>
      <c r="D2417" t="s">
        <v>748</v>
      </c>
      <c r="E2417" t="s">
        <v>3964</v>
      </c>
      <c r="F2417" s="121">
        <v>210</v>
      </c>
      <c r="G2417" s="121">
        <v>210</v>
      </c>
      <c r="H2417" t="s">
        <v>396</v>
      </c>
      <c r="I2417" s="156">
        <v>41348</v>
      </c>
      <c r="K2417" s="153"/>
      <c r="L2417" s="153"/>
      <c r="M2417" s="153"/>
      <c r="N2417" s="153"/>
      <c r="O2417" s="153"/>
      <c r="P2417" s="150"/>
      <c r="Q2417" s="150"/>
      <c r="R2417" s="153"/>
      <c r="S2417" s="154"/>
      <c r="T2417" s="115"/>
    </row>
    <row r="2418" spans="1:20">
      <c r="A2418" t="s">
        <v>1230</v>
      </c>
      <c r="B2418" t="s">
        <v>1012</v>
      </c>
      <c r="C2418" t="s">
        <v>53</v>
      </c>
      <c r="D2418" t="s">
        <v>734</v>
      </c>
      <c r="E2418" t="s">
        <v>3965</v>
      </c>
      <c r="F2418" s="121">
        <v>1069.4000000000001</v>
      </c>
      <c r="G2418" s="121">
        <v>1069.4000000000001</v>
      </c>
      <c r="H2418" t="s">
        <v>458</v>
      </c>
      <c r="I2418" s="156">
        <v>41351</v>
      </c>
      <c r="K2418" s="153"/>
      <c r="L2418" s="153"/>
      <c r="M2418" s="153"/>
      <c r="N2418" s="153"/>
      <c r="O2418" s="153"/>
      <c r="P2418" s="152"/>
      <c r="Q2418" s="152"/>
      <c r="R2418" s="153"/>
      <c r="S2418" s="154"/>
      <c r="T2418" s="115"/>
    </row>
    <row r="2419" spans="1:20">
      <c r="A2419" t="s">
        <v>1230</v>
      </c>
      <c r="B2419" t="s">
        <v>1012</v>
      </c>
      <c r="C2419" t="s">
        <v>53</v>
      </c>
      <c r="D2419" t="s">
        <v>781</v>
      </c>
      <c r="E2419" t="s">
        <v>3966</v>
      </c>
      <c r="F2419" s="121">
        <v>1594.6</v>
      </c>
      <c r="G2419" s="121">
        <v>1594.6</v>
      </c>
      <c r="H2419" t="s">
        <v>458</v>
      </c>
      <c r="I2419" s="156">
        <v>41351</v>
      </c>
      <c r="K2419" s="153"/>
      <c r="L2419" s="153"/>
      <c r="M2419" s="153"/>
      <c r="N2419" s="153"/>
      <c r="O2419" s="153"/>
      <c r="P2419" s="152"/>
      <c r="Q2419" s="152"/>
      <c r="R2419" s="153"/>
      <c r="S2419" s="154"/>
      <c r="T2419" s="115"/>
    </row>
    <row r="2420" spans="1:20">
      <c r="A2420" t="s">
        <v>1230</v>
      </c>
      <c r="B2420" t="s">
        <v>73</v>
      </c>
      <c r="C2420" t="s">
        <v>54</v>
      </c>
      <c r="D2420" t="s">
        <v>782</v>
      </c>
      <c r="E2420" t="s">
        <v>3967</v>
      </c>
      <c r="F2420" s="121">
        <v>3989.31</v>
      </c>
      <c r="G2420" s="121">
        <v>3989.31</v>
      </c>
      <c r="H2420" t="s">
        <v>519</v>
      </c>
      <c r="I2420" s="156">
        <v>41351</v>
      </c>
      <c r="K2420" s="153"/>
      <c r="L2420" s="153"/>
      <c r="M2420" s="153"/>
      <c r="N2420" s="153"/>
      <c r="O2420" s="153"/>
      <c r="P2420" s="152"/>
      <c r="Q2420" s="152"/>
      <c r="R2420" s="153"/>
      <c r="S2420" s="154"/>
      <c r="T2420" s="151"/>
    </row>
    <row r="2421" spans="1:20">
      <c r="A2421" t="s">
        <v>1230</v>
      </c>
      <c r="B2421" t="s">
        <v>72</v>
      </c>
      <c r="C2421" t="s">
        <v>55</v>
      </c>
      <c r="D2421" t="s">
        <v>540</v>
      </c>
      <c r="E2421" t="s">
        <v>3968</v>
      </c>
      <c r="F2421" s="121">
        <v>238</v>
      </c>
      <c r="G2421" s="121">
        <v>238</v>
      </c>
      <c r="H2421" t="s">
        <v>396</v>
      </c>
      <c r="I2421" s="156">
        <v>41353</v>
      </c>
      <c r="K2421" s="153"/>
      <c r="L2421" s="153"/>
      <c r="M2421" s="153"/>
      <c r="N2421" s="153"/>
      <c r="O2421" s="153"/>
      <c r="P2421" s="150"/>
      <c r="Q2421" s="150"/>
      <c r="R2421" s="153"/>
      <c r="S2421" s="154"/>
      <c r="T2421" s="151"/>
    </row>
    <row r="2422" spans="1:20">
      <c r="A2422" t="s">
        <v>1230</v>
      </c>
      <c r="B2422" t="s">
        <v>74</v>
      </c>
      <c r="C2422" t="s">
        <v>55</v>
      </c>
      <c r="D2422" t="s">
        <v>540</v>
      </c>
      <c r="E2422" t="s">
        <v>3969</v>
      </c>
      <c r="F2422" s="121">
        <v>238</v>
      </c>
      <c r="G2422" s="121">
        <v>238</v>
      </c>
      <c r="H2422" t="s">
        <v>452</v>
      </c>
      <c r="I2422" s="156">
        <v>41367</v>
      </c>
      <c r="K2422" s="153"/>
      <c r="L2422" s="153"/>
      <c r="M2422" s="153"/>
      <c r="N2422" s="153"/>
      <c r="O2422" s="153"/>
      <c r="P2422" s="150"/>
      <c r="Q2422" s="150"/>
      <c r="R2422" s="153"/>
      <c r="S2422" s="154"/>
      <c r="T2422" s="151"/>
    </row>
    <row r="2423" spans="1:20">
      <c r="A2423" t="s">
        <v>1230</v>
      </c>
      <c r="B2423" t="s">
        <v>74</v>
      </c>
      <c r="C2423" t="s">
        <v>55</v>
      </c>
      <c r="D2423" t="s">
        <v>540</v>
      </c>
      <c r="E2423" t="s">
        <v>3970</v>
      </c>
      <c r="F2423" s="121">
        <v>238</v>
      </c>
      <c r="G2423" s="121">
        <v>238</v>
      </c>
      <c r="H2423" t="s">
        <v>452</v>
      </c>
      <c r="I2423" s="156">
        <v>41367</v>
      </c>
      <c r="K2423" s="153"/>
      <c r="L2423" s="153"/>
      <c r="M2423" s="153"/>
      <c r="N2423" s="153"/>
      <c r="O2423" s="153"/>
      <c r="P2423" s="150"/>
      <c r="Q2423" s="150"/>
      <c r="R2423" s="153"/>
      <c r="S2423" s="154"/>
      <c r="T2423" s="151"/>
    </row>
    <row r="2424" spans="1:20">
      <c r="A2424" t="s">
        <v>1230</v>
      </c>
      <c r="B2424" t="s">
        <v>72</v>
      </c>
      <c r="C2424" t="s">
        <v>55</v>
      </c>
      <c r="D2424" t="s">
        <v>540</v>
      </c>
      <c r="E2424" t="s">
        <v>3971</v>
      </c>
      <c r="F2424" s="121">
        <v>238</v>
      </c>
      <c r="G2424" s="121">
        <v>238</v>
      </c>
      <c r="H2424" t="s">
        <v>396</v>
      </c>
      <c r="I2424" s="156">
        <v>41366</v>
      </c>
      <c r="K2424" s="153"/>
      <c r="L2424" s="153"/>
      <c r="M2424" s="153"/>
      <c r="N2424" s="153"/>
      <c r="O2424" s="153"/>
      <c r="P2424" s="150"/>
      <c r="Q2424" s="150"/>
      <c r="R2424" s="153"/>
      <c r="S2424" s="154"/>
      <c r="T2424" s="151"/>
    </row>
    <row r="2425" spans="1:20">
      <c r="A2425" t="s">
        <v>1230</v>
      </c>
      <c r="B2425" t="s">
        <v>72</v>
      </c>
      <c r="C2425" t="s">
        <v>55</v>
      </c>
      <c r="D2425" t="s">
        <v>540</v>
      </c>
      <c r="E2425" t="s">
        <v>3972</v>
      </c>
      <c r="F2425" s="121">
        <v>238</v>
      </c>
      <c r="G2425" s="121">
        <v>238</v>
      </c>
      <c r="H2425" t="s">
        <v>396</v>
      </c>
      <c r="I2425" s="156">
        <v>41366</v>
      </c>
      <c r="K2425" s="153"/>
      <c r="L2425" s="153"/>
      <c r="M2425" s="153"/>
      <c r="N2425" s="153"/>
      <c r="O2425" s="153"/>
      <c r="P2425" s="150"/>
      <c r="Q2425" s="150"/>
      <c r="R2425" s="153"/>
      <c r="S2425" s="154"/>
      <c r="T2425" s="151"/>
    </row>
    <row r="2426" spans="1:20">
      <c r="A2426" t="s">
        <v>1230</v>
      </c>
      <c r="B2426" t="s">
        <v>72</v>
      </c>
      <c r="C2426" t="s">
        <v>55</v>
      </c>
      <c r="D2426" t="s">
        <v>748</v>
      </c>
      <c r="E2426" t="s">
        <v>3973</v>
      </c>
      <c r="F2426" s="121">
        <v>239</v>
      </c>
      <c r="G2426" s="121">
        <v>239</v>
      </c>
      <c r="H2426" t="s">
        <v>396</v>
      </c>
      <c r="I2426" s="156">
        <v>41359</v>
      </c>
      <c r="K2426" s="153"/>
      <c r="L2426" s="153"/>
      <c r="M2426" s="153"/>
      <c r="N2426" s="153"/>
      <c r="O2426" s="153"/>
      <c r="P2426" s="150"/>
      <c r="Q2426" s="150"/>
      <c r="R2426" s="153"/>
      <c r="S2426" s="154"/>
      <c r="T2426" s="151"/>
    </row>
    <row r="2427" spans="1:20">
      <c r="A2427" t="s">
        <v>1230</v>
      </c>
      <c r="B2427" t="s">
        <v>72</v>
      </c>
      <c r="C2427" t="s">
        <v>55</v>
      </c>
      <c r="D2427" t="s">
        <v>773</v>
      </c>
      <c r="E2427" t="s">
        <v>3974</v>
      </c>
      <c r="F2427" s="121">
        <v>129</v>
      </c>
      <c r="G2427" s="121">
        <v>129</v>
      </c>
      <c r="H2427" t="s">
        <v>747</v>
      </c>
      <c r="I2427" s="156">
        <v>41359</v>
      </c>
      <c r="K2427" s="153"/>
      <c r="L2427" s="153"/>
      <c r="M2427" s="153"/>
      <c r="N2427" s="153"/>
      <c r="O2427" s="153"/>
      <c r="P2427" s="150"/>
      <c r="Q2427" s="150"/>
      <c r="R2427" s="153"/>
      <c r="S2427" s="154"/>
      <c r="T2427" s="151"/>
    </row>
    <row r="2428" spans="1:20">
      <c r="A2428" t="s">
        <v>1230</v>
      </c>
      <c r="B2428" t="s">
        <v>72</v>
      </c>
      <c r="C2428" t="s">
        <v>55</v>
      </c>
      <c r="D2428" t="s">
        <v>773</v>
      </c>
      <c r="E2428" t="s">
        <v>3975</v>
      </c>
      <c r="F2428" s="121">
        <v>129</v>
      </c>
      <c r="G2428" s="121">
        <v>129</v>
      </c>
      <c r="H2428" t="s">
        <v>747</v>
      </c>
      <c r="I2428" s="156">
        <v>41359</v>
      </c>
      <c r="K2428" s="153"/>
      <c r="L2428" s="153"/>
      <c r="M2428" s="153"/>
      <c r="N2428" s="153"/>
      <c r="O2428" s="153"/>
      <c r="P2428" s="150"/>
      <c r="Q2428" s="150"/>
      <c r="R2428" s="153"/>
      <c r="S2428" s="154"/>
      <c r="T2428" s="151"/>
    </row>
    <row r="2429" spans="1:20">
      <c r="A2429" t="s">
        <v>1230</v>
      </c>
      <c r="B2429" t="s">
        <v>72</v>
      </c>
      <c r="C2429" t="s">
        <v>55</v>
      </c>
      <c r="D2429" t="s">
        <v>773</v>
      </c>
      <c r="E2429" t="s">
        <v>3976</v>
      </c>
      <c r="F2429" s="121">
        <v>129</v>
      </c>
      <c r="G2429" s="121">
        <v>129</v>
      </c>
      <c r="H2429" t="s">
        <v>396</v>
      </c>
      <c r="I2429" s="156">
        <v>41359</v>
      </c>
      <c r="K2429" s="153"/>
      <c r="L2429" s="153"/>
      <c r="M2429" s="153"/>
      <c r="N2429" s="153"/>
      <c r="O2429" s="153"/>
      <c r="P2429" s="150"/>
      <c r="Q2429" s="150"/>
      <c r="R2429" s="153"/>
      <c r="S2429" s="154"/>
      <c r="T2429" s="151"/>
    </row>
    <row r="2430" spans="1:20">
      <c r="A2430" t="s">
        <v>1230</v>
      </c>
      <c r="B2430" t="s">
        <v>72</v>
      </c>
      <c r="C2430" t="s">
        <v>55</v>
      </c>
      <c r="D2430" t="s">
        <v>773</v>
      </c>
      <c r="E2430" t="s">
        <v>3977</v>
      </c>
      <c r="F2430" s="121">
        <v>129</v>
      </c>
      <c r="G2430" s="121">
        <v>129</v>
      </c>
      <c r="H2430" t="s">
        <v>396</v>
      </c>
      <c r="I2430" s="156">
        <v>41359</v>
      </c>
      <c r="K2430" s="153"/>
      <c r="L2430" s="153"/>
      <c r="M2430" s="153"/>
      <c r="N2430" s="153"/>
      <c r="O2430" s="153"/>
      <c r="P2430" s="150"/>
      <c r="Q2430" s="150"/>
      <c r="R2430" s="153"/>
      <c r="S2430" s="154"/>
      <c r="T2430" s="151"/>
    </row>
    <row r="2431" spans="1:20">
      <c r="A2431" t="s">
        <v>1230</v>
      </c>
      <c r="B2431" t="s">
        <v>72</v>
      </c>
      <c r="C2431" t="s">
        <v>55</v>
      </c>
      <c r="D2431" t="s">
        <v>773</v>
      </c>
      <c r="E2431" t="s">
        <v>3978</v>
      </c>
      <c r="F2431" s="121">
        <v>129</v>
      </c>
      <c r="G2431" s="121">
        <v>129</v>
      </c>
      <c r="H2431" t="s">
        <v>507</v>
      </c>
      <c r="I2431" s="156">
        <v>41359</v>
      </c>
      <c r="K2431" s="153"/>
      <c r="L2431" s="153"/>
      <c r="M2431" s="153"/>
      <c r="N2431" s="153"/>
      <c r="O2431" s="153"/>
      <c r="P2431" s="150"/>
      <c r="Q2431" s="150"/>
      <c r="R2431" s="153"/>
      <c r="S2431" s="154"/>
      <c r="T2431" s="151"/>
    </row>
    <row r="2432" spans="1:20">
      <c r="A2432" t="s">
        <v>1230</v>
      </c>
      <c r="B2432" t="s">
        <v>72</v>
      </c>
      <c r="C2432" t="s">
        <v>55</v>
      </c>
      <c r="D2432" t="s">
        <v>773</v>
      </c>
      <c r="E2432" t="s">
        <v>3979</v>
      </c>
      <c r="F2432" s="121">
        <v>129</v>
      </c>
      <c r="G2432" s="121">
        <v>129</v>
      </c>
      <c r="H2432" t="s">
        <v>507</v>
      </c>
      <c r="I2432" s="156">
        <v>41359</v>
      </c>
      <c r="K2432" s="153"/>
      <c r="L2432" s="153"/>
      <c r="M2432" s="153"/>
      <c r="N2432" s="153"/>
      <c r="O2432" s="153"/>
      <c r="P2432" s="150"/>
      <c r="Q2432" s="150"/>
      <c r="R2432" s="153"/>
      <c r="S2432" s="154"/>
      <c r="T2432" s="151"/>
    </row>
    <row r="2433" spans="1:20">
      <c r="A2433" t="s">
        <v>1230</v>
      </c>
      <c r="B2433" t="s">
        <v>72</v>
      </c>
      <c r="C2433" t="s">
        <v>55</v>
      </c>
      <c r="D2433" t="s">
        <v>783</v>
      </c>
      <c r="E2433" t="s">
        <v>3980</v>
      </c>
      <c r="F2433" s="121">
        <v>1249</v>
      </c>
      <c r="G2433" s="121">
        <v>1249</v>
      </c>
      <c r="H2433" t="s">
        <v>507</v>
      </c>
      <c r="I2433" s="156">
        <v>41369</v>
      </c>
      <c r="K2433" s="153"/>
      <c r="L2433" s="153"/>
      <c r="M2433" s="153"/>
      <c r="N2433" s="153"/>
      <c r="O2433" s="153"/>
      <c r="P2433" s="150"/>
      <c r="Q2433" s="150"/>
      <c r="R2433" s="153"/>
      <c r="S2433" s="154"/>
      <c r="T2433" s="151"/>
    </row>
    <row r="2434" spans="1:20">
      <c r="A2434" t="s">
        <v>1230</v>
      </c>
      <c r="B2434" t="s">
        <v>72</v>
      </c>
      <c r="C2434" t="s">
        <v>43</v>
      </c>
      <c r="D2434" t="s">
        <v>789</v>
      </c>
      <c r="E2434" t="s">
        <v>3981</v>
      </c>
      <c r="F2434" s="121">
        <v>2688.58</v>
      </c>
      <c r="G2434" s="121">
        <v>2688.58</v>
      </c>
      <c r="H2434" t="s">
        <v>719</v>
      </c>
      <c r="I2434" s="156">
        <v>41366</v>
      </c>
      <c r="K2434" s="153"/>
      <c r="L2434" s="153"/>
      <c r="M2434" s="153"/>
      <c r="N2434" s="153"/>
      <c r="O2434" s="153"/>
      <c r="P2434" s="150"/>
      <c r="Q2434" s="150"/>
      <c r="R2434" s="153"/>
      <c r="S2434" s="154"/>
      <c r="T2434" s="151"/>
    </row>
    <row r="2435" spans="1:20">
      <c r="A2435" t="s">
        <v>1230</v>
      </c>
      <c r="B2435" t="s">
        <v>72</v>
      </c>
      <c r="C2435" t="s">
        <v>43</v>
      </c>
      <c r="D2435" t="s">
        <v>785</v>
      </c>
      <c r="E2435" t="s">
        <v>3981</v>
      </c>
      <c r="F2435" s="121">
        <v>631.53</v>
      </c>
      <c r="G2435" s="121">
        <v>631.53</v>
      </c>
      <c r="H2435" t="s">
        <v>719</v>
      </c>
      <c r="I2435" s="156">
        <v>41366</v>
      </c>
      <c r="K2435" s="153"/>
      <c r="L2435" s="153"/>
      <c r="M2435" s="153"/>
      <c r="N2435" s="153"/>
      <c r="O2435" s="153"/>
      <c r="P2435" s="150"/>
      <c r="Q2435" s="150"/>
      <c r="R2435" s="153"/>
      <c r="S2435" s="154"/>
      <c r="T2435" s="149"/>
    </row>
    <row r="2436" spans="1:20">
      <c r="A2436" t="s">
        <v>1230</v>
      </c>
      <c r="B2436" t="s">
        <v>72</v>
      </c>
      <c r="C2436" t="s">
        <v>43</v>
      </c>
      <c r="D2436" t="s">
        <v>787</v>
      </c>
      <c r="E2436" t="s">
        <v>3981</v>
      </c>
      <c r="F2436" s="121">
        <v>6261.65</v>
      </c>
      <c r="G2436" s="121">
        <v>6261.65</v>
      </c>
      <c r="H2436" t="s">
        <v>719</v>
      </c>
      <c r="I2436" s="156">
        <v>41366</v>
      </c>
      <c r="K2436" s="153"/>
      <c r="L2436" s="153"/>
      <c r="M2436" s="153"/>
      <c r="N2436" s="153"/>
      <c r="O2436" s="153"/>
      <c r="P2436" s="152"/>
      <c r="Q2436" s="152"/>
      <c r="R2436" s="153"/>
      <c r="S2436" s="154"/>
      <c r="T2436" s="151"/>
    </row>
    <row r="2437" spans="1:20">
      <c r="A2437" t="s">
        <v>1230</v>
      </c>
      <c r="B2437" t="s">
        <v>72</v>
      </c>
      <c r="C2437" t="s">
        <v>43</v>
      </c>
      <c r="D2437" t="s">
        <v>786</v>
      </c>
      <c r="E2437" t="s">
        <v>3981</v>
      </c>
      <c r="F2437" s="121">
        <v>1358.98</v>
      </c>
      <c r="G2437" s="121">
        <v>1358.98</v>
      </c>
      <c r="H2437" t="s">
        <v>719</v>
      </c>
      <c r="I2437" s="156">
        <v>41366</v>
      </c>
      <c r="K2437" s="153"/>
      <c r="L2437" s="153"/>
      <c r="M2437" s="153"/>
      <c r="N2437" s="153"/>
      <c r="O2437" s="153"/>
      <c r="P2437" s="152"/>
      <c r="Q2437" s="152"/>
      <c r="R2437" s="153"/>
      <c r="S2437" s="154"/>
      <c r="T2437" s="151"/>
    </row>
    <row r="2438" spans="1:20">
      <c r="A2438" t="s">
        <v>1230</v>
      </c>
      <c r="B2438" t="s">
        <v>72</v>
      </c>
      <c r="C2438" t="s">
        <v>43</v>
      </c>
      <c r="D2438" t="s">
        <v>788</v>
      </c>
      <c r="E2438" t="s">
        <v>3981</v>
      </c>
      <c r="F2438" s="121">
        <v>1929.47</v>
      </c>
      <c r="G2438" s="121">
        <v>1929.47</v>
      </c>
      <c r="H2438" t="s">
        <v>719</v>
      </c>
      <c r="I2438" s="156">
        <v>41366</v>
      </c>
      <c r="K2438" s="153"/>
      <c r="L2438" s="153"/>
      <c r="M2438" s="153"/>
      <c r="N2438" s="153"/>
      <c r="O2438" s="153"/>
      <c r="P2438" s="150"/>
      <c r="Q2438" s="150"/>
      <c r="R2438" s="153"/>
      <c r="S2438" s="154"/>
      <c r="T2438" s="151"/>
    </row>
    <row r="2439" spans="1:20">
      <c r="A2439" t="s">
        <v>1230</v>
      </c>
      <c r="B2439" t="s">
        <v>72</v>
      </c>
      <c r="C2439" t="s">
        <v>43</v>
      </c>
      <c r="D2439" t="s">
        <v>790</v>
      </c>
      <c r="E2439" t="s">
        <v>3981</v>
      </c>
      <c r="F2439" s="121">
        <v>437.95</v>
      </c>
      <c r="G2439" s="121">
        <v>437.95</v>
      </c>
      <c r="H2439" t="s">
        <v>719</v>
      </c>
      <c r="I2439" s="156">
        <v>41366</v>
      </c>
      <c r="K2439" s="153"/>
      <c r="L2439" s="153"/>
      <c r="M2439" s="153"/>
      <c r="N2439" s="153"/>
      <c r="O2439" s="153"/>
      <c r="P2439" s="150"/>
      <c r="Q2439" s="150"/>
      <c r="R2439" s="153"/>
      <c r="S2439" s="154"/>
      <c r="T2439" s="151"/>
    </row>
    <row r="2440" spans="1:20">
      <c r="A2440" t="s">
        <v>1230</v>
      </c>
      <c r="B2440" t="s">
        <v>72</v>
      </c>
      <c r="C2440" t="s">
        <v>43</v>
      </c>
      <c r="D2440" t="s">
        <v>784</v>
      </c>
      <c r="E2440" t="s">
        <v>3981</v>
      </c>
      <c r="F2440" s="121">
        <v>136.62</v>
      </c>
      <c r="G2440" s="121">
        <v>136.62</v>
      </c>
      <c r="H2440" t="s">
        <v>719</v>
      </c>
      <c r="I2440" s="156">
        <v>41366</v>
      </c>
      <c r="K2440" s="153"/>
      <c r="L2440" s="153"/>
      <c r="M2440" s="153"/>
      <c r="N2440" s="153"/>
      <c r="O2440" s="153"/>
      <c r="P2440" s="150"/>
      <c r="Q2440" s="150"/>
      <c r="R2440" s="153"/>
      <c r="S2440" s="154"/>
      <c r="T2440" s="151"/>
    </row>
    <row r="2441" spans="1:20">
      <c r="A2441" t="s">
        <v>1230</v>
      </c>
      <c r="B2441" t="s">
        <v>72</v>
      </c>
      <c r="C2441" t="s">
        <v>43</v>
      </c>
      <c r="D2441" t="s">
        <v>784</v>
      </c>
      <c r="E2441" t="s">
        <v>3981</v>
      </c>
      <c r="F2441" s="121">
        <v>204.07</v>
      </c>
      <c r="G2441" s="121">
        <v>204.07</v>
      </c>
      <c r="H2441" t="s">
        <v>719</v>
      </c>
      <c r="I2441" s="156">
        <v>41366</v>
      </c>
      <c r="K2441" s="153"/>
      <c r="L2441" s="153"/>
      <c r="M2441" s="153"/>
      <c r="N2441" s="153"/>
      <c r="O2441" s="153"/>
      <c r="P2441" s="150"/>
      <c r="Q2441" s="150"/>
      <c r="R2441" s="153"/>
      <c r="S2441" s="154"/>
      <c r="T2441" s="151"/>
    </row>
    <row r="2442" spans="1:20">
      <c r="A2442" t="s">
        <v>1230</v>
      </c>
      <c r="B2442" t="s">
        <v>73</v>
      </c>
      <c r="C2442" t="s">
        <v>43</v>
      </c>
      <c r="D2442" t="s">
        <v>706</v>
      </c>
      <c r="E2442" t="s">
        <v>3982</v>
      </c>
      <c r="F2442" s="121">
        <v>986</v>
      </c>
      <c r="G2442" s="121">
        <v>986</v>
      </c>
      <c r="H2442" t="s">
        <v>504</v>
      </c>
      <c r="I2442" s="156">
        <v>41366</v>
      </c>
      <c r="K2442" s="153"/>
      <c r="L2442" s="153"/>
      <c r="M2442" s="153"/>
      <c r="N2442" s="153"/>
      <c r="O2442" s="153"/>
      <c r="P2442" s="152"/>
      <c r="Q2442" s="152"/>
      <c r="R2442" s="153"/>
      <c r="S2442" s="154"/>
      <c r="T2442" s="151"/>
    </row>
    <row r="2443" spans="1:20">
      <c r="A2443" t="s">
        <v>1230</v>
      </c>
      <c r="B2443" t="s">
        <v>73</v>
      </c>
      <c r="C2443" t="s">
        <v>43</v>
      </c>
      <c r="D2443" t="s">
        <v>706</v>
      </c>
      <c r="E2443" t="s">
        <v>3983</v>
      </c>
      <c r="F2443" s="121">
        <v>986</v>
      </c>
      <c r="G2443" s="121">
        <v>986</v>
      </c>
      <c r="H2443" t="s">
        <v>396</v>
      </c>
      <c r="I2443" s="156">
        <v>41366</v>
      </c>
      <c r="K2443" s="153"/>
      <c r="L2443" s="153"/>
      <c r="M2443" s="153"/>
      <c r="N2443" s="153"/>
      <c r="O2443" s="153"/>
      <c r="P2443" s="150"/>
      <c r="Q2443" s="150"/>
      <c r="R2443" s="153"/>
      <c r="S2443" s="154"/>
      <c r="T2443" s="151"/>
    </row>
    <row r="2444" spans="1:20">
      <c r="A2444" t="s">
        <v>1230</v>
      </c>
      <c r="B2444" t="s">
        <v>73</v>
      </c>
      <c r="C2444" t="s">
        <v>43</v>
      </c>
      <c r="D2444" t="s">
        <v>718</v>
      </c>
      <c r="E2444" t="s">
        <v>3984</v>
      </c>
      <c r="F2444" s="121">
        <v>1413</v>
      </c>
      <c r="G2444" s="121">
        <v>1413</v>
      </c>
      <c r="H2444" t="s">
        <v>519</v>
      </c>
      <c r="I2444" s="156">
        <v>41366</v>
      </c>
      <c r="K2444" s="153"/>
      <c r="L2444" s="153"/>
      <c r="M2444" s="153"/>
      <c r="N2444" s="153"/>
      <c r="O2444" s="153"/>
      <c r="P2444" s="150"/>
      <c r="Q2444" s="150"/>
      <c r="R2444" s="153"/>
      <c r="S2444" s="154"/>
      <c r="T2444" s="115"/>
    </row>
    <row r="2445" spans="1:20">
      <c r="A2445" t="s">
        <v>1230</v>
      </c>
      <c r="B2445" t="s">
        <v>73</v>
      </c>
      <c r="C2445" t="s">
        <v>43</v>
      </c>
      <c r="D2445" t="s">
        <v>718</v>
      </c>
      <c r="E2445" t="s">
        <v>3985</v>
      </c>
      <c r="F2445" s="121">
        <v>1413</v>
      </c>
      <c r="G2445" s="121">
        <v>1413</v>
      </c>
      <c r="H2445" t="s">
        <v>519</v>
      </c>
      <c r="I2445" s="156">
        <v>41366</v>
      </c>
      <c r="K2445" s="153"/>
      <c r="L2445" s="153"/>
      <c r="M2445" s="153"/>
      <c r="N2445" s="153"/>
      <c r="O2445" s="153"/>
      <c r="P2445" s="152"/>
      <c r="Q2445" s="152"/>
      <c r="R2445" s="153"/>
      <c r="S2445" s="154"/>
      <c r="T2445" s="115"/>
    </row>
    <row r="2446" spans="1:20">
      <c r="A2446" t="s">
        <v>1230</v>
      </c>
      <c r="B2446" t="s">
        <v>73</v>
      </c>
      <c r="C2446" t="s">
        <v>43</v>
      </c>
      <c r="D2446" t="s">
        <v>718</v>
      </c>
      <c r="E2446" t="s">
        <v>3986</v>
      </c>
      <c r="F2446" s="121">
        <v>1413</v>
      </c>
      <c r="G2446" s="121">
        <v>1413</v>
      </c>
      <c r="H2446" t="s">
        <v>504</v>
      </c>
      <c r="I2446" s="156">
        <v>41366</v>
      </c>
      <c r="K2446" s="153"/>
      <c r="L2446" s="153"/>
      <c r="M2446" s="153"/>
      <c r="N2446" s="153"/>
      <c r="O2446" s="153"/>
      <c r="P2446" s="150"/>
      <c r="Q2446" s="150"/>
      <c r="R2446" s="153"/>
      <c r="S2446" s="154"/>
      <c r="T2446" s="115"/>
    </row>
    <row r="2447" spans="1:20">
      <c r="A2447" t="s">
        <v>1230</v>
      </c>
      <c r="B2447" t="s">
        <v>73</v>
      </c>
      <c r="C2447" t="s">
        <v>43</v>
      </c>
      <c r="D2447" t="s">
        <v>745</v>
      </c>
      <c r="E2447" t="s">
        <v>3987</v>
      </c>
      <c r="F2447" s="121">
        <v>449</v>
      </c>
      <c r="G2447" s="121">
        <v>449</v>
      </c>
      <c r="H2447" t="s">
        <v>504</v>
      </c>
      <c r="I2447" s="156">
        <v>41366</v>
      </c>
      <c r="K2447" s="153"/>
      <c r="L2447" s="153"/>
      <c r="M2447" s="153"/>
      <c r="N2447" s="153"/>
      <c r="O2447" s="153"/>
      <c r="P2447" s="150"/>
      <c r="Q2447" s="150"/>
      <c r="R2447" s="153"/>
      <c r="S2447" s="154"/>
      <c r="T2447" s="115"/>
    </row>
    <row r="2448" spans="1:20">
      <c r="A2448" t="s">
        <v>1230</v>
      </c>
      <c r="B2448" t="s">
        <v>72</v>
      </c>
      <c r="C2448" t="s">
        <v>55</v>
      </c>
      <c r="D2448" t="s">
        <v>791</v>
      </c>
      <c r="E2448" t="s">
        <v>3988</v>
      </c>
      <c r="F2448" s="121">
        <v>734</v>
      </c>
      <c r="G2448" s="121">
        <v>734</v>
      </c>
      <c r="H2448" t="s">
        <v>507</v>
      </c>
      <c r="I2448" s="156">
        <v>41369</v>
      </c>
      <c r="K2448" s="153"/>
      <c r="L2448" s="153"/>
      <c r="M2448" s="153"/>
      <c r="N2448" s="153"/>
      <c r="O2448" s="153"/>
      <c r="P2448" s="150"/>
      <c r="Q2448" s="150"/>
      <c r="R2448" s="153"/>
      <c r="S2448" s="154"/>
      <c r="T2448" s="115"/>
    </row>
    <row r="2449" spans="1:20">
      <c r="A2449" t="s">
        <v>1230</v>
      </c>
      <c r="B2449" t="s">
        <v>73</v>
      </c>
      <c r="C2449" t="s">
        <v>54</v>
      </c>
      <c r="D2449" t="s">
        <v>792</v>
      </c>
      <c r="E2449" t="s">
        <v>3989</v>
      </c>
      <c r="F2449" s="121">
        <v>191.81</v>
      </c>
      <c r="G2449" s="121">
        <v>191.81</v>
      </c>
      <c r="H2449" t="s">
        <v>519</v>
      </c>
      <c r="I2449" s="156">
        <v>41372</v>
      </c>
      <c r="K2449" s="153"/>
      <c r="L2449" s="153"/>
      <c r="M2449" s="153"/>
      <c r="N2449" s="153"/>
      <c r="O2449" s="153"/>
      <c r="P2449" s="150"/>
      <c r="Q2449" s="150"/>
      <c r="R2449" s="153"/>
      <c r="S2449" s="154"/>
      <c r="T2449" s="115"/>
    </row>
    <row r="2450" spans="1:20">
      <c r="A2450" t="s">
        <v>1230</v>
      </c>
      <c r="B2450" t="s">
        <v>73</v>
      </c>
      <c r="C2450" t="s">
        <v>54</v>
      </c>
      <c r="D2450" t="s">
        <v>792</v>
      </c>
      <c r="E2450" t="s">
        <v>3990</v>
      </c>
      <c r="F2450" s="121">
        <v>191.81</v>
      </c>
      <c r="G2450" s="121">
        <v>191.81</v>
      </c>
      <c r="H2450" t="s">
        <v>519</v>
      </c>
      <c r="I2450" s="156">
        <v>41372</v>
      </c>
      <c r="K2450" s="153"/>
      <c r="L2450" s="153"/>
      <c r="M2450" s="153"/>
      <c r="N2450" s="153"/>
      <c r="O2450" s="153"/>
      <c r="P2450" s="152"/>
      <c r="Q2450" s="152"/>
      <c r="R2450" s="153"/>
      <c r="S2450" s="154"/>
      <c r="T2450" s="115"/>
    </row>
    <row r="2451" spans="1:20">
      <c r="A2451" t="s">
        <v>1230</v>
      </c>
      <c r="B2451" t="s">
        <v>73</v>
      </c>
      <c r="C2451" t="s">
        <v>54</v>
      </c>
      <c r="D2451" t="s">
        <v>792</v>
      </c>
      <c r="E2451" t="s">
        <v>3991</v>
      </c>
      <c r="F2451" s="121">
        <v>191.81</v>
      </c>
      <c r="G2451" s="121">
        <v>191.81</v>
      </c>
      <c r="H2451" t="s">
        <v>519</v>
      </c>
      <c r="I2451" s="156">
        <v>41372</v>
      </c>
      <c r="K2451" s="153"/>
      <c r="L2451" s="153"/>
      <c r="M2451" s="153"/>
      <c r="N2451" s="153"/>
      <c r="O2451" s="153"/>
      <c r="P2451" s="152"/>
      <c r="Q2451" s="152"/>
      <c r="R2451" s="153"/>
      <c r="S2451" s="154"/>
      <c r="T2451" s="115"/>
    </row>
    <row r="2452" spans="1:20">
      <c r="A2452" t="s">
        <v>1230</v>
      </c>
      <c r="B2452" t="s">
        <v>73</v>
      </c>
      <c r="C2452" t="s">
        <v>54</v>
      </c>
      <c r="D2452" t="s">
        <v>792</v>
      </c>
      <c r="E2452" t="s">
        <v>3992</v>
      </c>
      <c r="F2452" s="121">
        <v>191.81</v>
      </c>
      <c r="G2452" s="121">
        <v>191.81</v>
      </c>
      <c r="H2452" t="s">
        <v>519</v>
      </c>
      <c r="I2452" s="156">
        <v>41372</v>
      </c>
      <c r="K2452" s="153"/>
      <c r="L2452" s="153"/>
      <c r="M2452" s="153"/>
      <c r="N2452" s="153"/>
      <c r="O2452" s="153"/>
      <c r="P2452" s="152"/>
      <c r="Q2452" s="152"/>
      <c r="R2452" s="153"/>
      <c r="S2452" s="154"/>
      <c r="T2452" s="115"/>
    </row>
    <row r="2453" spans="1:20">
      <c r="A2453" t="s">
        <v>1230</v>
      </c>
      <c r="B2453" t="s">
        <v>73</v>
      </c>
      <c r="C2453" t="s">
        <v>54</v>
      </c>
      <c r="D2453" t="s">
        <v>792</v>
      </c>
      <c r="E2453" t="s">
        <v>3993</v>
      </c>
      <c r="F2453" s="121">
        <v>191.81</v>
      </c>
      <c r="G2453" s="121">
        <v>191.81</v>
      </c>
      <c r="H2453" t="s">
        <v>519</v>
      </c>
      <c r="I2453" s="156">
        <v>41372</v>
      </c>
      <c r="K2453" s="153"/>
      <c r="L2453" s="153"/>
      <c r="M2453" s="153"/>
      <c r="N2453" s="153"/>
      <c r="O2453" s="153"/>
      <c r="P2453" s="152"/>
      <c r="Q2453" s="152"/>
      <c r="R2453" s="153"/>
      <c r="S2453" s="154"/>
      <c r="T2453" s="115"/>
    </row>
    <row r="2454" spans="1:20">
      <c r="A2454" t="s">
        <v>1230</v>
      </c>
      <c r="B2454" t="s">
        <v>73</v>
      </c>
      <c r="C2454" t="s">
        <v>54</v>
      </c>
      <c r="D2454" t="s">
        <v>792</v>
      </c>
      <c r="E2454" t="s">
        <v>3994</v>
      </c>
      <c r="F2454" s="121">
        <v>191.81</v>
      </c>
      <c r="G2454" s="121">
        <v>191.81</v>
      </c>
      <c r="H2454" t="s">
        <v>519</v>
      </c>
      <c r="I2454" s="156">
        <v>41372</v>
      </c>
      <c r="K2454" s="153"/>
      <c r="L2454" s="153"/>
      <c r="M2454" s="153"/>
      <c r="N2454" s="153"/>
      <c r="O2454" s="153"/>
      <c r="P2454" s="150"/>
      <c r="Q2454" s="150"/>
      <c r="R2454" s="153"/>
      <c r="S2454" s="154"/>
      <c r="T2454" s="115"/>
    </row>
    <row r="2455" spans="1:20">
      <c r="A2455" t="s">
        <v>1230</v>
      </c>
      <c r="B2455" t="s">
        <v>73</v>
      </c>
      <c r="C2455" t="s">
        <v>54</v>
      </c>
      <c r="D2455" t="s">
        <v>792</v>
      </c>
      <c r="E2455" t="s">
        <v>3995</v>
      </c>
      <c r="F2455" s="121">
        <v>191.81</v>
      </c>
      <c r="G2455" s="121">
        <v>191.81</v>
      </c>
      <c r="H2455" t="s">
        <v>519</v>
      </c>
      <c r="I2455" s="156">
        <v>41372</v>
      </c>
      <c r="K2455" s="153"/>
      <c r="L2455" s="153"/>
      <c r="M2455" s="153"/>
      <c r="N2455" s="153"/>
      <c r="O2455" s="153"/>
      <c r="P2455" s="150"/>
      <c r="Q2455" s="150"/>
      <c r="R2455" s="153"/>
      <c r="S2455" s="154"/>
      <c r="T2455" s="115"/>
    </row>
    <row r="2456" spans="1:20">
      <c r="A2456" t="s">
        <v>1230</v>
      </c>
      <c r="B2456" t="s">
        <v>73</v>
      </c>
      <c r="C2456" t="s">
        <v>54</v>
      </c>
      <c r="D2456" t="s">
        <v>792</v>
      </c>
      <c r="E2456" t="s">
        <v>3996</v>
      </c>
      <c r="F2456" s="121">
        <v>191.81</v>
      </c>
      <c r="G2456" s="121">
        <v>191.81</v>
      </c>
      <c r="H2456" t="s">
        <v>519</v>
      </c>
      <c r="I2456" s="156">
        <v>41372</v>
      </c>
      <c r="K2456" s="153"/>
      <c r="L2456" s="153"/>
      <c r="M2456" s="153"/>
      <c r="N2456" s="153"/>
      <c r="O2456" s="153"/>
      <c r="P2456" s="150"/>
      <c r="Q2456" s="150"/>
      <c r="R2456" s="153"/>
      <c r="S2456" s="154"/>
      <c r="T2456" s="115"/>
    </row>
    <row r="2457" spans="1:20">
      <c r="A2457" t="s">
        <v>1230</v>
      </c>
      <c r="B2457" t="s">
        <v>73</v>
      </c>
      <c r="C2457" t="s">
        <v>54</v>
      </c>
      <c r="D2457" t="s">
        <v>792</v>
      </c>
      <c r="E2457" t="s">
        <v>3997</v>
      </c>
      <c r="F2457" s="121">
        <v>191.81</v>
      </c>
      <c r="G2457" s="121">
        <v>191.81</v>
      </c>
      <c r="H2457" t="s">
        <v>519</v>
      </c>
      <c r="I2457" s="156">
        <v>41372</v>
      </c>
      <c r="K2457" s="153"/>
      <c r="L2457" s="153"/>
      <c r="M2457" s="153"/>
      <c r="N2457" s="153"/>
      <c r="O2457" s="153"/>
      <c r="P2457" s="152"/>
      <c r="Q2457" s="152"/>
      <c r="R2457" s="153"/>
      <c r="S2457" s="154"/>
      <c r="T2457" s="115"/>
    </row>
    <row r="2458" spans="1:20">
      <c r="A2458" t="s">
        <v>1230</v>
      </c>
      <c r="B2458" t="s">
        <v>73</v>
      </c>
      <c r="C2458" t="s">
        <v>54</v>
      </c>
      <c r="D2458" t="s">
        <v>792</v>
      </c>
      <c r="E2458" t="s">
        <v>3998</v>
      </c>
      <c r="F2458" s="121">
        <v>191.81</v>
      </c>
      <c r="G2458" s="121">
        <v>191.81</v>
      </c>
      <c r="H2458" t="s">
        <v>519</v>
      </c>
      <c r="I2458" s="156">
        <v>41372</v>
      </c>
      <c r="K2458" s="153"/>
      <c r="L2458" s="153"/>
      <c r="M2458" s="153"/>
      <c r="N2458" s="153"/>
      <c r="O2458" s="153"/>
      <c r="P2458" s="152"/>
      <c r="Q2458" s="152"/>
      <c r="R2458" s="153"/>
      <c r="S2458" s="154"/>
    </row>
    <row r="2459" spans="1:20">
      <c r="A2459" t="s">
        <v>1230</v>
      </c>
      <c r="B2459" t="s">
        <v>73</v>
      </c>
      <c r="C2459" t="s">
        <v>54</v>
      </c>
      <c r="D2459" t="s">
        <v>792</v>
      </c>
      <c r="E2459" t="s">
        <v>3999</v>
      </c>
      <c r="F2459" s="121">
        <v>191.81</v>
      </c>
      <c r="G2459" s="121">
        <v>191.81</v>
      </c>
      <c r="H2459" t="s">
        <v>519</v>
      </c>
      <c r="I2459" s="156">
        <v>41372</v>
      </c>
      <c r="K2459" s="153"/>
      <c r="L2459" s="153"/>
      <c r="M2459" s="153"/>
      <c r="N2459" s="153"/>
      <c r="O2459" s="153"/>
      <c r="P2459" s="150"/>
      <c r="Q2459" s="150"/>
      <c r="R2459" s="153"/>
      <c r="S2459" s="154"/>
    </row>
    <row r="2460" spans="1:20">
      <c r="A2460" t="s">
        <v>1230</v>
      </c>
      <c r="B2460" t="s">
        <v>73</v>
      </c>
      <c r="C2460" t="s">
        <v>54</v>
      </c>
      <c r="D2460" t="s">
        <v>792</v>
      </c>
      <c r="E2460" t="s">
        <v>4000</v>
      </c>
      <c r="F2460" s="121">
        <v>191.81</v>
      </c>
      <c r="G2460" s="121">
        <v>191.81</v>
      </c>
      <c r="H2460" t="s">
        <v>519</v>
      </c>
      <c r="I2460" s="156">
        <v>41372</v>
      </c>
      <c r="K2460" s="153"/>
      <c r="L2460" s="153"/>
      <c r="M2460" s="153"/>
      <c r="N2460" s="153"/>
      <c r="O2460" s="153"/>
      <c r="P2460" s="152"/>
      <c r="Q2460" s="152"/>
      <c r="R2460" s="153"/>
      <c r="S2460" s="154"/>
    </row>
    <row r="2461" spans="1:20">
      <c r="A2461" t="s">
        <v>1230</v>
      </c>
      <c r="B2461" t="s">
        <v>73</v>
      </c>
      <c r="C2461" t="s">
        <v>54</v>
      </c>
      <c r="D2461" t="s">
        <v>792</v>
      </c>
      <c r="E2461" t="s">
        <v>4001</v>
      </c>
      <c r="F2461" s="121">
        <v>191.81</v>
      </c>
      <c r="G2461" s="121">
        <v>191.81</v>
      </c>
      <c r="H2461" t="s">
        <v>519</v>
      </c>
      <c r="I2461" s="156">
        <v>41372</v>
      </c>
      <c r="K2461" s="153"/>
      <c r="L2461" s="153"/>
      <c r="M2461" s="153"/>
      <c r="N2461" s="153"/>
      <c r="O2461" s="153"/>
      <c r="P2461" s="150"/>
      <c r="Q2461" s="150"/>
      <c r="R2461" s="153"/>
      <c r="S2461" s="154"/>
    </row>
    <row r="2462" spans="1:20">
      <c r="A2462" t="s">
        <v>1230</v>
      </c>
      <c r="B2462" t="s">
        <v>73</v>
      </c>
      <c r="C2462" t="s">
        <v>54</v>
      </c>
      <c r="D2462" t="s">
        <v>792</v>
      </c>
      <c r="E2462" t="s">
        <v>4002</v>
      </c>
      <c r="F2462" s="121">
        <v>191.81</v>
      </c>
      <c r="G2462" s="121">
        <v>191.81</v>
      </c>
      <c r="H2462" t="s">
        <v>519</v>
      </c>
      <c r="I2462" s="156">
        <v>41372</v>
      </c>
      <c r="K2462" s="153"/>
      <c r="L2462" s="153"/>
      <c r="M2462" s="153"/>
      <c r="N2462" s="153"/>
      <c r="O2462" s="153"/>
      <c r="P2462" s="150"/>
      <c r="Q2462" s="150"/>
      <c r="R2462" s="153"/>
      <c r="S2462" s="154"/>
    </row>
    <row r="2463" spans="1:20">
      <c r="A2463" t="s">
        <v>1230</v>
      </c>
      <c r="B2463" t="s">
        <v>73</v>
      </c>
      <c r="C2463" t="s">
        <v>54</v>
      </c>
      <c r="D2463" t="s">
        <v>792</v>
      </c>
      <c r="E2463" t="s">
        <v>4003</v>
      </c>
      <c r="F2463" s="121">
        <v>191.81</v>
      </c>
      <c r="G2463" s="121">
        <v>191.81</v>
      </c>
      <c r="H2463" t="s">
        <v>519</v>
      </c>
      <c r="I2463" s="156">
        <v>41372</v>
      </c>
      <c r="K2463" s="153"/>
      <c r="L2463" s="153"/>
      <c r="M2463" s="153"/>
      <c r="N2463" s="153"/>
      <c r="O2463" s="153"/>
      <c r="P2463" s="152"/>
      <c r="Q2463" s="152"/>
      <c r="R2463" s="153"/>
      <c r="S2463" s="154"/>
    </row>
    <row r="2464" spans="1:20">
      <c r="A2464" t="s">
        <v>1230</v>
      </c>
      <c r="B2464" t="s">
        <v>73</v>
      </c>
      <c r="C2464" t="s">
        <v>54</v>
      </c>
      <c r="D2464" t="s">
        <v>792</v>
      </c>
      <c r="E2464" t="s">
        <v>4004</v>
      </c>
      <c r="F2464" s="121">
        <v>191.81</v>
      </c>
      <c r="G2464" s="121">
        <v>191.81</v>
      </c>
      <c r="H2464" t="s">
        <v>519</v>
      </c>
      <c r="I2464" s="156">
        <v>41372</v>
      </c>
      <c r="K2464" s="153"/>
      <c r="L2464" s="153"/>
      <c r="M2464" s="153"/>
      <c r="N2464" s="153"/>
      <c r="O2464" s="153"/>
      <c r="P2464" s="152"/>
      <c r="Q2464" s="152"/>
      <c r="R2464" s="153"/>
      <c r="S2464" s="154"/>
    </row>
    <row r="2465" spans="1:19">
      <c r="A2465" t="s">
        <v>1230</v>
      </c>
      <c r="B2465" t="s">
        <v>73</v>
      </c>
      <c r="C2465" t="s">
        <v>54</v>
      </c>
      <c r="D2465" t="s">
        <v>792</v>
      </c>
      <c r="E2465" t="s">
        <v>4005</v>
      </c>
      <c r="F2465" s="121">
        <v>191.81</v>
      </c>
      <c r="G2465" s="121">
        <v>191.81</v>
      </c>
      <c r="H2465" t="s">
        <v>519</v>
      </c>
      <c r="I2465" s="156">
        <v>41372</v>
      </c>
      <c r="K2465" s="153"/>
      <c r="L2465" s="153"/>
      <c r="M2465" s="153"/>
      <c r="N2465" s="153"/>
      <c r="O2465" s="153"/>
      <c r="P2465" s="150"/>
      <c r="Q2465" s="150"/>
      <c r="R2465" s="153"/>
      <c r="S2465" s="154"/>
    </row>
    <row r="2466" spans="1:19">
      <c r="A2466" t="s">
        <v>1230</v>
      </c>
      <c r="B2466" t="s">
        <v>73</v>
      </c>
      <c r="C2466" t="s">
        <v>54</v>
      </c>
      <c r="D2466" t="s">
        <v>792</v>
      </c>
      <c r="E2466" t="s">
        <v>4006</v>
      </c>
      <c r="F2466" s="121">
        <v>191.81</v>
      </c>
      <c r="G2466" s="121">
        <v>191.81</v>
      </c>
      <c r="H2466" t="s">
        <v>519</v>
      </c>
      <c r="I2466" s="156">
        <v>41372</v>
      </c>
      <c r="K2466" s="153"/>
      <c r="L2466" s="153"/>
      <c r="M2466" s="153"/>
      <c r="N2466" s="153"/>
      <c r="O2466" s="153"/>
      <c r="P2466" s="152"/>
      <c r="Q2466" s="152"/>
      <c r="R2466" s="153"/>
      <c r="S2466" s="154"/>
    </row>
    <row r="2467" spans="1:19">
      <c r="A2467" t="s">
        <v>1230</v>
      </c>
      <c r="B2467" t="s">
        <v>73</v>
      </c>
      <c r="C2467" t="s">
        <v>54</v>
      </c>
      <c r="D2467" t="s">
        <v>792</v>
      </c>
      <c r="E2467" t="s">
        <v>4007</v>
      </c>
      <c r="F2467" s="121">
        <v>191.81</v>
      </c>
      <c r="G2467" s="121">
        <v>191.81</v>
      </c>
      <c r="H2467" t="s">
        <v>519</v>
      </c>
      <c r="I2467" s="156">
        <v>41372</v>
      </c>
      <c r="K2467" s="153"/>
      <c r="L2467" s="153"/>
      <c r="M2467" s="153"/>
      <c r="N2467" s="153"/>
      <c r="O2467" s="153"/>
      <c r="P2467" s="152"/>
      <c r="Q2467" s="152"/>
      <c r="R2467" s="153"/>
      <c r="S2467" s="154"/>
    </row>
    <row r="2468" spans="1:19">
      <c r="A2468" t="s">
        <v>1230</v>
      </c>
      <c r="B2468" t="s">
        <v>73</v>
      </c>
      <c r="C2468" t="s">
        <v>54</v>
      </c>
      <c r="D2468" t="s">
        <v>792</v>
      </c>
      <c r="E2468" t="s">
        <v>4008</v>
      </c>
      <c r="F2468" s="121">
        <v>191.81</v>
      </c>
      <c r="G2468" s="121">
        <v>191.81</v>
      </c>
      <c r="H2468" t="s">
        <v>519</v>
      </c>
      <c r="I2468" s="156">
        <v>41372</v>
      </c>
      <c r="K2468" s="153"/>
      <c r="L2468" s="153"/>
      <c r="M2468" s="153"/>
      <c r="N2468" s="153"/>
      <c r="O2468" s="153"/>
      <c r="P2468" s="150"/>
      <c r="Q2468" s="150"/>
      <c r="R2468" s="153"/>
      <c r="S2468" s="154"/>
    </row>
    <row r="2469" spans="1:19">
      <c r="A2469" t="s">
        <v>1230</v>
      </c>
      <c r="B2469" t="s">
        <v>73</v>
      </c>
      <c r="C2469" t="s">
        <v>54</v>
      </c>
      <c r="D2469" t="s">
        <v>793</v>
      </c>
      <c r="E2469" t="s">
        <v>4009</v>
      </c>
      <c r="F2469" s="121">
        <v>3888.92</v>
      </c>
      <c r="G2469" s="121">
        <v>3888.92</v>
      </c>
      <c r="H2469" t="s">
        <v>519</v>
      </c>
      <c r="I2469" s="156">
        <v>41379</v>
      </c>
      <c r="K2469" s="153"/>
      <c r="L2469" s="153"/>
      <c r="M2469" s="153"/>
      <c r="N2469" s="153"/>
      <c r="O2469" s="153"/>
      <c r="P2469" s="150"/>
      <c r="Q2469" s="150"/>
      <c r="R2469" s="153"/>
      <c r="S2469" s="154"/>
    </row>
    <row r="2470" spans="1:19">
      <c r="A2470" t="s">
        <v>1230</v>
      </c>
      <c r="B2470" t="s">
        <v>73</v>
      </c>
      <c r="C2470" t="s">
        <v>54</v>
      </c>
      <c r="D2470" t="s">
        <v>793</v>
      </c>
      <c r="E2470" t="s">
        <v>4010</v>
      </c>
      <c r="F2470" s="121">
        <v>3888.92</v>
      </c>
      <c r="G2470" s="121">
        <v>3888.92</v>
      </c>
      <c r="H2470" t="s">
        <v>519</v>
      </c>
      <c r="I2470" s="156">
        <v>41379</v>
      </c>
      <c r="K2470" s="153"/>
      <c r="L2470" s="153"/>
      <c r="M2470" s="153"/>
      <c r="N2470" s="153"/>
      <c r="O2470" s="153"/>
      <c r="P2470" s="152"/>
      <c r="Q2470" s="152"/>
      <c r="R2470" s="153"/>
      <c r="S2470" s="154"/>
    </row>
    <row r="2471" spans="1:19">
      <c r="A2471" t="s">
        <v>1230</v>
      </c>
      <c r="B2471" t="s">
        <v>73</v>
      </c>
      <c r="C2471" t="s">
        <v>54</v>
      </c>
      <c r="D2471" t="s">
        <v>794</v>
      </c>
      <c r="E2471" t="s">
        <v>4011</v>
      </c>
      <c r="F2471" s="121">
        <v>1944.46</v>
      </c>
      <c r="G2471" s="121">
        <v>1944.46</v>
      </c>
      <c r="H2471" t="s">
        <v>519</v>
      </c>
      <c r="I2471" s="156">
        <v>41379</v>
      </c>
      <c r="K2471" s="153"/>
      <c r="L2471" s="153"/>
      <c r="M2471" s="153"/>
      <c r="N2471" s="153"/>
      <c r="O2471" s="153"/>
      <c r="P2471" s="150"/>
      <c r="Q2471" s="150"/>
      <c r="R2471" s="153"/>
      <c r="S2471" s="154"/>
    </row>
    <row r="2472" spans="1:19">
      <c r="A2472" t="s">
        <v>1230</v>
      </c>
      <c r="B2472" t="s">
        <v>73</v>
      </c>
      <c r="C2472" t="s">
        <v>54</v>
      </c>
      <c r="D2472" t="s">
        <v>794</v>
      </c>
      <c r="E2472" t="s">
        <v>4012</v>
      </c>
      <c r="F2472" s="121">
        <v>1944.46</v>
      </c>
      <c r="G2472" s="121">
        <v>1944.46</v>
      </c>
      <c r="H2472" t="s">
        <v>519</v>
      </c>
      <c r="I2472" s="156">
        <v>41379</v>
      </c>
      <c r="K2472" s="153"/>
      <c r="L2472" s="153"/>
      <c r="M2472" s="153"/>
      <c r="N2472" s="153"/>
      <c r="O2472" s="153"/>
      <c r="P2472" s="150"/>
      <c r="Q2472" s="150"/>
      <c r="R2472" s="153"/>
      <c r="S2472" s="154"/>
    </row>
    <row r="2473" spans="1:19">
      <c r="A2473" t="s">
        <v>1230</v>
      </c>
      <c r="B2473" t="s">
        <v>73</v>
      </c>
      <c r="C2473" t="s">
        <v>54</v>
      </c>
      <c r="D2473" t="s">
        <v>795</v>
      </c>
      <c r="E2473" t="s">
        <v>4013</v>
      </c>
      <c r="F2473" s="121">
        <v>5833.38</v>
      </c>
      <c r="G2473" s="121">
        <v>5833.38</v>
      </c>
      <c r="H2473" t="s">
        <v>519</v>
      </c>
      <c r="I2473" s="156">
        <v>41379</v>
      </c>
      <c r="K2473" s="153"/>
      <c r="L2473" s="153"/>
      <c r="M2473" s="153"/>
      <c r="N2473" s="153"/>
      <c r="O2473" s="153"/>
      <c r="P2473" s="152"/>
      <c r="Q2473" s="152"/>
      <c r="R2473" s="153"/>
      <c r="S2473" s="154"/>
    </row>
    <row r="2474" spans="1:19">
      <c r="A2474" t="s">
        <v>1230</v>
      </c>
      <c r="B2474" t="s">
        <v>73</v>
      </c>
      <c r="C2474" t="s">
        <v>54</v>
      </c>
      <c r="D2474" t="s">
        <v>770</v>
      </c>
      <c r="E2474" t="s">
        <v>4014</v>
      </c>
      <c r="F2474" s="121">
        <v>1199.8599999999999</v>
      </c>
      <c r="G2474" s="121">
        <v>1199.8599999999999</v>
      </c>
      <c r="H2474" t="s">
        <v>519</v>
      </c>
      <c r="I2474" s="156">
        <v>41379</v>
      </c>
      <c r="K2474" s="153"/>
      <c r="L2474" s="153"/>
      <c r="M2474" s="153"/>
      <c r="N2474" s="153"/>
      <c r="O2474" s="153"/>
      <c r="P2474" s="152"/>
      <c r="Q2474" s="152"/>
      <c r="R2474" s="153"/>
      <c r="S2474" s="154"/>
    </row>
    <row r="2475" spans="1:19">
      <c r="A2475" t="s">
        <v>1230</v>
      </c>
      <c r="B2475" t="s">
        <v>73</v>
      </c>
      <c r="C2475" t="s">
        <v>54</v>
      </c>
      <c r="D2475" t="s">
        <v>721</v>
      </c>
      <c r="E2475" t="s">
        <v>4015</v>
      </c>
      <c r="F2475" s="121">
        <v>990</v>
      </c>
      <c r="G2475" s="121">
        <v>990</v>
      </c>
      <c r="H2475" t="s">
        <v>519</v>
      </c>
      <c r="I2475" s="156">
        <v>41379</v>
      </c>
      <c r="K2475" s="153"/>
      <c r="L2475" s="153"/>
      <c r="M2475" s="153"/>
      <c r="N2475" s="153"/>
      <c r="O2475" s="153"/>
      <c r="P2475" s="150"/>
      <c r="Q2475" s="150"/>
      <c r="R2475" s="153"/>
      <c r="S2475" s="154"/>
    </row>
    <row r="2476" spans="1:19">
      <c r="A2476" t="s">
        <v>1230</v>
      </c>
      <c r="B2476" t="s">
        <v>72</v>
      </c>
      <c r="C2476" t="s">
        <v>55</v>
      </c>
      <c r="D2476" t="s">
        <v>796</v>
      </c>
      <c r="E2476" t="s">
        <v>4016</v>
      </c>
      <c r="F2476" s="121">
        <v>429</v>
      </c>
      <c r="G2476" s="121">
        <v>429</v>
      </c>
      <c r="H2476" t="s">
        <v>396</v>
      </c>
      <c r="I2476" s="156">
        <v>41379</v>
      </c>
      <c r="K2476" s="153"/>
      <c r="L2476" s="153"/>
      <c r="M2476" s="153"/>
      <c r="N2476" s="153"/>
      <c r="O2476" s="153"/>
      <c r="P2476" s="150"/>
      <c r="Q2476" s="150"/>
      <c r="R2476" s="153"/>
      <c r="S2476" s="154"/>
    </row>
    <row r="2477" spans="1:19">
      <c r="A2477" t="s">
        <v>1230</v>
      </c>
      <c r="B2477" t="s">
        <v>72</v>
      </c>
      <c r="C2477" t="s">
        <v>55</v>
      </c>
      <c r="D2477" t="s">
        <v>796</v>
      </c>
      <c r="E2477" t="s">
        <v>4017</v>
      </c>
      <c r="F2477" s="121">
        <v>429</v>
      </c>
      <c r="G2477" s="121">
        <v>429</v>
      </c>
      <c r="H2477" t="s">
        <v>396</v>
      </c>
      <c r="I2477" s="156">
        <v>41379</v>
      </c>
      <c r="K2477" s="153"/>
      <c r="L2477" s="153"/>
      <c r="M2477" s="153"/>
      <c r="N2477" s="153"/>
      <c r="O2477" s="153"/>
      <c r="P2477" s="150"/>
      <c r="Q2477" s="150"/>
      <c r="R2477" s="153"/>
      <c r="S2477" s="154"/>
    </row>
    <row r="2478" spans="1:19">
      <c r="A2478" t="s">
        <v>1230</v>
      </c>
      <c r="B2478" t="s">
        <v>72</v>
      </c>
      <c r="C2478" t="s">
        <v>55</v>
      </c>
      <c r="D2478" t="s">
        <v>773</v>
      </c>
      <c r="E2478" t="s">
        <v>4018</v>
      </c>
      <c r="F2478" s="121">
        <v>139</v>
      </c>
      <c r="G2478" s="121">
        <v>139</v>
      </c>
      <c r="H2478" t="s">
        <v>396</v>
      </c>
      <c r="I2478" s="156">
        <v>41379</v>
      </c>
      <c r="K2478" s="153"/>
      <c r="L2478" s="153"/>
      <c r="M2478" s="153"/>
      <c r="N2478" s="153"/>
      <c r="O2478" s="153"/>
      <c r="P2478" s="150"/>
      <c r="Q2478" s="150"/>
      <c r="R2478" s="153"/>
      <c r="S2478" s="154"/>
    </row>
    <row r="2479" spans="1:19">
      <c r="A2479" t="s">
        <v>1230</v>
      </c>
      <c r="B2479" t="s">
        <v>73</v>
      </c>
      <c r="C2479" t="s">
        <v>43</v>
      </c>
      <c r="D2479" t="s">
        <v>797</v>
      </c>
      <c r="E2479" t="s">
        <v>4019</v>
      </c>
      <c r="F2479" s="121">
        <v>681.9</v>
      </c>
      <c r="G2479" s="121">
        <v>681.9</v>
      </c>
      <c r="H2479" t="s">
        <v>519</v>
      </c>
      <c r="I2479" s="156">
        <v>41382</v>
      </c>
      <c r="K2479" s="153"/>
      <c r="L2479" s="153"/>
      <c r="M2479" s="153"/>
      <c r="N2479" s="153"/>
      <c r="O2479" s="153"/>
      <c r="P2479" s="150"/>
      <c r="Q2479" s="150"/>
      <c r="R2479" s="153"/>
      <c r="S2479" s="154"/>
    </row>
    <row r="2480" spans="1:19">
      <c r="A2480" t="s">
        <v>1230</v>
      </c>
      <c r="B2480" t="s">
        <v>72</v>
      </c>
      <c r="C2480" t="s">
        <v>55</v>
      </c>
      <c r="D2480" t="s">
        <v>798</v>
      </c>
      <c r="E2480" t="s">
        <v>4020</v>
      </c>
      <c r="F2480" s="121">
        <v>1329</v>
      </c>
      <c r="G2480" s="121">
        <v>1329</v>
      </c>
      <c r="H2480" t="s">
        <v>396</v>
      </c>
      <c r="I2480" s="156">
        <v>41382</v>
      </c>
      <c r="K2480" s="153"/>
      <c r="L2480" s="153"/>
      <c r="M2480" s="153"/>
      <c r="N2480" s="153"/>
      <c r="O2480" s="153"/>
      <c r="P2480" s="150"/>
      <c r="Q2480" s="150"/>
      <c r="R2480" s="153"/>
      <c r="S2480" s="154"/>
    </row>
    <row r="2481" spans="1:19">
      <c r="A2481" t="s">
        <v>1230</v>
      </c>
      <c r="B2481" t="s">
        <v>73</v>
      </c>
      <c r="C2481" t="s">
        <v>43</v>
      </c>
      <c r="D2481" t="s">
        <v>799</v>
      </c>
      <c r="E2481" t="s">
        <v>4021</v>
      </c>
      <c r="F2481" s="121">
        <v>1399</v>
      </c>
      <c r="G2481" s="121">
        <v>1399</v>
      </c>
      <c r="H2481" t="s">
        <v>519</v>
      </c>
      <c r="I2481" s="156">
        <v>41383</v>
      </c>
      <c r="K2481" s="153"/>
      <c r="L2481" s="153"/>
      <c r="M2481" s="153"/>
      <c r="N2481" s="153"/>
      <c r="O2481" s="153"/>
      <c r="P2481" s="150"/>
      <c r="Q2481" s="150"/>
      <c r="R2481" s="153"/>
      <c r="S2481" s="154"/>
    </row>
    <row r="2482" spans="1:19">
      <c r="A2482" t="s">
        <v>1230</v>
      </c>
      <c r="B2482" t="s">
        <v>73</v>
      </c>
      <c r="C2482" t="s">
        <v>54</v>
      </c>
      <c r="D2482" t="s">
        <v>800</v>
      </c>
      <c r="E2482" t="s">
        <v>4022</v>
      </c>
      <c r="F2482" s="121">
        <v>825</v>
      </c>
      <c r="G2482" s="121">
        <v>825</v>
      </c>
      <c r="H2482" t="s">
        <v>519</v>
      </c>
      <c r="I2482" s="156">
        <v>41387</v>
      </c>
      <c r="K2482" s="153"/>
      <c r="L2482" s="153"/>
      <c r="M2482" s="153"/>
      <c r="N2482" s="153"/>
      <c r="O2482" s="153"/>
      <c r="P2482" s="152"/>
      <c r="Q2482" s="152"/>
      <c r="R2482" s="153"/>
      <c r="S2482" s="154"/>
    </row>
    <row r="2483" spans="1:19">
      <c r="A2483" t="s">
        <v>1230</v>
      </c>
      <c r="B2483" t="s">
        <v>72</v>
      </c>
      <c r="C2483" t="s">
        <v>55</v>
      </c>
      <c r="D2483" t="s">
        <v>540</v>
      </c>
      <c r="E2483" t="s">
        <v>4023</v>
      </c>
      <c r="F2483" s="121">
        <v>238</v>
      </c>
      <c r="G2483" s="121">
        <v>238</v>
      </c>
      <c r="H2483" t="s">
        <v>396</v>
      </c>
      <c r="I2483" s="156">
        <v>41389</v>
      </c>
      <c r="K2483" s="153"/>
      <c r="L2483" s="153"/>
      <c r="M2483" s="153"/>
      <c r="N2483" s="153"/>
      <c r="O2483" s="153"/>
      <c r="P2483" s="152"/>
      <c r="Q2483" s="152"/>
      <c r="R2483" s="153"/>
      <c r="S2483" s="154"/>
    </row>
    <row r="2484" spans="1:19">
      <c r="A2484" t="s">
        <v>1230</v>
      </c>
      <c r="B2484" t="s">
        <v>73</v>
      </c>
      <c r="C2484" t="s">
        <v>43</v>
      </c>
      <c r="D2484" t="s">
        <v>801</v>
      </c>
      <c r="E2484" t="s">
        <v>4024</v>
      </c>
      <c r="F2484" s="121">
        <v>2399</v>
      </c>
      <c r="G2484" s="121">
        <v>2399</v>
      </c>
      <c r="H2484" t="s">
        <v>519</v>
      </c>
      <c r="I2484" s="156">
        <v>41390</v>
      </c>
      <c r="K2484" s="153"/>
      <c r="L2484" s="153"/>
      <c r="M2484" s="153"/>
      <c r="N2484" s="153"/>
      <c r="O2484" s="153"/>
      <c r="P2484" s="152"/>
      <c r="Q2484" s="152"/>
      <c r="R2484" s="153"/>
      <c r="S2484" s="154"/>
    </row>
    <row r="2485" spans="1:19">
      <c r="A2485" t="s">
        <v>1230</v>
      </c>
      <c r="B2485" t="s">
        <v>73</v>
      </c>
      <c r="C2485" t="s">
        <v>43</v>
      </c>
      <c r="D2485" t="s">
        <v>718</v>
      </c>
      <c r="E2485" t="s">
        <v>4025</v>
      </c>
      <c r="F2485" s="121">
        <v>1305</v>
      </c>
      <c r="G2485" s="121">
        <v>1305</v>
      </c>
      <c r="H2485" t="s">
        <v>452</v>
      </c>
      <c r="I2485" s="156">
        <v>41396</v>
      </c>
      <c r="K2485" s="153"/>
      <c r="L2485" s="153"/>
      <c r="M2485" s="153"/>
      <c r="N2485" s="153"/>
      <c r="O2485" s="153"/>
      <c r="P2485" s="152"/>
      <c r="Q2485" s="152"/>
      <c r="R2485" s="153"/>
      <c r="S2485" s="154"/>
    </row>
    <row r="2486" spans="1:19">
      <c r="A2486" t="s">
        <v>1230</v>
      </c>
      <c r="B2486" t="s">
        <v>73</v>
      </c>
      <c r="C2486" t="s">
        <v>43</v>
      </c>
      <c r="D2486" t="s">
        <v>802</v>
      </c>
      <c r="E2486" t="s">
        <v>4026</v>
      </c>
      <c r="F2486" s="121">
        <v>379</v>
      </c>
      <c r="G2486" s="121">
        <v>379</v>
      </c>
      <c r="H2486" t="s">
        <v>452</v>
      </c>
      <c r="I2486" s="156">
        <v>41396</v>
      </c>
      <c r="K2486" s="153"/>
      <c r="L2486" s="153"/>
      <c r="M2486" s="153"/>
      <c r="N2486" s="153"/>
      <c r="O2486" s="153"/>
      <c r="P2486" s="152"/>
      <c r="Q2486" s="152"/>
      <c r="R2486" s="153"/>
      <c r="S2486" s="154"/>
    </row>
    <row r="2487" spans="1:19">
      <c r="A2487" t="s">
        <v>1230</v>
      </c>
      <c r="B2487" t="s">
        <v>73</v>
      </c>
      <c r="C2487" t="s">
        <v>43</v>
      </c>
      <c r="D2487" t="s">
        <v>802</v>
      </c>
      <c r="E2487" t="s">
        <v>4027</v>
      </c>
      <c r="F2487" s="121">
        <v>379</v>
      </c>
      <c r="G2487" s="121">
        <v>379</v>
      </c>
      <c r="H2487" t="s">
        <v>452</v>
      </c>
      <c r="I2487" s="156">
        <v>41396</v>
      </c>
      <c r="K2487" s="153"/>
      <c r="L2487" s="153"/>
      <c r="M2487" s="153"/>
      <c r="N2487" s="153"/>
      <c r="O2487" s="153"/>
      <c r="P2487" s="150"/>
      <c r="Q2487" s="150"/>
      <c r="R2487" s="153"/>
      <c r="S2487" s="154"/>
    </row>
    <row r="2488" spans="1:19">
      <c r="A2488" t="s">
        <v>1230</v>
      </c>
      <c r="B2488" t="s">
        <v>73</v>
      </c>
      <c r="C2488" t="s">
        <v>43</v>
      </c>
      <c r="D2488" t="s">
        <v>803</v>
      </c>
      <c r="E2488" t="s">
        <v>4028</v>
      </c>
      <c r="F2488" s="121">
        <v>2789</v>
      </c>
      <c r="G2488" s="121">
        <v>2789</v>
      </c>
      <c r="H2488" t="s">
        <v>452</v>
      </c>
      <c r="I2488" s="156">
        <v>41396</v>
      </c>
      <c r="K2488" s="153"/>
      <c r="L2488" s="153"/>
      <c r="M2488" s="153"/>
      <c r="N2488" s="153"/>
      <c r="O2488" s="153"/>
      <c r="P2488" s="152"/>
      <c r="Q2488" s="152"/>
      <c r="R2488" s="153"/>
      <c r="S2488" s="154"/>
    </row>
    <row r="2489" spans="1:19">
      <c r="A2489" t="s">
        <v>1230</v>
      </c>
      <c r="B2489" t="s">
        <v>72</v>
      </c>
      <c r="C2489" t="s">
        <v>53</v>
      </c>
      <c r="D2489" t="s">
        <v>707</v>
      </c>
      <c r="E2489" t="s">
        <v>4029</v>
      </c>
      <c r="F2489" s="121">
        <v>1123.4100000000001</v>
      </c>
      <c r="G2489" s="121">
        <v>1123.4100000000001</v>
      </c>
      <c r="H2489" t="s">
        <v>804</v>
      </c>
      <c r="I2489" s="156">
        <v>41407</v>
      </c>
      <c r="K2489" s="153"/>
      <c r="L2489" s="153"/>
      <c r="M2489" s="153"/>
      <c r="N2489" s="153"/>
      <c r="O2489" s="153"/>
      <c r="P2489" s="152"/>
      <c r="Q2489" s="152"/>
      <c r="R2489" s="153"/>
      <c r="S2489" s="154"/>
    </row>
    <row r="2490" spans="1:19">
      <c r="A2490" t="s">
        <v>1230</v>
      </c>
      <c r="B2490" t="s">
        <v>72</v>
      </c>
      <c r="C2490" t="s">
        <v>53</v>
      </c>
      <c r="D2490" t="s">
        <v>805</v>
      </c>
      <c r="E2490" t="s">
        <v>4030</v>
      </c>
      <c r="F2490" s="121">
        <v>1842.28</v>
      </c>
      <c r="G2490" s="121">
        <v>1842.28</v>
      </c>
      <c r="H2490" t="s">
        <v>804</v>
      </c>
      <c r="I2490" s="156">
        <v>41407</v>
      </c>
      <c r="K2490" s="153"/>
      <c r="L2490" s="153"/>
      <c r="M2490" s="153"/>
      <c r="N2490" s="153"/>
      <c r="O2490" s="153"/>
      <c r="P2490" s="150"/>
      <c r="Q2490" s="150"/>
      <c r="R2490" s="153"/>
      <c r="S2490" s="154"/>
    </row>
    <row r="2491" spans="1:19">
      <c r="A2491" t="s">
        <v>1230</v>
      </c>
      <c r="B2491" t="s">
        <v>72</v>
      </c>
      <c r="C2491" t="s">
        <v>53</v>
      </c>
      <c r="D2491" t="s">
        <v>806</v>
      </c>
      <c r="E2491" t="s">
        <v>4031</v>
      </c>
      <c r="F2491" s="121">
        <v>7146.8</v>
      </c>
      <c r="G2491" s="121">
        <v>7146.8</v>
      </c>
      <c r="H2491" t="s">
        <v>804</v>
      </c>
      <c r="I2491" s="156">
        <v>41407</v>
      </c>
      <c r="K2491" s="153"/>
      <c r="L2491" s="153"/>
      <c r="M2491" s="153"/>
      <c r="N2491" s="153"/>
      <c r="O2491" s="153"/>
      <c r="P2491" s="150"/>
      <c r="Q2491" s="150"/>
      <c r="R2491" s="153"/>
      <c r="S2491" s="154"/>
    </row>
    <row r="2492" spans="1:19">
      <c r="A2492" t="s">
        <v>1230</v>
      </c>
      <c r="B2492" t="s">
        <v>72</v>
      </c>
      <c r="C2492" t="s">
        <v>53</v>
      </c>
      <c r="D2492" t="s">
        <v>807</v>
      </c>
      <c r="E2492" t="s">
        <v>4032</v>
      </c>
      <c r="F2492" s="121">
        <v>599.83000000000004</v>
      </c>
      <c r="G2492" s="121">
        <v>599.83000000000004</v>
      </c>
      <c r="H2492" t="s">
        <v>804</v>
      </c>
      <c r="I2492" s="156">
        <v>41407</v>
      </c>
      <c r="K2492" s="153"/>
      <c r="L2492" s="153"/>
      <c r="M2492" s="153"/>
      <c r="N2492" s="153"/>
      <c r="O2492" s="153"/>
      <c r="P2492" s="152"/>
      <c r="Q2492" s="152"/>
      <c r="R2492" s="153"/>
      <c r="S2492" s="154"/>
    </row>
    <row r="2493" spans="1:19">
      <c r="A2493" t="s">
        <v>1230</v>
      </c>
      <c r="B2493" t="s">
        <v>72</v>
      </c>
      <c r="C2493" t="s">
        <v>53</v>
      </c>
      <c r="D2493" t="s">
        <v>808</v>
      </c>
      <c r="E2493" t="s">
        <v>4033</v>
      </c>
      <c r="F2493" s="121">
        <v>71.92</v>
      </c>
      <c r="G2493" s="121">
        <v>71.92</v>
      </c>
      <c r="H2493" t="s">
        <v>804</v>
      </c>
      <c r="I2493" s="156">
        <v>41407</v>
      </c>
      <c r="K2493" s="153"/>
      <c r="L2493" s="153"/>
      <c r="M2493" s="153"/>
      <c r="N2493" s="153"/>
      <c r="O2493" s="153"/>
      <c r="P2493" s="150"/>
      <c r="Q2493" s="150"/>
      <c r="R2493" s="153"/>
      <c r="S2493" s="154"/>
    </row>
    <row r="2494" spans="1:19">
      <c r="A2494" t="s">
        <v>1230</v>
      </c>
      <c r="B2494" t="s">
        <v>72</v>
      </c>
      <c r="C2494" t="s">
        <v>53</v>
      </c>
      <c r="D2494" t="s">
        <v>808</v>
      </c>
      <c r="E2494" t="s">
        <v>4034</v>
      </c>
      <c r="F2494" s="121">
        <v>71.92</v>
      </c>
      <c r="G2494" s="121">
        <v>71.92</v>
      </c>
      <c r="H2494" t="s">
        <v>804</v>
      </c>
      <c r="I2494" s="156">
        <v>41407</v>
      </c>
      <c r="K2494" s="153"/>
      <c r="L2494" s="153"/>
      <c r="M2494" s="153"/>
      <c r="N2494" s="153"/>
      <c r="O2494" s="153"/>
      <c r="P2494" s="150"/>
      <c r="Q2494" s="150"/>
      <c r="R2494" s="153"/>
      <c r="S2494" s="154"/>
    </row>
    <row r="2495" spans="1:19">
      <c r="A2495" t="s">
        <v>1230</v>
      </c>
      <c r="B2495" t="s">
        <v>72</v>
      </c>
      <c r="C2495" t="s">
        <v>53</v>
      </c>
      <c r="D2495" t="s">
        <v>808</v>
      </c>
      <c r="E2495" t="s">
        <v>4035</v>
      </c>
      <c r="F2495" s="121">
        <v>71.92</v>
      </c>
      <c r="G2495" s="121">
        <v>71.92</v>
      </c>
      <c r="H2495" t="s">
        <v>804</v>
      </c>
      <c r="I2495" s="156">
        <v>41407</v>
      </c>
      <c r="K2495" s="153"/>
      <c r="L2495" s="153"/>
      <c r="M2495" s="153"/>
      <c r="N2495" s="153"/>
      <c r="O2495" s="153"/>
      <c r="P2495" s="150"/>
      <c r="Q2495" s="150"/>
      <c r="R2495" s="153"/>
      <c r="S2495" s="154"/>
    </row>
    <row r="2496" spans="1:19">
      <c r="A2496" t="s">
        <v>1230</v>
      </c>
      <c r="B2496" t="s">
        <v>72</v>
      </c>
      <c r="C2496" t="s">
        <v>53</v>
      </c>
      <c r="D2496" t="s">
        <v>808</v>
      </c>
      <c r="E2496" t="s">
        <v>4036</v>
      </c>
      <c r="F2496" s="121">
        <v>71.92</v>
      </c>
      <c r="G2496" s="121">
        <v>71.92</v>
      </c>
      <c r="H2496" t="s">
        <v>804</v>
      </c>
      <c r="I2496" s="156">
        <v>41407</v>
      </c>
      <c r="K2496" s="153"/>
      <c r="L2496" s="153"/>
      <c r="M2496" s="153"/>
      <c r="N2496" s="153"/>
      <c r="O2496" s="153"/>
      <c r="P2496" s="150"/>
      <c r="Q2496" s="150"/>
      <c r="R2496" s="153"/>
      <c r="S2496" s="154"/>
    </row>
    <row r="2497" spans="1:19">
      <c r="A2497" t="s">
        <v>1230</v>
      </c>
      <c r="B2497" t="s">
        <v>72</v>
      </c>
      <c r="C2497" t="s">
        <v>55</v>
      </c>
      <c r="D2497" t="s">
        <v>809</v>
      </c>
      <c r="E2497" t="s">
        <v>4037</v>
      </c>
      <c r="F2497" s="121">
        <v>1618</v>
      </c>
      <c r="G2497" s="121">
        <v>1618</v>
      </c>
      <c r="H2497" t="s">
        <v>336</v>
      </c>
      <c r="I2497" s="156">
        <v>41421</v>
      </c>
      <c r="K2497" s="153"/>
      <c r="L2497" s="153"/>
      <c r="M2497" s="153"/>
      <c r="N2497" s="153"/>
      <c r="O2497" s="153"/>
      <c r="P2497" s="150"/>
      <c r="Q2497" s="150"/>
      <c r="R2497" s="153"/>
      <c r="S2497" s="154"/>
    </row>
    <row r="2498" spans="1:19">
      <c r="A2498" t="s">
        <v>1230</v>
      </c>
      <c r="B2498" t="s">
        <v>73</v>
      </c>
      <c r="C2498" t="s">
        <v>43</v>
      </c>
      <c r="D2498" t="s">
        <v>718</v>
      </c>
      <c r="E2498" t="s">
        <v>4038</v>
      </c>
      <c r="F2498" s="121">
        <v>1344</v>
      </c>
      <c r="G2498" s="121">
        <v>1344</v>
      </c>
      <c r="H2498" t="s">
        <v>810</v>
      </c>
      <c r="I2498" s="156">
        <v>41421</v>
      </c>
      <c r="K2498" s="153"/>
      <c r="L2498" s="153"/>
      <c r="M2498" s="153"/>
      <c r="N2498" s="153"/>
      <c r="O2498" s="153"/>
      <c r="P2498" s="150"/>
      <c r="Q2498" s="150"/>
      <c r="R2498" s="153"/>
      <c r="S2498" s="154"/>
    </row>
    <row r="2499" spans="1:19">
      <c r="A2499" t="s">
        <v>1230</v>
      </c>
      <c r="B2499" t="s">
        <v>73</v>
      </c>
      <c r="C2499" t="s">
        <v>43</v>
      </c>
      <c r="D2499" t="s">
        <v>718</v>
      </c>
      <c r="E2499" t="s">
        <v>4039</v>
      </c>
      <c r="F2499" s="121">
        <v>1344</v>
      </c>
      <c r="G2499" s="121">
        <v>1344</v>
      </c>
      <c r="H2499" t="s">
        <v>415</v>
      </c>
      <c r="I2499" s="156">
        <v>41421</v>
      </c>
      <c r="K2499" s="153"/>
      <c r="L2499" s="153"/>
      <c r="M2499" s="153"/>
      <c r="N2499" s="153"/>
      <c r="O2499" s="153"/>
      <c r="P2499" s="150"/>
      <c r="Q2499" s="150"/>
      <c r="R2499" s="153"/>
      <c r="S2499" s="154"/>
    </row>
    <row r="2500" spans="1:19">
      <c r="A2500" t="s">
        <v>1230</v>
      </c>
      <c r="B2500" t="s">
        <v>73</v>
      </c>
      <c r="C2500" t="s">
        <v>43</v>
      </c>
      <c r="D2500" t="s">
        <v>811</v>
      </c>
      <c r="E2500" t="s">
        <v>4040</v>
      </c>
      <c r="F2500" s="121">
        <v>379</v>
      </c>
      <c r="G2500" s="121">
        <v>379</v>
      </c>
      <c r="H2500" t="s">
        <v>415</v>
      </c>
      <c r="I2500" s="156">
        <v>41421</v>
      </c>
      <c r="K2500" s="153"/>
      <c r="L2500" s="153"/>
      <c r="M2500" s="153"/>
      <c r="N2500" s="153"/>
      <c r="O2500" s="153"/>
      <c r="P2500" s="150"/>
      <c r="Q2500" s="150"/>
      <c r="R2500" s="153"/>
      <c r="S2500" s="154"/>
    </row>
    <row r="2501" spans="1:19">
      <c r="A2501" t="s">
        <v>1230</v>
      </c>
      <c r="B2501" t="s">
        <v>73</v>
      </c>
      <c r="C2501" t="s">
        <v>43</v>
      </c>
      <c r="D2501" t="s">
        <v>811</v>
      </c>
      <c r="E2501" t="s">
        <v>4041</v>
      </c>
      <c r="F2501" s="121">
        <v>379</v>
      </c>
      <c r="G2501" s="121">
        <v>379</v>
      </c>
      <c r="H2501" t="s">
        <v>415</v>
      </c>
      <c r="I2501" s="156">
        <v>41421</v>
      </c>
      <c r="K2501" s="153"/>
      <c r="L2501" s="153"/>
      <c r="M2501" s="153"/>
      <c r="N2501" s="153"/>
      <c r="O2501" s="153"/>
      <c r="P2501" s="150"/>
      <c r="Q2501" s="150"/>
      <c r="R2501" s="153"/>
      <c r="S2501" s="154"/>
    </row>
    <row r="2502" spans="1:19">
      <c r="A2502" t="s">
        <v>1230</v>
      </c>
      <c r="B2502" t="s">
        <v>72</v>
      </c>
      <c r="C2502" t="s">
        <v>43</v>
      </c>
      <c r="D2502" t="s">
        <v>812</v>
      </c>
      <c r="E2502" t="s">
        <v>4042</v>
      </c>
      <c r="F2502" s="121">
        <v>450</v>
      </c>
      <c r="G2502" s="121">
        <v>450</v>
      </c>
      <c r="H2502" t="s">
        <v>336</v>
      </c>
      <c r="I2502" s="156">
        <v>41421</v>
      </c>
      <c r="K2502" s="153"/>
      <c r="L2502" s="153"/>
      <c r="M2502" s="153"/>
      <c r="N2502" s="153"/>
      <c r="O2502" s="153"/>
      <c r="P2502" s="150"/>
      <c r="Q2502" s="150"/>
      <c r="R2502" s="153"/>
      <c r="S2502" s="154"/>
    </row>
    <row r="2503" spans="1:19">
      <c r="A2503" t="s">
        <v>1230</v>
      </c>
      <c r="B2503" t="s">
        <v>72</v>
      </c>
      <c r="C2503" t="s">
        <v>43</v>
      </c>
      <c r="D2503" t="s">
        <v>812</v>
      </c>
      <c r="E2503" t="s">
        <v>4043</v>
      </c>
      <c r="F2503" s="121">
        <v>450</v>
      </c>
      <c r="G2503" s="121">
        <v>450</v>
      </c>
      <c r="H2503" t="s">
        <v>336</v>
      </c>
      <c r="I2503" s="156">
        <v>41421</v>
      </c>
      <c r="K2503" s="153"/>
      <c r="L2503" s="153"/>
      <c r="M2503" s="153"/>
      <c r="N2503" s="153"/>
      <c r="O2503" s="153"/>
      <c r="P2503" s="150"/>
      <c r="Q2503" s="150"/>
      <c r="R2503" s="153"/>
      <c r="S2503" s="154"/>
    </row>
    <row r="2504" spans="1:19">
      <c r="A2504" t="s">
        <v>1230</v>
      </c>
      <c r="B2504" t="s">
        <v>72</v>
      </c>
      <c r="C2504" t="s">
        <v>43</v>
      </c>
      <c r="D2504" t="s">
        <v>812</v>
      </c>
      <c r="E2504" t="s">
        <v>4044</v>
      </c>
      <c r="F2504" s="121">
        <v>450</v>
      </c>
      <c r="G2504" s="121">
        <v>450</v>
      </c>
      <c r="H2504" t="s">
        <v>336</v>
      </c>
      <c r="I2504" s="156">
        <v>41421</v>
      </c>
      <c r="K2504" s="153"/>
      <c r="L2504" s="153"/>
      <c r="M2504" s="153"/>
      <c r="N2504" s="153"/>
      <c r="O2504" s="153"/>
      <c r="P2504" s="150"/>
      <c r="Q2504" s="150"/>
      <c r="R2504" s="153"/>
      <c r="S2504" s="154"/>
    </row>
    <row r="2505" spans="1:19">
      <c r="A2505" t="s">
        <v>1230</v>
      </c>
      <c r="B2505" t="s">
        <v>72</v>
      </c>
      <c r="C2505" t="s">
        <v>43</v>
      </c>
      <c r="D2505" t="s">
        <v>812</v>
      </c>
      <c r="E2505" t="s">
        <v>4045</v>
      </c>
      <c r="F2505" s="121">
        <v>450</v>
      </c>
      <c r="G2505" s="121">
        <v>450</v>
      </c>
      <c r="H2505" t="s">
        <v>336</v>
      </c>
      <c r="I2505" s="156">
        <v>41421</v>
      </c>
      <c r="K2505" s="153"/>
      <c r="L2505" s="153"/>
      <c r="M2505" s="153"/>
      <c r="N2505" s="153"/>
      <c r="O2505" s="153"/>
      <c r="P2505" s="150"/>
      <c r="Q2505" s="150"/>
      <c r="R2505" s="153"/>
      <c r="S2505" s="154"/>
    </row>
    <row r="2506" spans="1:19">
      <c r="A2506" t="s">
        <v>1230</v>
      </c>
      <c r="B2506" t="s">
        <v>72</v>
      </c>
      <c r="C2506" t="s">
        <v>43</v>
      </c>
      <c r="D2506" t="s">
        <v>812</v>
      </c>
      <c r="E2506" t="s">
        <v>4046</v>
      </c>
      <c r="F2506" s="121">
        <v>450</v>
      </c>
      <c r="G2506" s="121">
        <v>450</v>
      </c>
      <c r="H2506" t="s">
        <v>336</v>
      </c>
      <c r="I2506" s="156">
        <v>41421</v>
      </c>
      <c r="K2506" s="153"/>
      <c r="L2506" s="153"/>
      <c r="M2506" s="153"/>
      <c r="N2506" s="153"/>
      <c r="O2506" s="153"/>
      <c r="P2506" s="150"/>
      <c r="Q2506" s="150"/>
      <c r="R2506" s="153"/>
      <c r="S2506" s="154"/>
    </row>
    <row r="2507" spans="1:19">
      <c r="A2507" t="s">
        <v>1230</v>
      </c>
      <c r="B2507" t="s">
        <v>72</v>
      </c>
      <c r="C2507" t="s">
        <v>43</v>
      </c>
      <c r="D2507" t="s">
        <v>812</v>
      </c>
      <c r="E2507" t="s">
        <v>4047</v>
      </c>
      <c r="F2507" s="121">
        <v>450</v>
      </c>
      <c r="G2507" s="121">
        <v>450</v>
      </c>
      <c r="H2507" t="s">
        <v>336</v>
      </c>
      <c r="I2507" s="156">
        <v>41421</v>
      </c>
      <c r="K2507" s="153"/>
      <c r="L2507" s="153"/>
      <c r="M2507" s="153"/>
      <c r="N2507" s="153"/>
      <c r="O2507" s="153"/>
      <c r="P2507" s="150"/>
      <c r="Q2507" s="150"/>
      <c r="R2507" s="153"/>
      <c r="S2507" s="154"/>
    </row>
    <row r="2508" spans="1:19">
      <c r="A2508" t="s">
        <v>1230</v>
      </c>
      <c r="B2508" t="s">
        <v>72</v>
      </c>
      <c r="C2508" t="s">
        <v>43</v>
      </c>
      <c r="D2508" t="s">
        <v>812</v>
      </c>
      <c r="E2508" t="s">
        <v>4048</v>
      </c>
      <c r="F2508" s="121">
        <v>450</v>
      </c>
      <c r="G2508" s="121">
        <v>450</v>
      </c>
      <c r="H2508" t="s">
        <v>336</v>
      </c>
      <c r="I2508" s="156">
        <v>41421</v>
      </c>
      <c r="K2508" s="153"/>
      <c r="L2508" s="153"/>
      <c r="M2508" s="153"/>
      <c r="N2508" s="153"/>
      <c r="O2508" s="153"/>
      <c r="P2508" s="150"/>
      <c r="Q2508" s="150"/>
      <c r="R2508" s="153"/>
      <c r="S2508" s="154"/>
    </row>
    <row r="2509" spans="1:19">
      <c r="A2509" t="s">
        <v>1230</v>
      </c>
      <c r="B2509" t="s">
        <v>72</v>
      </c>
      <c r="C2509" t="s">
        <v>43</v>
      </c>
      <c r="D2509" t="s">
        <v>812</v>
      </c>
      <c r="E2509" t="s">
        <v>4049</v>
      </c>
      <c r="F2509" s="121">
        <v>450</v>
      </c>
      <c r="G2509" s="121">
        <v>450</v>
      </c>
      <c r="H2509" t="s">
        <v>336</v>
      </c>
      <c r="I2509" s="156">
        <v>41421</v>
      </c>
      <c r="K2509" s="153"/>
      <c r="L2509" s="153"/>
      <c r="M2509" s="153"/>
      <c r="N2509" s="153"/>
      <c r="O2509" s="153"/>
      <c r="P2509" s="150"/>
      <c r="Q2509" s="150"/>
      <c r="R2509" s="153"/>
      <c r="S2509" s="154"/>
    </row>
    <row r="2510" spans="1:19">
      <c r="A2510" t="s">
        <v>1230</v>
      </c>
      <c r="B2510" t="s">
        <v>72</v>
      </c>
      <c r="C2510" t="s">
        <v>43</v>
      </c>
      <c r="D2510" t="s">
        <v>812</v>
      </c>
      <c r="E2510" t="s">
        <v>4050</v>
      </c>
      <c r="F2510" s="121">
        <v>450</v>
      </c>
      <c r="G2510" s="121">
        <v>450</v>
      </c>
      <c r="H2510" t="s">
        <v>336</v>
      </c>
      <c r="I2510" s="156">
        <v>41421</v>
      </c>
      <c r="K2510" s="153"/>
      <c r="L2510" s="153"/>
      <c r="M2510" s="153"/>
      <c r="N2510" s="153"/>
      <c r="O2510" s="153"/>
      <c r="P2510" s="150"/>
      <c r="Q2510" s="150"/>
      <c r="R2510" s="153"/>
      <c r="S2510" s="154"/>
    </row>
    <row r="2511" spans="1:19">
      <c r="A2511" t="s">
        <v>1230</v>
      </c>
      <c r="B2511" t="s">
        <v>72</v>
      </c>
      <c r="C2511" t="s">
        <v>43</v>
      </c>
      <c r="D2511" t="s">
        <v>812</v>
      </c>
      <c r="E2511" t="s">
        <v>4051</v>
      </c>
      <c r="F2511" s="121">
        <v>450</v>
      </c>
      <c r="G2511" s="121">
        <v>450</v>
      </c>
      <c r="H2511" t="s">
        <v>336</v>
      </c>
      <c r="I2511" s="156">
        <v>41421</v>
      </c>
      <c r="K2511" s="153"/>
      <c r="L2511" s="153"/>
      <c r="M2511" s="153"/>
      <c r="N2511" s="153"/>
      <c r="O2511" s="153"/>
      <c r="P2511" s="150"/>
      <c r="Q2511" s="150"/>
      <c r="R2511" s="153"/>
      <c r="S2511" s="154"/>
    </row>
    <row r="2512" spans="1:19">
      <c r="A2512" t="s">
        <v>1230</v>
      </c>
      <c r="B2512" t="s">
        <v>72</v>
      </c>
      <c r="C2512" t="s">
        <v>43</v>
      </c>
      <c r="D2512" t="s">
        <v>812</v>
      </c>
      <c r="E2512" t="s">
        <v>4052</v>
      </c>
      <c r="F2512" s="121">
        <v>450</v>
      </c>
      <c r="G2512" s="121">
        <v>450</v>
      </c>
      <c r="H2512" t="s">
        <v>336</v>
      </c>
      <c r="I2512" s="156">
        <v>41421</v>
      </c>
      <c r="K2512" s="153"/>
      <c r="L2512" s="153"/>
      <c r="M2512" s="153"/>
      <c r="N2512" s="153"/>
      <c r="O2512" s="153"/>
      <c r="P2512" s="150"/>
      <c r="Q2512" s="150"/>
      <c r="R2512" s="153"/>
      <c r="S2512" s="154"/>
    </row>
    <row r="2513" spans="1:20">
      <c r="A2513" t="s">
        <v>1230</v>
      </c>
      <c r="B2513" t="s">
        <v>72</v>
      </c>
      <c r="C2513" t="s">
        <v>43</v>
      </c>
      <c r="D2513" t="s">
        <v>812</v>
      </c>
      <c r="E2513" t="s">
        <v>4053</v>
      </c>
      <c r="F2513" s="121">
        <v>450</v>
      </c>
      <c r="G2513" s="121">
        <v>450</v>
      </c>
      <c r="H2513" t="s">
        <v>336</v>
      </c>
      <c r="I2513" s="156">
        <v>41421</v>
      </c>
      <c r="K2513" s="153"/>
      <c r="L2513" s="153"/>
      <c r="M2513" s="153"/>
      <c r="N2513" s="153"/>
      <c r="O2513" s="153"/>
      <c r="P2513" s="152"/>
      <c r="Q2513" s="152"/>
      <c r="R2513" s="153"/>
      <c r="S2513" s="154"/>
    </row>
    <row r="2514" spans="1:20">
      <c r="A2514" t="s">
        <v>1230</v>
      </c>
      <c r="B2514" t="s">
        <v>73</v>
      </c>
      <c r="C2514" t="s">
        <v>43</v>
      </c>
      <c r="D2514" t="s">
        <v>813</v>
      </c>
      <c r="E2514" t="s">
        <v>4054</v>
      </c>
      <c r="F2514" s="121">
        <v>379</v>
      </c>
      <c r="G2514" s="121">
        <v>379</v>
      </c>
      <c r="H2514" t="s">
        <v>415</v>
      </c>
      <c r="I2514" s="156">
        <v>41415</v>
      </c>
      <c r="K2514" s="153"/>
      <c r="L2514" s="153"/>
      <c r="M2514" s="153"/>
      <c r="N2514" s="153"/>
      <c r="O2514" s="153"/>
      <c r="P2514" s="150"/>
      <c r="Q2514" s="150"/>
      <c r="R2514" s="153"/>
      <c r="S2514" s="154"/>
    </row>
    <row r="2515" spans="1:20">
      <c r="A2515" t="s">
        <v>1230</v>
      </c>
      <c r="B2515" t="s">
        <v>72</v>
      </c>
      <c r="C2515" t="s">
        <v>53</v>
      </c>
      <c r="D2515" t="s">
        <v>707</v>
      </c>
      <c r="E2515" t="s">
        <v>4055</v>
      </c>
      <c r="F2515" s="121">
        <v>1399</v>
      </c>
      <c r="G2515" s="121">
        <v>1399</v>
      </c>
      <c r="H2515" t="s">
        <v>804</v>
      </c>
      <c r="I2515" s="156">
        <v>41430</v>
      </c>
      <c r="K2515" s="153"/>
      <c r="L2515" s="153"/>
      <c r="M2515" s="153"/>
      <c r="N2515" s="153"/>
      <c r="O2515" s="153"/>
      <c r="P2515" s="152"/>
      <c r="Q2515" s="152"/>
      <c r="R2515" s="153"/>
      <c r="S2515" s="154"/>
    </row>
    <row r="2516" spans="1:20">
      <c r="A2516" t="s">
        <v>1230</v>
      </c>
      <c r="B2516" t="s">
        <v>72</v>
      </c>
      <c r="C2516" t="s">
        <v>53</v>
      </c>
      <c r="D2516" t="s">
        <v>814</v>
      </c>
      <c r="E2516" t="s">
        <v>4056</v>
      </c>
      <c r="F2516" s="121">
        <v>2490</v>
      </c>
      <c r="G2516" s="121">
        <v>2490</v>
      </c>
      <c r="H2516" t="s">
        <v>804</v>
      </c>
      <c r="I2516" s="156">
        <v>41430</v>
      </c>
      <c r="K2516" s="153"/>
      <c r="L2516" s="153"/>
      <c r="M2516" s="153"/>
      <c r="N2516" s="153"/>
      <c r="O2516" s="153"/>
      <c r="P2516" s="150"/>
      <c r="Q2516" s="150"/>
      <c r="R2516" s="153"/>
      <c r="S2516" s="154"/>
    </row>
    <row r="2517" spans="1:20">
      <c r="A2517" t="s">
        <v>1230</v>
      </c>
      <c r="B2517" t="s">
        <v>72</v>
      </c>
      <c r="C2517" t="s">
        <v>55</v>
      </c>
      <c r="D2517" t="s">
        <v>748</v>
      </c>
      <c r="E2517" t="s">
        <v>4057</v>
      </c>
      <c r="F2517" s="121">
        <v>239</v>
      </c>
      <c r="G2517" s="121">
        <v>239</v>
      </c>
      <c r="H2517" t="s">
        <v>493</v>
      </c>
      <c r="I2517" s="156">
        <v>41430</v>
      </c>
      <c r="K2517" s="153"/>
      <c r="L2517" s="153"/>
      <c r="M2517" s="153"/>
      <c r="N2517" s="153"/>
      <c r="O2517" s="153"/>
      <c r="P2517" s="150"/>
      <c r="Q2517" s="150"/>
      <c r="R2517" s="153"/>
      <c r="S2517" s="154"/>
    </row>
    <row r="2518" spans="1:20">
      <c r="A2518" t="s">
        <v>1230</v>
      </c>
      <c r="B2518" t="s">
        <v>74</v>
      </c>
      <c r="C2518" t="s">
        <v>43</v>
      </c>
      <c r="D2518" t="s">
        <v>815</v>
      </c>
      <c r="E2518" t="s">
        <v>4058</v>
      </c>
      <c r="F2518" s="121">
        <v>999</v>
      </c>
      <c r="G2518" s="121">
        <v>999</v>
      </c>
      <c r="H2518" t="s">
        <v>452</v>
      </c>
      <c r="I2518" s="156">
        <v>41432</v>
      </c>
      <c r="K2518" s="153"/>
      <c r="L2518" s="153"/>
      <c r="M2518" s="153"/>
      <c r="N2518" s="153"/>
      <c r="O2518" s="153"/>
      <c r="P2518" s="150"/>
      <c r="Q2518" s="150"/>
      <c r="R2518" s="153"/>
      <c r="S2518" s="154"/>
    </row>
    <row r="2519" spans="1:20">
      <c r="A2519" t="s">
        <v>1230</v>
      </c>
      <c r="B2519" t="s">
        <v>74</v>
      </c>
      <c r="C2519" t="s">
        <v>43</v>
      </c>
      <c r="D2519" t="s">
        <v>661</v>
      </c>
      <c r="E2519" t="s">
        <v>4059</v>
      </c>
      <c r="F2519" s="121">
        <v>779</v>
      </c>
      <c r="G2519" s="121">
        <v>779</v>
      </c>
      <c r="H2519" t="s">
        <v>396</v>
      </c>
      <c r="I2519" s="156">
        <v>41432</v>
      </c>
      <c r="K2519" s="153"/>
      <c r="L2519" s="153"/>
      <c r="M2519" s="153"/>
      <c r="N2519" s="153"/>
      <c r="O2519" s="153"/>
      <c r="P2519" s="150"/>
      <c r="Q2519" s="150"/>
      <c r="R2519" s="153"/>
      <c r="S2519" s="154"/>
    </row>
    <row r="2520" spans="1:20">
      <c r="A2520" t="s">
        <v>1230</v>
      </c>
      <c r="B2520" t="s">
        <v>74</v>
      </c>
      <c r="C2520" t="s">
        <v>43</v>
      </c>
      <c r="D2520" t="s">
        <v>661</v>
      </c>
      <c r="E2520" t="s">
        <v>4060</v>
      </c>
      <c r="F2520" s="121">
        <v>779</v>
      </c>
      <c r="G2520" s="121">
        <v>779</v>
      </c>
      <c r="H2520" t="s">
        <v>816</v>
      </c>
      <c r="I2520" s="156">
        <v>41432</v>
      </c>
      <c r="K2520" s="153"/>
      <c r="L2520" s="153"/>
      <c r="M2520" s="153"/>
      <c r="N2520" s="153"/>
      <c r="O2520" s="153"/>
      <c r="P2520" s="150"/>
      <c r="Q2520" s="150"/>
      <c r="R2520" s="153"/>
      <c r="S2520" s="154"/>
    </row>
    <row r="2521" spans="1:20">
      <c r="A2521" t="s">
        <v>1230</v>
      </c>
      <c r="B2521" t="s">
        <v>74</v>
      </c>
      <c r="C2521" t="s">
        <v>43</v>
      </c>
      <c r="D2521" t="s">
        <v>718</v>
      </c>
      <c r="E2521" t="s">
        <v>4061</v>
      </c>
      <c r="F2521" s="121">
        <v>1299</v>
      </c>
      <c r="G2521" s="121">
        <v>1299</v>
      </c>
      <c r="H2521" t="s">
        <v>519</v>
      </c>
      <c r="I2521" s="156">
        <v>41432</v>
      </c>
      <c r="K2521" s="153"/>
      <c r="L2521" s="153"/>
      <c r="M2521" s="153"/>
      <c r="N2521" s="153"/>
      <c r="O2521" s="153"/>
      <c r="P2521" s="150"/>
      <c r="Q2521" s="150"/>
      <c r="R2521" s="153"/>
      <c r="S2521" s="154"/>
    </row>
    <row r="2522" spans="1:20">
      <c r="A2522" t="s">
        <v>1230</v>
      </c>
      <c r="B2522" t="s">
        <v>74</v>
      </c>
      <c r="C2522" t="s">
        <v>43</v>
      </c>
      <c r="D2522" t="s">
        <v>802</v>
      </c>
      <c r="E2522" t="s">
        <v>4062</v>
      </c>
      <c r="F2522" s="121">
        <v>425</v>
      </c>
      <c r="G2522" s="121">
        <v>425</v>
      </c>
      <c r="H2522" t="s">
        <v>817</v>
      </c>
      <c r="I2522" s="156">
        <v>41432</v>
      </c>
      <c r="K2522" s="153"/>
      <c r="L2522" s="153"/>
      <c r="M2522" s="153"/>
      <c r="N2522" s="153"/>
      <c r="O2522" s="153"/>
      <c r="P2522" s="150"/>
      <c r="Q2522" s="150"/>
      <c r="R2522" s="153"/>
      <c r="S2522" s="154"/>
    </row>
    <row r="2523" spans="1:20">
      <c r="A2523" t="s">
        <v>1230</v>
      </c>
      <c r="B2523" t="s">
        <v>74</v>
      </c>
      <c r="C2523" t="s">
        <v>43</v>
      </c>
      <c r="D2523" t="s">
        <v>818</v>
      </c>
      <c r="E2523" t="s">
        <v>4063</v>
      </c>
      <c r="F2523" s="121">
        <v>429</v>
      </c>
      <c r="G2523" s="121">
        <v>429</v>
      </c>
      <c r="H2523" t="s">
        <v>819</v>
      </c>
      <c r="I2523" s="156">
        <v>41432</v>
      </c>
      <c r="K2523" s="153"/>
      <c r="L2523" s="153"/>
      <c r="M2523" s="153"/>
      <c r="N2523" s="153"/>
      <c r="O2523" s="153"/>
      <c r="P2523" s="150"/>
      <c r="Q2523" s="150"/>
      <c r="R2523" s="153"/>
      <c r="S2523" s="154"/>
    </row>
    <row r="2524" spans="1:20">
      <c r="A2524" t="s">
        <v>1230</v>
      </c>
      <c r="B2524" t="s">
        <v>71</v>
      </c>
      <c r="C2524" t="s">
        <v>54</v>
      </c>
      <c r="D2524" t="s">
        <v>820</v>
      </c>
      <c r="E2524" t="s">
        <v>4064</v>
      </c>
      <c r="F2524" s="121">
        <v>1100</v>
      </c>
      <c r="G2524" s="121">
        <v>1100</v>
      </c>
      <c r="H2524" t="s">
        <v>519</v>
      </c>
      <c r="I2524" s="156">
        <v>41438</v>
      </c>
      <c r="K2524" s="153"/>
      <c r="L2524" s="153"/>
      <c r="M2524" s="153"/>
      <c r="N2524" s="153"/>
      <c r="O2524" s="153"/>
      <c r="P2524" s="152"/>
      <c r="Q2524" s="152"/>
      <c r="R2524" s="153"/>
      <c r="S2524" s="154"/>
    </row>
    <row r="2525" spans="1:20">
      <c r="A2525" t="s">
        <v>1230</v>
      </c>
      <c r="B2525" t="s">
        <v>72</v>
      </c>
      <c r="C2525" t="s">
        <v>55</v>
      </c>
      <c r="D2525" t="s">
        <v>779</v>
      </c>
      <c r="E2525" t="s">
        <v>4065</v>
      </c>
      <c r="F2525" s="121">
        <v>999</v>
      </c>
      <c r="G2525" s="121">
        <v>999</v>
      </c>
      <c r="H2525" t="s">
        <v>396</v>
      </c>
      <c r="I2525" s="156">
        <v>41438</v>
      </c>
      <c r="K2525" s="153"/>
      <c r="L2525" s="153"/>
      <c r="M2525" s="153"/>
      <c r="N2525" s="153"/>
      <c r="O2525" s="153"/>
      <c r="P2525" s="150"/>
      <c r="Q2525" s="150"/>
      <c r="R2525" s="153"/>
      <c r="S2525" s="154"/>
    </row>
    <row r="2526" spans="1:20">
      <c r="A2526" t="s">
        <v>1230</v>
      </c>
      <c r="B2526" t="s">
        <v>73</v>
      </c>
      <c r="C2526" t="s">
        <v>55</v>
      </c>
      <c r="D2526" t="s">
        <v>821</v>
      </c>
      <c r="E2526" t="s">
        <v>4066</v>
      </c>
      <c r="F2526" s="121">
        <v>735</v>
      </c>
      <c r="G2526" s="121">
        <v>735</v>
      </c>
      <c r="H2526" t="s">
        <v>457</v>
      </c>
      <c r="I2526" s="156">
        <v>41449</v>
      </c>
      <c r="K2526" s="153"/>
      <c r="L2526" s="153"/>
      <c r="M2526" s="153"/>
      <c r="N2526" s="153"/>
      <c r="O2526" s="153"/>
      <c r="P2526" s="150"/>
      <c r="Q2526" s="150"/>
      <c r="R2526" s="153"/>
      <c r="S2526" s="154"/>
      <c r="T2526" s="151"/>
    </row>
    <row r="2527" spans="1:20">
      <c r="A2527" t="s">
        <v>1230</v>
      </c>
      <c r="B2527" t="s">
        <v>73</v>
      </c>
      <c r="C2527" t="s">
        <v>55</v>
      </c>
      <c r="D2527" t="s">
        <v>821</v>
      </c>
      <c r="E2527" t="s">
        <v>4067</v>
      </c>
      <c r="F2527" s="121">
        <v>735</v>
      </c>
      <c r="G2527" s="121">
        <v>735</v>
      </c>
      <c r="H2527" t="s">
        <v>457</v>
      </c>
      <c r="I2527" s="156">
        <v>41449</v>
      </c>
      <c r="K2527" s="153"/>
      <c r="L2527" s="153"/>
      <c r="M2527" s="153"/>
      <c r="N2527" s="153"/>
      <c r="O2527" s="153"/>
      <c r="P2527" s="150"/>
      <c r="Q2527" s="150"/>
      <c r="R2527" s="153"/>
      <c r="S2527" s="154"/>
      <c r="T2527" s="151"/>
    </row>
    <row r="2528" spans="1:20">
      <c r="A2528" t="s">
        <v>1230</v>
      </c>
      <c r="B2528" t="s">
        <v>73</v>
      </c>
      <c r="C2528" t="s">
        <v>55</v>
      </c>
      <c r="D2528" t="s">
        <v>821</v>
      </c>
      <c r="E2528" t="s">
        <v>4068</v>
      </c>
      <c r="F2528" s="121">
        <v>680</v>
      </c>
      <c r="G2528" s="121">
        <v>680</v>
      </c>
      <c r="H2528" t="s">
        <v>457</v>
      </c>
      <c r="I2528" s="156">
        <v>41449</v>
      </c>
      <c r="K2528" s="153"/>
      <c r="L2528" s="153"/>
      <c r="M2528" s="153"/>
      <c r="N2528" s="153"/>
      <c r="O2528" s="153"/>
      <c r="P2528" s="150"/>
      <c r="Q2528" s="150"/>
      <c r="R2528" s="153"/>
      <c r="S2528" s="154"/>
      <c r="T2528" s="151"/>
    </row>
    <row r="2529" spans="1:20">
      <c r="A2529" t="s">
        <v>1230</v>
      </c>
      <c r="B2529" t="s">
        <v>1012</v>
      </c>
      <c r="C2529" t="s">
        <v>55</v>
      </c>
      <c r="D2529" t="s">
        <v>461</v>
      </c>
      <c r="E2529" t="s">
        <v>4069</v>
      </c>
      <c r="F2529" s="121">
        <v>1650</v>
      </c>
      <c r="G2529" s="121">
        <v>1650</v>
      </c>
      <c r="H2529" t="s">
        <v>458</v>
      </c>
      <c r="I2529" s="156">
        <v>41449</v>
      </c>
      <c r="K2529" s="153"/>
      <c r="L2529" s="153"/>
      <c r="M2529" s="153"/>
      <c r="N2529" s="153"/>
      <c r="O2529" s="153"/>
      <c r="P2529" s="150"/>
      <c r="Q2529" s="150"/>
      <c r="R2529" s="153"/>
      <c r="S2529" s="154"/>
      <c r="T2529" s="151"/>
    </row>
    <row r="2530" spans="1:20">
      <c r="A2530" t="s">
        <v>1230</v>
      </c>
      <c r="B2530" t="s">
        <v>73</v>
      </c>
      <c r="C2530" t="s">
        <v>43</v>
      </c>
      <c r="D2530" t="s">
        <v>822</v>
      </c>
      <c r="E2530" t="s">
        <v>4070</v>
      </c>
      <c r="F2530" s="121">
        <v>3499</v>
      </c>
      <c r="G2530" s="121">
        <v>3499</v>
      </c>
      <c r="H2530" t="s">
        <v>823</v>
      </c>
      <c r="I2530" s="156">
        <v>41467</v>
      </c>
      <c r="K2530" s="153"/>
      <c r="L2530" s="153"/>
      <c r="M2530" s="153"/>
      <c r="N2530" s="153"/>
      <c r="O2530" s="153"/>
      <c r="P2530" s="152"/>
      <c r="Q2530" s="152"/>
      <c r="R2530" s="153"/>
      <c r="S2530" s="154"/>
      <c r="T2530" s="151"/>
    </row>
    <row r="2531" spans="1:20">
      <c r="A2531" t="s">
        <v>1230</v>
      </c>
      <c r="B2531" t="s">
        <v>73</v>
      </c>
      <c r="C2531" t="s">
        <v>43</v>
      </c>
      <c r="D2531" t="s">
        <v>822</v>
      </c>
      <c r="E2531" t="s">
        <v>4071</v>
      </c>
      <c r="F2531" s="121">
        <v>3499</v>
      </c>
      <c r="G2531" s="121">
        <v>3499</v>
      </c>
      <c r="H2531" t="s">
        <v>824</v>
      </c>
      <c r="I2531" s="156">
        <v>41467</v>
      </c>
      <c r="K2531" s="153"/>
      <c r="L2531" s="153"/>
      <c r="M2531" s="153"/>
      <c r="N2531" s="153"/>
      <c r="O2531" s="153"/>
      <c r="P2531" s="152"/>
      <c r="Q2531" s="152"/>
      <c r="R2531" s="153"/>
      <c r="S2531" s="154"/>
      <c r="T2531" s="151"/>
    </row>
    <row r="2532" spans="1:20">
      <c r="A2532" t="s">
        <v>1230</v>
      </c>
      <c r="B2532" t="s">
        <v>72</v>
      </c>
      <c r="C2532" t="s">
        <v>51</v>
      </c>
      <c r="D2532" t="s">
        <v>825</v>
      </c>
      <c r="E2532" t="s">
        <v>4072</v>
      </c>
      <c r="F2532" s="121">
        <v>1500</v>
      </c>
      <c r="G2532" s="121">
        <v>1500</v>
      </c>
      <c r="H2532" t="s">
        <v>396</v>
      </c>
      <c r="I2532" s="156">
        <v>41470</v>
      </c>
      <c r="K2532" s="153"/>
      <c r="L2532" s="153"/>
      <c r="M2532" s="153"/>
      <c r="N2532" s="153"/>
      <c r="O2532" s="153"/>
      <c r="P2532" s="152"/>
      <c r="Q2532" s="152"/>
      <c r="R2532" s="153"/>
      <c r="S2532" s="154"/>
      <c r="T2532" s="151"/>
    </row>
    <row r="2533" spans="1:20">
      <c r="A2533" t="s">
        <v>1230</v>
      </c>
      <c r="B2533" t="s">
        <v>72</v>
      </c>
      <c r="C2533" t="s">
        <v>55</v>
      </c>
      <c r="D2533" t="s">
        <v>684</v>
      </c>
      <c r="E2533" t="s">
        <v>4073</v>
      </c>
      <c r="F2533" s="121">
        <v>268.39999999999998</v>
      </c>
      <c r="G2533" s="121">
        <v>268.39999999999998</v>
      </c>
      <c r="H2533" t="s">
        <v>396</v>
      </c>
      <c r="I2533" s="156">
        <v>41470</v>
      </c>
      <c r="K2533" s="153"/>
      <c r="L2533" s="153"/>
      <c r="M2533" s="153"/>
      <c r="N2533" s="153"/>
      <c r="O2533" s="153"/>
      <c r="P2533" s="152"/>
      <c r="Q2533" s="152"/>
      <c r="R2533" s="153"/>
      <c r="S2533" s="154"/>
      <c r="T2533" s="151"/>
    </row>
    <row r="2534" spans="1:20">
      <c r="A2534" t="s">
        <v>1230</v>
      </c>
      <c r="B2534" t="s">
        <v>72</v>
      </c>
      <c r="C2534" t="s">
        <v>43</v>
      </c>
      <c r="D2534" t="s">
        <v>706</v>
      </c>
      <c r="E2534" t="s">
        <v>4074</v>
      </c>
      <c r="F2534" s="121">
        <v>979</v>
      </c>
      <c r="G2534" s="121">
        <v>979</v>
      </c>
      <c r="H2534" t="s">
        <v>396</v>
      </c>
      <c r="I2534" s="156">
        <v>41473</v>
      </c>
      <c r="K2534" s="153"/>
      <c r="L2534" s="153"/>
      <c r="M2534" s="153"/>
      <c r="N2534" s="153"/>
      <c r="O2534" s="153"/>
      <c r="P2534" s="152"/>
      <c r="Q2534" s="152"/>
      <c r="R2534" s="153"/>
      <c r="S2534" s="154"/>
      <c r="T2534" s="151"/>
    </row>
    <row r="2535" spans="1:20">
      <c r="A2535" t="s">
        <v>1230</v>
      </c>
      <c r="B2535" t="s">
        <v>72</v>
      </c>
      <c r="C2535" t="s">
        <v>43</v>
      </c>
      <c r="D2535" t="s">
        <v>661</v>
      </c>
      <c r="E2535" t="s">
        <v>4075</v>
      </c>
      <c r="F2535" s="121">
        <v>779</v>
      </c>
      <c r="G2535" s="121">
        <v>779</v>
      </c>
      <c r="H2535" t="s">
        <v>396</v>
      </c>
      <c r="I2535" s="156">
        <v>41473</v>
      </c>
      <c r="K2535" s="153"/>
      <c r="L2535" s="153"/>
      <c r="M2535" s="153"/>
      <c r="N2535" s="153"/>
      <c r="O2535" s="153"/>
      <c r="P2535" s="152"/>
      <c r="Q2535" s="152"/>
      <c r="R2535" s="153"/>
      <c r="S2535" s="154"/>
      <c r="T2535" s="151"/>
    </row>
    <row r="2536" spans="1:20">
      <c r="A2536" t="s">
        <v>1230</v>
      </c>
      <c r="B2536" t="s">
        <v>72</v>
      </c>
      <c r="C2536" t="s">
        <v>55</v>
      </c>
      <c r="D2536" t="s">
        <v>695</v>
      </c>
      <c r="E2536" t="s">
        <v>4076</v>
      </c>
      <c r="F2536" s="121">
        <v>1950</v>
      </c>
      <c r="G2536" s="121">
        <v>1950</v>
      </c>
      <c r="H2536" t="s">
        <v>533</v>
      </c>
      <c r="I2536" s="156">
        <v>41479</v>
      </c>
      <c r="K2536" s="153"/>
      <c r="L2536" s="153"/>
      <c r="M2536" s="153"/>
      <c r="N2536" s="153"/>
      <c r="O2536" s="153"/>
      <c r="P2536" s="152"/>
      <c r="Q2536" s="152"/>
      <c r="R2536" s="153"/>
      <c r="S2536" s="154"/>
      <c r="T2536" s="151"/>
    </row>
    <row r="2537" spans="1:20">
      <c r="A2537" t="s">
        <v>1230</v>
      </c>
      <c r="B2537" t="s">
        <v>72</v>
      </c>
      <c r="C2537" t="s">
        <v>55</v>
      </c>
      <c r="D2537" t="s">
        <v>826</v>
      </c>
      <c r="E2537" t="s">
        <v>4077</v>
      </c>
      <c r="F2537" s="121">
        <v>1249</v>
      </c>
      <c r="G2537" s="121">
        <v>1249</v>
      </c>
      <c r="H2537" t="s">
        <v>396</v>
      </c>
      <c r="I2537" s="156">
        <v>41477</v>
      </c>
      <c r="K2537" s="153"/>
      <c r="L2537" s="153"/>
      <c r="M2537" s="153"/>
      <c r="N2537" s="153"/>
      <c r="O2537" s="153"/>
      <c r="P2537" s="152"/>
      <c r="Q2537" s="152"/>
      <c r="R2537" s="153"/>
      <c r="S2537" s="154"/>
      <c r="T2537" s="151"/>
    </row>
    <row r="2538" spans="1:20">
      <c r="A2538" t="s">
        <v>1230</v>
      </c>
      <c r="B2538" t="s">
        <v>73</v>
      </c>
      <c r="C2538" t="s">
        <v>43</v>
      </c>
      <c r="D2538" t="s">
        <v>802</v>
      </c>
      <c r="E2538" t="s">
        <v>4078</v>
      </c>
      <c r="F2538" s="121">
        <v>522</v>
      </c>
      <c r="G2538" s="121">
        <v>522</v>
      </c>
      <c r="H2538" t="s">
        <v>457</v>
      </c>
      <c r="I2538" s="156">
        <v>41494</v>
      </c>
      <c r="K2538" s="153"/>
      <c r="L2538" s="153"/>
      <c r="M2538" s="153"/>
      <c r="N2538" s="153"/>
      <c r="O2538" s="153"/>
      <c r="P2538" s="152"/>
      <c r="Q2538" s="152"/>
      <c r="R2538" s="153"/>
      <c r="S2538" s="154"/>
      <c r="T2538" s="151"/>
    </row>
    <row r="2539" spans="1:20">
      <c r="A2539" t="s">
        <v>1230</v>
      </c>
      <c r="B2539" t="s">
        <v>72</v>
      </c>
      <c r="C2539" t="s">
        <v>55</v>
      </c>
      <c r="D2539" t="s">
        <v>827</v>
      </c>
      <c r="E2539" t="s">
        <v>4079</v>
      </c>
      <c r="F2539" s="121">
        <v>1099</v>
      </c>
      <c r="G2539" s="121">
        <v>1099</v>
      </c>
      <c r="H2539" t="s">
        <v>828</v>
      </c>
      <c r="I2539" s="156">
        <v>41494</v>
      </c>
      <c r="K2539" s="153"/>
      <c r="L2539" s="153"/>
      <c r="M2539" s="153"/>
      <c r="N2539" s="153"/>
      <c r="O2539" s="153"/>
      <c r="P2539" s="150"/>
      <c r="Q2539" s="150"/>
      <c r="R2539" s="153"/>
      <c r="S2539" s="154"/>
      <c r="T2539" s="151"/>
    </row>
    <row r="2540" spans="1:20">
      <c r="A2540" t="s">
        <v>1230</v>
      </c>
      <c r="B2540" t="s">
        <v>72</v>
      </c>
      <c r="C2540" t="s">
        <v>43</v>
      </c>
      <c r="D2540" t="s">
        <v>802</v>
      </c>
      <c r="E2540" t="s">
        <v>4080</v>
      </c>
      <c r="F2540" s="121">
        <v>420.16</v>
      </c>
      <c r="G2540" s="121">
        <v>420.16</v>
      </c>
      <c r="H2540" t="s">
        <v>396</v>
      </c>
      <c r="I2540" s="156">
        <v>41499</v>
      </c>
      <c r="K2540" s="153"/>
      <c r="L2540" s="153"/>
      <c r="M2540" s="153"/>
      <c r="N2540" s="153"/>
      <c r="O2540" s="153"/>
      <c r="P2540" s="150"/>
      <c r="Q2540" s="150"/>
      <c r="R2540" s="153"/>
      <c r="S2540" s="154"/>
      <c r="T2540" s="151"/>
    </row>
    <row r="2541" spans="1:20">
      <c r="A2541" t="s">
        <v>1230</v>
      </c>
      <c r="B2541" t="s">
        <v>72</v>
      </c>
      <c r="C2541" t="s">
        <v>43</v>
      </c>
      <c r="D2541" t="s">
        <v>802</v>
      </c>
      <c r="E2541" t="s">
        <v>4081</v>
      </c>
      <c r="F2541" s="121">
        <v>420.16</v>
      </c>
      <c r="G2541" s="121">
        <v>420.16</v>
      </c>
      <c r="H2541" t="s">
        <v>396</v>
      </c>
      <c r="I2541" s="156">
        <v>41499</v>
      </c>
      <c r="K2541" s="153"/>
      <c r="L2541" s="153"/>
      <c r="M2541" s="153"/>
      <c r="N2541" s="153"/>
      <c r="O2541" s="153"/>
      <c r="P2541" s="150"/>
      <c r="Q2541" s="150"/>
      <c r="R2541" s="153"/>
      <c r="S2541" s="154"/>
      <c r="T2541" s="151"/>
    </row>
    <row r="2542" spans="1:20">
      <c r="A2542" t="s">
        <v>1230</v>
      </c>
      <c r="B2542" t="s">
        <v>72</v>
      </c>
      <c r="C2542" t="s">
        <v>43</v>
      </c>
      <c r="D2542" t="s">
        <v>829</v>
      </c>
      <c r="E2542" t="s">
        <v>4082</v>
      </c>
      <c r="F2542" s="121">
        <v>1279.8399999999999</v>
      </c>
      <c r="G2542" s="121">
        <v>1279.8399999999999</v>
      </c>
      <c r="H2542" t="s">
        <v>396</v>
      </c>
      <c r="I2542" s="156">
        <v>41499</v>
      </c>
      <c r="K2542" s="153"/>
      <c r="L2542" s="153"/>
      <c r="M2542" s="153"/>
      <c r="N2542" s="153"/>
      <c r="O2542" s="153"/>
      <c r="P2542" s="150"/>
      <c r="Q2542" s="150"/>
      <c r="R2542" s="153"/>
      <c r="S2542" s="154"/>
      <c r="T2542" s="151"/>
    </row>
    <row r="2543" spans="1:20">
      <c r="A2543" t="s">
        <v>1230</v>
      </c>
      <c r="B2543" t="s">
        <v>72</v>
      </c>
      <c r="C2543" t="s">
        <v>43</v>
      </c>
      <c r="D2543" t="s">
        <v>829</v>
      </c>
      <c r="E2543" t="s">
        <v>4083</v>
      </c>
      <c r="F2543" s="121">
        <v>1279.8399999999999</v>
      </c>
      <c r="G2543" s="121">
        <v>1279.8399999999999</v>
      </c>
      <c r="H2543" t="s">
        <v>396</v>
      </c>
      <c r="I2543" s="156">
        <v>41499</v>
      </c>
      <c r="K2543" s="153"/>
      <c r="L2543" s="153"/>
      <c r="M2543" s="153"/>
      <c r="N2543" s="153"/>
      <c r="O2543" s="153"/>
      <c r="P2543" s="150"/>
      <c r="Q2543" s="150"/>
      <c r="R2543" s="153"/>
      <c r="S2543" s="154"/>
      <c r="T2543" s="151"/>
    </row>
    <row r="2544" spans="1:20">
      <c r="A2544" t="s">
        <v>1230</v>
      </c>
      <c r="B2544" t="s">
        <v>72</v>
      </c>
      <c r="C2544" t="s">
        <v>55</v>
      </c>
      <c r="D2544" t="s">
        <v>796</v>
      </c>
      <c r="E2544" t="s">
        <v>4084</v>
      </c>
      <c r="F2544" s="121">
        <v>420</v>
      </c>
      <c r="G2544" s="121">
        <v>420</v>
      </c>
      <c r="H2544" t="s">
        <v>830</v>
      </c>
      <c r="I2544" s="156">
        <v>41499</v>
      </c>
      <c r="K2544" s="153"/>
      <c r="L2544" s="153"/>
      <c r="M2544" s="153"/>
      <c r="N2544" s="153"/>
      <c r="O2544" s="153"/>
      <c r="P2544" s="152"/>
      <c r="Q2544" s="152"/>
      <c r="R2544" s="153"/>
      <c r="S2544" s="154"/>
      <c r="T2544" s="151"/>
    </row>
    <row r="2545" spans="1:20">
      <c r="A2545" t="s">
        <v>1230</v>
      </c>
      <c r="B2545" t="s">
        <v>72</v>
      </c>
      <c r="C2545" t="s">
        <v>43</v>
      </c>
      <c r="D2545" t="s">
        <v>829</v>
      </c>
      <c r="E2545" t="s">
        <v>4085</v>
      </c>
      <c r="F2545" s="121">
        <v>1287</v>
      </c>
      <c r="G2545" s="121">
        <v>1287</v>
      </c>
      <c r="H2545" t="s">
        <v>396</v>
      </c>
      <c r="I2545" s="156">
        <v>41500</v>
      </c>
      <c r="K2545" s="153"/>
      <c r="L2545" s="153"/>
      <c r="M2545" s="153"/>
      <c r="N2545" s="153"/>
      <c r="O2545" s="153"/>
      <c r="P2545" s="152"/>
      <c r="Q2545" s="152"/>
      <c r="R2545" s="153"/>
      <c r="S2545" s="154"/>
      <c r="T2545" s="151"/>
    </row>
    <row r="2546" spans="1:20">
      <c r="A2546" t="s">
        <v>1230</v>
      </c>
      <c r="B2546" t="s">
        <v>72</v>
      </c>
      <c r="C2546" t="s">
        <v>43</v>
      </c>
      <c r="D2546" t="s">
        <v>829</v>
      </c>
      <c r="E2546" t="s">
        <v>4086</v>
      </c>
      <c r="F2546" s="121">
        <v>1287</v>
      </c>
      <c r="G2546" s="121">
        <v>1287</v>
      </c>
      <c r="H2546" t="s">
        <v>396</v>
      </c>
      <c r="I2546" s="156">
        <v>41500</v>
      </c>
      <c r="K2546" s="153"/>
      <c r="L2546" s="153"/>
      <c r="M2546" s="153"/>
      <c r="N2546" s="153"/>
      <c r="O2546" s="153"/>
      <c r="P2546" s="152"/>
      <c r="Q2546" s="152"/>
      <c r="R2546" s="153"/>
      <c r="S2546" s="154"/>
      <c r="T2546" s="151"/>
    </row>
    <row r="2547" spans="1:20">
      <c r="A2547" t="s">
        <v>1230</v>
      </c>
      <c r="B2547" t="s">
        <v>72</v>
      </c>
      <c r="C2547" t="s">
        <v>43</v>
      </c>
      <c r="D2547" t="s">
        <v>802</v>
      </c>
      <c r="E2547" t="s">
        <v>4087</v>
      </c>
      <c r="F2547" s="121">
        <v>449</v>
      </c>
      <c r="G2547" s="121">
        <v>449</v>
      </c>
      <c r="H2547" t="s">
        <v>396</v>
      </c>
      <c r="I2547" s="156">
        <v>41500</v>
      </c>
      <c r="K2547" s="153"/>
      <c r="L2547" s="153"/>
      <c r="M2547" s="153"/>
      <c r="N2547" s="153"/>
      <c r="O2547" s="153"/>
      <c r="P2547" s="152"/>
      <c r="Q2547" s="152"/>
      <c r="R2547" s="153"/>
      <c r="S2547" s="154"/>
      <c r="T2547" s="151"/>
    </row>
    <row r="2548" spans="1:20">
      <c r="A2548" t="s">
        <v>1230</v>
      </c>
      <c r="B2548" t="s">
        <v>72</v>
      </c>
      <c r="C2548" t="s">
        <v>43</v>
      </c>
      <c r="D2548" t="s">
        <v>802</v>
      </c>
      <c r="E2548" t="s">
        <v>4088</v>
      </c>
      <c r="F2548" s="121">
        <v>449</v>
      </c>
      <c r="G2548" s="121">
        <v>449</v>
      </c>
      <c r="H2548" t="s">
        <v>396</v>
      </c>
      <c r="I2548" s="156">
        <v>41500</v>
      </c>
      <c r="K2548" s="153"/>
      <c r="L2548" s="153"/>
      <c r="M2548" s="153"/>
      <c r="N2548" s="153"/>
      <c r="O2548" s="153"/>
      <c r="P2548" s="152"/>
      <c r="Q2548" s="152"/>
      <c r="R2548" s="153"/>
      <c r="S2548" s="154"/>
      <c r="T2548" s="115"/>
    </row>
    <row r="2549" spans="1:20">
      <c r="A2549" t="s">
        <v>1230</v>
      </c>
      <c r="B2549" t="s">
        <v>72</v>
      </c>
      <c r="C2549" t="s">
        <v>55</v>
      </c>
      <c r="D2549" t="s">
        <v>831</v>
      </c>
      <c r="E2549" t="s">
        <v>4089</v>
      </c>
      <c r="F2549" s="121">
        <v>1280</v>
      </c>
      <c r="G2549" s="121">
        <v>1280</v>
      </c>
      <c r="H2549" t="s">
        <v>832</v>
      </c>
      <c r="I2549" s="156">
        <v>41501</v>
      </c>
      <c r="K2549" s="153"/>
      <c r="L2549" s="153"/>
      <c r="M2549" s="153"/>
      <c r="N2549" s="153"/>
      <c r="O2549" s="153"/>
      <c r="P2549" s="150"/>
      <c r="Q2549" s="150"/>
      <c r="R2549" s="153"/>
      <c r="S2549" s="154"/>
      <c r="T2549" s="115"/>
    </row>
    <row r="2550" spans="1:20">
      <c r="A2550" t="s">
        <v>1230</v>
      </c>
      <c r="B2550" t="s">
        <v>73</v>
      </c>
      <c r="C2550" t="s">
        <v>43</v>
      </c>
      <c r="D2550" t="s">
        <v>833</v>
      </c>
      <c r="E2550" t="s">
        <v>4090</v>
      </c>
      <c r="F2550" s="121">
        <v>808.72</v>
      </c>
      <c r="G2550" s="121">
        <v>808.72</v>
      </c>
      <c r="H2550" t="s">
        <v>396</v>
      </c>
      <c r="I2550" s="156">
        <v>41505</v>
      </c>
      <c r="K2550" s="153"/>
      <c r="L2550" s="153"/>
      <c r="M2550" s="153"/>
      <c r="N2550" s="153"/>
      <c r="O2550" s="153"/>
      <c r="P2550" s="152"/>
      <c r="Q2550" s="152"/>
      <c r="R2550" s="153"/>
      <c r="S2550" s="154"/>
      <c r="T2550" s="115"/>
    </row>
    <row r="2551" spans="1:20">
      <c r="A2551" t="s">
        <v>1230</v>
      </c>
      <c r="B2551" t="s">
        <v>76</v>
      </c>
      <c r="C2551" t="s">
        <v>55</v>
      </c>
      <c r="D2551" t="s">
        <v>905</v>
      </c>
      <c r="E2551" t="s">
        <v>4091</v>
      </c>
      <c r="F2551" s="121">
        <v>399</v>
      </c>
      <c r="G2551" s="121">
        <v>399</v>
      </c>
      <c r="H2551" t="s">
        <v>875</v>
      </c>
      <c r="I2551" s="156">
        <v>41535</v>
      </c>
      <c r="K2551" s="153"/>
      <c r="L2551" s="153"/>
      <c r="M2551" s="153"/>
      <c r="N2551" s="153"/>
      <c r="O2551" s="153"/>
      <c r="P2551" s="152"/>
      <c r="Q2551" s="152"/>
      <c r="R2551" s="153"/>
      <c r="S2551" s="154"/>
      <c r="T2551" s="115"/>
    </row>
    <row r="2552" spans="1:20">
      <c r="A2552" t="s">
        <v>1230</v>
      </c>
      <c r="B2552" t="s">
        <v>76</v>
      </c>
      <c r="C2552" t="s">
        <v>55</v>
      </c>
      <c r="D2552" t="s">
        <v>906</v>
      </c>
      <c r="E2552" t="s">
        <v>4092</v>
      </c>
      <c r="F2552" s="121">
        <v>1099</v>
      </c>
      <c r="G2552" s="121">
        <v>1099</v>
      </c>
      <c r="H2552" t="s">
        <v>875</v>
      </c>
      <c r="I2552" s="156">
        <v>41535</v>
      </c>
      <c r="K2552" s="153"/>
      <c r="L2552" s="153"/>
      <c r="M2552" s="153"/>
      <c r="N2552" s="153"/>
      <c r="O2552" s="153"/>
      <c r="P2552" s="152"/>
      <c r="Q2552" s="152"/>
      <c r="R2552" s="153"/>
      <c r="S2552" s="154"/>
      <c r="T2552" s="115"/>
    </row>
    <row r="2553" spans="1:20">
      <c r="A2553" t="s">
        <v>1230</v>
      </c>
      <c r="B2553" t="s">
        <v>76</v>
      </c>
      <c r="C2553" t="s">
        <v>55</v>
      </c>
      <c r="D2553" t="s">
        <v>906</v>
      </c>
      <c r="E2553" t="s">
        <v>4093</v>
      </c>
      <c r="F2553" s="121">
        <v>1099</v>
      </c>
      <c r="G2553" s="121">
        <v>1099</v>
      </c>
      <c r="H2553" t="s">
        <v>875</v>
      </c>
      <c r="I2553" s="156">
        <v>41535</v>
      </c>
      <c r="K2553" s="153"/>
      <c r="L2553" s="153"/>
      <c r="M2553" s="153"/>
      <c r="N2553" s="153"/>
      <c r="O2553" s="153"/>
      <c r="P2553" s="150"/>
      <c r="Q2553" s="150"/>
      <c r="R2553" s="153"/>
      <c r="S2553" s="154"/>
      <c r="T2553" s="115"/>
    </row>
    <row r="2554" spans="1:20">
      <c r="A2554" t="s">
        <v>1230</v>
      </c>
      <c r="B2554" t="s">
        <v>73</v>
      </c>
      <c r="C2554" t="s">
        <v>55</v>
      </c>
      <c r="D2554" t="s">
        <v>687</v>
      </c>
      <c r="E2554" t="s">
        <v>4094</v>
      </c>
      <c r="F2554" s="121">
        <v>125</v>
      </c>
      <c r="G2554" s="121">
        <v>125</v>
      </c>
      <c r="H2554" t="s">
        <v>442</v>
      </c>
      <c r="I2554" s="156">
        <v>41541</v>
      </c>
      <c r="K2554" s="153"/>
      <c r="L2554" s="153"/>
      <c r="M2554" s="153"/>
      <c r="N2554" s="153"/>
      <c r="O2554" s="153"/>
      <c r="P2554" s="150"/>
      <c r="Q2554" s="150"/>
      <c r="R2554" s="153"/>
      <c r="S2554" s="154"/>
      <c r="T2554" s="115"/>
    </row>
    <row r="2555" spans="1:20">
      <c r="A2555" t="s">
        <v>1230</v>
      </c>
      <c r="B2555" t="s">
        <v>72</v>
      </c>
      <c r="C2555" t="s">
        <v>55</v>
      </c>
      <c r="D2555" t="s">
        <v>540</v>
      </c>
      <c r="E2555" t="s">
        <v>4095</v>
      </c>
      <c r="F2555" s="121">
        <v>210</v>
      </c>
      <c r="G2555" s="121">
        <v>210</v>
      </c>
      <c r="H2555" t="s">
        <v>907</v>
      </c>
      <c r="I2555" s="156">
        <v>41541</v>
      </c>
      <c r="K2555" s="153"/>
      <c r="L2555" s="153"/>
      <c r="M2555" s="153"/>
      <c r="N2555" s="153"/>
      <c r="O2555" s="153"/>
      <c r="P2555" s="152"/>
      <c r="Q2555" s="152"/>
      <c r="R2555" s="153"/>
      <c r="S2555" s="154"/>
      <c r="T2555" s="115"/>
    </row>
    <row r="2556" spans="1:20">
      <c r="A2556" t="s">
        <v>1230</v>
      </c>
      <c r="B2556" t="s">
        <v>72</v>
      </c>
      <c r="C2556" t="s">
        <v>55</v>
      </c>
      <c r="D2556" t="s">
        <v>683</v>
      </c>
      <c r="E2556" t="s">
        <v>4096</v>
      </c>
      <c r="F2556" s="121">
        <v>120.8</v>
      </c>
      <c r="G2556" s="121">
        <v>120.8</v>
      </c>
      <c r="H2556" t="s">
        <v>908</v>
      </c>
      <c r="I2556" s="156">
        <v>41541</v>
      </c>
      <c r="K2556" s="153"/>
      <c r="L2556" s="153"/>
      <c r="M2556" s="153"/>
      <c r="N2556" s="153"/>
      <c r="O2556" s="153"/>
      <c r="P2556" s="152"/>
      <c r="Q2556" s="152"/>
      <c r="R2556" s="153"/>
      <c r="S2556" s="154"/>
      <c r="T2556" s="115"/>
    </row>
    <row r="2557" spans="1:20">
      <c r="A2557" t="s">
        <v>1230</v>
      </c>
      <c r="B2557" t="s">
        <v>72</v>
      </c>
      <c r="C2557" t="s">
        <v>55</v>
      </c>
      <c r="D2557" t="s">
        <v>683</v>
      </c>
      <c r="E2557" t="s">
        <v>4097</v>
      </c>
      <c r="F2557" s="121">
        <v>120.8</v>
      </c>
      <c r="G2557" s="121">
        <v>120.8</v>
      </c>
      <c r="H2557" t="s">
        <v>909</v>
      </c>
      <c r="I2557" s="156">
        <v>41541</v>
      </c>
      <c r="K2557" s="153"/>
      <c r="L2557" s="153"/>
      <c r="M2557" s="153"/>
      <c r="N2557" s="153"/>
      <c r="O2557" s="153"/>
      <c r="P2557" s="150"/>
      <c r="Q2557" s="150"/>
      <c r="R2557" s="153"/>
      <c r="S2557" s="154"/>
      <c r="T2557" s="115"/>
    </row>
    <row r="2558" spans="1:20">
      <c r="A2558" t="s">
        <v>1230</v>
      </c>
      <c r="B2558" t="s">
        <v>72</v>
      </c>
      <c r="C2558" t="s">
        <v>51</v>
      </c>
      <c r="D2558" t="s">
        <v>762</v>
      </c>
      <c r="E2558" t="s">
        <v>4098</v>
      </c>
      <c r="F2558" s="121">
        <v>650</v>
      </c>
      <c r="G2558" s="121">
        <v>650</v>
      </c>
      <c r="H2558" t="s">
        <v>396</v>
      </c>
      <c r="I2558" s="156">
        <v>41541</v>
      </c>
      <c r="K2558" s="153"/>
      <c r="L2558" s="153"/>
      <c r="M2558" s="153"/>
      <c r="N2558" s="153"/>
      <c r="O2558" s="153"/>
      <c r="P2558" s="150"/>
      <c r="Q2558" s="150"/>
      <c r="R2558" s="153"/>
      <c r="S2558" s="154"/>
      <c r="T2558" s="115"/>
    </row>
    <row r="2559" spans="1:20">
      <c r="A2559" t="s">
        <v>1230</v>
      </c>
      <c r="B2559" t="s">
        <v>72</v>
      </c>
      <c r="C2559" t="s">
        <v>51</v>
      </c>
      <c r="D2559" t="s">
        <v>762</v>
      </c>
      <c r="E2559" t="s">
        <v>4099</v>
      </c>
      <c r="F2559" s="121">
        <v>650</v>
      </c>
      <c r="G2559" s="121">
        <v>650</v>
      </c>
      <c r="H2559" t="s">
        <v>396</v>
      </c>
      <c r="I2559" s="156">
        <v>41541</v>
      </c>
      <c r="K2559" s="153"/>
      <c r="L2559" s="153"/>
      <c r="M2559" s="153"/>
      <c r="N2559" s="153"/>
      <c r="O2559" s="153"/>
      <c r="P2559" s="150"/>
      <c r="Q2559" s="150"/>
      <c r="R2559" s="153"/>
      <c r="S2559" s="154"/>
      <c r="T2559" s="115"/>
    </row>
    <row r="2560" spans="1:20">
      <c r="A2560" t="s">
        <v>1230</v>
      </c>
      <c r="B2560" t="s">
        <v>72</v>
      </c>
      <c r="C2560" t="s">
        <v>51</v>
      </c>
      <c r="D2560" t="s">
        <v>762</v>
      </c>
      <c r="E2560" t="s">
        <v>4100</v>
      </c>
      <c r="F2560" s="121">
        <v>650</v>
      </c>
      <c r="G2560" s="121">
        <v>650</v>
      </c>
      <c r="H2560" t="s">
        <v>396</v>
      </c>
      <c r="I2560" s="156">
        <v>41541</v>
      </c>
      <c r="K2560" s="153"/>
      <c r="L2560" s="153"/>
      <c r="M2560" s="153"/>
      <c r="N2560" s="153"/>
      <c r="O2560" s="153"/>
      <c r="P2560" s="150"/>
      <c r="Q2560" s="150"/>
      <c r="R2560" s="153"/>
      <c r="S2560" s="154"/>
      <c r="T2560" s="115"/>
    </row>
    <row r="2561" spans="1:20">
      <c r="A2561" t="s">
        <v>1230</v>
      </c>
      <c r="B2561" t="s">
        <v>72</v>
      </c>
      <c r="C2561" t="s">
        <v>51</v>
      </c>
      <c r="D2561" t="s">
        <v>761</v>
      </c>
      <c r="E2561" t="s">
        <v>4101</v>
      </c>
      <c r="F2561" s="121">
        <v>6400</v>
      </c>
      <c r="G2561" s="121">
        <v>6400</v>
      </c>
      <c r="H2561" t="s">
        <v>396</v>
      </c>
      <c r="I2561" s="156">
        <v>41541</v>
      </c>
      <c r="K2561" s="153"/>
      <c r="L2561" s="153"/>
      <c r="M2561" s="153"/>
      <c r="N2561" s="153"/>
      <c r="O2561" s="153"/>
      <c r="P2561" s="150"/>
      <c r="Q2561" s="150"/>
      <c r="R2561" s="153"/>
      <c r="S2561" s="154"/>
      <c r="T2561" s="115"/>
    </row>
    <row r="2562" spans="1:20">
      <c r="A2562" t="s">
        <v>1230</v>
      </c>
      <c r="B2562" t="s">
        <v>72</v>
      </c>
      <c r="C2562" t="s">
        <v>51</v>
      </c>
      <c r="D2562" t="s">
        <v>761</v>
      </c>
      <c r="E2562" t="s">
        <v>4102</v>
      </c>
      <c r="F2562" s="121">
        <v>6400</v>
      </c>
      <c r="G2562" s="121">
        <v>6400</v>
      </c>
      <c r="H2562" t="s">
        <v>396</v>
      </c>
      <c r="I2562" s="156">
        <v>41541</v>
      </c>
      <c r="K2562" s="153"/>
      <c r="L2562" s="153"/>
      <c r="M2562" s="153"/>
      <c r="N2562" s="153"/>
      <c r="O2562" s="153"/>
      <c r="P2562" s="150"/>
      <c r="Q2562" s="150"/>
      <c r="R2562" s="153"/>
      <c r="S2562" s="154"/>
      <c r="T2562" s="115"/>
    </row>
    <row r="2563" spans="1:20">
      <c r="A2563" t="s">
        <v>1230</v>
      </c>
      <c r="B2563" t="s">
        <v>72</v>
      </c>
      <c r="C2563" t="s">
        <v>51</v>
      </c>
      <c r="D2563" t="s">
        <v>761</v>
      </c>
      <c r="E2563" t="s">
        <v>4103</v>
      </c>
      <c r="F2563" s="121">
        <v>6400</v>
      </c>
      <c r="G2563" s="121">
        <v>6400</v>
      </c>
      <c r="H2563" t="s">
        <v>396</v>
      </c>
      <c r="I2563" s="156">
        <v>41541</v>
      </c>
      <c r="K2563" s="153"/>
      <c r="L2563" s="153"/>
      <c r="M2563" s="153"/>
      <c r="N2563" s="153"/>
      <c r="O2563" s="153"/>
      <c r="P2563" s="150"/>
      <c r="Q2563" s="150"/>
      <c r="R2563" s="153"/>
      <c r="S2563" s="154"/>
      <c r="T2563" s="115"/>
    </row>
    <row r="2564" spans="1:20">
      <c r="A2564" t="s">
        <v>1230</v>
      </c>
      <c r="B2564" t="s">
        <v>72</v>
      </c>
      <c r="C2564" t="s">
        <v>51</v>
      </c>
      <c r="D2564" t="s">
        <v>761</v>
      </c>
      <c r="E2564" t="s">
        <v>4104</v>
      </c>
      <c r="F2564" s="121">
        <v>6400</v>
      </c>
      <c r="G2564" s="121">
        <v>6400</v>
      </c>
      <c r="H2564" t="s">
        <v>396</v>
      </c>
      <c r="I2564" s="156">
        <v>41541</v>
      </c>
      <c r="K2564" s="153"/>
      <c r="L2564" s="153"/>
      <c r="M2564" s="153"/>
      <c r="N2564" s="153"/>
      <c r="O2564" s="153"/>
      <c r="P2564" s="150"/>
      <c r="Q2564" s="150"/>
      <c r="R2564" s="153"/>
      <c r="S2564" s="154"/>
      <c r="T2564" s="115"/>
    </row>
    <row r="2565" spans="1:20">
      <c r="A2565" t="s">
        <v>1230</v>
      </c>
      <c r="B2565" t="s">
        <v>72</v>
      </c>
      <c r="C2565" t="s">
        <v>55</v>
      </c>
      <c r="D2565" t="s">
        <v>910</v>
      </c>
      <c r="E2565" t="s">
        <v>4105</v>
      </c>
      <c r="F2565" s="121">
        <v>1199</v>
      </c>
      <c r="G2565" s="121">
        <v>1199</v>
      </c>
      <c r="H2565" t="s">
        <v>907</v>
      </c>
      <c r="I2565" s="156">
        <v>41541</v>
      </c>
      <c r="K2565" s="153"/>
      <c r="L2565" s="153"/>
      <c r="M2565" s="153"/>
      <c r="N2565" s="153"/>
      <c r="O2565" s="153"/>
      <c r="P2565" s="150"/>
      <c r="Q2565" s="150"/>
      <c r="R2565" s="153"/>
      <c r="S2565" s="154"/>
      <c r="T2565" s="115"/>
    </row>
    <row r="2566" spans="1:20">
      <c r="A2566" t="s">
        <v>1230</v>
      </c>
      <c r="B2566" t="s">
        <v>72</v>
      </c>
      <c r="C2566" t="s">
        <v>55</v>
      </c>
      <c r="D2566" t="s">
        <v>702</v>
      </c>
      <c r="E2566" t="s">
        <v>4106</v>
      </c>
      <c r="F2566" s="121">
        <v>259</v>
      </c>
      <c r="G2566" s="121">
        <v>259</v>
      </c>
      <c r="H2566" t="s">
        <v>907</v>
      </c>
      <c r="I2566" s="156">
        <v>41541</v>
      </c>
      <c r="K2566" s="153"/>
      <c r="L2566" s="153"/>
      <c r="M2566" s="153"/>
      <c r="N2566" s="153"/>
      <c r="O2566" s="153"/>
      <c r="P2566" s="152"/>
      <c r="Q2566" s="152"/>
      <c r="R2566" s="153"/>
      <c r="S2566" s="154"/>
      <c r="T2566" s="115"/>
    </row>
    <row r="2567" spans="1:20">
      <c r="A2567" t="s">
        <v>1230</v>
      </c>
      <c r="B2567" t="s">
        <v>72</v>
      </c>
      <c r="C2567" t="s">
        <v>55</v>
      </c>
      <c r="D2567" t="s">
        <v>911</v>
      </c>
      <c r="E2567" t="s">
        <v>4107</v>
      </c>
      <c r="F2567" s="121">
        <v>1350</v>
      </c>
      <c r="G2567" s="121">
        <v>1350</v>
      </c>
      <c r="H2567" t="s">
        <v>699</v>
      </c>
      <c r="I2567" s="156">
        <v>41535</v>
      </c>
      <c r="K2567" s="153"/>
      <c r="L2567" s="153"/>
      <c r="M2567" s="153"/>
      <c r="N2567" s="153"/>
      <c r="O2567" s="153"/>
      <c r="P2567" s="152"/>
      <c r="Q2567" s="152"/>
      <c r="R2567" s="153"/>
      <c r="S2567" s="154"/>
      <c r="T2567" s="115"/>
    </row>
    <row r="2568" spans="1:20">
      <c r="A2568" t="s">
        <v>1230</v>
      </c>
      <c r="B2568" t="s">
        <v>72</v>
      </c>
      <c r="C2568" t="s">
        <v>55</v>
      </c>
      <c r="D2568" t="s">
        <v>736</v>
      </c>
      <c r="E2568" t="s">
        <v>4108</v>
      </c>
      <c r="F2568" s="121">
        <v>1749</v>
      </c>
      <c r="G2568" s="121">
        <v>1749</v>
      </c>
      <c r="H2568" t="s">
        <v>907</v>
      </c>
      <c r="I2568" s="156">
        <v>41535</v>
      </c>
      <c r="K2568" s="153"/>
      <c r="L2568" s="153"/>
      <c r="M2568" s="153"/>
      <c r="N2568" s="153"/>
      <c r="O2568" s="153"/>
      <c r="P2568" s="150"/>
      <c r="Q2568" s="150"/>
      <c r="R2568" s="153"/>
      <c r="S2568" s="154"/>
      <c r="T2568" s="115"/>
    </row>
    <row r="2569" spans="1:20">
      <c r="A2569" t="s">
        <v>1230</v>
      </c>
      <c r="B2569" t="s">
        <v>72</v>
      </c>
      <c r="C2569" t="s">
        <v>55</v>
      </c>
      <c r="D2569" t="s">
        <v>905</v>
      </c>
      <c r="E2569" t="s">
        <v>4109</v>
      </c>
      <c r="F2569" s="121">
        <v>389</v>
      </c>
      <c r="G2569" s="121">
        <v>389</v>
      </c>
      <c r="H2569" t="s">
        <v>396</v>
      </c>
      <c r="I2569" s="156">
        <v>41547</v>
      </c>
      <c r="K2569" s="153"/>
      <c r="L2569" s="153"/>
      <c r="M2569" s="153"/>
      <c r="N2569" s="153"/>
      <c r="O2569" s="153"/>
      <c r="P2569" s="150"/>
      <c r="Q2569" s="150"/>
      <c r="R2569" s="153"/>
      <c r="S2569" s="154"/>
      <c r="T2569" s="115"/>
    </row>
    <row r="2570" spans="1:20">
      <c r="A2570" t="s">
        <v>1230</v>
      </c>
      <c r="B2570" t="s">
        <v>72</v>
      </c>
      <c r="C2570" t="s">
        <v>55</v>
      </c>
      <c r="D2570" t="s">
        <v>912</v>
      </c>
      <c r="E2570" t="s">
        <v>4110</v>
      </c>
      <c r="F2570" s="121">
        <v>479</v>
      </c>
      <c r="G2570" s="121">
        <v>479</v>
      </c>
      <c r="H2570" t="s">
        <v>507</v>
      </c>
      <c r="I2570" s="156">
        <v>41547</v>
      </c>
      <c r="K2570" s="153"/>
      <c r="L2570" s="153"/>
      <c r="M2570" s="153"/>
      <c r="N2570" s="153"/>
      <c r="O2570" s="153"/>
      <c r="P2570" s="152"/>
      <c r="Q2570" s="152"/>
      <c r="R2570" s="153"/>
      <c r="S2570" s="154"/>
      <c r="T2570" s="115"/>
    </row>
    <row r="2571" spans="1:20">
      <c r="A2571" t="s">
        <v>1230</v>
      </c>
      <c r="B2571" t="s">
        <v>72</v>
      </c>
      <c r="C2571" t="s">
        <v>55</v>
      </c>
      <c r="D2571" t="s">
        <v>685</v>
      </c>
      <c r="E2571" t="s">
        <v>4111</v>
      </c>
      <c r="F2571" s="121">
        <v>1099</v>
      </c>
      <c r="G2571" s="121">
        <v>1099</v>
      </c>
      <c r="H2571" t="s">
        <v>913</v>
      </c>
      <c r="I2571" s="156">
        <v>41548</v>
      </c>
      <c r="K2571" s="153"/>
      <c r="L2571" s="153"/>
      <c r="M2571" s="153"/>
      <c r="N2571" s="153"/>
      <c r="O2571" s="153"/>
      <c r="P2571" s="152"/>
      <c r="Q2571" s="152"/>
      <c r="R2571" s="153"/>
      <c r="S2571" s="154"/>
      <c r="T2571" s="115"/>
    </row>
    <row r="2572" spans="1:20">
      <c r="A2572" t="s">
        <v>1230</v>
      </c>
      <c r="B2572" t="s">
        <v>76</v>
      </c>
      <c r="C2572" t="s">
        <v>55</v>
      </c>
      <c r="D2572" t="s">
        <v>774</v>
      </c>
      <c r="E2572" t="s">
        <v>4112</v>
      </c>
      <c r="F2572" s="121">
        <v>465</v>
      </c>
      <c r="G2572" s="121">
        <v>465</v>
      </c>
      <c r="H2572" t="s">
        <v>875</v>
      </c>
      <c r="I2572" s="156">
        <v>41548</v>
      </c>
      <c r="K2572" s="153"/>
      <c r="L2572" s="153"/>
      <c r="M2572" s="153"/>
      <c r="N2572" s="153"/>
      <c r="O2572" s="153"/>
      <c r="P2572" s="152"/>
      <c r="Q2572" s="152"/>
      <c r="R2572" s="153"/>
      <c r="S2572" s="154"/>
      <c r="T2572" s="115"/>
    </row>
    <row r="2573" spans="1:20">
      <c r="A2573" t="s">
        <v>1230</v>
      </c>
      <c r="B2573" t="s">
        <v>76</v>
      </c>
      <c r="C2573" t="s">
        <v>55</v>
      </c>
      <c r="D2573" t="s">
        <v>774</v>
      </c>
      <c r="E2573" t="s">
        <v>4113</v>
      </c>
      <c r="F2573" s="121">
        <v>465</v>
      </c>
      <c r="G2573" s="121">
        <v>465</v>
      </c>
      <c r="H2573" t="s">
        <v>875</v>
      </c>
      <c r="I2573" s="156">
        <v>41548</v>
      </c>
      <c r="K2573" s="153"/>
      <c r="L2573" s="153"/>
      <c r="M2573" s="153"/>
      <c r="N2573" s="153"/>
      <c r="O2573" s="153"/>
      <c r="P2573" s="152"/>
      <c r="Q2573" s="152"/>
      <c r="R2573" s="153"/>
      <c r="S2573" s="154"/>
      <c r="T2573" s="115"/>
    </row>
    <row r="2574" spans="1:20">
      <c r="A2574" t="s">
        <v>1230</v>
      </c>
      <c r="B2574" t="s">
        <v>76</v>
      </c>
      <c r="C2574" t="s">
        <v>55</v>
      </c>
      <c r="D2574" t="s">
        <v>774</v>
      </c>
      <c r="E2574" t="s">
        <v>4114</v>
      </c>
      <c r="F2574" s="121">
        <v>465</v>
      </c>
      <c r="G2574" s="121">
        <v>465</v>
      </c>
      <c r="H2574" t="s">
        <v>875</v>
      </c>
      <c r="I2574" s="156">
        <v>41548</v>
      </c>
      <c r="K2574" s="153"/>
      <c r="L2574" s="153"/>
      <c r="M2574" s="153"/>
      <c r="N2574" s="153"/>
      <c r="O2574" s="153"/>
      <c r="P2574" s="152"/>
      <c r="Q2574" s="152"/>
      <c r="R2574" s="153"/>
      <c r="S2574" s="154"/>
      <c r="T2574" s="115"/>
    </row>
    <row r="2575" spans="1:20">
      <c r="A2575" t="s">
        <v>1230</v>
      </c>
      <c r="B2575" t="s">
        <v>76</v>
      </c>
      <c r="C2575" t="s">
        <v>55</v>
      </c>
      <c r="D2575" t="s">
        <v>774</v>
      </c>
      <c r="E2575" t="s">
        <v>4115</v>
      </c>
      <c r="F2575" s="121">
        <v>465</v>
      </c>
      <c r="G2575" s="121">
        <v>465</v>
      </c>
      <c r="H2575" t="s">
        <v>875</v>
      </c>
      <c r="I2575" s="156">
        <v>41548</v>
      </c>
      <c r="K2575" s="153"/>
      <c r="L2575" s="153"/>
      <c r="M2575" s="153"/>
      <c r="N2575" s="153"/>
      <c r="O2575" s="153"/>
      <c r="P2575" s="152"/>
      <c r="Q2575" s="152"/>
      <c r="R2575" s="153"/>
      <c r="S2575" s="154"/>
      <c r="T2575" s="115"/>
    </row>
    <row r="2576" spans="1:20">
      <c r="A2576" t="s">
        <v>1230</v>
      </c>
      <c r="B2576" t="s">
        <v>76</v>
      </c>
      <c r="C2576" t="s">
        <v>55</v>
      </c>
      <c r="D2576" t="s">
        <v>774</v>
      </c>
      <c r="E2576" t="s">
        <v>4116</v>
      </c>
      <c r="F2576" s="121">
        <v>465</v>
      </c>
      <c r="G2576" s="121">
        <v>465</v>
      </c>
      <c r="H2576" t="s">
        <v>875</v>
      </c>
      <c r="I2576" s="156">
        <v>41548</v>
      </c>
      <c r="K2576" s="153"/>
      <c r="L2576" s="153"/>
      <c r="M2576" s="153"/>
      <c r="N2576" s="153"/>
      <c r="O2576" s="153"/>
      <c r="P2576" s="152"/>
      <c r="Q2576" s="152"/>
      <c r="R2576" s="153"/>
      <c r="S2576" s="154"/>
      <c r="T2576" s="115"/>
    </row>
    <row r="2577" spans="1:20">
      <c r="A2577" t="s">
        <v>1230</v>
      </c>
      <c r="B2577" t="s">
        <v>76</v>
      </c>
      <c r="C2577" t="s">
        <v>55</v>
      </c>
      <c r="D2577" t="s">
        <v>774</v>
      </c>
      <c r="E2577" t="s">
        <v>4117</v>
      </c>
      <c r="F2577" s="121">
        <v>465</v>
      </c>
      <c r="G2577" s="121">
        <v>465</v>
      </c>
      <c r="H2577" t="s">
        <v>875</v>
      </c>
      <c r="I2577" s="156">
        <v>41548</v>
      </c>
      <c r="K2577" s="153"/>
      <c r="L2577" s="153"/>
      <c r="M2577" s="153"/>
      <c r="N2577" s="153"/>
      <c r="O2577" s="153"/>
      <c r="P2577" s="152"/>
      <c r="Q2577" s="152"/>
      <c r="R2577" s="153"/>
      <c r="S2577" s="154"/>
      <c r="T2577" s="115"/>
    </row>
    <row r="2578" spans="1:20">
      <c r="A2578" t="s">
        <v>1230</v>
      </c>
      <c r="B2578" t="s">
        <v>76</v>
      </c>
      <c r="C2578" t="s">
        <v>55</v>
      </c>
      <c r="D2578" t="s">
        <v>774</v>
      </c>
      <c r="E2578" t="s">
        <v>4118</v>
      </c>
      <c r="F2578" s="121">
        <v>465</v>
      </c>
      <c r="G2578" s="121">
        <v>465</v>
      </c>
      <c r="H2578" t="s">
        <v>875</v>
      </c>
      <c r="I2578" s="156">
        <v>41548</v>
      </c>
      <c r="K2578" s="153"/>
      <c r="L2578" s="153"/>
      <c r="M2578" s="153"/>
      <c r="N2578" s="153"/>
      <c r="O2578" s="153"/>
      <c r="P2578" s="152"/>
      <c r="Q2578" s="152"/>
      <c r="R2578" s="153"/>
      <c r="S2578" s="154"/>
      <c r="T2578" s="115"/>
    </row>
    <row r="2579" spans="1:20">
      <c r="A2579" t="s">
        <v>1230</v>
      </c>
      <c r="B2579" t="s">
        <v>76</v>
      </c>
      <c r="C2579" t="s">
        <v>55</v>
      </c>
      <c r="D2579" t="s">
        <v>774</v>
      </c>
      <c r="E2579" t="s">
        <v>4119</v>
      </c>
      <c r="F2579" s="121">
        <v>465</v>
      </c>
      <c r="G2579" s="121">
        <v>465</v>
      </c>
      <c r="H2579" t="s">
        <v>875</v>
      </c>
      <c r="I2579" s="156">
        <v>41548</v>
      </c>
      <c r="K2579" s="153"/>
      <c r="L2579" s="153"/>
      <c r="M2579" s="153"/>
      <c r="N2579" s="153"/>
      <c r="O2579" s="153"/>
      <c r="P2579" s="150"/>
      <c r="Q2579" s="150"/>
      <c r="R2579" s="153"/>
      <c r="S2579" s="154"/>
      <c r="T2579" s="115"/>
    </row>
    <row r="2580" spans="1:20">
      <c r="A2580" t="s">
        <v>1230</v>
      </c>
      <c r="B2580" t="s">
        <v>76</v>
      </c>
      <c r="C2580" t="s">
        <v>55</v>
      </c>
      <c r="D2580" t="s">
        <v>774</v>
      </c>
      <c r="E2580" t="s">
        <v>4120</v>
      </c>
      <c r="F2580" s="121">
        <v>465</v>
      </c>
      <c r="G2580" s="121">
        <v>465</v>
      </c>
      <c r="H2580" t="s">
        <v>875</v>
      </c>
      <c r="I2580" s="156">
        <v>41548</v>
      </c>
      <c r="K2580" s="153"/>
      <c r="L2580" s="153"/>
      <c r="M2580" s="153"/>
      <c r="N2580" s="153"/>
      <c r="O2580" s="153"/>
      <c r="P2580" s="150"/>
      <c r="Q2580" s="150"/>
      <c r="R2580" s="153"/>
      <c r="S2580" s="154"/>
      <c r="T2580" s="115"/>
    </row>
    <row r="2581" spans="1:20">
      <c r="A2581" t="s">
        <v>1230</v>
      </c>
      <c r="B2581" t="s">
        <v>76</v>
      </c>
      <c r="C2581" t="s">
        <v>55</v>
      </c>
      <c r="D2581" t="s">
        <v>774</v>
      </c>
      <c r="E2581" t="s">
        <v>4121</v>
      </c>
      <c r="F2581" s="121">
        <v>465</v>
      </c>
      <c r="G2581" s="121">
        <v>465</v>
      </c>
      <c r="H2581" t="s">
        <v>875</v>
      </c>
      <c r="I2581" s="156">
        <v>41548</v>
      </c>
      <c r="K2581" s="153"/>
      <c r="L2581" s="153"/>
      <c r="M2581" s="153"/>
      <c r="N2581" s="153"/>
      <c r="O2581" s="153"/>
      <c r="P2581" s="152"/>
      <c r="Q2581" s="152"/>
      <c r="R2581" s="153"/>
      <c r="S2581" s="154"/>
      <c r="T2581" s="115"/>
    </row>
    <row r="2582" spans="1:20">
      <c r="A2582" t="s">
        <v>1230</v>
      </c>
      <c r="B2582" t="s">
        <v>72</v>
      </c>
      <c r="C2582" t="s">
        <v>55</v>
      </c>
      <c r="D2582" t="s">
        <v>774</v>
      </c>
      <c r="E2582" t="s">
        <v>4122</v>
      </c>
      <c r="F2582" s="121">
        <v>329</v>
      </c>
      <c r="G2582" s="121">
        <v>329</v>
      </c>
      <c r="H2582" t="s">
        <v>396</v>
      </c>
      <c r="I2582" s="156">
        <v>41548</v>
      </c>
      <c r="K2582" s="153"/>
      <c r="L2582" s="153"/>
      <c r="M2582" s="153"/>
      <c r="N2582" s="153"/>
      <c r="O2582" s="153"/>
      <c r="P2582" s="152"/>
      <c r="Q2582" s="152"/>
      <c r="R2582" s="153"/>
      <c r="S2582" s="154"/>
      <c r="T2582" s="151"/>
    </row>
    <row r="2583" spans="1:20">
      <c r="A2583" t="s">
        <v>1230</v>
      </c>
      <c r="B2583" t="s">
        <v>72</v>
      </c>
      <c r="C2583" t="s">
        <v>55</v>
      </c>
      <c r="D2583" t="s">
        <v>774</v>
      </c>
      <c r="E2583" t="s">
        <v>4123</v>
      </c>
      <c r="F2583" s="121">
        <v>329</v>
      </c>
      <c r="G2583" s="121">
        <v>329</v>
      </c>
      <c r="H2583" t="s">
        <v>396</v>
      </c>
      <c r="I2583" s="156">
        <v>41548</v>
      </c>
      <c r="K2583" s="153"/>
      <c r="L2583" s="153"/>
      <c r="M2583" s="153"/>
      <c r="N2583" s="153"/>
      <c r="O2583" s="153"/>
      <c r="P2583" s="152"/>
      <c r="Q2583" s="152"/>
      <c r="R2583" s="153"/>
      <c r="S2583" s="154"/>
      <c r="T2583" s="115"/>
    </row>
    <row r="2584" spans="1:20">
      <c r="A2584" t="s">
        <v>1230</v>
      </c>
      <c r="B2584" t="s">
        <v>72</v>
      </c>
      <c r="C2584" t="s">
        <v>55</v>
      </c>
      <c r="D2584" t="s">
        <v>774</v>
      </c>
      <c r="E2584" t="s">
        <v>4124</v>
      </c>
      <c r="F2584" s="121">
        <v>329</v>
      </c>
      <c r="G2584" s="121">
        <v>329</v>
      </c>
      <c r="H2584" t="s">
        <v>396</v>
      </c>
      <c r="I2584" s="156">
        <v>41548</v>
      </c>
      <c r="K2584" s="153"/>
      <c r="L2584" s="153"/>
      <c r="M2584" s="153"/>
      <c r="N2584" s="153"/>
      <c r="O2584" s="153"/>
      <c r="P2584" s="152"/>
      <c r="Q2584" s="152"/>
      <c r="R2584" s="153"/>
      <c r="S2584" s="154"/>
      <c r="T2584" s="115"/>
    </row>
    <row r="2585" spans="1:20">
      <c r="A2585" t="s">
        <v>1230</v>
      </c>
      <c r="B2585" t="s">
        <v>72</v>
      </c>
      <c r="C2585" t="s">
        <v>55</v>
      </c>
      <c r="D2585" t="s">
        <v>774</v>
      </c>
      <c r="E2585" t="s">
        <v>4125</v>
      </c>
      <c r="F2585" s="121">
        <v>329</v>
      </c>
      <c r="G2585" s="121">
        <v>329</v>
      </c>
      <c r="H2585" t="s">
        <v>396</v>
      </c>
      <c r="I2585" s="156">
        <v>41548</v>
      </c>
      <c r="K2585" s="153"/>
      <c r="L2585" s="153"/>
      <c r="M2585" s="153"/>
      <c r="N2585" s="153"/>
      <c r="O2585" s="153"/>
      <c r="P2585" s="152"/>
      <c r="Q2585" s="152"/>
      <c r="R2585" s="153"/>
      <c r="S2585" s="154"/>
      <c r="T2585" s="115"/>
    </row>
    <row r="2586" spans="1:20">
      <c r="A2586" t="s">
        <v>1230</v>
      </c>
      <c r="B2586" t="s">
        <v>72</v>
      </c>
      <c r="C2586" t="s">
        <v>55</v>
      </c>
      <c r="D2586" t="s">
        <v>774</v>
      </c>
      <c r="E2586" t="s">
        <v>4126</v>
      </c>
      <c r="F2586" s="121">
        <v>329</v>
      </c>
      <c r="G2586" s="121">
        <v>329</v>
      </c>
      <c r="H2586" t="s">
        <v>396</v>
      </c>
      <c r="I2586" s="156">
        <v>41548</v>
      </c>
      <c r="K2586" s="153"/>
      <c r="L2586" s="153"/>
      <c r="M2586" s="153"/>
      <c r="N2586" s="153"/>
      <c r="O2586" s="153"/>
      <c r="P2586" s="150"/>
      <c r="Q2586" s="150"/>
      <c r="R2586" s="153"/>
      <c r="S2586" s="154"/>
      <c r="T2586" s="115"/>
    </row>
    <row r="2587" spans="1:20">
      <c r="A2587" t="s">
        <v>1230</v>
      </c>
      <c r="B2587" t="s">
        <v>72</v>
      </c>
      <c r="C2587" t="s">
        <v>55</v>
      </c>
      <c r="D2587" t="s">
        <v>774</v>
      </c>
      <c r="E2587" t="s">
        <v>4127</v>
      </c>
      <c r="F2587" s="121">
        <v>329</v>
      </c>
      <c r="G2587" s="121">
        <v>329</v>
      </c>
      <c r="H2587" t="s">
        <v>396</v>
      </c>
      <c r="I2587" s="156">
        <v>41548</v>
      </c>
      <c r="K2587" s="153"/>
      <c r="L2587" s="153"/>
      <c r="M2587" s="153"/>
      <c r="N2587" s="153"/>
      <c r="O2587" s="153"/>
      <c r="P2587" s="150"/>
      <c r="Q2587" s="150"/>
      <c r="R2587" s="153"/>
      <c r="S2587" s="154"/>
      <c r="T2587" s="115"/>
    </row>
    <row r="2588" spans="1:20">
      <c r="A2588" t="s">
        <v>1230</v>
      </c>
      <c r="B2588" t="s">
        <v>72</v>
      </c>
      <c r="C2588" t="s">
        <v>55</v>
      </c>
      <c r="D2588" t="s">
        <v>774</v>
      </c>
      <c r="E2588" t="s">
        <v>4128</v>
      </c>
      <c r="F2588" s="121">
        <v>329</v>
      </c>
      <c r="G2588" s="121">
        <v>329</v>
      </c>
      <c r="H2588" t="s">
        <v>396</v>
      </c>
      <c r="I2588" s="156">
        <v>41548</v>
      </c>
      <c r="K2588" s="153"/>
      <c r="L2588" s="153"/>
      <c r="M2588" s="153"/>
      <c r="N2588" s="153"/>
      <c r="O2588" s="153"/>
      <c r="P2588" s="150"/>
      <c r="Q2588" s="150"/>
      <c r="R2588" s="153"/>
      <c r="S2588" s="154"/>
      <c r="T2588" s="115"/>
    </row>
    <row r="2589" spans="1:20">
      <c r="A2589" t="s">
        <v>1230</v>
      </c>
      <c r="B2589" t="s">
        <v>72</v>
      </c>
      <c r="C2589" t="s">
        <v>55</v>
      </c>
      <c r="D2589" t="s">
        <v>774</v>
      </c>
      <c r="E2589" t="s">
        <v>4129</v>
      </c>
      <c r="F2589" s="121">
        <v>329</v>
      </c>
      <c r="G2589" s="121">
        <v>329</v>
      </c>
      <c r="H2589" t="s">
        <v>396</v>
      </c>
      <c r="I2589" s="156">
        <v>41548</v>
      </c>
      <c r="K2589" s="153"/>
      <c r="L2589" s="153"/>
      <c r="M2589" s="153"/>
      <c r="N2589" s="153"/>
      <c r="O2589" s="153"/>
      <c r="P2589" s="150"/>
      <c r="Q2589" s="150"/>
      <c r="R2589" s="153"/>
      <c r="S2589" s="154"/>
      <c r="T2589" s="115"/>
    </row>
    <row r="2590" spans="1:20">
      <c r="A2590" t="s">
        <v>1230</v>
      </c>
      <c r="B2590" t="s">
        <v>72</v>
      </c>
      <c r="C2590" t="s">
        <v>55</v>
      </c>
      <c r="D2590" t="s">
        <v>774</v>
      </c>
      <c r="E2590" t="s">
        <v>4130</v>
      </c>
      <c r="F2590" s="121">
        <v>329</v>
      </c>
      <c r="G2590" s="121">
        <v>329</v>
      </c>
      <c r="H2590" t="s">
        <v>396</v>
      </c>
      <c r="I2590" s="156">
        <v>41548</v>
      </c>
      <c r="K2590" s="153"/>
      <c r="L2590" s="153"/>
      <c r="M2590" s="153"/>
      <c r="N2590" s="153"/>
      <c r="O2590" s="153"/>
      <c r="P2590" s="150"/>
      <c r="Q2590" s="150"/>
      <c r="R2590" s="153"/>
      <c r="S2590" s="154"/>
      <c r="T2590" s="115"/>
    </row>
    <row r="2591" spans="1:20">
      <c r="A2591" t="s">
        <v>1230</v>
      </c>
      <c r="B2591" t="s">
        <v>72</v>
      </c>
      <c r="C2591" t="s">
        <v>55</v>
      </c>
      <c r="D2591" t="s">
        <v>774</v>
      </c>
      <c r="E2591" t="s">
        <v>4131</v>
      </c>
      <c r="F2591" s="121">
        <v>329</v>
      </c>
      <c r="G2591" s="121">
        <v>329</v>
      </c>
      <c r="H2591" t="s">
        <v>396</v>
      </c>
      <c r="I2591" s="156">
        <v>41548</v>
      </c>
      <c r="K2591" s="153"/>
      <c r="L2591" s="153"/>
      <c r="M2591" s="153"/>
      <c r="N2591" s="153"/>
      <c r="O2591" s="153"/>
      <c r="P2591" s="150"/>
      <c r="Q2591" s="150"/>
      <c r="R2591" s="153"/>
      <c r="S2591" s="154"/>
      <c r="T2591" s="115"/>
    </row>
    <row r="2592" spans="1:20">
      <c r="A2592" t="s">
        <v>1230</v>
      </c>
      <c r="B2592" t="s">
        <v>72</v>
      </c>
      <c r="C2592" t="s">
        <v>43</v>
      </c>
      <c r="D2592" t="s">
        <v>914</v>
      </c>
      <c r="E2592" t="s">
        <v>4132</v>
      </c>
      <c r="F2592" s="121">
        <v>1279.8499999999999</v>
      </c>
      <c r="G2592" s="121">
        <v>1279.8499999999999</v>
      </c>
      <c r="H2592" t="s">
        <v>915</v>
      </c>
      <c r="I2592" s="156">
        <v>41557</v>
      </c>
      <c r="K2592" s="153"/>
      <c r="L2592" s="153"/>
      <c r="M2592" s="153"/>
      <c r="N2592" s="153"/>
      <c r="O2592" s="153"/>
      <c r="P2592" s="150"/>
      <c r="Q2592" s="150"/>
      <c r="R2592" s="153"/>
      <c r="S2592" s="154"/>
      <c r="T2592" s="115"/>
    </row>
    <row r="2593" spans="1:20">
      <c r="A2593" t="s">
        <v>1230</v>
      </c>
      <c r="B2593" t="s">
        <v>72</v>
      </c>
      <c r="C2593" t="s">
        <v>43</v>
      </c>
      <c r="D2593" t="s">
        <v>914</v>
      </c>
      <c r="E2593" t="s">
        <v>4133</v>
      </c>
      <c r="F2593" s="121">
        <v>1279.8499999999999</v>
      </c>
      <c r="G2593" s="121">
        <v>1279.8499999999999</v>
      </c>
      <c r="H2593" t="s">
        <v>918</v>
      </c>
      <c r="I2593" s="156">
        <v>41557</v>
      </c>
      <c r="K2593" s="153"/>
      <c r="L2593" s="153"/>
      <c r="M2593" s="153"/>
      <c r="N2593" s="153"/>
      <c r="O2593" s="153"/>
      <c r="P2593" s="150"/>
      <c r="Q2593" s="150"/>
      <c r="R2593" s="153"/>
      <c r="S2593" s="154"/>
      <c r="T2593" s="115"/>
    </row>
    <row r="2594" spans="1:20">
      <c r="A2594" t="s">
        <v>1230</v>
      </c>
      <c r="B2594" t="s">
        <v>72</v>
      </c>
      <c r="C2594" t="s">
        <v>43</v>
      </c>
      <c r="D2594" t="s">
        <v>916</v>
      </c>
      <c r="E2594" t="s">
        <v>4134</v>
      </c>
      <c r="F2594" s="121">
        <v>420.16</v>
      </c>
      <c r="G2594" s="121">
        <v>420.16</v>
      </c>
      <c r="H2594" t="s">
        <v>918</v>
      </c>
      <c r="I2594" s="156">
        <v>41557</v>
      </c>
      <c r="K2594" s="153"/>
      <c r="L2594" s="153"/>
      <c r="M2594" s="153"/>
      <c r="N2594" s="153"/>
      <c r="O2594" s="153"/>
      <c r="P2594" s="152"/>
      <c r="Q2594" s="152"/>
      <c r="R2594" s="153"/>
      <c r="S2594" s="154"/>
      <c r="T2594" s="115"/>
    </row>
    <row r="2595" spans="1:20">
      <c r="A2595" t="s">
        <v>1230</v>
      </c>
      <c r="B2595" t="s">
        <v>72</v>
      </c>
      <c r="C2595" t="s">
        <v>55</v>
      </c>
      <c r="D2595" t="s">
        <v>796</v>
      </c>
      <c r="E2595" t="s">
        <v>4135</v>
      </c>
      <c r="F2595" s="121">
        <v>429</v>
      </c>
      <c r="G2595" s="121">
        <v>429</v>
      </c>
      <c r="H2595" t="s">
        <v>919</v>
      </c>
      <c r="I2595" s="156">
        <v>41555</v>
      </c>
      <c r="K2595" s="153"/>
      <c r="L2595" s="153"/>
      <c r="M2595" s="153"/>
      <c r="N2595" s="153"/>
      <c r="O2595" s="153"/>
      <c r="P2595" s="152"/>
      <c r="Q2595" s="152"/>
      <c r="R2595" s="153"/>
      <c r="S2595" s="154"/>
      <c r="T2595" s="115"/>
    </row>
    <row r="2596" spans="1:20">
      <c r="A2596" t="s">
        <v>1230</v>
      </c>
      <c r="B2596" t="s">
        <v>72</v>
      </c>
      <c r="C2596" t="s">
        <v>55</v>
      </c>
      <c r="D2596" t="s">
        <v>701</v>
      </c>
      <c r="E2596" t="s">
        <v>4136</v>
      </c>
      <c r="F2596" s="121">
        <v>399</v>
      </c>
      <c r="G2596" s="121">
        <v>399</v>
      </c>
      <c r="H2596" t="s">
        <v>919</v>
      </c>
      <c r="I2596" s="156">
        <v>41555</v>
      </c>
      <c r="K2596" s="153"/>
      <c r="L2596" s="153"/>
      <c r="M2596" s="153"/>
      <c r="N2596" s="153"/>
      <c r="O2596" s="153"/>
      <c r="P2596" s="150"/>
      <c r="Q2596" s="150"/>
      <c r="R2596" s="153"/>
      <c r="S2596" s="154"/>
      <c r="T2596" s="115"/>
    </row>
    <row r="2597" spans="1:20">
      <c r="A2597" t="s">
        <v>1230</v>
      </c>
      <c r="B2597" t="s">
        <v>72</v>
      </c>
      <c r="C2597" t="s">
        <v>55</v>
      </c>
      <c r="D2597" t="s">
        <v>920</v>
      </c>
      <c r="E2597" t="s">
        <v>4137</v>
      </c>
      <c r="F2597" s="121">
        <v>106.8</v>
      </c>
      <c r="G2597" s="121">
        <v>106.8</v>
      </c>
      <c r="H2597" t="s">
        <v>919</v>
      </c>
      <c r="I2597" s="156">
        <v>41555</v>
      </c>
      <c r="K2597" s="153"/>
      <c r="L2597" s="153"/>
      <c r="M2597" s="153"/>
      <c r="N2597" s="153"/>
      <c r="O2597" s="153"/>
      <c r="P2597" s="150"/>
      <c r="Q2597" s="150"/>
      <c r="R2597" s="153"/>
      <c r="S2597" s="154"/>
      <c r="T2597" s="115"/>
    </row>
    <row r="2598" spans="1:20">
      <c r="A2598" t="s">
        <v>1230</v>
      </c>
      <c r="B2598" t="s">
        <v>72</v>
      </c>
      <c r="C2598" t="s">
        <v>55</v>
      </c>
      <c r="D2598" t="s">
        <v>683</v>
      </c>
      <c r="E2598" t="s">
        <v>4138</v>
      </c>
      <c r="F2598" s="121">
        <v>84</v>
      </c>
      <c r="G2598" s="121">
        <v>84</v>
      </c>
      <c r="H2598" t="s">
        <v>919</v>
      </c>
      <c r="I2598" s="156">
        <v>41555</v>
      </c>
      <c r="K2598" s="153"/>
      <c r="L2598" s="153"/>
      <c r="M2598" s="153"/>
      <c r="N2598" s="153"/>
      <c r="O2598" s="153"/>
      <c r="P2598" s="150"/>
      <c r="Q2598" s="150"/>
      <c r="R2598" s="153"/>
      <c r="S2598" s="154"/>
      <c r="T2598" s="115"/>
    </row>
    <row r="2599" spans="1:20">
      <c r="A2599" t="s">
        <v>1230</v>
      </c>
      <c r="B2599" t="s">
        <v>72</v>
      </c>
      <c r="C2599" t="s">
        <v>55</v>
      </c>
      <c r="D2599" t="s">
        <v>683</v>
      </c>
      <c r="E2599" t="s">
        <v>4139</v>
      </c>
      <c r="F2599" s="121">
        <v>84</v>
      </c>
      <c r="G2599" s="121">
        <v>84</v>
      </c>
      <c r="H2599" t="s">
        <v>921</v>
      </c>
      <c r="I2599" s="156">
        <v>41555</v>
      </c>
      <c r="K2599" s="153"/>
      <c r="L2599" s="153"/>
      <c r="M2599" s="153"/>
      <c r="N2599" s="153"/>
      <c r="O2599" s="153"/>
      <c r="P2599" s="150"/>
      <c r="Q2599" s="150"/>
      <c r="R2599" s="153"/>
      <c r="S2599" s="154"/>
      <c r="T2599" s="115"/>
    </row>
    <row r="2600" spans="1:20">
      <c r="A2600" t="s">
        <v>1230</v>
      </c>
      <c r="B2600" t="s">
        <v>76</v>
      </c>
      <c r="C2600" t="s">
        <v>55</v>
      </c>
      <c r="D2600" t="s">
        <v>922</v>
      </c>
      <c r="E2600" t="s">
        <v>4140</v>
      </c>
      <c r="F2600" s="121">
        <v>239</v>
      </c>
      <c r="G2600" s="121">
        <v>239</v>
      </c>
      <c r="H2600" t="s">
        <v>875</v>
      </c>
      <c r="I2600" s="156">
        <v>41554</v>
      </c>
      <c r="K2600" s="153"/>
      <c r="L2600" s="153"/>
      <c r="M2600" s="153"/>
      <c r="N2600" s="153"/>
      <c r="O2600" s="153"/>
      <c r="P2600" s="150"/>
      <c r="Q2600" s="150"/>
      <c r="R2600" s="153"/>
      <c r="S2600" s="154"/>
      <c r="T2600" s="115"/>
    </row>
    <row r="2601" spans="1:20">
      <c r="A2601" t="s">
        <v>1230</v>
      </c>
      <c r="B2601" t="s">
        <v>76</v>
      </c>
      <c r="C2601" t="s">
        <v>55</v>
      </c>
      <c r="D2601" t="s">
        <v>922</v>
      </c>
      <c r="E2601" t="s">
        <v>4141</v>
      </c>
      <c r="F2601" s="121">
        <v>239</v>
      </c>
      <c r="G2601" s="121">
        <v>239</v>
      </c>
      <c r="H2601" t="s">
        <v>875</v>
      </c>
      <c r="I2601" s="156">
        <v>41554</v>
      </c>
      <c r="K2601" s="153"/>
      <c r="L2601" s="153"/>
      <c r="M2601" s="153"/>
      <c r="N2601" s="153"/>
      <c r="O2601" s="153"/>
      <c r="P2601" s="150"/>
      <c r="Q2601" s="150"/>
      <c r="R2601" s="153"/>
      <c r="S2601" s="154"/>
      <c r="T2601" s="115"/>
    </row>
    <row r="2602" spans="1:20">
      <c r="A2602" t="s">
        <v>1230</v>
      </c>
      <c r="B2602" t="s">
        <v>76</v>
      </c>
      <c r="C2602" t="s">
        <v>55</v>
      </c>
      <c r="D2602" t="s">
        <v>923</v>
      </c>
      <c r="E2602" t="s">
        <v>4142</v>
      </c>
      <c r="F2602" s="121">
        <v>1505</v>
      </c>
      <c r="G2602" s="121">
        <v>1505</v>
      </c>
      <c r="H2602" t="s">
        <v>875</v>
      </c>
      <c r="I2602" s="156">
        <v>41554</v>
      </c>
      <c r="K2602" s="153"/>
      <c r="L2602" s="153"/>
      <c r="M2602" s="153"/>
      <c r="N2602" s="153"/>
      <c r="O2602" s="153"/>
      <c r="P2602" s="150"/>
      <c r="Q2602" s="150"/>
      <c r="R2602" s="153"/>
      <c r="S2602" s="154"/>
      <c r="T2602" s="115"/>
    </row>
    <row r="2603" spans="1:20">
      <c r="A2603" t="s">
        <v>1230</v>
      </c>
      <c r="B2603" t="s">
        <v>76</v>
      </c>
      <c r="C2603" t="s">
        <v>55</v>
      </c>
      <c r="D2603" t="s">
        <v>922</v>
      </c>
      <c r="E2603" t="s">
        <v>4143</v>
      </c>
      <c r="F2603" s="121">
        <v>436.09</v>
      </c>
      <c r="G2603" s="121">
        <v>436.09</v>
      </c>
      <c r="H2603" t="s">
        <v>875</v>
      </c>
      <c r="I2603" s="156">
        <v>41554</v>
      </c>
      <c r="K2603" s="153"/>
      <c r="L2603" s="153"/>
      <c r="M2603" s="153"/>
      <c r="N2603" s="153"/>
      <c r="O2603" s="153"/>
      <c r="P2603" s="152"/>
      <c r="Q2603" s="152"/>
      <c r="R2603" s="153"/>
      <c r="S2603" s="154"/>
      <c r="T2603" s="115"/>
    </row>
    <row r="2604" spans="1:20">
      <c r="A2604" t="s">
        <v>1230</v>
      </c>
      <c r="B2604" t="s">
        <v>76</v>
      </c>
      <c r="C2604" t="s">
        <v>55</v>
      </c>
      <c r="D2604" t="s">
        <v>922</v>
      </c>
      <c r="E2604" t="s">
        <v>4144</v>
      </c>
      <c r="F2604" s="121">
        <v>436.09</v>
      </c>
      <c r="G2604" s="121">
        <v>436.09</v>
      </c>
      <c r="H2604" t="s">
        <v>875</v>
      </c>
      <c r="I2604" s="156">
        <v>41554</v>
      </c>
      <c r="K2604" s="153"/>
      <c r="L2604" s="153"/>
      <c r="M2604" s="153"/>
      <c r="N2604" s="153"/>
      <c r="O2604" s="153"/>
      <c r="P2604" s="152"/>
      <c r="Q2604" s="152"/>
      <c r="R2604" s="153"/>
      <c r="S2604" s="154"/>
      <c r="T2604" s="115"/>
    </row>
    <row r="2605" spans="1:20">
      <c r="A2605" t="s">
        <v>1230</v>
      </c>
      <c r="B2605" t="s">
        <v>76</v>
      </c>
      <c r="C2605" t="s">
        <v>55</v>
      </c>
      <c r="D2605" t="s">
        <v>922</v>
      </c>
      <c r="E2605" t="s">
        <v>4145</v>
      </c>
      <c r="F2605" s="121">
        <v>436.09</v>
      </c>
      <c r="G2605" s="121">
        <v>436.09</v>
      </c>
      <c r="H2605" t="s">
        <v>875</v>
      </c>
      <c r="I2605" s="156">
        <v>41554</v>
      </c>
      <c r="K2605" s="153"/>
      <c r="L2605" s="153"/>
      <c r="M2605" s="153"/>
      <c r="N2605" s="153"/>
      <c r="O2605" s="153"/>
      <c r="P2605" s="152"/>
      <c r="Q2605" s="152"/>
      <c r="R2605" s="153"/>
      <c r="S2605" s="154"/>
      <c r="T2605" s="115"/>
    </row>
    <row r="2606" spans="1:20">
      <c r="A2606" t="s">
        <v>1230</v>
      </c>
      <c r="B2606" t="s">
        <v>76</v>
      </c>
      <c r="C2606" t="s">
        <v>55</v>
      </c>
      <c r="D2606" t="s">
        <v>924</v>
      </c>
      <c r="E2606" t="s">
        <v>4146</v>
      </c>
      <c r="F2606" s="121">
        <v>228.73</v>
      </c>
      <c r="G2606" s="121">
        <v>228.73</v>
      </c>
      <c r="H2606" t="s">
        <v>875</v>
      </c>
      <c r="I2606" s="156">
        <v>41554</v>
      </c>
      <c r="K2606" s="153"/>
      <c r="L2606" s="153"/>
      <c r="M2606" s="153"/>
      <c r="N2606" s="153"/>
      <c r="O2606" s="153"/>
      <c r="P2606" s="152"/>
      <c r="Q2606" s="152"/>
      <c r="R2606" s="153"/>
      <c r="S2606" s="154"/>
      <c r="T2606" s="115"/>
    </row>
    <row r="2607" spans="1:20">
      <c r="A2607" t="s">
        <v>1230</v>
      </c>
      <c r="B2607" t="s">
        <v>72</v>
      </c>
      <c r="C2607" t="s">
        <v>55</v>
      </c>
      <c r="D2607" t="s">
        <v>920</v>
      </c>
      <c r="E2607" t="s">
        <v>4147</v>
      </c>
      <c r="F2607" s="121">
        <v>106.8</v>
      </c>
      <c r="G2607" s="121">
        <v>106.8</v>
      </c>
      <c r="H2607" t="s">
        <v>925</v>
      </c>
      <c r="I2607" s="156">
        <v>41576</v>
      </c>
      <c r="K2607" s="153"/>
      <c r="L2607" s="153"/>
      <c r="M2607" s="153"/>
      <c r="N2607" s="153"/>
      <c r="O2607" s="153"/>
      <c r="P2607" s="152"/>
      <c r="Q2607" s="152"/>
      <c r="R2607" s="153"/>
      <c r="S2607" s="154"/>
      <c r="T2607" s="115"/>
    </row>
    <row r="2608" spans="1:20">
      <c r="A2608" t="s">
        <v>1231</v>
      </c>
      <c r="B2608" t="s">
        <v>71</v>
      </c>
      <c r="C2608" t="s">
        <v>64</v>
      </c>
      <c r="D2608" t="s">
        <v>7441</v>
      </c>
      <c r="E2608" t="s">
        <v>7442</v>
      </c>
      <c r="F2608" s="121">
        <v>11882</v>
      </c>
      <c r="G2608" s="121">
        <v>11882</v>
      </c>
      <c r="H2608" t="s">
        <v>7443</v>
      </c>
      <c r="I2608" s="156">
        <v>41569</v>
      </c>
      <c r="K2608" s="153"/>
      <c r="L2608" s="153"/>
      <c r="M2608" s="153"/>
      <c r="N2608" s="153"/>
      <c r="O2608" s="153"/>
      <c r="P2608" s="150"/>
      <c r="Q2608" s="150"/>
      <c r="R2608" s="153"/>
      <c r="S2608" s="154"/>
      <c r="T2608" s="115"/>
    </row>
    <row r="2609" spans="1:20">
      <c r="A2609" t="s">
        <v>1230</v>
      </c>
      <c r="B2609" t="s">
        <v>73</v>
      </c>
      <c r="C2609" t="s">
        <v>43</v>
      </c>
      <c r="D2609" t="s">
        <v>926</v>
      </c>
      <c r="E2609" t="s">
        <v>4148</v>
      </c>
      <c r="F2609" s="121">
        <v>2777.85</v>
      </c>
      <c r="G2609" s="121">
        <v>2777.85</v>
      </c>
      <c r="H2609" t="s">
        <v>927</v>
      </c>
      <c r="I2609" s="156">
        <v>41576</v>
      </c>
      <c r="K2609" s="153"/>
      <c r="L2609" s="153"/>
      <c r="M2609" s="153"/>
      <c r="N2609" s="153"/>
      <c r="O2609" s="153"/>
      <c r="P2609" s="150"/>
      <c r="Q2609" s="150"/>
      <c r="R2609" s="153"/>
      <c r="S2609" s="154"/>
      <c r="T2609" s="115"/>
    </row>
    <row r="2610" spans="1:20">
      <c r="A2610" t="s">
        <v>1230</v>
      </c>
      <c r="B2610" t="s">
        <v>73</v>
      </c>
      <c r="C2610" t="s">
        <v>43</v>
      </c>
      <c r="D2610" t="s">
        <v>928</v>
      </c>
      <c r="E2610" t="s">
        <v>4149</v>
      </c>
      <c r="F2610" s="121">
        <v>1923.96</v>
      </c>
      <c r="G2610" s="121">
        <v>1923.96</v>
      </c>
      <c r="H2610" t="s">
        <v>929</v>
      </c>
      <c r="I2610" s="156">
        <v>41576</v>
      </c>
      <c r="K2610" s="153"/>
      <c r="L2610" s="153"/>
      <c r="M2610" s="153"/>
      <c r="N2610" s="153"/>
      <c r="O2610" s="153"/>
      <c r="P2610" s="150"/>
      <c r="Q2610" s="150"/>
      <c r="R2610" s="153"/>
      <c r="S2610" s="154"/>
      <c r="T2610" s="115"/>
    </row>
    <row r="2611" spans="1:20">
      <c r="A2611" t="s">
        <v>1230</v>
      </c>
      <c r="B2611" t="s">
        <v>76</v>
      </c>
      <c r="C2611" t="s">
        <v>55</v>
      </c>
      <c r="D2611" t="s">
        <v>930</v>
      </c>
      <c r="E2611" t="s">
        <v>4150</v>
      </c>
      <c r="F2611" s="121">
        <v>1299</v>
      </c>
      <c r="G2611" s="121">
        <v>1299</v>
      </c>
      <c r="H2611" t="s">
        <v>875</v>
      </c>
      <c r="I2611" s="156">
        <v>41576</v>
      </c>
      <c r="K2611" s="153"/>
      <c r="L2611" s="153"/>
      <c r="M2611" s="153"/>
      <c r="N2611" s="153"/>
      <c r="O2611" s="153"/>
      <c r="P2611" s="152"/>
      <c r="Q2611" s="152"/>
      <c r="R2611" s="153"/>
      <c r="S2611" s="154"/>
      <c r="T2611" s="115"/>
    </row>
    <row r="2612" spans="1:20">
      <c r="A2612" t="s">
        <v>1230</v>
      </c>
      <c r="B2612" t="s">
        <v>76</v>
      </c>
      <c r="C2612" t="s">
        <v>55</v>
      </c>
      <c r="D2612" t="s">
        <v>779</v>
      </c>
      <c r="E2612" t="s">
        <v>4151</v>
      </c>
      <c r="F2612" s="121">
        <v>1170.6099999999999</v>
      </c>
      <c r="G2612" s="121">
        <v>1170.6099999999999</v>
      </c>
      <c r="H2612" t="s">
        <v>931</v>
      </c>
      <c r="I2612" s="156">
        <v>41576</v>
      </c>
      <c r="K2612" s="153"/>
      <c r="L2612" s="153"/>
      <c r="M2612" s="153"/>
      <c r="N2612" s="153"/>
      <c r="O2612" s="153"/>
      <c r="P2612" s="152"/>
      <c r="Q2612" s="152"/>
      <c r="R2612" s="153"/>
      <c r="S2612" s="154"/>
      <c r="T2612" s="115"/>
    </row>
    <row r="2613" spans="1:20">
      <c r="A2613" t="s">
        <v>1230</v>
      </c>
      <c r="B2613" t="s">
        <v>76</v>
      </c>
      <c r="C2613" t="s">
        <v>55</v>
      </c>
      <c r="D2613" t="s">
        <v>779</v>
      </c>
      <c r="E2613" t="s">
        <v>4152</v>
      </c>
      <c r="F2613" s="121">
        <v>1170.6099999999999</v>
      </c>
      <c r="G2613" s="121">
        <v>1170.6099999999999</v>
      </c>
      <c r="H2613" t="s">
        <v>931</v>
      </c>
      <c r="I2613" s="156">
        <v>41576</v>
      </c>
      <c r="K2613" s="153"/>
      <c r="L2613" s="153"/>
      <c r="M2613" s="153"/>
      <c r="N2613" s="153"/>
      <c r="O2613" s="153"/>
      <c r="P2613" s="150"/>
      <c r="Q2613" s="150"/>
      <c r="R2613" s="153"/>
      <c r="S2613" s="154"/>
      <c r="T2613" s="115"/>
    </row>
    <row r="2614" spans="1:20">
      <c r="A2614" t="s">
        <v>1230</v>
      </c>
      <c r="B2614" t="s">
        <v>76</v>
      </c>
      <c r="C2614" t="s">
        <v>55</v>
      </c>
      <c r="D2614" t="s">
        <v>932</v>
      </c>
      <c r="E2614" t="s">
        <v>4153</v>
      </c>
      <c r="F2614" s="121">
        <v>2460</v>
      </c>
      <c r="G2614" s="121">
        <v>2460</v>
      </c>
      <c r="H2614" t="s">
        <v>931</v>
      </c>
      <c r="I2614" s="156">
        <v>41576</v>
      </c>
      <c r="K2614" s="153"/>
      <c r="L2614" s="153"/>
      <c r="M2614" s="153"/>
      <c r="N2614" s="153"/>
      <c r="O2614" s="153"/>
      <c r="P2614" s="150"/>
      <c r="Q2614" s="150"/>
      <c r="R2614" s="153"/>
      <c r="S2614" s="154"/>
      <c r="T2614" s="115"/>
    </row>
    <row r="2615" spans="1:20">
      <c r="A2615" t="s">
        <v>1230</v>
      </c>
      <c r="B2615" t="s">
        <v>76</v>
      </c>
      <c r="C2615" t="s">
        <v>55</v>
      </c>
      <c r="D2615" t="s">
        <v>932</v>
      </c>
      <c r="E2615" t="s">
        <v>4154</v>
      </c>
      <c r="F2615" s="121">
        <v>2460</v>
      </c>
      <c r="G2615" s="121">
        <v>2460</v>
      </c>
      <c r="H2615" t="s">
        <v>931</v>
      </c>
      <c r="I2615" s="156">
        <v>41576</v>
      </c>
      <c r="K2615" s="153"/>
      <c r="L2615" s="153"/>
      <c r="M2615" s="153"/>
      <c r="N2615" s="153"/>
      <c r="O2615" s="153"/>
      <c r="P2615" s="152"/>
      <c r="Q2615" s="152"/>
      <c r="R2615" s="153"/>
      <c r="S2615" s="154"/>
      <c r="T2615" s="115"/>
    </row>
    <row r="2616" spans="1:20">
      <c r="A2616" t="s">
        <v>1230</v>
      </c>
      <c r="B2616" t="s">
        <v>76</v>
      </c>
      <c r="C2616" t="s">
        <v>55</v>
      </c>
      <c r="D2616" t="s">
        <v>933</v>
      </c>
      <c r="E2616" t="s">
        <v>4155</v>
      </c>
      <c r="F2616" s="121">
        <v>1522.14</v>
      </c>
      <c r="G2616" s="121">
        <v>1522.14</v>
      </c>
      <c r="H2616" t="s">
        <v>931</v>
      </c>
      <c r="I2616" s="156">
        <v>41576</v>
      </c>
      <c r="K2616" s="153"/>
      <c r="L2616" s="153"/>
      <c r="M2616" s="153"/>
      <c r="N2616" s="153"/>
      <c r="O2616" s="153"/>
      <c r="P2616" s="152"/>
      <c r="Q2616" s="152"/>
      <c r="R2616" s="153"/>
      <c r="S2616" s="154"/>
      <c r="T2616" s="115"/>
    </row>
    <row r="2617" spans="1:20">
      <c r="A2617" t="s">
        <v>1230</v>
      </c>
      <c r="B2617" t="s">
        <v>76</v>
      </c>
      <c r="C2617" t="s">
        <v>55</v>
      </c>
      <c r="D2617" t="s">
        <v>934</v>
      </c>
      <c r="E2617" t="s">
        <v>4156</v>
      </c>
      <c r="F2617" s="121">
        <v>110</v>
      </c>
      <c r="G2617" s="121">
        <v>110</v>
      </c>
      <c r="H2617" t="s">
        <v>931</v>
      </c>
      <c r="I2617" s="156">
        <v>41576</v>
      </c>
      <c r="K2617" s="153"/>
      <c r="L2617" s="153"/>
      <c r="M2617" s="153"/>
      <c r="N2617" s="153"/>
      <c r="O2617" s="153"/>
      <c r="P2617" s="152"/>
      <c r="Q2617" s="152"/>
      <c r="R2617" s="153"/>
      <c r="S2617" s="154"/>
      <c r="T2617" s="115"/>
    </row>
    <row r="2618" spans="1:20">
      <c r="A2618" t="s">
        <v>1230</v>
      </c>
      <c r="B2618" t="s">
        <v>76</v>
      </c>
      <c r="C2618" t="s">
        <v>55</v>
      </c>
      <c r="D2618" t="s">
        <v>935</v>
      </c>
      <c r="E2618" t="s">
        <v>4157</v>
      </c>
      <c r="F2618" s="121">
        <v>291.77</v>
      </c>
      <c r="G2618" s="121">
        <v>291.77</v>
      </c>
      <c r="H2618" t="s">
        <v>931</v>
      </c>
      <c r="I2618" s="156">
        <v>41576</v>
      </c>
      <c r="K2618" s="153"/>
      <c r="L2618" s="153"/>
      <c r="M2618" s="153"/>
      <c r="N2618" s="153"/>
      <c r="O2618" s="153"/>
      <c r="P2618" s="150"/>
      <c r="Q2618" s="150"/>
      <c r="R2618" s="153"/>
      <c r="S2618" s="154"/>
      <c r="T2618" s="115"/>
    </row>
    <row r="2619" spans="1:20">
      <c r="A2619" t="s">
        <v>1230</v>
      </c>
      <c r="B2619" t="s">
        <v>76</v>
      </c>
      <c r="C2619" t="s">
        <v>55</v>
      </c>
      <c r="D2619" t="s">
        <v>935</v>
      </c>
      <c r="E2619" t="s">
        <v>4158</v>
      </c>
      <c r="F2619" s="121">
        <v>291.77</v>
      </c>
      <c r="G2619" s="121">
        <v>291.77</v>
      </c>
      <c r="H2619" t="s">
        <v>931</v>
      </c>
      <c r="I2619" s="156">
        <v>41576</v>
      </c>
      <c r="K2619" s="153"/>
      <c r="L2619" s="153"/>
      <c r="M2619" s="153"/>
      <c r="N2619" s="153"/>
      <c r="O2619" s="153"/>
      <c r="P2619" s="150"/>
      <c r="Q2619" s="150"/>
      <c r="R2619" s="153"/>
      <c r="S2619" s="154"/>
      <c r="T2619" s="151"/>
    </row>
    <row r="2620" spans="1:20">
      <c r="A2620" t="s">
        <v>1230</v>
      </c>
      <c r="B2620" t="s">
        <v>76</v>
      </c>
      <c r="C2620" t="s">
        <v>55</v>
      </c>
      <c r="D2620" t="s">
        <v>936</v>
      </c>
      <c r="E2620" t="s">
        <v>4159</v>
      </c>
      <c r="F2620" s="121">
        <v>202.95</v>
      </c>
      <c r="G2620" s="121">
        <v>202.95</v>
      </c>
      <c r="H2620" t="s">
        <v>931</v>
      </c>
      <c r="I2620" s="156">
        <v>41576</v>
      </c>
      <c r="K2620" s="153"/>
      <c r="L2620" s="153"/>
      <c r="M2620" s="153"/>
      <c r="N2620" s="153"/>
      <c r="O2620" s="153"/>
      <c r="P2620" s="150"/>
      <c r="Q2620" s="150"/>
      <c r="R2620" s="153"/>
      <c r="S2620" s="154"/>
      <c r="T2620" s="151"/>
    </row>
    <row r="2621" spans="1:20">
      <c r="A2621" t="s">
        <v>1230</v>
      </c>
      <c r="B2621" t="s">
        <v>76</v>
      </c>
      <c r="C2621" t="s">
        <v>55</v>
      </c>
      <c r="D2621" t="s">
        <v>936</v>
      </c>
      <c r="E2621" t="s">
        <v>4160</v>
      </c>
      <c r="F2621" s="121">
        <v>202.95</v>
      </c>
      <c r="G2621" s="121">
        <v>202.95</v>
      </c>
      <c r="H2621" t="s">
        <v>931</v>
      </c>
      <c r="I2621" s="156">
        <v>41576</v>
      </c>
      <c r="K2621" s="153"/>
      <c r="L2621" s="153"/>
      <c r="M2621" s="153"/>
      <c r="N2621" s="153"/>
      <c r="O2621" s="153"/>
      <c r="P2621" s="150"/>
      <c r="Q2621" s="150"/>
      <c r="R2621" s="153"/>
      <c r="S2621" s="154"/>
      <c r="T2621" s="115"/>
    </row>
    <row r="2622" spans="1:20">
      <c r="A2622" t="s">
        <v>1230</v>
      </c>
      <c r="B2622" t="s">
        <v>76</v>
      </c>
      <c r="C2622" t="s">
        <v>55</v>
      </c>
      <c r="D2622" t="s">
        <v>937</v>
      </c>
      <c r="E2622" t="s">
        <v>4161</v>
      </c>
      <c r="F2622" s="121">
        <v>1350</v>
      </c>
      <c r="G2622" s="121">
        <v>1350</v>
      </c>
      <c r="H2622" t="s">
        <v>931</v>
      </c>
      <c r="I2622" s="156">
        <v>41576</v>
      </c>
      <c r="K2622" s="153"/>
      <c r="L2622" s="153"/>
      <c r="M2622" s="153"/>
      <c r="N2622" s="153"/>
      <c r="O2622" s="153"/>
      <c r="P2622" s="150"/>
      <c r="Q2622" s="150"/>
      <c r="R2622" s="153"/>
      <c r="S2622" s="154"/>
      <c r="T2622" s="115"/>
    </row>
    <row r="2623" spans="1:20">
      <c r="A2623" t="s">
        <v>1230</v>
      </c>
      <c r="B2623" t="s">
        <v>76</v>
      </c>
      <c r="C2623" t="s">
        <v>55</v>
      </c>
      <c r="D2623" t="s">
        <v>937</v>
      </c>
      <c r="E2623" t="s">
        <v>4162</v>
      </c>
      <c r="F2623" s="121">
        <v>1350</v>
      </c>
      <c r="G2623" s="121">
        <v>1350</v>
      </c>
      <c r="H2623" t="s">
        <v>931</v>
      </c>
      <c r="I2623" s="156">
        <v>41576</v>
      </c>
      <c r="K2623" s="153"/>
      <c r="L2623" s="153"/>
      <c r="M2623" s="153"/>
      <c r="N2623" s="153"/>
      <c r="O2623" s="153"/>
      <c r="P2623" s="150"/>
      <c r="Q2623" s="150"/>
      <c r="R2623" s="153"/>
      <c r="S2623" s="154"/>
      <c r="T2623" s="115"/>
    </row>
    <row r="2624" spans="1:20">
      <c r="A2624" t="s">
        <v>1230</v>
      </c>
      <c r="B2624" t="s">
        <v>73</v>
      </c>
      <c r="C2624" t="s">
        <v>43</v>
      </c>
      <c r="D2624" t="s">
        <v>938</v>
      </c>
      <c r="E2624" t="s">
        <v>4163</v>
      </c>
      <c r="F2624" s="121">
        <v>1450.78</v>
      </c>
      <c r="G2624" s="121">
        <v>1450.78</v>
      </c>
      <c r="H2624" t="s">
        <v>442</v>
      </c>
      <c r="I2624" s="156">
        <v>41596</v>
      </c>
      <c r="K2624" s="153"/>
      <c r="L2624" s="153"/>
      <c r="M2624" s="153"/>
      <c r="N2624" s="153"/>
      <c r="O2624" s="153"/>
      <c r="P2624" s="150"/>
      <c r="Q2624" s="150"/>
      <c r="R2624" s="153"/>
      <c r="S2624" s="154"/>
      <c r="T2624" s="115"/>
    </row>
    <row r="2625" spans="1:20">
      <c r="A2625" t="s">
        <v>1230</v>
      </c>
      <c r="B2625" t="s">
        <v>73</v>
      </c>
      <c r="C2625" t="s">
        <v>43</v>
      </c>
      <c r="D2625" t="s">
        <v>938</v>
      </c>
      <c r="E2625" t="s">
        <v>4164</v>
      </c>
      <c r="F2625" s="121">
        <v>1450.78</v>
      </c>
      <c r="G2625" s="121">
        <v>1450.78</v>
      </c>
      <c r="H2625" t="s">
        <v>396</v>
      </c>
      <c r="I2625" s="156">
        <v>41596</v>
      </c>
      <c r="K2625" s="153"/>
      <c r="L2625" s="153"/>
      <c r="M2625" s="153"/>
      <c r="N2625" s="153"/>
      <c r="O2625" s="153"/>
      <c r="P2625" s="150"/>
      <c r="Q2625" s="150"/>
      <c r="R2625" s="153"/>
      <c r="S2625" s="154"/>
      <c r="T2625" s="115"/>
    </row>
    <row r="2626" spans="1:20">
      <c r="A2626" t="s">
        <v>1230</v>
      </c>
      <c r="B2626" t="s">
        <v>1012</v>
      </c>
      <c r="C2626" t="s">
        <v>55</v>
      </c>
      <c r="D2626" t="s">
        <v>910</v>
      </c>
      <c r="E2626" t="s">
        <v>4165</v>
      </c>
      <c r="F2626" s="121">
        <v>1176</v>
      </c>
      <c r="G2626" s="121">
        <v>1176</v>
      </c>
      <c r="H2626" t="s">
        <v>458</v>
      </c>
      <c r="I2626" s="156">
        <v>41603</v>
      </c>
      <c r="K2626" s="153"/>
      <c r="L2626" s="153"/>
      <c r="M2626" s="153"/>
      <c r="N2626" s="153"/>
      <c r="O2626" s="153"/>
      <c r="P2626" s="150"/>
      <c r="Q2626" s="150"/>
      <c r="R2626" s="153"/>
      <c r="S2626" s="154"/>
      <c r="T2626" s="115"/>
    </row>
    <row r="2627" spans="1:20">
      <c r="A2627" t="s">
        <v>1230</v>
      </c>
      <c r="B2627" t="s">
        <v>72</v>
      </c>
      <c r="C2627" t="s">
        <v>43</v>
      </c>
      <c r="D2627" t="s">
        <v>661</v>
      </c>
      <c r="E2627" t="s">
        <v>4166</v>
      </c>
      <c r="F2627" s="121">
        <v>735.08</v>
      </c>
      <c r="G2627" s="121">
        <v>735.08</v>
      </c>
      <c r="H2627" t="s">
        <v>396</v>
      </c>
      <c r="I2627" s="156">
        <v>41585</v>
      </c>
      <c r="K2627" s="153"/>
      <c r="L2627" s="153"/>
      <c r="M2627" s="153"/>
      <c r="N2627" s="153"/>
      <c r="O2627" s="153"/>
      <c r="P2627" s="150"/>
      <c r="Q2627" s="150"/>
      <c r="R2627" s="153"/>
      <c r="S2627" s="154"/>
      <c r="T2627" s="115"/>
    </row>
    <row r="2628" spans="1:20">
      <c r="A2628" t="s">
        <v>1230</v>
      </c>
      <c r="B2628" t="s">
        <v>72</v>
      </c>
      <c r="C2628" t="s">
        <v>43</v>
      </c>
      <c r="D2628" t="s">
        <v>829</v>
      </c>
      <c r="E2628" t="s">
        <v>4167</v>
      </c>
      <c r="F2628" s="121">
        <v>1252.1199999999999</v>
      </c>
      <c r="G2628" s="121">
        <v>1252.1199999999999</v>
      </c>
      <c r="H2628" t="s">
        <v>396</v>
      </c>
      <c r="I2628" s="156">
        <v>41585</v>
      </c>
      <c r="K2628" s="153"/>
      <c r="L2628" s="153"/>
      <c r="M2628" s="153"/>
      <c r="N2628" s="153"/>
      <c r="O2628" s="153"/>
      <c r="P2628" s="150"/>
      <c r="Q2628" s="150"/>
      <c r="R2628" s="153"/>
      <c r="S2628" s="154"/>
      <c r="T2628" s="115"/>
    </row>
    <row r="2629" spans="1:20">
      <c r="A2629" t="s">
        <v>1230</v>
      </c>
      <c r="B2629" t="s">
        <v>72</v>
      </c>
      <c r="C2629" t="s">
        <v>43</v>
      </c>
      <c r="D2629" t="s">
        <v>829</v>
      </c>
      <c r="E2629" t="s">
        <v>4168</v>
      </c>
      <c r="F2629" s="121">
        <v>1209.1199999999999</v>
      </c>
      <c r="G2629" s="121">
        <v>1209.1199999999999</v>
      </c>
      <c r="H2629" t="s">
        <v>396</v>
      </c>
      <c r="I2629" s="156">
        <v>41585</v>
      </c>
      <c r="K2629" s="153"/>
      <c r="L2629" s="153"/>
      <c r="M2629" s="153"/>
      <c r="N2629" s="153"/>
      <c r="O2629" s="153"/>
      <c r="P2629" s="150"/>
      <c r="Q2629" s="150"/>
      <c r="R2629" s="153"/>
      <c r="S2629" s="154"/>
      <c r="T2629" s="115"/>
    </row>
    <row r="2630" spans="1:20">
      <c r="A2630" t="s">
        <v>1230</v>
      </c>
      <c r="B2630" t="s">
        <v>72</v>
      </c>
      <c r="C2630" t="s">
        <v>43</v>
      </c>
      <c r="D2630" t="s">
        <v>829</v>
      </c>
      <c r="E2630" t="s">
        <v>4169</v>
      </c>
      <c r="F2630" s="121">
        <v>1209.1199999999999</v>
      </c>
      <c r="G2630" s="121">
        <v>1209.1199999999999</v>
      </c>
      <c r="H2630" t="s">
        <v>396</v>
      </c>
      <c r="I2630" s="156">
        <v>41585</v>
      </c>
      <c r="K2630" s="153"/>
      <c r="L2630" s="153"/>
      <c r="M2630" s="153"/>
      <c r="N2630" s="153"/>
      <c r="O2630" s="153"/>
      <c r="P2630" s="150"/>
      <c r="Q2630" s="150"/>
      <c r="R2630" s="153"/>
      <c r="S2630" s="154"/>
      <c r="T2630" s="151"/>
    </row>
    <row r="2631" spans="1:20">
      <c r="A2631" t="s">
        <v>1230</v>
      </c>
      <c r="B2631" t="s">
        <v>72</v>
      </c>
      <c r="C2631" t="s">
        <v>43</v>
      </c>
      <c r="D2631" t="s">
        <v>916</v>
      </c>
      <c r="E2631" t="s">
        <v>4170</v>
      </c>
      <c r="F2631" s="121">
        <v>421.52</v>
      </c>
      <c r="G2631" s="121">
        <v>421.52</v>
      </c>
      <c r="H2631" t="s">
        <v>396</v>
      </c>
      <c r="I2631" s="156">
        <v>41585</v>
      </c>
      <c r="K2631" s="153"/>
      <c r="L2631" s="153"/>
      <c r="M2631" s="153"/>
      <c r="N2631" s="153"/>
      <c r="O2631" s="153"/>
      <c r="P2631" s="150"/>
      <c r="Q2631" s="150"/>
      <c r="R2631" s="153"/>
      <c r="S2631" s="154"/>
      <c r="T2631" s="115"/>
    </row>
    <row r="2632" spans="1:20">
      <c r="A2632" t="s">
        <v>1230</v>
      </c>
      <c r="B2632" t="s">
        <v>72</v>
      </c>
      <c r="C2632" t="s">
        <v>43</v>
      </c>
      <c r="D2632" t="s">
        <v>916</v>
      </c>
      <c r="E2632" t="s">
        <v>4171</v>
      </c>
      <c r="F2632" s="121">
        <v>421.52</v>
      </c>
      <c r="G2632" s="121">
        <v>421.52</v>
      </c>
      <c r="H2632" t="s">
        <v>396</v>
      </c>
      <c r="I2632" s="156">
        <v>41585</v>
      </c>
      <c r="K2632" s="153"/>
      <c r="L2632" s="153"/>
      <c r="M2632" s="153"/>
      <c r="N2632" s="153"/>
      <c r="O2632" s="153"/>
      <c r="P2632" s="150"/>
      <c r="Q2632" s="150"/>
      <c r="R2632" s="153"/>
      <c r="S2632" s="154"/>
      <c r="T2632" s="115"/>
    </row>
    <row r="2633" spans="1:20">
      <c r="A2633" t="s">
        <v>1230</v>
      </c>
      <c r="B2633" t="s">
        <v>72</v>
      </c>
      <c r="C2633" t="s">
        <v>43</v>
      </c>
      <c r="D2633" t="s">
        <v>939</v>
      </c>
      <c r="E2633" t="s">
        <v>4172</v>
      </c>
      <c r="F2633" s="121">
        <v>1133.0999999999999</v>
      </c>
      <c r="G2633" s="121">
        <v>1133.0999999999999</v>
      </c>
      <c r="H2633" t="s">
        <v>396</v>
      </c>
      <c r="I2633" s="156">
        <v>41599</v>
      </c>
      <c r="K2633" s="153"/>
      <c r="L2633" s="153"/>
      <c r="M2633" s="153"/>
      <c r="N2633" s="153"/>
      <c r="O2633" s="153"/>
      <c r="P2633" s="150"/>
      <c r="Q2633" s="150"/>
      <c r="R2633" s="153"/>
      <c r="S2633" s="154"/>
      <c r="T2633" s="115"/>
    </row>
    <row r="2634" spans="1:20">
      <c r="A2634" t="s">
        <v>1230</v>
      </c>
      <c r="B2634" t="s">
        <v>76</v>
      </c>
      <c r="C2634" t="s">
        <v>53</v>
      </c>
      <c r="D2634" t="s">
        <v>940</v>
      </c>
      <c r="E2634" t="s">
        <v>4173</v>
      </c>
      <c r="F2634" s="121">
        <v>1550</v>
      </c>
      <c r="G2634" s="121">
        <v>1550</v>
      </c>
      <c r="H2634" t="s">
        <v>875</v>
      </c>
      <c r="I2634" s="156">
        <v>41603</v>
      </c>
      <c r="K2634" s="153"/>
      <c r="L2634" s="153"/>
      <c r="M2634" s="153"/>
      <c r="N2634" s="153"/>
      <c r="O2634" s="153"/>
      <c r="P2634" s="150"/>
      <c r="Q2634" s="150"/>
      <c r="R2634" s="153"/>
      <c r="S2634" s="154"/>
      <c r="T2634" s="115"/>
    </row>
    <row r="2635" spans="1:20">
      <c r="A2635" t="s">
        <v>1230</v>
      </c>
      <c r="B2635" t="s">
        <v>73</v>
      </c>
      <c r="C2635" t="s">
        <v>54</v>
      </c>
      <c r="D2635" t="s">
        <v>711</v>
      </c>
      <c r="E2635" t="s">
        <v>4174</v>
      </c>
      <c r="F2635" s="121">
        <v>480</v>
      </c>
      <c r="G2635" s="121">
        <v>480</v>
      </c>
      <c r="H2635" t="s">
        <v>941</v>
      </c>
      <c r="I2635" s="156">
        <v>41585</v>
      </c>
      <c r="K2635" s="153"/>
      <c r="L2635" s="153"/>
      <c r="M2635" s="153"/>
      <c r="N2635" s="153"/>
      <c r="O2635" s="153"/>
      <c r="P2635" s="150"/>
      <c r="Q2635" s="150"/>
      <c r="R2635" s="153"/>
      <c r="S2635" s="154"/>
      <c r="T2635" s="115"/>
    </row>
    <row r="2636" spans="1:20">
      <c r="A2636" t="s">
        <v>1230</v>
      </c>
      <c r="B2636" t="s">
        <v>73</v>
      </c>
      <c r="C2636" t="s">
        <v>54</v>
      </c>
      <c r="D2636" t="s">
        <v>920</v>
      </c>
      <c r="E2636" t="s">
        <v>4175</v>
      </c>
      <c r="F2636" s="121">
        <v>272.5</v>
      </c>
      <c r="G2636" s="121">
        <v>272.5</v>
      </c>
      <c r="H2636" t="s">
        <v>942</v>
      </c>
      <c r="I2636" s="156">
        <v>41586</v>
      </c>
      <c r="K2636" s="153"/>
      <c r="L2636" s="153"/>
      <c r="M2636" s="153"/>
      <c r="N2636" s="153"/>
      <c r="O2636" s="153"/>
      <c r="P2636" s="150"/>
      <c r="Q2636" s="150"/>
      <c r="R2636" s="153"/>
      <c r="S2636" s="154"/>
      <c r="T2636" s="115"/>
    </row>
    <row r="2637" spans="1:20">
      <c r="A2637" t="s">
        <v>1230</v>
      </c>
      <c r="B2637" t="s">
        <v>73</v>
      </c>
      <c r="C2637" t="s">
        <v>54</v>
      </c>
      <c r="D2637" t="s">
        <v>920</v>
      </c>
      <c r="E2637" t="s">
        <v>4176</v>
      </c>
      <c r="F2637" s="121">
        <v>272.5</v>
      </c>
      <c r="G2637" s="121">
        <v>272.5</v>
      </c>
      <c r="H2637" t="s">
        <v>942</v>
      </c>
      <c r="I2637" s="156">
        <v>41586</v>
      </c>
      <c r="K2637" s="153"/>
      <c r="L2637" s="153"/>
      <c r="M2637" s="153"/>
      <c r="N2637" s="153"/>
      <c r="O2637" s="153"/>
      <c r="P2637" s="150"/>
      <c r="Q2637" s="150"/>
      <c r="R2637" s="153"/>
      <c r="S2637" s="154"/>
      <c r="T2637" s="115"/>
    </row>
    <row r="2638" spans="1:20">
      <c r="A2638" t="s">
        <v>1230</v>
      </c>
      <c r="B2638" t="s">
        <v>76</v>
      </c>
      <c r="C2638" t="s">
        <v>55</v>
      </c>
      <c r="D2638" t="s">
        <v>943</v>
      </c>
      <c r="E2638" t="s">
        <v>4177</v>
      </c>
      <c r="F2638" s="121">
        <v>540</v>
      </c>
      <c r="G2638" s="121">
        <v>540</v>
      </c>
      <c r="H2638" t="s">
        <v>875</v>
      </c>
      <c r="I2638" s="156">
        <v>41579</v>
      </c>
      <c r="K2638" s="153"/>
      <c r="L2638" s="153"/>
      <c r="M2638" s="153"/>
      <c r="N2638" s="153"/>
      <c r="O2638" s="153"/>
      <c r="P2638" s="150"/>
      <c r="Q2638" s="150"/>
      <c r="R2638" s="153"/>
      <c r="S2638" s="154"/>
      <c r="T2638" s="115"/>
    </row>
    <row r="2639" spans="1:20">
      <c r="A2639" t="s">
        <v>1230</v>
      </c>
      <c r="B2639" t="s">
        <v>76</v>
      </c>
      <c r="C2639" t="s">
        <v>55</v>
      </c>
      <c r="D2639" t="s">
        <v>701</v>
      </c>
      <c r="E2639" t="s">
        <v>4178</v>
      </c>
      <c r="F2639" s="121">
        <v>399</v>
      </c>
      <c r="G2639" s="121">
        <v>399</v>
      </c>
      <c r="H2639" t="s">
        <v>875</v>
      </c>
      <c r="I2639" s="156">
        <v>41596</v>
      </c>
      <c r="K2639" s="153"/>
      <c r="L2639" s="153"/>
      <c r="M2639" s="153"/>
      <c r="N2639" s="153"/>
      <c r="O2639" s="153"/>
      <c r="P2639" s="150"/>
      <c r="Q2639" s="150"/>
      <c r="R2639" s="153"/>
      <c r="S2639" s="154"/>
      <c r="T2639" s="115"/>
    </row>
    <row r="2640" spans="1:20">
      <c r="A2640" t="s">
        <v>1230</v>
      </c>
      <c r="B2640" t="s">
        <v>73</v>
      </c>
      <c r="C2640" t="s">
        <v>54</v>
      </c>
      <c r="D2640" t="s">
        <v>944</v>
      </c>
      <c r="E2640" t="s">
        <v>4179</v>
      </c>
      <c r="F2640" s="121">
        <v>186.3</v>
      </c>
      <c r="G2640" s="121">
        <v>186.3</v>
      </c>
      <c r="H2640" t="s">
        <v>945</v>
      </c>
      <c r="I2640" s="156">
        <v>41579</v>
      </c>
      <c r="K2640" s="153"/>
      <c r="L2640" s="153"/>
      <c r="M2640" s="153"/>
      <c r="N2640" s="153"/>
      <c r="O2640" s="153"/>
      <c r="P2640" s="150"/>
      <c r="Q2640" s="150"/>
      <c r="R2640" s="153"/>
      <c r="S2640" s="154"/>
      <c r="T2640" s="115"/>
    </row>
    <row r="2641" spans="1:20">
      <c r="A2641" t="s">
        <v>1230</v>
      </c>
      <c r="B2641" t="s">
        <v>73</v>
      </c>
      <c r="C2641" t="s">
        <v>54</v>
      </c>
      <c r="D2641" t="s">
        <v>944</v>
      </c>
      <c r="E2641" t="s">
        <v>4180</v>
      </c>
      <c r="F2641" s="121">
        <v>186.3</v>
      </c>
      <c r="G2641" s="121">
        <v>186.3</v>
      </c>
      <c r="H2641" t="s">
        <v>442</v>
      </c>
      <c r="I2641" s="156">
        <v>41579</v>
      </c>
      <c r="K2641" s="153"/>
      <c r="L2641" s="153"/>
      <c r="M2641" s="153"/>
      <c r="N2641" s="153"/>
      <c r="O2641" s="153"/>
      <c r="P2641" s="152"/>
      <c r="Q2641" s="152"/>
      <c r="R2641" s="153"/>
      <c r="S2641" s="154"/>
      <c r="T2641" s="115"/>
    </row>
    <row r="2642" spans="1:20">
      <c r="A2642" t="s">
        <v>1230</v>
      </c>
      <c r="B2642" t="s">
        <v>73</v>
      </c>
      <c r="C2642" t="s">
        <v>54</v>
      </c>
      <c r="D2642" t="s">
        <v>944</v>
      </c>
      <c r="E2642" t="s">
        <v>4181</v>
      </c>
      <c r="F2642" s="121">
        <v>186.3</v>
      </c>
      <c r="G2642" s="121">
        <v>186.3</v>
      </c>
      <c r="H2642" t="s">
        <v>946</v>
      </c>
      <c r="I2642" s="156">
        <v>41579</v>
      </c>
      <c r="K2642" s="153"/>
      <c r="L2642" s="153"/>
      <c r="M2642" s="153"/>
      <c r="N2642" s="153"/>
      <c r="O2642" s="153"/>
      <c r="P2642" s="152"/>
      <c r="Q2642" s="152"/>
      <c r="R2642" s="153"/>
      <c r="S2642" s="154"/>
      <c r="T2642" s="115"/>
    </row>
    <row r="2643" spans="1:20">
      <c r="A2643" t="s">
        <v>1230</v>
      </c>
      <c r="B2643" t="s">
        <v>73</v>
      </c>
      <c r="C2643" t="s">
        <v>54</v>
      </c>
      <c r="D2643" t="s">
        <v>947</v>
      </c>
      <c r="E2643" t="s">
        <v>4182</v>
      </c>
      <c r="F2643" s="121">
        <v>235.75</v>
      </c>
      <c r="G2643" s="121">
        <v>235.75</v>
      </c>
      <c r="H2643" t="s">
        <v>945</v>
      </c>
      <c r="I2643" s="156">
        <v>41579</v>
      </c>
      <c r="K2643" s="153"/>
      <c r="L2643" s="153"/>
      <c r="M2643" s="153"/>
      <c r="N2643" s="153"/>
      <c r="O2643" s="153"/>
      <c r="P2643" s="152"/>
      <c r="Q2643" s="152"/>
      <c r="R2643" s="153"/>
      <c r="S2643" s="154"/>
      <c r="T2643" s="151"/>
    </row>
    <row r="2644" spans="1:20">
      <c r="A2644" t="s">
        <v>1230</v>
      </c>
      <c r="B2644" t="s">
        <v>73</v>
      </c>
      <c r="C2644" t="s">
        <v>43</v>
      </c>
      <c r="D2644" t="s">
        <v>661</v>
      </c>
      <c r="E2644" t="s">
        <v>4183</v>
      </c>
      <c r="F2644" s="121">
        <v>1139.05</v>
      </c>
      <c r="G2644" s="121">
        <v>1139.05</v>
      </c>
      <c r="H2644" t="s">
        <v>875</v>
      </c>
      <c r="I2644" s="156">
        <v>41579</v>
      </c>
      <c r="K2644" s="153"/>
      <c r="L2644" s="153"/>
      <c r="M2644" s="153"/>
      <c r="N2644" s="153"/>
      <c r="O2644" s="153"/>
      <c r="P2644" s="150"/>
      <c r="Q2644" s="150"/>
      <c r="R2644" s="153"/>
      <c r="S2644" s="154"/>
      <c r="T2644" s="151"/>
    </row>
    <row r="2645" spans="1:20">
      <c r="A2645" t="s">
        <v>1230</v>
      </c>
      <c r="B2645" t="s">
        <v>1012</v>
      </c>
      <c r="C2645" t="s">
        <v>55</v>
      </c>
      <c r="D2645" t="s">
        <v>948</v>
      </c>
      <c r="E2645" t="s">
        <v>4184</v>
      </c>
      <c r="F2645" s="121">
        <v>1078</v>
      </c>
      <c r="G2645" s="121">
        <v>1078</v>
      </c>
      <c r="H2645" t="s">
        <v>942</v>
      </c>
      <c r="I2645" s="156">
        <v>41605</v>
      </c>
      <c r="K2645" s="153"/>
      <c r="L2645" s="153"/>
      <c r="M2645" s="153"/>
      <c r="N2645" s="153"/>
      <c r="O2645" s="153"/>
      <c r="P2645" s="150"/>
      <c r="Q2645" s="150"/>
      <c r="R2645" s="153"/>
      <c r="S2645" s="154"/>
      <c r="T2645" s="115"/>
    </row>
    <row r="2646" spans="1:20">
      <c r="A2646" t="s">
        <v>1230</v>
      </c>
      <c r="B2646" t="s">
        <v>1012</v>
      </c>
      <c r="C2646" t="s">
        <v>55</v>
      </c>
      <c r="D2646" t="s">
        <v>905</v>
      </c>
      <c r="E2646" t="s">
        <v>4185</v>
      </c>
      <c r="F2646" s="121">
        <v>392</v>
      </c>
      <c r="G2646" s="121">
        <v>392</v>
      </c>
      <c r="H2646" t="s">
        <v>942</v>
      </c>
      <c r="I2646" s="156">
        <v>41605</v>
      </c>
      <c r="K2646" s="153"/>
      <c r="L2646" s="153"/>
      <c r="M2646" s="153"/>
      <c r="N2646" s="153"/>
      <c r="O2646" s="153"/>
      <c r="P2646" s="152"/>
      <c r="Q2646" s="152"/>
      <c r="R2646" s="153"/>
      <c r="S2646" s="154"/>
      <c r="T2646" s="115"/>
    </row>
    <row r="2647" spans="1:20">
      <c r="A2647" t="s">
        <v>1230</v>
      </c>
      <c r="B2647" t="s">
        <v>1012</v>
      </c>
      <c r="C2647" t="s">
        <v>55</v>
      </c>
      <c r="D2647" t="s">
        <v>949</v>
      </c>
      <c r="E2647" t="s">
        <v>4186</v>
      </c>
      <c r="F2647" s="121">
        <v>715</v>
      </c>
      <c r="G2647" s="121">
        <v>715</v>
      </c>
      <c r="H2647" t="s">
        <v>942</v>
      </c>
      <c r="I2647" s="156">
        <v>41605</v>
      </c>
      <c r="K2647" s="153"/>
      <c r="L2647" s="153"/>
      <c r="M2647" s="153"/>
      <c r="N2647" s="153"/>
      <c r="O2647" s="153"/>
      <c r="P2647" s="152"/>
      <c r="Q2647" s="152"/>
      <c r="R2647" s="153"/>
      <c r="S2647" s="154"/>
      <c r="T2647" s="115"/>
    </row>
    <row r="2648" spans="1:20">
      <c r="A2648" t="s">
        <v>1230</v>
      </c>
      <c r="B2648" t="s">
        <v>73</v>
      </c>
      <c r="C2648" t="s">
        <v>55</v>
      </c>
      <c r="D2648" t="s">
        <v>779</v>
      </c>
      <c r="E2648" t="s">
        <v>4187</v>
      </c>
      <c r="F2648" s="121">
        <v>1075</v>
      </c>
      <c r="G2648" s="121">
        <v>1075</v>
      </c>
      <c r="H2648" t="s">
        <v>457</v>
      </c>
      <c r="I2648" s="156">
        <v>41599</v>
      </c>
      <c r="K2648" s="153"/>
      <c r="L2648" s="153"/>
      <c r="M2648" s="153"/>
      <c r="N2648" s="153"/>
      <c r="O2648" s="153"/>
      <c r="P2648" s="152"/>
      <c r="Q2648" s="152"/>
      <c r="R2648" s="153"/>
      <c r="S2648" s="154"/>
      <c r="T2648" s="115"/>
    </row>
    <row r="2649" spans="1:20">
      <c r="A2649" t="s">
        <v>1230</v>
      </c>
      <c r="B2649" t="s">
        <v>73</v>
      </c>
      <c r="C2649" t="s">
        <v>55</v>
      </c>
      <c r="D2649" t="s">
        <v>779</v>
      </c>
      <c r="E2649" t="s">
        <v>4188</v>
      </c>
      <c r="F2649" s="121">
        <v>1075</v>
      </c>
      <c r="G2649" s="121">
        <v>1075</v>
      </c>
      <c r="H2649" t="s">
        <v>457</v>
      </c>
      <c r="I2649" s="156">
        <v>41599</v>
      </c>
      <c r="K2649" s="153"/>
      <c r="L2649" s="153"/>
      <c r="M2649" s="153"/>
      <c r="N2649" s="153"/>
      <c r="O2649" s="153"/>
      <c r="P2649" s="152"/>
      <c r="Q2649" s="152"/>
      <c r="R2649" s="153"/>
      <c r="S2649" s="154"/>
      <c r="T2649" s="151"/>
    </row>
    <row r="2650" spans="1:20">
      <c r="A2650" t="s">
        <v>1230</v>
      </c>
      <c r="B2650" t="s">
        <v>73</v>
      </c>
      <c r="C2650" t="s">
        <v>55</v>
      </c>
      <c r="D2650" t="s">
        <v>779</v>
      </c>
      <c r="E2650" t="s">
        <v>4189</v>
      </c>
      <c r="F2650" s="121">
        <v>1075</v>
      </c>
      <c r="G2650" s="121">
        <v>1075</v>
      </c>
      <c r="H2650" t="s">
        <v>457</v>
      </c>
      <c r="I2650" s="156">
        <v>41599</v>
      </c>
      <c r="K2650" s="153"/>
      <c r="L2650" s="153"/>
      <c r="M2650" s="153"/>
      <c r="N2650" s="153"/>
      <c r="O2650" s="153"/>
      <c r="P2650" s="152"/>
      <c r="Q2650" s="152"/>
      <c r="R2650" s="153"/>
      <c r="S2650" s="154"/>
      <c r="T2650" s="115"/>
    </row>
    <row r="2651" spans="1:20">
      <c r="A2651" t="s">
        <v>1230</v>
      </c>
      <c r="B2651" t="s">
        <v>73</v>
      </c>
      <c r="C2651" t="s">
        <v>55</v>
      </c>
      <c r="D2651" t="s">
        <v>779</v>
      </c>
      <c r="E2651" t="s">
        <v>4190</v>
      </c>
      <c r="F2651" s="121">
        <v>1075</v>
      </c>
      <c r="G2651" s="121">
        <v>1075</v>
      </c>
      <c r="H2651" t="s">
        <v>457</v>
      </c>
      <c r="I2651" s="156">
        <v>41599</v>
      </c>
      <c r="K2651" s="153"/>
      <c r="L2651" s="153"/>
      <c r="M2651" s="153"/>
      <c r="N2651" s="153"/>
      <c r="O2651" s="153"/>
      <c r="P2651" s="152"/>
      <c r="Q2651" s="152"/>
      <c r="R2651" s="153"/>
      <c r="S2651" s="154"/>
      <c r="T2651" s="115"/>
    </row>
    <row r="2652" spans="1:20">
      <c r="A2652" t="s">
        <v>1230</v>
      </c>
      <c r="B2652" t="s">
        <v>73</v>
      </c>
      <c r="C2652" t="s">
        <v>55</v>
      </c>
      <c r="D2652" t="s">
        <v>779</v>
      </c>
      <c r="E2652" t="s">
        <v>4191</v>
      </c>
      <c r="F2652" s="121">
        <v>1075</v>
      </c>
      <c r="G2652" s="121">
        <v>1075</v>
      </c>
      <c r="H2652" t="s">
        <v>457</v>
      </c>
      <c r="I2652" s="156">
        <v>41599</v>
      </c>
      <c r="K2652" s="153"/>
      <c r="L2652" s="153"/>
      <c r="M2652" s="153"/>
      <c r="N2652" s="153"/>
      <c r="O2652" s="153"/>
      <c r="P2652" s="152"/>
      <c r="Q2652" s="152"/>
      <c r="R2652" s="153"/>
      <c r="S2652" s="154"/>
      <c r="T2652" s="115"/>
    </row>
    <row r="2653" spans="1:20">
      <c r="A2653" t="s">
        <v>1230</v>
      </c>
      <c r="B2653" t="s">
        <v>73</v>
      </c>
      <c r="C2653" t="s">
        <v>55</v>
      </c>
      <c r="D2653" t="s">
        <v>779</v>
      </c>
      <c r="E2653" t="s">
        <v>4192</v>
      </c>
      <c r="F2653" s="121">
        <v>1075</v>
      </c>
      <c r="G2653" s="121">
        <v>1075</v>
      </c>
      <c r="H2653" t="s">
        <v>457</v>
      </c>
      <c r="I2653" s="156">
        <v>41599</v>
      </c>
      <c r="K2653" s="153"/>
      <c r="L2653" s="153"/>
      <c r="M2653" s="153"/>
      <c r="N2653" s="153"/>
      <c r="O2653" s="153"/>
      <c r="P2653" s="150"/>
      <c r="Q2653" s="150"/>
      <c r="R2653" s="153"/>
      <c r="S2653" s="154"/>
      <c r="T2653" s="115"/>
    </row>
    <row r="2654" spans="1:20">
      <c r="A2654" t="s">
        <v>1230</v>
      </c>
      <c r="B2654" t="s">
        <v>73</v>
      </c>
      <c r="C2654" t="s">
        <v>55</v>
      </c>
      <c r="D2654" t="s">
        <v>910</v>
      </c>
      <c r="E2654" t="s">
        <v>4193</v>
      </c>
      <c r="F2654" s="121">
        <v>1075</v>
      </c>
      <c r="G2654" s="121">
        <v>1075</v>
      </c>
      <c r="H2654" t="s">
        <v>457</v>
      </c>
      <c r="I2654" s="156">
        <v>41599</v>
      </c>
      <c r="K2654" s="153"/>
      <c r="L2654" s="153"/>
      <c r="M2654" s="153"/>
      <c r="N2654" s="153"/>
      <c r="O2654" s="153"/>
      <c r="P2654" s="152"/>
      <c r="Q2654" s="152"/>
      <c r="R2654" s="153"/>
      <c r="S2654" s="154"/>
      <c r="T2654" s="151"/>
    </row>
    <row r="2655" spans="1:20">
      <c r="A2655" t="s">
        <v>1230</v>
      </c>
      <c r="B2655" t="s">
        <v>73</v>
      </c>
      <c r="C2655" t="s">
        <v>55</v>
      </c>
      <c r="D2655" t="s">
        <v>910</v>
      </c>
      <c r="E2655" t="s">
        <v>4194</v>
      </c>
      <c r="F2655" s="121">
        <v>1075</v>
      </c>
      <c r="G2655" s="121">
        <v>1075</v>
      </c>
      <c r="H2655" t="s">
        <v>452</v>
      </c>
      <c r="I2655" s="156">
        <v>41599</v>
      </c>
      <c r="K2655" s="153"/>
      <c r="L2655" s="153"/>
      <c r="M2655" s="153"/>
      <c r="N2655" s="153"/>
      <c r="O2655" s="153"/>
      <c r="P2655" s="152"/>
      <c r="Q2655" s="152"/>
      <c r="R2655" s="153"/>
      <c r="S2655" s="154"/>
      <c r="T2655" s="151"/>
    </row>
    <row r="2656" spans="1:20">
      <c r="A2656" t="s">
        <v>1230</v>
      </c>
      <c r="B2656" t="s">
        <v>72</v>
      </c>
      <c r="C2656" t="s">
        <v>53</v>
      </c>
      <c r="D2656" t="s">
        <v>950</v>
      </c>
      <c r="E2656" t="s">
        <v>4195</v>
      </c>
      <c r="F2656" s="121">
        <v>2275</v>
      </c>
      <c r="G2656" s="121">
        <v>2275</v>
      </c>
      <c r="H2656" t="s">
        <v>804</v>
      </c>
      <c r="I2656" s="156">
        <v>41579</v>
      </c>
      <c r="K2656" s="153"/>
      <c r="L2656" s="153"/>
      <c r="M2656" s="153"/>
      <c r="N2656" s="153"/>
      <c r="O2656" s="153"/>
      <c r="P2656" s="152"/>
      <c r="Q2656" s="152"/>
      <c r="R2656" s="153"/>
      <c r="S2656" s="154"/>
      <c r="T2656" s="151"/>
    </row>
    <row r="2657" spans="1:20">
      <c r="A2657" t="s">
        <v>1230</v>
      </c>
      <c r="B2657" t="s">
        <v>72</v>
      </c>
      <c r="C2657" t="s">
        <v>51</v>
      </c>
      <c r="D2657" t="s">
        <v>762</v>
      </c>
      <c r="E2657" t="s">
        <v>4196</v>
      </c>
      <c r="F2657" s="121">
        <v>650</v>
      </c>
      <c r="G2657" s="121">
        <v>650</v>
      </c>
      <c r="H2657" t="s">
        <v>396</v>
      </c>
      <c r="I2657" s="156">
        <v>41585</v>
      </c>
      <c r="K2657" s="153"/>
      <c r="L2657" s="153"/>
      <c r="M2657" s="153"/>
      <c r="N2657" s="153"/>
      <c r="O2657" s="153"/>
      <c r="P2657" s="152"/>
      <c r="Q2657" s="152"/>
      <c r="R2657" s="153"/>
      <c r="S2657" s="154"/>
      <c r="T2657" s="151"/>
    </row>
    <row r="2658" spans="1:20">
      <c r="A2658" t="s">
        <v>1230</v>
      </c>
      <c r="B2658" t="s">
        <v>72</v>
      </c>
      <c r="C2658" t="s">
        <v>51</v>
      </c>
      <c r="D2658" t="s">
        <v>762</v>
      </c>
      <c r="E2658" t="s">
        <v>4197</v>
      </c>
      <c r="F2658" s="121">
        <v>650</v>
      </c>
      <c r="G2658" s="121">
        <v>650</v>
      </c>
      <c r="H2658" t="s">
        <v>396</v>
      </c>
      <c r="I2658" s="156">
        <v>41585</v>
      </c>
      <c r="K2658" s="153"/>
      <c r="L2658" s="153"/>
      <c r="M2658" s="153"/>
      <c r="N2658" s="153"/>
      <c r="O2658" s="153"/>
      <c r="P2658" s="152"/>
      <c r="Q2658" s="152"/>
      <c r="R2658" s="153"/>
      <c r="S2658" s="154"/>
      <c r="T2658" s="151"/>
    </row>
    <row r="2659" spans="1:20">
      <c r="A2659" t="s">
        <v>1230</v>
      </c>
      <c r="B2659" t="s">
        <v>72</v>
      </c>
      <c r="C2659" t="s">
        <v>51</v>
      </c>
      <c r="D2659" t="s">
        <v>761</v>
      </c>
      <c r="E2659" t="s">
        <v>4198</v>
      </c>
      <c r="F2659" s="121">
        <v>6400</v>
      </c>
      <c r="G2659" s="121">
        <v>6400</v>
      </c>
      <c r="H2659" t="s">
        <v>396</v>
      </c>
      <c r="I2659" s="156">
        <v>41585</v>
      </c>
      <c r="K2659" s="153"/>
      <c r="L2659" s="153"/>
      <c r="M2659" s="153"/>
      <c r="N2659" s="153"/>
      <c r="O2659" s="153"/>
      <c r="P2659" s="152"/>
      <c r="Q2659" s="152"/>
      <c r="R2659" s="153"/>
      <c r="S2659" s="154"/>
      <c r="T2659" s="151"/>
    </row>
    <row r="2660" spans="1:20">
      <c r="A2660" t="s">
        <v>1230</v>
      </c>
      <c r="B2660" t="s">
        <v>72</v>
      </c>
      <c r="C2660" t="s">
        <v>51</v>
      </c>
      <c r="D2660" t="s">
        <v>761</v>
      </c>
      <c r="E2660" t="s">
        <v>4199</v>
      </c>
      <c r="F2660" s="121">
        <v>6400</v>
      </c>
      <c r="G2660" s="121">
        <v>6400</v>
      </c>
      <c r="H2660" t="s">
        <v>396</v>
      </c>
      <c r="I2660" s="156">
        <v>41585</v>
      </c>
      <c r="K2660" s="153"/>
      <c r="L2660" s="153"/>
      <c r="M2660" s="153"/>
      <c r="N2660" s="153"/>
      <c r="O2660" s="153"/>
      <c r="P2660" s="152"/>
      <c r="Q2660" s="152"/>
      <c r="R2660" s="153"/>
      <c r="S2660" s="154"/>
      <c r="T2660" s="151"/>
    </row>
    <row r="2661" spans="1:20">
      <c r="A2661" t="s">
        <v>1230</v>
      </c>
      <c r="B2661" t="s">
        <v>73</v>
      </c>
      <c r="C2661" t="s">
        <v>43</v>
      </c>
      <c r="D2661" t="s">
        <v>951</v>
      </c>
      <c r="E2661" t="s">
        <v>4200</v>
      </c>
      <c r="F2661" s="121">
        <v>2366.88</v>
      </c>
      <c r="G2661" s="121">
        <v>2366.88</v>
      </c>
      <c r="H2661" t="s">
        <v>396</v>
      </c>
      <c r="I2661" s="156">
        <v>41618</v>
      </c>
      <c r="K2661" s="153"/>
      <c r="L2661" s="153"/>
      <c r="M2661" s="153"/>
      <c r="N2661" s="153"/>
      <c r="O2661" s="153"/>
      <c r="P2661" s="152"/>
      <c r="Q2661" s="152"/>
      <c r="R2661" s="153"/>
      <c r="S2661" s="154"/>
      <c r="T2661" s="151"/>
    </row>
    <row r="2662" spans="1:20">
      <c r="A2662" t="s">
        <v>1230</v>
      </c>
      <c r="B2662" t="s">
        <v>76</v>
      </c>
      <c r="C2662" t="s">
        <v>55</v>
      </c>
      <c r="D2662" t="s">
        <v>910</v>
      </c>
      <c r="E2662" t="s">
        <v>4201</v>
      </c>
      <c r="F2662" s="121">
        <v>1315.68</v>
      </c>
      <c r="G2662" s="121">
        <v>1315.68</v>
      </c>
      <c r="H2662" t="s">
        <v>875</v>
      </c>
      <c r="I2662" s="156">
        <v>41631</v>
      </c>
      <c r="K2662" s="153"/>
      <c r="L2662" s="153"/>
      <c r="M2662" s="153"/>
      <c r="N2662" s="153"/>
      <c r="O2662" s="153"/>
      <c r="P2662" s="152"/>
      <c r="Q2662" s="152"/>
      <c r="R2662" s="153"/>
      <c r="S2662" s="154"/>
      <c r="T2662" s="151"/>
    </row>
    <row r="2663" spans="1:20">
      <c r="A2663" t="s">
        <v>1230</v>
      </c>
      <c r="B2663" t="s">
        <v>76</v>
      </c>
      <c r="C2663" t="s">
        <v>55</v>
      </c>
      <c r="D2663" t="s">
        <v>910</v>
      </c>
      <c r="E2663" t="s">
        <v>4202</v>
      </c>
      <c r="F2663" s="121">
        <v>1315.68</v>
      </c>
      <c r="G2663" s="121">
        <v>1315.68</v>
      </c>
      <c r="H2663" t="s">
        <v>875</v>
      </c>
      <c r="I2663" s="156">
        <v>41631</v>
      </c>
      <c r="K2663" s="153"/>
      <c r="L2663" s="153"/>
      <c r="M2663" s="153"/>
      <c r="N2663" s="153"/>
      <c r="O2663" s="153"/>
      <c r="P2663" s="150"/>
      <c r="Q2663" s="150"/>
      <c r="R2663" s="153"/>
      <c r="S2663" s="154"/>
      <c r="T2663" s="151"/>
    </row>
    <row r="2664" spans="1:20">
      <c r="A2664" t="s">
        <v>1230</v>
      </c>
      <c r="B2664" t="s">
        <v>76</v>
      </c>
      <c r="C2664" t="s">
        <v>55</v>
      </c>
      <c r="D2664" t="s">
        <v>952</v>
      </c>
      <c r="E2664" t="s">
        <v>4203</v>
      </c>
      <c r="F2664" s="121">
        <v>57.25</v>
      </c>
      <c r="G2664" s="121">
        <v>57.25</v>
      </c>
      <c r="H2664" t="s">
        <v>875</v>
      </c>
      <c r="I2664" s="156">
        <v>41631</v>
      </c>
      <c r="K2664" s="153"/>
      <c r="L2664" s="153"/>
      <c r="M2664" s="153"/>
      <c r="N2664" s="153"/>
      <c r="O2664" s="153"/>
      <c r="P2664" s="152"/>
      <c r="Q2664" s="152"/>
      <c r="R2664" s="153"/>
      <c r="S2664" s="154"/>
      <c r="T2664" s="151"/>
    </row>
    <row r="2665" spans="1:20">
      <c r="A2665" t="s">
        <v>1230</v>
      </c>
      <c r="B2665" t="s">
        <v>76</v>
      </c>
      <c r="C2665" t="s">
        <v>55</v>
      </c>
      <c r="D2665" t="s">
        <v>952</v>
      </c>
      <c r="E2665" t="s">
        <v>4204</v>
      </c>
      <c r="F2665" s="121">
        <v>57.25</v>
      </c>
      <c r="G2665" s="121">
        <v>57.25</v>
      </c>
      <c r="H2665" t="s">
        <v>875</v>
      </c>
      <c r="I2665" s="156">
        <v>41631</v>
      </c>
      <c r="K2665" s="153"/>
      <c r="L2665" s="153"/>
      <c r="M2665" s="153"/>
      <c r="N2665" s="153"/>
      <c r="O2665" s="153"/>
      <c r="P2665" s="150"/>
      <c r="Q2665" s="150"/>
      <c r="R2665" s="153"/>
      <c r="S2665" s="154"/>
      <c r="T2665" s="115"/>
    </row>
    <row r="2666" spans="1:20">
      <c r="A2666" t="s">
        <v>1230</v>
      </c>
      <c r="B2666" t="s">
        <v>76</v>
      </c>
      <c r="C2666" t="s">
        <v>55</v>
      </c>
      <c r="D2666" t="s">
        <v>952</v>
      </c>
      <c r="E2666" t="s">
        <v>4205</v>
      </c>
      <c r="F2666" s="121">
        <v>57.25</v>
      </c>
      <c r="G2666" s="121">
        <v>57.25</v>
      </c>
      <c r="H2666" t="s">
        <v>875</v>
      </c>
      <c r="I2666" s="156">
        <v>41631</v>
      </c>
      <c r="K2666" s="153"/>
      <c r="L2666" s="153"/>
      <c r="M2666" s="153"/>
      <c r="N2666" s="153"/>
      <c r="O2666" s="153"/>
      <c r="P2666" s="150"/>
      <c r="Q2666" s="150"/>
      <c r="R2666" s="153"/>
      <c r="S2666" s="154"/>
      <c r="T2666" s="115"/>
    </row>
    <row r="2667" spans="1:20">
      <c r="A2667" t="s">
        <v>1230</v>
      </c>
      <c r="B2667" t="s">
        <v>76</v>
      </c>
      <c r="C2667" t="s">
        <v>55</v>
      </c>
      <c r="D2667" t="s">
        <v>952</v>
      </c>
      <c r="E2667" t="s">
        <v>4206</v>
      </c>
      <c r="F2667" s="121">
        <v>57.25</v>
      </c>
      <c r="G2667" s="121">
        <v>57.25</v>
      </c>
      <c r="H2667" t="s">
        <v>875</v>
      </c>
      <c r="I2667" s="156">
        <v>41631</v>
      </c>
      <c r="K2667" s="153"/>
      <c r="L2667" s="153"/>
      <c r="M2667" s="153"/>
      <c r="N2667" s="153"/>
      <c r="O2667" s="153"/>
      <c r="P2667" s="152"/>
      <c r="Q2667" s="152"/>
      <c r="R2667" s="153"/>
      <c r="S2667" s="154"/>
      <c r="T2667" s="115"/>
    </row>
    <row r="2668" spans="1:20">
      <c r="A2668" t="s">
        <v>1230</v>
      </c>
      <c r="B2668" t="s">
        <v>76</v>
      </c>
      <c r="C2668" t="s">
        <v>55</v>
      </c>
      <c r="D2668" t="s">
        <v>952</v>
      </c>
      <c r="E2668" t="s">
        <v>4207</v>
      </c>
      <c r="F2668" s="121">
        <v>57.25</v>
      </c>
      <c r="G2668" s="121">
        <v>57.25</v>
      </c>
      <c r="H2668" t="s">
        <v>875</v>
      </c>
      <c r="I2668" s="156">
        <v>41631</v>
      </c>
      <c r="K2668" s="153"/>
      <c r="L2668" s="153"/>
      <c r="M2668" s="153"/>
      <c r="N2668" s="153"/>
      <c r="O2668" s="153"/>
      <c r="P2668" s="152"/>
      <c r="Q2668" s="152"/>
      <c r="R2668" s="153"/>
      <c r="S2668" s="154"/>
      <c r="T2668" s="115"/>
    </row>
    <row r="2669" spans="1:20">
      <c r="A2669" t="s">
        <v>1230</v>
      </c>
      <c r="B2669" t="s">
        <v>76</v>
      </c>
      <c r="C2669" t="s">
        <v>55</v>
      </c>
      <c r="D2669" t="s">
        <v>952</v>
      </c>
      <c r="E2669" t="s">
        <v>4208</v>
      </c>
      <c r="F2669" s="121">
        <v>57.25</v>
      </c>
      <c r="G2669" s="121">
        <v>57.25</v>
      </c>
      <c r="H2669" t="s">
        <v>875</v>
      </c>
      <c r="I2669" s="156">
        <v>41631</v>
      </c>
      <c r="K2669" s="153"/>
      <c r="L2669" s="153"/>
      <c r="M2669" s="153"/>
      <c r="N2669" s="153"/>
      <c r="O2669" s="153"/>
      <c r="P2669" s="152"/>
      <c r="Q2669" s="152"/>
      <c r="R2669" s="153"/>
      <c r="S2669" s="154"/>
      <c r="T2669" s="115"/>
    </row>
    <row r="2670" spans="1:20">
      <c r="A2670" t="s">
        <v>1230</v>
      </c>
      <c r="B2670" t="s">
        <v>76</v>
      </c>
      <c r="C2670" t="s">
        <v>55</v>
      </c>
      <c r="D2670" t="s">
        <v>952</v>
      </c>
      <c r="E2670" t="s">
        <v>4209</v>
      </c>
      <c r="F2670" s="121">
        <v>57.25</v>
      </c>
      <c r="G2670" s="121">
        <v>57.25</v>
      </c>
      <c r="H2670" t="s">
        <v>875</v>
      </c>
      <c r="I2670" s="156">
        <v>41631</v>
      </c>
      <c r="K2670" s="153"/>
      <c r="L2670" s="153"/>
      <c r="M2670" s="153"/>
      <c r="N2670" s="153"/>
      <c r="O2670" s="153"/>
      <c r="P2670" s="152"/>
      <c r="Q2670" s="152"/>
      <c r="R2670" s="153"/>
      <c r="S2670" s="154"/>
      <c r="T2670" s="115"/>
    </row>
    <row r="2671" spans="1:20">
      <c r="A2671" t="s">
        <v>1230</v>
      </c>
      <c r="B2671" t="s">
        <v>76</v>
      </c>
      <c r="C2671" t="s">
        <v>55</v>
      </c>
      <c r="D2671" t="s">
        <v>952</v>
      </c>
      <c r="E2671" t="s">
        <v>4210</v>
      </c>
      <c r="F2671" s="121">
        <v>57.25</v>
      </c>
      <c r="G2671" s="121">
        <v>57.25</v>
      </c>
      <c r="H2671" t="s">
        <v>875</v>
      </c>
      <c r="I2671" s="156">
        <v>41631</v>
      </c>
      <c r="K2671" s="153"/>
      <c r="L2671" s="153"/>
      <c r="M2671" s="153"/>
      <c r="N2671" s="153"/>
      <c r="O2671" s="153"/>
      <c r="P2671" s="152"/>
      <c r="Q2671" s="152"/>
      <c r="R2671" s="153"/>
      <c r="S2671" s="154"/>
      <c r="T2671" s="115"/>
    </row>
    <row r="2672" spans="1:20">
      <c r="A2672" t="s">
        <v>1230</v>
      </c>
      <c r="B2672" t="s">
        <v>76</v>
      </c>
      <c r="C2672" t="s">
        <v>55</v>
      </c>
      <c r="D2672" t="s">
        <v>953</v>
      </c>
      <c r="E2672" t="s">
        <v>4211</v>
      </c>
      <c r="F2672" s="121">
        <v>1975</v>
      </c>
      <c r="G2672" s="121">
        <v>1975</v>
      </c>
      <c r="H2672" t="s">
        <v>875</v>
      </c>
      <c r="I2672" s="156">
        <v>41631</v>
      </c>
      <c r="K2672" s="153"/>
      <c r="L2672" s="153"/>
      <c r="M2672" s="153"/>
      <c r="N2672" s="153"/>
      <c r="O2672" s="153"/>
      <c r="P2672" s="152"/>
      <c r="Q2672" s="152"/>
      <c r="R2672" s="153"/>
      <c r="S2672" s="154"/>
      <c r="T2672" s="115"/>
    </row>
    <row r="2673" spans="1:20">
      <c r="A2673" t="s">
        <v>1230</v>
      </c>
      <c r="B2673" t="s">
        <v>76</v>
      </c>
      <c r="C2673" t="s">
        <v>55</v>
      </c>
      <c r="D2673" t="s">
        <v>953</v>
      </c>
      <c r="E2673" t="s">
        <v>4212</v>
      </c>
      <c r="F2673" s="121">
        <v>1975</v>
      </c>
      <c r="G2673" s="121">
        <v>1975</v>
      </c>
      <c r="H2673" t="s">
        <v>875</v>
      </c>
      <c r="I2673" s="156">
        <v>41631</v>
      </c>
      <c r="K2673" s="153"/>
      <c r="L2673" s="153"/>
      <c r="M2673" s="153"/>
      <c r="N2673" s="153"/>
      <c r="O2673" s="153"/>
      <c r="P2673" s="152"/>
      <c r="Q2673" s="152"/>
      <c r="R2673" s="153"/>
      <c r="S2673" s="154"/>
      <c r="T2673" s="115"/>
    </row>
    <row r="2674" spans="1:20">
      <c r="A2674" t="s">
        <v>1230</v>
      </c>
      <c r="B2674" t="s">
        <v>76</v>
      </c>
      <c r="C2674" t="s">
        <v>55</v>
      </c>
      <c r="D2674" t="s">
        <v>954</v>
      </c>
      <c r="E2674" t="s">
        <v>4213</v>
      </c>
      <c r="F2674" s="121">
        <v>730.14</v>
      </c>
      <c r="G2674" s="121">
        <v>730.14</v>
      </c>
      <c r="H2674" t="s">
        <v>875</v>
      </c>
      <c r="I2674" s="156">
        <v>41631</v>
      </c>
      <c r="K2674" s="153"/>
      <c r="L2674" s="153"/>
      <c r="M2674" s="153"/>
      <c r="N2674" s="153"/>
      <c r="O2674" s="153"/>
      <c r="P2674" s="152"/>
      <c r="Q2674" s="152"/>
      <c r="R2674" s="153"/>
      <c r="S2674" s="154"/>
      <c r="T2674" s="115"/>
    </row>
    <row r="2675" spans="1:20">
      <c r="A2675" t="s">
        <v>1230</v>
      </c>
      <c r="B2675" t="s">
        <v>76</v>
      </c>
      <c r="C2675" t="s">
        <v>55</v>
      </c>
      <c r="D2675" t="s">
        <v>954</v>
      </c>
      <c r="E2675" t="s">
        <v>4214</v>
      </c>
      <c r="F2675" s="121">
        <v>730.14</v>
      </c>
      <c r="G2675" s="121">
        <v>730.14</v>
      </c>
      <c r="H2675" t="s">
        <v>875</v>
      </c>
      <c r="I2675" s="156">
        <v>41631</v>
      </c>
      <c r="K2675" s="153"/>
      <c r="L2675" s="153"/>
      <c r="M2675" s="153"/>
      <c r="N2675" s="153"/>
      <c r="O2675" s="153"/>
      <c r="P2675" s="152"/>
      <c r="Q2675" s="152"/>
      <c r="R2675" s="153"/>
      <c r="S2675" s="154"/>
      <c r="T2675" s="115"/>
    </row>
    <row r="2676" spans="1:20">
      <c r="A2676" t="s">
        <v>1230</v>
      </c>
      <c r="B2676" t="s">
        <v>76</v>
      </c>
      <c r="C2676" t="s">
        <v>55</v>
      </c>
      <c r="D2676" t="s">
        <v>955</v>
      </c>
      <c r="E2676" t="s">
        <v>4215</v>
      </c>
      <c r="F2676" s="121">
        <v>297.27999999999997</v>
      </c>
      <c r="G2676" s="121">
        <v>297.27999999999997</v>
      </c>
      <c r="H2676" t="s">
        <v>875</v>
      </c>
      <c r="I2676" s="156">
        <v>41631</v>
      </c>
      <c r="K2676" s="153"/>
      <c r="L2676" s="153"/>
      <c r="M2676" s="153"/>
      <c r="N2676" s="153"/>
      <c r="O2676" s="153"/>
      <c r="P2676" s="150"/>
      <c r="Q2676" s="150"/>
      <c r="R2676" s="153"/>
      <c r="S2676" s="154"/>
      <c r="T2676" s="115"/>
    </row>
    <row r="2677" spans="1:20">
      <c r="A2677" t="s">
        <v>1230</v>
      </c>
      <c r="B2677" t="s">
        <v>76</v>
      </c>
      <c r="C2677" t="s">
        <v>55</v>
      </c>
      <c r="D2677" t="s">
        <v>956</v>
      </c>
      <c r="E2677" t="s">
        <v>4216</v>
      </c>
      <c r="F2677" s="121">
        <v>445.93</v>
      </c>
      <c r="G2677" s="121">
        <v>445.93</v>
      </c>
      <c r="H2677" t="s">
        <v>875</v>
      </c>
      <c r="I2677" s="156">
        <v>41631</v>
      </c>
      <c r="K2677" s="153"/>
      <c r="L2677" s="153"/>
      <c r="M2677" s="153"/>
      <c r="N2677" s="153"/>
      <c r="O2677" s="153"/>
      <c r="P2677" s="150"/>
      <c r="Q2677" s="150"/>
      <c r="R2677" s="153"/>
      <c r="S2677" s="154"/>
      <c r="T2677" s="115"/>
    </row>
    <row r="2678" spans="1:20">
      <c r="A2678" t="s">
        <v>1230</v>
      </c>
      <c r="B2678" t="s">
        <v>76</v>
      </c>
      <c r="C2678" t="s">
        <v>55</v>
      </c>
      <c r="D2678" t="s">
        <v>668</v>
      </c>
      <c r="E2678" t="s">
        <v>4217</v>
      </c>
      <c r="F2678" s="121">
        <v>396.71</v>
      </c>
      <c r="G2678" s="121">
        <v>396.71</v>
      </c>
      <c r="H2678" t="s">
        <v>875</v>
      </c>
      <c r="I2678" s="156">
        <v>41631</v>
      </c>
      <c r="K2678" s="153"/>
      <c r="L2678" s="153"/>
      <c r="M2678" s="153"/>
      <c r="N2678" s="153"/>
      <c r="O2678" s="153"/>
      <c r="P2678" s="150"/>
      <c r="Q2678" s="150"/>
      <c r="R2678" s="153"/>
      <c r="S2678" s="154"/>
      <c r="T2678" s="115"/>
    </row>
    <row r="2679" spans="1:20">
      <c r="A2679" t="s">
        <v>1230</v>
      </c>
      <c r="B2679" t="s">
        <v>76</v>
      </c>
      <c r="C2679" t="s">
        <v>55</v>
      </c>
      <c r="D2679" t="s">
        <v>934</v>
      </c>
      <c r="E2679" t="s">
        <v>4218</v>
      </c>
      <c r="F2679" s="121">
        <v>100.44</v>
      </c>
      <c r="G2679" s="121">
        <v>100.44</v>
      </c>
      <c r="H2679" t="s">
        <v>875</v>
      </c>
      <c r="I2679" s="156">
        <v>41631</v>
      </c>
      <c r="K2679" s="153"/>
      <c r="L2679" s="153"/>
      <c r="M2679" s="153"/>
      <c r="N2679" s="153"/>
      <c r="O2679" s="153"/>
      <c r="P2679" s="150"/>
      <c r="Q2679" s="150"/>
      <c r="R2679" s="153"/>
      <c r="S2679" s="154"/>
      <c r="T2679" s="115"/>
    </row>
    <row r="2680" spans="1:20">
      <c r="A2680" t="s">
        <v>1230</v>
      </c>
      <c r="B2680" t="s">
        <v>76</v>
      </c>
      <c r="C2680" t="s">
        <v>55</v>
      </c>
      <c r="D2680" t="s">
        <v>934</v>
      </c>
      <c r="E2680" t="s">
        <v>4219</v>
      </c>
      <c r="F2680" s="121">
        <v>100.44</v>
      </c>
      <c r="G2680" s="121">
        <v>100.44</v>
      </c>
      <c r="H2680" t="s">
        <v>875</v>
      </c>
      <c r="I2680" s="156">
        <v>41631</v>
      </c>
      <c r="K2680" s="153"/>
      <c r="L2680" s="153"/>
      <c r="M2680" s="153"/>
      <c r="N2680" s="153"/>
      <c r="O2680" s="153"/>
      <c r="P2680" s="150"/>
      <c r="Q2680" s="150"/>
      <c r="R2680" s="153"/>
      <c r="S2680" s="154"/>
      <c r="T2680" s="115"/>
    </row>
    <row r="2681" spans="1:20">
      <c r="A2681" t="s">
        <v>1230</v>
      </c>
      <c r="B2681" t="s">
        <v>76</v>
      </c>
      <c r="C2681" t="s">
        <v>55</v>
      </c>
      <c r="D2681" t="s">
        <v>957</v>
      </c>
      <c r="E2681" t="s">
        <v>4220</v>
      </c>
      <c r="F2681" s="121">
        <v>1245.3699999999999</v>
      </c>
      <c r="G2681" s="121">
        <v>1245.3699999999999</v>
      </c>
      <c r="H2681" t="s">
        <v>875</v>
      </c>
      <c r="I2681" s="156">
        <v>41631</v>
      </c>
      <c r="K2681" s="153"/>
      <c r="L2681" s="153"/>
      <c r="M2681" s="153"/>
      <c r="N2681" s="153"/>
      <c r="O2681" s="153"/>
      <c r="P2681" s="150"/>
      <c r="Q2681" s="150"/>
      <c r="R2681" s="153"/>
      <c r="S2681" s="154"/>
      <c r="T2681" s="115"/>
    </row>
    <row r="2682" spans="1:20">
      <c r="A2682" t="s">
        <v>1230</v>
      </c>
      <c r="B2682" t="s">
        <v>76</v>
      </c>
      <c r="C2682" t="s">
        <v>55</v>
      </c>
      <c r="D2682" t="s">
        <v>948</v>
      </c>
      <c r="E2682" t="s">
        <v>4221</v>
      </c>
      <c r="F2682" s="121">
        <v>1204.19</v>
      </c>
      <c r="G2682" s="121">
        <v>1204.19</v>
      </c>
      <c r="H2682" t="s">
        <v>875</v>
      </c>
      <c r="I2682" s="156">
        <v>41631</v>
      </c>
      <c r="K2682" s="153"/>
      <c r="L2682" s="153"/>
      <c r="M2682" s="153"/>
      <c r="N2682" s="153"/>
      <c r="O2682" s="153"/>
      <c r="P2682" s="150"/>
      <c r="Q2682" s="150"/>
      <c r="R2682" s="153"/>
      <c r="S2682" s="154"/>
      <c r="T2682" s="115"/>
    </row>
    <row r="2683" spans="1:20">
      <c r="A2683" t="s">
        <v>1230</v>
      </c>
      <c r="B2683" t="s">
        <v>1012</v>
      </c>
      <c r="C2683" t="s">
        <v>55</v>
      </c>
      <c r="D2683" t="s">
        <v>958</v>
      </c>
      <c r="E2683" t="s">
        <v>4222</v>
      </c>
      <c r="F2683" s="121">
        <v>1699.04</v>
      </c>
      <c r="G2683" s="121">
        <v>1699.04</v>
      </c>
      <c r="H2683" t="s">
        <v>458</v>
      </c>
      <c r="I2683" s="156">
        <v>41612</v>
      </c>
      <c r="K2683" s="153"/>
      <c r="L2683" s="153"/>
      <c r="M2683" s="153"/>
      <c r="N2683" s="153"/>
      <c r="O2683" s="153"/>
      <c r="P2683" s="150"/>
      <c r="Q2683" s="150"/>
      <c r="R2683" s="153"/>
      <c r="S2683" s="154"/>
      <c r="T2683" s="115"/>
    </row>
    <row r="2684" spans="1:20">
      <c r="A2684" t="s">
        <v>1230</v>
      </c>
      <c r="B2684" t="s">
        <v>1012</v>
      </c>
      <c r="C2684" t="s">
        <v>55</v>
      </c>
      <c r="D2684" t="s">
        <v>721</v>
      </c>
      <c r="E2684" t="s">
        <v>4223</v>
      </c>
      <c r="F2684" s="121">
        <v>1199.03</v>
      </c>
      <c r="G2684" s="121">
        <v>1199.03</v>
      </c>
      <c r="H2684" t="s">
        <v>458</v>
      </c>
      <c r="I2684" s="156">
        <v>41612</v>
      </c>
      <c r="K2684" s="153"/>
      <c r="L2684" s="153"/>
      <c r="M2684" s="153"/>
      <c r="N2684" s="153"/>
      <c r="O2684" s="153"/>
      <c r="P2684" s="152"/>
      <c r="Q2684" s="152"/>
      <c r="R2684" s="153"/>
      <c r="S2684" s="154"/>
      <c r="T2684" s="115"/>
    </row>
    <row r="2685" spans="1:20">
      <c r="A2685" t="s">
        <v>1230</v>
      </c>
      <c r="B2685" t="s">
        <v>1012</v>
      </c>
      <c r="C2685" t="s">
        <v>55</v>
      </c>
      <c r="D2685" t="s">
        <v>736</v>
      </c>
      <c r="E2685" t="s">
        <v>4224</v>
      </c>
      <c r="F2685" s="121">
        <v>1892.03</v>
      </c>
      <c r="G2685" s="121">
        <v>1892.03</v>
      </c>
      <c r="H2685" t="s">
        <v>458</v>
      </c>
      <c r="I2685" s="156">
        <v>41612</v>
      </c>
      <c r="K2685" s="153"/>
      <c r="L2685" s="153"/>
      <c r="M2685" s="153"/>
      <c r="N2685" s="153"/>
      <c r="O2685" s="153"/>
      <c r="P2685" s="150"/>
      <c r="Q2685" s="150"/>
      <c r="R2685" s="153"/>
      <c r="S2685" s="154"/>
      <c r="T2685" s="115"/>
    </row>
    <row r="2686" spans="1:20">
      <c r="A2686" t="s">
        <v>1230</v>
      </c>
      <c r="B2686" t="s">
        <v>1012</v>
      </c>
      <c r="C2686" t="s">
        <v>53</v>
      </c>
      <c r="D2686" t="s">
        <v>959</v>
      </c>
      <c r="E2686" t="s">
        <v>4225</v>
      </c>
      <c r="F2686" s="121">
        <v>708</v>
      </c>
      <c r="G2686" s="121">
        <v>708</v>
      </c>
      <c r="H2686" t="s">
        <v>458</v>
      </c>
      <c r="I2686" s="156">
        <v>41612</v>
      </c>
      <c r="K2686" s="153"/>
      <c r="L2686" s="153"/>
      <c r="M2686" s="153"/>
      <c r="N2686" s="153"/>
      <c r="O2686" s="153"/>
      <c r="P2686" s="150"/>
      <c r="Q2686" s="150"/>
      <c r="R2686" s="153"/>
      <c r="S2686" s="154"/>
      <c r="T2686" s="115"/>
    </row>
    <row r="2687" spans="1:20">
      <c r="A2687" t="s">
        <v>1230</v>
      </c>
      <c r="B2687" t="s">
        <v>1012</v>
      </c>
      <c r="C2687" t="s">
        <v>53</v>
      </c>
      <c r="D2687" t="s">
        <v>960</v>
      </c>
      <c r="E2687" t="s">
        <v>4226</v>
      </c>
      <c r="F2687" s="121">
        <v>292</v>
      </c>
      <c r="G2687" s="121">
        <v>292</v>
      </c>
      <c r="H2687" t="s">
        <v>458</v>
      </c>
      <c r="I2687" s="156">
        <v>41612</v>
      </c>
      <c r="K2687" s="153"/>
      <c r="L2687" s="153"/>
      <c r="M2687" s="153"/>
      <c r="N2687" s="153"/>
      <c r="O2687" s="153"/>
      <c r="P2687" s="152"/>
      <c r="Q2687" s="152"/>
      <c r="R2687" s="153"/>
      <c r="S2687" s="154"/>
      <c r="T2687" s="115"/>
    </row>
    <row r="2688" spans="1:20">
      <c r="A2688" t="s">
        <v>1230</v>
      </c>
      <c r="B2688" t="s">
        <v>72</v>
      </c>
      <c r="C2688" t="s">
        <v>55</v>
      </c>
      <c r="D2688" t="s">
        <v>701</v>
      </c>
      <c r="E2688" t="s">
        <v>4227</v>
      </c>
      <c r="F2688" s="121">
        <v>399</v>
      </c>
      <c r="G2688" s="121">
        <v>399</v>
      </c>
      <c r="H2688" t="s">
        <v>396</v>
      </c>
      <c r="I2688" s="156">
        <v>41612</v>
      </c>
      <c r="K2688" s="153"/>
      <c r="L2688" s="153"/>
      <c r="M2688" s="153"/>
      <c r="N2688" s="153"/>
      <c r="O2688" s="153"/>
      <c r="P2688" s="152"/>
      <c r="Q2688" s="152"/>
      <c r="R2688" s="153"/>
      <c r="S2688" s="154"/>
      <c r="T2688" s="115"/>
    </row>
    <row r="2689" spans="1:20">
      <c r="A2689" t="s">
        <v>1230</v>
      </c>
      <c r="B2689" t="s">
        <v>73</v>
      </c>
      <c r="C2689" t="s">
        <v>55</v>
      </c>
      <c r="D2689" t="s">
        <v>961</v>
      </c>
      <c r="E2689" t="s">
        <v>4228</v>
      </c>
      <c r="F2689" s="121">
        <v>2107</v>
      </c>
      <c r="G2689" s="121">
        <v>2107</v>
      </c>
      <c r="H2689" t="s">
        <v>457</v>
      </c>
      <c r="I2689" s="156">
        <v>41612</v>
      </c>
      <c r="K2689" s="153"/>
      <c r="L2689" s="153"/>
      <c r="M2689" s="153"/>
      <c r="N2689" s="153"/>
      <c r="O2689" s="153"/>
      <c r="P2689" s="152"/>
      <c r="Q2689" s="152"/>
      <c r="R2689" s="153"/>
      <c r="S2689" s="154"/>
      <c r="T2689" s="115"/>
    </row>
    <row r="2690" spans="1:20">
      <c r="A2690" t="s">
        <v>1230</v>
      </c>
      <c r="B2690" t="s">
        <v>72</v>
      </c>
      <c r="C2690" t="s">
        <v>55</v>
      </c>
      <c r="D2690" t="s">
        <v>962</v>
      </c>
      <c r="E2690" t="s">
        <v>4229</v>
      </c>
      <c r="F2690" s="121">
        <v>2000</v>
      </c>
      <c r="G2690" s="121">
        <v>2000</v>
      </c>
      <c r="H2690" t="s">
        <v>832</v>
      </c>
      <c r="I2690" s="156">
        <v>41620</v>
      </c>
      <c r="K2690" s="153"/>
      <c r="L2690" s="153"/>
      <c r="M2690" s="153"/>
      <c r="N2690" s="153"/>
      <c r="O2690" s="153"/>
      <c r="P2690" s="152"/>
      <c r="Q2690" s="152"/>
      <c r="R2690" s="153"/>
      <c r="S2690" s="154"/>
      <c r="T2690" s="115"/>
    </row>
    <row r="2691" spans="1:20">
      <c r="A2691" t="s">
        <v>1230</v>
      </c>
      <c r="B2691" t="s">
        <v>76</v>
      </c>
      <c r="C2691" t="s">
        <v>55</v>
      </c>
      <c r="D2691" t="s">
        <v>963</v>
      </c>
      <c r="E2691" t="s">
        <v>4230</v>
      </c>
      <c r="F2691" s="121">
        <v>460</v>
      </c>
      <c r="G2691" s="121">
        <v>460</v>
      </c>
      <c r="H2691" t="s">
        <v>875</v>
      </c>
      <c r="I2691" s="156">
        <v>41635</v>
      </c>
      <c r="K2691" s="153"/>
      <c r="L2691" s="153"/>
      <c r="M2691" s="153"/>
      <c r="N2691" s="153"/>
      <c r="O2691" s="153"/>
      <c r="P2691" s="152"/>
      <c r="Q2691" s="152"/>
      <c r="R2691" s="153"/>
      <c r="S2691" s="154"/>
      <c r="T2691" s="115"/>
    </row>
    <row r="2692" spans="1:20">
      <c r="A2692" t="s">
        <v>1230</v>
      </c>
      <c r="B2692" t="s">
        <v>76</v>
      </c>
      <c r="C2692" t="s">
        <v>55</v>
      </c>
      <c r="D2692" t="s">
        <v>963</v>
      </c>
      <c r="E2692" t="s">
        <v>4231</v>
      </c>
      <c r="F2692" s="121">
        <v>460</v>
      </c>
      <c r="G2692" s="121">
        <v>460</v>
      </c>
      <c r="H2692" t="s">
        <v>875</v>
      </c>
      <c r="I2692" s="156">
        <v>41635</v>
      </c>
      <c r="K2692" s="153"/>
      <c r="L2692" s="153"/>
      <c r="M2692" s="153"/>
      <c r="N2692" s="153"/>
      <c r="O2692" s="153"/>
      <c r="P2692" s="152"/>
      <c r="Q2692" s="152"/>
      <c r="R2692" s="153"/>
      <c r="S2692" s="154"/>
      <c r="T2692" s="115"/>
    </row>
    <row r="2693" spans="1:20">
      <c r="A2693" t="s">
        <v>1230</v>
      </c>
      <c r="B2693" t="s">
        <v>76</v>
      </c>
      <c r="C2693" t="s">
        <v>55</v>
      </c>
      <c r="D2693" t="s">
        <v>461</v>
      </c>
      <c r="E2693" t="s">
        <v>4232</v>
      </c>
      <c r="F2693" s="121">
        <v>1715</v>
      </c>
      <c r="G2693" s="121">
        <v>1715</v>
      </c>
      <c r="H2693" t="s">
        <v>875</v>
      </c>
      <c r="I2693" s="156">
        <v>41652</v>
      </c>
      <c r="K2693" s="153"/>
      <c r="L2693" s="153"/>
      <c r="M2693" s="153"/>
      <c r="N2693" s="153"/>
      <c r="O2693" s="153"/>
      <c r="P2693" s="152"/>
      <c r="Q2693" s="152"/>
      <c r="R2693" s="153"/>
      <c r="S2693" s="154"/>
      <c r="T2693" s="115"/>
    </row>
    <row r="2694" spans="1:20">
      <c r="A2694" t="s">
        <v>1230</v>
      </c>
      <c r="B2694" t="s">
        <v>76</v>
      </c>
      <c r="C2694" t="s">
        <v>55</v>
      </c>
      <c r="D2694" t="s">
        <v>461</v>
      </c>
      <c r="E2694" t="s">
        <v>4233</v>
      </c>
      <c r="F2694" s="121">
        <v>1715</v>
      </c>
      <c r="G2694" s="121">
        <v>1715</v>
      </c>
      <c r="H2694" t="s">
        <v>875</v>
      </c>
      <c r="I2694" s="156">
        <v>41652</v>
      </c>
      <c r="K2694" s="153"/>
      <c r="L2694" s="153"/>
      <c r="M2694" s="153"/>
      <c r="N2694" s="153"/>
      <c r="O2694" s="153"/>
      <c r="P2694" s="152"/>
      <c r="Q2694" s="152"/>
      <c r="R2694" s="153"/>
      <c r="S2694" s="154"/>
      <c r="T2694" s="115"/>
    </row>
    <row r="2695" spans="1:20">
      <c r="A2695" t="s">
        <v>1230</v>
      </c>
      <c r="B2695" t="s">
        <v>73</v>
      </c>
      <c r="C2695" t="s">
        <v>53</v>
      </c>
      <c r="D2695" t="s">
        <v>964</v>
      </c>
      <c r="E2695" t="s">
        <v>4234</v>
      </c>
      <c r="F2695" s="121">
        <v>1500</v>
      </c>
      <c r="G2695" s="121">
        <v>1500</v>
      </c>
      <c r="H2695" t="s">
        <v>457</v>
      </c>
      <c r="I2695" s="156">
        <v>41652</v>
      </c>
      <c r="K2695" s="153"/>
      <c r="L2695" s="153"/>
      <c r="M2695" s="153"/>
      <c r="N2695" s="153"/>
      <c r="O2695" s="153"/>
      <c r="P2695" s="152"/>
      <c r="Q2695" s="152"/>
      <c r="R2695" s="153"/>
      <c r="S2695" s="154"/>
      <c r="T2695" s="115"/>
    </row>
    <row r="2696" spans="1:20">
      <c r="A2696" t="s">
        <v>1230</v>
      </c>
      <c r="B2696" t="s">
        <v>76</v>
      </c>
      <c r="C2696" t="s">
        <v>55</v>
      </c>
      <c r="D2696" t="s">
        <v>774</v>
      </c>
      <c r="E2696" t="s">
        <v>4235</v>
      </c>
      <c r="F2696" s="121">
        <v>475</v>
      </c>
      <c r="G2696" s="121">
        <v>475</v>
      </c>
      <c r="H2696" t="s">
        <v>875</v>
      </c>
      <c r="I2696" s="156">
        <v>41653</v>
      </c>
      <c r="K2696" s="153"/>
      <c r="L2696" s="153"/>
      <c r="M2696" s="153"/>
      <c r="N2696" s="153"/>
      <c r="O2696" s="153"/>
      <c r="P2696" s="152"/>
      <c r="Q2696" s="152"/>
      <c r="R2696" s="153"/>
      <c r="S2696" s="154"/>
      <c r="T2696" s="115"/>
    </row>
    <row r="2697" spans="1:20">
      <c r="A2697" t="s">
        <v>1230</v>
      </c>
      <c r="B2697" t="s">
        <v>76</v>
      </c>
      <c r="C2697" t="s">
        <v>55</v>
      </c>
      <c r="D2697" t="s">
        <v>774</v>
      </c>
      <c r="E2697" t="s">
        <v>4236</v>
      </c>
      <c r="F2697" s="121">
        <v>475</v>
      </c>
      <c r="G2697" s="121">
        <v>475</v>
      </c>
      <c r="H2697" t="s">
        <v>875</v>
      </c>
      <c r="I2697" s="156">
        <v>41653</v>
      </c>
      <c r="K2697" s="153"/>
      <c r="L2697" s="153"/>
      <c r="M2697" s="153"/>
      <c r="N2697" s="153"/>
      <c r="O2697" s="153"/>
      <c r="P2697" s="152"/>
      <c r="Q2697" s="152"/>
      <c r="R2697" s="153"/>
      <c r="S2697" s="154"/>
      <c r="T2697" s="115"/>
    </row>
    <row r="2698" spans="1:20">
      <c r="A2698" t="s">
        <v>1230</v>
      </c>
      <c r="B2698" t="s">
        <v>76</v>
      </c>
      <c r="C2698" t="s">
        <v>55</v>
      </c>
      <c r="D2698" t="s">
        <v>774</v>
      </c>
      <c r="E2698" t="s">
        <v>4237</v>
      </c>
      <c r="F2698" s="121">
        <v>475</v>
      </c>
      <c r="G2698" s="121">
        <v>475</v>
      </c>
      <c r="H2698" t="s">
        <v>875</v>
      </c>
      <c r="I2698" s="156">
        <v>41653</v>
      </c>
      <c r="K2698" s="153"/>
      <c r="L2698" s="153"/>
      <c r="M2698" s="153"/>
      <c r="N2698" s="153"/>
      <c r="O2698" s="153"/>
      <c r="P2698" s="152"/>
      <c r="Q2698" s="152"/>
      <c r="R2698" s="153"/>
      <c r="S2698" s="154"/>
      <c r="T2698" s="115"/>
    </row>
    <row r="2699" spans="1:20">
      <c r="A2699" t="s">
        <v>1230</v>
      </c>
      <c r="B2699" t="s">
        <v>76</v>
      </c>
      <c r="C2699" t="s">
        <v>55</v>
      </c>
      <c r="D2699" t="s">
        <v>774</v>
      </c>
      <c r="E2699" t="s">
        <v>4238</v>
      </c>
      <c r="F2699" s="121">
        <v>475</v>
      </c>
      <c r="G2699" s="121">
        <v>475</v>
      </c>
      <c r="H2699" t="s">
        <v>875</v>
      </c>
      <c r="I2699" s="156">
        <v>41653</v>
      </c>
      <c r="K2699" s="153"/>
      <c r="L2699" s="153"/>
      <c r="M2699" s="153"/>
      <c r="N2699" s="153"/>
      <c r="O2699" s="153"/>
      <c r="P2699" s="152"/>
      <c r="Q2699" s="152"/>
      <c r="R2699" s="153"/>
      <c r="S2699" s="154"/>
      <c r="T2699" s="115"/>
    </row>
    <row r="2700" spans="1:20">
      <c r="A2700" t="s">
        <v>1230</v>
      </c>
      <c r="B2700" t="s">
        <v>76</v>
      </c>
      <c r="C2700" t="s">
        <v>55</v>
      </c>
      <c r="D2700" t="s">
        <v>774</v>
      </c>
      <c r="E2700" t="s">
        <v>4239</v>
      </c>
      <c r="F2700" s="121">
        <v>475</v>
      </c>
      <c r="G2700" s="121">
        <v>475</v>
      </c>
      <c r="H2700" t="s">
        <v>875</v>
      </c>
      <c r="I2700" s="156">
        <v>41653</v>
      </c>
      <c r="K2700" s="153"/>
      <c r="L2700" s="153"/>
      <c r="M2700" s="153"/>
      <c r="N2700" s="153"/>
      <c r="O2700" s="153"/>
      <c r="P2700" s="152"/>
      <c r="Q2700" s="152"/>
      <c r="R2700" s="153"/>
      <c r="S2700" s="154"/>
      <c r="T2700" s="115"/>
    </row>
    <row r="2701" spans="1:20">
      <c r="A2701" t="s">
        <v>1230</v>
      </c>
      <c r="B2701" t="s">
        <v>76</v>
      </c>
      <c r="C2701" t="s">
        <v>55</v>
      </c>
      <c r="D2701" t="s">
        <v>774</v>
      </c>
      <c r="E2701" t="s">
        <v>4240</v>
      </c>
      <c r="F2701" s="121">
        <v>475</v>
      </c>
      <c r="G2701" s="121">
        <v>475</v>
      </c>
      <c r="H2701" t="s">
        <v>875</v>
      </c>
      <c r="I2701" s="156">
        <v>41653</v>
      </c>
      <c r="K2701" s="153"/>
      <c r="L2701" s="153"/>
      <c r="M2701" s="153"/>
      <c r="N2701" s="153"/>
      <c r="O2701" s="153"/>
      <c r="P2701" s="152"/>
      <c r="Q2701" s="152"/>
      <c r="R2701" s="153"/>
      <c r="S2701" s="154"/>
      <c r="T2701" s="115"/>
    </row>
    <row r="2702" spans="1:20">
      <c r="A2702" t="s">
        <v>1230</v>
      </c>
      <c r="B2702" t="s">
        <v>76</v>
      </c>
      <c r="C2702" t="s">
        <v>55</v>
      </c>
      <c r="D2702" t="s">
        <v>774</v>
      </c>
      <c r="E2702" t="s">
        <v>4241</v>
      </c>
      <c r="F2702" s="121">
        <v>475</v>
      </c>
      <c r="G2702" s="121">
        <v>475</v>
      </c>
      <c r="H2702" t="s">
        <v>875</v>
      </c>
      <c r="I2702" s="156">
        <v>41653</v>
      </c>
      <c r="K2702" s="153"/>
      <c r="L2702" s="153"/>
      <c r="M2702" s="153"/>
      <c r="N2702" s="153"/>
      <c r="O2702" s="153"/>
      <c r="P2702" s="150"/>
      <c r="Q2702" s="150"/>
      <c r="R2702" s="153"/>
      <c r="S2702" s="154"/>
      <c r="T2702" s="115"/>
    </row>
    <row r="2703" spans="1:20">
      <c r="A2703" t="s">
        <v>1230</v>
      </c>
      <c r="B2703" t="s">
        <v>76</v>
      </c>
      <c r="C2703" t="s">
        <v>55</v>
      </c>
      <c r="D2703" t="s">
        <v>774</v>
      </c>
      <c r="E2703" t="s">
        <v>4242</v>
      </c>
      <c r="F2703" s="121">
        <v>475</v>
      </c>
      <c r="G2703" s="121">
        <v>475</v>
      </c>
      <c r="H2703" t="s">
        <v>875</v>
      </c>
      <c r="I2703" s="156">
        <v>41653</v>
      </c>
      <c r="K2703" s="153"/>
      <c r="L2703" s="153"/>
      <c r="M2703" s="153"/>
      <c r="N2703" s="153"/>
      <c r="O2703" s="153"/>
      <c r="P2703" s="152"/>
      <c r="Q2703" s="152"/>
      <c r="R2703" s="153"/>
      <c r="S2703" s="154"/>
      <c r="T2703" s="115"/>
    </row>
    <row r="2704" spans="1:20">
      <c r="A2704" t="s">
        <v>1230</v>
      </c>
      <c r="B2704" t="s">
        <v>76</v>
      </c>
      <c r="C2704" t="s">
        <v>55</v>
      </c>
      <c r="D2704" t="s">
        <v>774</v>
      </c>
      <c r="E2704" t="s">
        <v>4243</v>
      </c>
      <c r="F2704" s="121">
        <v>475</v>
      </c>
      <c r="G2704" s="121">
        <v>475</v>
      </c>
      <c r="H2704" t="s">
        <v>875</v>
      </c>
      <c r="I2704" s="156">
        <v>41653</v>
      </c>
      <c r="K2704" s="153"/>
      <c r="L2704" s="153"/>
      <c r="M2704" s="153"/>
      <c r="N2704" s="153"/>
      <c r="O2704" s="153"/>
      <c r="P2704" s="150"/>
      <c r="Q2704" s="150"/>
      <c r="R2704" s="153"/>
      <c r="S2704" s="154"/>
      <c r="T2704" s="115"/>
    </row>
    <row r="2705" spans="1:20">
      <c r="A2705" t="s">
        <v>1230</v>
      </c>
      <c r="B2705" t="s">
        <v>76</v>
      </c>
      <c r="C2705" t="s">
        <v>55</v>
      </c>
      <c r="D2705" t="s">
        <v>774</v>
      </c>
      <c r="E2705" t="s">
        <v>4244</v>
      </c>
      <c r="F2705" s="121">
        <v>475</v>
      </c>
      <c r="G2705" s="121">
        <v>475</v>
      </c>
      <c r="H2705" t="s">
        <v>875</v>
      </c>
      <c r="I2705" s="156">
        <v>41653</v>
      </c>
      <c r="K2705" s="153"/>
      <c r="L2705" s="153"/>
      <c r="M2705" s="153"/>
      <c r="N2705" s="153"/>
      <c r="O2705" s="153"/>
      <c r="P2705" s="150"/>
      <c r="Q2705" s="150"/>
      <c r="R2705" s="153"/>
      <c r="S2705" s="154"/>
      <c r="T2705" s="115"/>
    </row>
    <row r="2706" spans="1:20">
      <c r="A2706" t="s">
        <v>1230</v>
      </c>
      <c r="B2706" t="s">
        <v>76</v>
      </c>
      <c r="C2706" t="s">
        <v>55</v>
      </c>
      <c r="D2706" t="s">
        <v>774</v>
      </c>
      <c r="E2706" t="s">
        <v>4245</v>
      </c>
      <c r="F2706" s="121">
        <v>475</v>
      </c>
      <c r="G2706" s="121">
        <v>475</v>
      </c>
      <c r="H2706" t="s">
        <v>875</v>
      </c>
      <c r="I2706" s="156">
        <v>41653</v>
      </c>
      <c r="K2706" s="153"/>
      <c r="L2706" s="153"/>
      <c r="M2706" s="153"/>
      <c r="N2706" s="153"/>
      <c r="O2706" s="153"/>
      <c r="P2706" s="152"/>
      <c r="Q2706" s="152"/>
      <c r="R2706" s="153"/>
      <c r="S2706" s="154"/>
      <c r="T2706" s="115"/>
    </row>
    <row r="2707" spans="1:20">
      <c r="A2707" t="s">
        <v>1230</v>
      </c>
      <c r="B2707" t="s">
        <v>76</v>
      </c>
      <c r="C2707" t="s">
        <v>55</v>
      </c>
      <c r="D2707" t="s">
        <v>774</v>
      </c>
      <c r="E2707" t="s">
        <v>4246</v>
      </c>
      <c r="F2707" s="121">
        <v>475</v>
      </c>
      <c r="G2707" s="121">
        <v>475</v>
      </c>
      <c r="H2707" t="s">
        <v>875</v>
      </c>
      <c r="I2707" s="156">
        <v>41653</v>
      </c>
      <c r="K2707" s="153"/>
      <c r="L2707" s="153"/>
      <c r="M2707" s="153"/>
      <c r="N2707" s="153"/>
      <c r="O2707" s="153"/>
      <c r="P2707" s="152"/>
      <c r="Q2707" s="152"/>
      <c r="R2707" s="153"/>
      <c r="S2707" s="154"/>
      <c r="T2707" s="115"/>
    </row>
    <row r="2708" spans="1:20">
      <c r="A2708" t="s">
        <v>1230</v>
      </c>
      <c r="B2708" t="s">
        <v>76</v>
      </c>
      <c r="C2708" t="s">
        <v>55</v>
      </c>
      <c r="D2708" t="s">
        <v>774</v>
      </c>
      <c r="E2708" t="s">
        <v>4247</v>
      </c>
      <c r="F2708" s="121">
        <v>475</v>
      </c>
      <c r="G2708" s="121">
        <v>475</v>
      </c>
      <c r="H2708" t="s">
        <v>875</v>
      </c>
      <c r="I2708" s="156">
        <v>41653</v>
      </c>
      <c r="K2708" s="153"/>
      <c r="L2708" s="153"/>
      <c r="M2708" s="153"/>
      <c r="N2708" s="153"/>
      <c r="O2708" s="153"/>
      <c r="P2708" s="152"/>
      <c r="Q2708" s="152"/>
      <c r="R2708" s="153"/>
      <c r="S2708" s="154"/>
      <c r="T2708" s="115"/>
    </row>
    <row r="2709" spans="1:20">
      <c r="A2709" t="s">
        <v>1230</v>
      </c>
      <c r="B2709" t="s">
        <v>76</v>
      </c>
      <c r="C2709" t="s">
        <v>55</v>
      </c>
      <c r="D2709" t="s">
        <v>774</v>
      </c>
      <c r="E2709" t="s">
        <v>4248</v>
      </c>
      <c r="F2709" s="121">
        <v>475</v>
      </c>
      <c r="G2709" s="121">
        <v>475</v>
      </c>
      <c r="H2709" t="s">
        <v>875</v>
      </c>
      <c r="I2709" s="156">
        <v>41653</v>
      </c>
      <c r="K2709" s="153"/>
      <c r="L2709" s="153"/>
      <c r="M2709" s="153"/>
      <c r="N2709" s="153"/>
      <c r="O2709" s="153"/>
      <c r="P2709" s="152"/>
      <c r="Q2709" s="152"/>
      <c r="R2709" s="153"/>
      <c r="S2709" s="154"/>
      <c r="T2709" s="115"/>
    </row>
    <row r="2710" spans="1:20">
      <c r="A2710" t="s">
        <v>1230</v>
      </c>
      <c r="B2710" t="s">
        <v>76</v>
      </c>
      <c r="C2710" t="s">
        <v>55</v>
      </c>
      <c r="D2710" t="s">
        <v>774</v>
      </c>
      <c r="E2710" t="s">
        <v>4249</v>
      </c>
      <c r="F2710" s="121">
        <v>475</v>
      </c>
      <c r="G2710" s="121">
        <v>475</v>
      </c>
      <c r="H2710" t="s">
        <v>875</v>
      </c>
      <c r="I2710" s="156">
        <v>41653</v>
      </c>
      <c r="K2710" s="153"/>
      <c r="L2710" s="153"/>
      <c r="M2710" s="153"/>
      <c r="N2710" s="153"/>
      <c r="O2710" s="153"/>
      <c r="P2710" s="150"/>
      <c r="Q2710" s="150"/>
      <c r="R2710" s="153"/>
      <c r="S2710" s="154"/>
      <c r="T2710" s="115"/>
    </row>
    <row r="2711" spans="1:20">
      <c r="A2711" t="s">
        <v>1230</v>
      </c>
      <c r="B2711" t="s">
        <v>76</v>
      </c>
      <c r="C2711" t="s">
        <v>55</v>
      </c>
      <c r="D2711" t="s">
        <v>774</v>
      </c>
      <c r="E2711" t="s">
        <v>4250</v>
      </c>
      <c r="F2711" s="121">
        <v>475</v>
      </c>
      <c r="G2711" s="121">
        <v>475</v>
      </c>
      <c r="H2711" t="s">
        <v>875</v>
      </c>
      <c r="I2711" s="156">
        <v>41653</v>
      </c>
      <c r="K2711" s="153"/>
      <c r="L2711" s="153"/>
      <c r="M2711" s="153"/>
      <c r="N2711" s="153"/>
      <c r="O2711" s="153"/>
      <c r="P2711" s="150"/>
      <c r="Q2711" s="150"/>
      <c r="R2711" s="153"/>
      <c r="S2711" s="154"/>
      <c r="T2711" s="115"/>
    </row>
    <row r="2712" spans="1:20">
      <c r="A2712" t="s">
        <v>1230</v>
      </c>
      <c r="B2712" t="s">
        <v>76</v>
      </c>
      <c r="C2712" t="s">
        <v>55</v>
      </c>
      <c r="D2712" t="s">
        <v>774</v>
      </c>
      <c r="E2712" t="s">
        <v>4251</v>
      </c>
      <c r="F2712" s="121">
        <v>475</v>
      </c>
      <c r="G2712" s="121">
        <v>475</v>
      </c>
      <c r="H2712" t="s">
        <v>875</v>
      </c>
      <c r="I2712" s="156">
        <v>41653</v>
      </c>
      <c r="K2712" s="153"/>
      <c r="L2712" s="153"/>
      <c r="M2712" s="153"/>
      <c r="N2712" s="153"/>
      <c r="O2712" s="153"/>
      <c r="P2712" s="152"/>
      <c r="Q2712" s="152"/>
      <c r="R2712" s="153"/>
      <c r="S2712" s="154"/>
      <c r="T2712" s="115"/>
    </row>
    <row r="2713" spans="1:20">
      <c r="A2713" t="s">
        <v>1230</v>
      </c>
      <c r="B2713" t="s">
        <v>76</v>
      </c>
      <c r="C2713" t="s">
        <v>55</v>
      </c>
      <c r="D2713" t="s">
        <v>774</v>
      </c>
      <c r="E2713" t="s">
        <v>4252</v>
      </c>
      <c r="F2713" s="121">
        <v>475</v>
      </c>
      <c r="G2713" s="121">
        <v>475</v>
      </c>
      <c r="H2713" t="s">
        <v>875</v>
      </c>
      <c r="I2713" s="156">
        <v>41653</v>
      </c>
      <c r="K2713" s="153"/>
      <c r="L2713" s="153"/>
      <c r="M2713" s="153"/>
      <c r="N2713" s="153"/>
      <c r="O2713" s="153"/>
      <c r="P2713" s="152"/>
      <c r="Q2713" s="152"/>
      <c r="R2713" s="153"/>
      <c r="S2713" s="154"/>
      <c r="T2713" s="115"/>
    </row>
    <row r="2714" spans="1:20">
      <c r="A2714" t="s">
        <v>1230</v>
      </c>
      <c r="B2714" t="s">
        <v>76</v>
      </c>
      <c r="C2714" t="s">
        <v>55</v>
      </c>
      <c r="D2714" t="s">
        <v>774</v>
      </c>
      <c r="E2714" t="s">
        <v>4253</v>
      </c>
      <c r="F2714" s="121">
        <v>475</v>
      </c>
      <c r="G2714" s="121">
        <v>475</v>
      </c>
      <c r="H2714" t="s">
        <v>875</v>
      </c>
      <c r="I2714" s="156">
        <v>41653</v>
      </c>
      <c r="K2714" s="153"/>
      <c r="L2714" s="153"/>
      <c r="M2714" s="153"/>
      <c r="N2714" s="153"/>
      <c r="O2714" s="153"/>
      <c r="P2714" s="150"/>
      <c r="Q2714" s="150"/>
      <c r="R2714" s="153"/>
      <c r="S2714" s="154"/>
      <c r="T2714" s="115"/>
    </row>
    <row r="2715" spans="1:20">
      <c r="A2715" t="s">
        <v>1230</v>
      </c>
      <c r="B2715" t="s">
        <v>76</v>
      </c>
      <c r="C2715" t="s">
        <v>55</v>
      </c>
      <c r="D2715" t="s">
        <v>774</v>
      </c>
      <c r="E2715" t="s">
        <v>4254</v>
      </c>
      <c r="F2715" s="121">
        <v>475</v>
      </c>
      <c r="G2715" s="121">
        <v>475</v>
      </c>
      <c r="H2715" t="s">
        <v>875</v>
      </c>
      <c r="I2715" s="156">
        <v>41653</v>
      </c>
      <c r="K2715" s="153"/>
      <c r="L2715" s="153"/>
      <c r="M2715" s="153"/>
      <c r="N2715" s="153"/>
      <c r="O2715" s="153"/>
      <c r="P2715" s="150"/>
      <c r="Q2715" s="150"/>
      <c r="R2715" s="153"/>
      <c r="S2715" s="154"/>
      <c r="T2715" s="115"/>
    </row>
    <row r="2716" spans="1:20">
      <c r="A2716" t="s">
        <v>1230</v>
      </c>
      <c r="B2716" t="s">
        <v>1012</v>
      </c>
      <c r="C2716" t="s">
        <v>55</v>
      </c>
      <c r="D2716" t="s">
        <v>796</v>
      </c>
      <c r="E2716" t="s">
        <v>4255</v>
      </c>
      <c r="F2716" s="121">
        <v>380</v>
      </c>
      <c r="G2716" s="121">
        <v>380</v>
      </c>
      <c r="H2716" t="s">
        <v>458</v>
      </c>
      <c r="I2716" s="156">
        <v>41660</v>
      </c>
      <c r="K2716" s="153"/>
      <c r="L2716" s="153"/>
      <c r="M2716" s="153"/>
      <c r="N2716" s="153"/>
      <c r="O2716" s="153"/>
      <c r="P2716" s="150"/>
      <c r="Q2716" s="150"/>
      <c r="R2716" s="153"/>
      <c r="S2716" s="154"/>
      <c r="T2716" s="115"/>
    </row>
    <row r="2717" spans="1:20">
      <c r="A2717" t="s">
        <v>1230</v>
      </c>
      <c r="B2717" t="s">
        <v>72</v>
      </c>
      <c r="C2717" t="s">
        <v>55</v>
      </c>
      <c r="D2717" t="s">
        <v>1031</v>
      </c>
      <c r="E2717" t="s">
        <v>4256</v>
      </c>
      <c r="F2717" s="121">
        <v>769</v>
      </c>
      <c r="G2717" s="121">
        <v>769</v>
      </c>
      <c r="H2717" t="s">
        <v>396</v>
      </c>
      <c r="I2717" s="156">
        <v>41661</v>
      </c>
      <c r="K2717" s="153"/>
      <c r="L2717" s="153"/>
      <c r="M2717" s="153"/>
      <c r="N2717" s="153"/>
      <c r="O2717" s="153"/>
      <c r="P2717" s="150"/>
      <c r="Q2717" s="150"/>
      <c r="R2717" s="153"/>
      <c r="S2717" s="154"/>
      <c r="T2717" s="115"/>
    </row>
    <row r="2718" spans="1:20">
      <c r="A2718" t="s">
        <v>1230</v>
      </c>
      <c r="B2718" t="s">
        <v>72</v>
      </c>
      <c r="C2718" t="s">
        <v>55</v>
      </c>
      <c r="D2718" t="s">
        <v>701</v>
      </c>
      <c r="E2718" t="s">
        <v>4257</v>
      </c>
      <c r="F2718" s="121">
        <v>399</v>
      </c>
      <c r="G2718" s="121">
        <v>399</v>
      </c>
      <c r="H2718" t="s">
        <v>396</v>
      </c>
      <c r="I2718" s="156">
        <v>41661</v>
      </c>
      <c r="K2718" s="153"/>
      <c r="L2718" s="153"/>
      <c r="M2718" s="153"/>
      <c r="N2718" s="153"/>
      <c r="O2718" s="153"/>
      <c r="P2718" s="152"/>
      <c r="Q2718" s="152"/>
      <c r="R2718" s="153"/>
      <c r="S2718" s="154"/>
      <c r="T2718" s="115"/>
    </row>
    <row r="2719" spans="1:20">
      <c r="A2719" t="s">
        <v>1231</v>
      </c>
      <c r="B2719" t="s">
        <v>71</v>
      </c>
      <c r="C2719" t="s">
        <v>43</v>
      </c>
      <c r="D2719" t="s">
        <v>1021</v>
      </c>
      <c r="E2719" t="s">
        <v>4258</v>
      </c>
      <c r="F2719" s="121">
        <v>21286.99</v>
      </c>
      <c r="G2719" s="121">
        <v>21286.99</v>
      </c>
      <c r="H2719" t="s">
        <v>1022</v>
      </c>
      <c r="I2719" s="156">
        <v>41639</v>
      </c>
      <c r="K2719" s="153"/>
      <c r="L2719" s="153"/>
      <c r="M2719" s="153"/>
      <c r="N2719" s="153"/>
      <c r="O2719" s="153"/>
      <c r="P2719" s="152"/>
      <c r="Q2719" s="152"/>
      <c r="R2719" s="153"/>
      <c r="S2719" s="154"/>
      <c r="T2719" s="115"/>
    </row>
    <row r="2720" spans="1:20">
      <c r="A2720" t="s">
        <v>1231</v>
      </c>
      <c r="B2720" t="s">
        <v>71</v>
      </c>
      <c r="C2720" t="s">
        <v>43</v>
      </c>
      <c r="D2720" t="s">
        <v>1021</v>
      </c>
      <c r="E2720" t="s">
        <v>4259</v>
      </c>
      <c r="F2720" s="121">
        <v>21286.99</v>
      </c>
      <c r="G2720" s="121">
        <v>21286.99</v>
      </c>
      <c r="H2720" t="s">
        <v>680</v>
      </c>
      <c r="I2720" s="156">
        <v>41639</v>
      </c>
      <c r="K2720" s="153"/>
      <c r="L2720" s="153"/>
      <c r="M2720" s="153"/>
      <c r="N2720" s="153"/>
      <c r="O2720" s="153"/>
      <c r="P2720" s="152"/>
      <c r="Q2720" s="152"/>
      <c r="R2720" s="153"/>
      <c r="S2720" s="154"/>
      <c r="T2720" s="115"/>
    </row>
    <row r="2721" spans="1:20">
      <c r="A2721" t="s">
        <v>1231</v>
      </c>
      <c r="B2721" t="s">
        <v>71</v>
      </c>
      <c r="C2721" t="s">
        <v>43</v>
      </c>
      <c r="D2721" t="s">
        <v>1023</v>
      </c>
      <c r="E2721" t="s">
        <v>4260</v>
      </c>
      <c r="F2721" s="121">
        <v>42902.32</v>
      </c>
      <c r="G2721" s="121">
        <v>42902.32</v>
      </c>
      <c r="H2721" t="s">
        <v>680</v>
      </c>
      <c r="I2721" s="156">
        <v>41639</v>
      </c>
      <c r="K2721" s="153"/>
      <c r="L2721" s="153"/>
      <c r="M2721" s="153"/>
      <c r="N2721" s="153"/>
      <c r="O2721" s="153"/>
      <c r="P2721" s="152"/>
      <c r="Q2721" s="152"/>
      <c r="R2721" s="153"/>
      <c r="S2721" s="154"/>
      <c r="T2721" s="115"/>
    </row>
    <row r="2722" spans="1:20">
      <c r="A2722" t="s">
        <v>1230</v>
      </c>
      <c r="B2722" t="s">
        <v>76</v>
      </c>
      <c r="C2722" t="s">
        <v>55</v>
      </c>
      <c r="D2722" t="s">
        <v>740</v>
      </c>
      <c r="E2722" t="s">
        <v>4261</v>
      </c>
      <c r="F2722" s="121">
        <v>900</v>
      </c>
      <c r="G2722" s="121">
        <v>900</v>
      </c>
      <c r="H2722" t="s">
        <v>875</v>
      </c>
      <c r="I2722" s="156">
        <v>41666</v>
      </c>
      <c r="K2722" s="153"/>
      <c r="L2722" s="153"/>
      <c r="M2722" s="153"/>
      <c r="N2722" s="153"/>
      <c r="O2722" s="153"/>
      <c r="P2722" s="152"/>
      <c r="Q2722" s="152"/>
      <c r="R2722" s="153"/>
      <c r="S2722" s="154"/>
      <c r="T2722" s="151"/>
    </row>
    <row r="2723" spans="1:20">
      <c r="A2723" t="s">
        <v>1230</v>
      </c>
      <c r="B2723" t="s">
        <v>76</v>
      </c>
      <c r="C2723" t="s">
        <v>55</v>
      </c>
      <c r="D2723" t="s">
        <v>1032</v>
      </c>
      <c r="E2723" t="s">
        <v>4262</v>
      </c>
      <c r="F2723" s="121">
        <v>400</v>
      </c>
      <c r="G2723" s="121">
        <v>400</v>
      </c>
      <c r="H2723" t="s">
        <v>875</v>
      </c>
      <c r="I2723" s="156">
        <v>41666</v>
      </c>
      <c r="K2723" s="153"/>
      <c r="L2723" s="153"/>
      <c r="M2723" s="153"/>
      <c r="N2723" s="153"/>
      <c r="O2723" s="153"/>
      <c r="P2723" s="152"/>
      <c r="Q2723" s="152"/>
      <c r="R2723" s="153"/>
      <c r="S2723" s="154"/>
      <c r="T2723" s="115"/>
    </row>
    <row r="2724" spans="1:20">
      <c r="A2724" t="s">
        <v>1230</v>
      </c>
      <c r="B2724" t="s">
        <v>76</v>
      </c>
      <c r="C2724" t="s">
        <v>55</v>
      </c>
      <c r="D2724" t="s">
        <v>910</v>
      </c>
      <c r="E2724" t="s">
        <v>4263</v>
      </c>
      <c r="F2724" s="121">
        <v>1199</v>
      </c>
      <c r="G2724" s="121">
        <v>1199</v>
      </c>
      <c r="H2724" t="s">
        <v>875</v>
      </c>
      <c r="I2724" s="156">
        <v>41666</v>
      </c>
      <c r="K2724" s="153"/>
      <c r="L2724" s="153"/>
      <c r="M2724" s="153"/>
      <c r="N2724" s="153"/>
      <c r="O2724" s="153"/>
      <c r="P2724" s="150"/>
      <c r="Q2724" s="150"/>
      <c r="R2724" s="153"/>
      <c r="S2724" s="154"/>
      <c r="T2724" s="115"/>
    </row>
    <row r="2725" spans="1:20">
      <c r="A2725" t="s">
        <v>1230</v>
      </c>
      <c r="B2725" t="s">
        <v>76</v>
      </c>
      <c r="C2725" t="s">
        <v>55</v>
      </c>
      <c r="D2725" t="s">
        <v>910</v>
      </c>
      <c r="E2725" t="s">
        <v>4264</v>
      </c>
      <c r="F2725" s="121">
        <v>1199</v>
      </c>
      <c r="G2725" s="121">
        <v>1199</v>
      </c>
      <c r="H2725" t="s">
        <v>875</v>
      </c>
      <c r="I2725" s="156">
        <v>41666</v>
      </c>
      <c r="K2725" s="153"/>
      <c r="L2725" s="153"/>
      <c r="M2725" s="153"/>
      <c r="N2725" s="153"/>
      <c r="O2725" s="153"/>
      <c r="P2725" s="150"/>
      <c r="Q2725" s="150"/>
      <c r="R2725" s="153"/>
      <c r="S2725" s="154"/>
      <c r="T2725" s="115"/>
    </row>
    <row r="2726" spans="1:20">
      <c r="A2726" t="s">
        <v>1230</v>
      </c>
      <c r="B2726" t="s">
        <v>76</v>
      </c>
      <c r="C2726" t="s">
        <v>55</v>
      </c>
      <c r="D2726" t="s">
        <v>1033</v>
      </c>
      <c r="E2726" t="s">
        <v>4265</v>
      </c>
      <c r="F2726" s="121">
        <v>1099</v>
      </c>
      <c r="G2726" s="121">
        <v>1099</v>
      </c>
      <c r="H2726" t="s">
        <v>875</v>
      </c>
      <c r="I2726" s="156">
        <v>41666</v>
      </c>
      <c r="K2726" s="153"/>
      <c r="L2726" s="153"/>
      <c r="M2726" s="153"/>
      <c r="N2726" s="153"/>
      <c r="O2726" s="153"/>
      <c r="P2726" s="152"/>
      <c r="Q2726" s="152"/>
      <c r="R2726" s="153"/>
      <c r="S2726" s="154"/>
      <c r="T2726" s="115"/>
    </row>
    <row r="2727" spans="1:20">
      <c r="A2727" t="s">
        <v>1230</v>
      </c>
      <c r="B2727" t="s">
        <v>76</v>
      </c>
      <c r="C2727" t="s">
        <v>55</v>
      </c>
      <c r="D2727" t="s">
        <v>1033</v>
      </c>
      <c r="E2727" t="s">
        <v>4266</v>
      </c>
      <c r="F2727" s="121">
        <v>1099</v>
      </c>
      <c r="G2727" s="121">
        <v>1099</v>
      </c>
      <c r="H2727" t="s">
        <v>875</v>
      </c>
      <c r="I2727" s="156">
        <v>41666</v>
      </c>
      <c r="K2727" s="153"/>
      <c r="L2727" s="153"/>
      <c r="M2727" s="153"/>
      <c r="N2727" s="153"/>
      <c r="O2727" s="153"/>
      <c r="P2727" s="150"/>
      <c r="Q2727" s="150"/>
      <c r="R2727" s="153"/>
      <c r="S2727" s="154"/>
      <c r="T2727" s="115"/>
    </row>
    <row r="2728" spans="1:20">
      <c r="A2728" t="s">
        <v>1230</v>
      </c>
      <c r="B2728" t="s">
        <v>76</v>
      </c>
      <c r="C2728" t="s">
        <v>55</v>
      </c>
      <c r="D2728" t="s">
        <v>1033</v>
      </c>
      <c r="E2728" t="s">
        <v>4267</v>
      </c>
      <c r="F2728" s="121">
        <v>1099</v>
      </c>
      <c r="G2728" s="121">
        <v>1099</v>
      </c>
      <c r="H2728" t="s">
        <v>875</v>
      </c>
      <c r="I2728" s="156">
        <v>41666</v>
      </c>
      <c r="K2728" s="153"/>
      <c r="L2728" s="153"/>
      <c r="M2728" s="153"/>
      <c r="N2728" s="153"/>
      <c r="O2728" s="153"/>
      <c r="P2728" s="150"/>
      <c r="Q2728" s="150"/>
      <c r="R2728" s="153"/>
      <c r="S2728" s="154"/>
      <c r="T2728" s="115"/>
    </row>
    <row r="2729" spans="1:20">
      <c r="A2729" t="s">
        <v>1230</v>
      </c>
      <c r="B2729" t="s">
        <v>73</v>
      </c>
      <c r="C2729" t="s">
        <v>43</v>
      </c>
      <c r="D2729" t="s">
        <v>951</v>
      </c>
      <c r="E2729" t="s">
        <v>4268</v>
      </c>
      <c r="F2729" s="121">
        <v>2483.58</v>
      </c>
      <c r="G2729" s="121">
        <v>2483.58</v>
      </c>
      <c r="H2729" t="s">
        <v>442</v>
      </c>
      <c r="I2729" s="156">
        <v>41674</v>
      </c>
      <c r="K2729" s="153"/>
      <c r="L2729" s="153"/>
      <c r="M2729" s="153"/>
      <c r="N2729" s="153"/>
      <c r="O2729" s="153"/>
      <c r="P2729" s="152"/>
      <c r="Q2729" s="152"/>
      <c r="R2729" s="153"/>
      <c r="S2729" s="154"/>
      <c r="T2729" s="115"/>
    </row>
    <row r="2730" spans="1:20">
      <c r="A2730" t="s">
        <v>1230</v>
      </c>
      <c r="B2730" t="s">
        <v>72</v>
      </c>
      <c r="C2730" t="s">
        <v>51</v>
      </c>
      <c r="D2730" t="s">
        <v>534</v>
      </c>
      <c r="E2730" t="s">
        <v>4269</v>
      </c>
      <c r="F2730" s="121">
        <v>3097.24</v>
      </c>
      <c r="G2730" s="121">
        <v>3097.24</v>
      </c>
      <c r="H2730" t="s">
        <v>396</v>
      </c>
      <c r="I2730" s="156">
        <v>41684</v>
      </c>
      <c r="K2730" s="153"/>
      <c r="L2730" s="153"/>
      <c r="M2730" s="153"/>
      <c r="N2730" s="153"/>
      <c r="O2730" s="153"/>
      <c r="P2730" s="152"/>
      <c r="Q2730" s="152"/>
      <c r="R2730" s="153"/>
      <c r="S2730" s="154"/>
      <c r="T2730" s="115"/>
    </row>
    <row r="2731" spans="1:20">
      <c r="A2731" t="s">
        <v>1230</v>
      </c>
      <c r="B2731" t="s">
        <v>73</v>
      </c>
      <c r="C2731" t="s">
        <v>55</v>
      </c>
      <c r="D2731" t="s">
        <v>1056</v>
      </c>
      <c r="E2731" t="s">
        <v>4270</v>
      </c>
      <c r="F2731" s="121">
        <v>899</v>
      </c>
      <c r="G2731" s="121">
        <v>899</v>
      </c>
      <c r="H2731" t="s">
        <v>415</v>
      </c>
      <c r="I2731" s="156">
        <v>41695</v>
      </c>
      <c r="K2731" s="153"/>
      <c r="L2731" s="153"/>
      <c r="M2731" s="153"/>
      <c r="N2731" s="153"/>
      <c r="O2731" s="153"/>
      <c r="P2731" s="150"/>
      <c r="Q2731" s="150"/>
      <c r="R2731" s="153"/>
      <c r="S2731" s="154"/>
      <c r="T2731" s="115"/>
    </row>
    <row r="2732" spans="1:20">
      <c r="A2732" t="s">
        <v>1230</v>
      </c>
      <c r="B2732" t="s">
        <v>73</v>
      </c>
      <c r="C2732" t="s">
        <v>55</v>
      </c>
      <c r="D2732" t="s">
        <v>1057</v>
      </c>
      <c r="E2732" t="s">
        <v>4271</v>
      </c>
      <c r="F2732" s="121">
        <v>1689</v>
      </c>
      <c r="G2732" s="121">
        <v>1689</v>
      </c>
      <c r="H2732" t="s">
        <v>415</v>
      </c>
      <c r="I2732" s="156">
        <v>41695</v>
      </c>
      <c r="K2732" s="153"/>
      <c r="L2732" s="153"/>
      <c r="M2732" s="153"/>
      <c r="N2732" s="153"/>
      <c r="O2732" s="153"/>
      <c r="P2732" s="152"/>
      <c r="Q2732" s="152"/>
      <c r="R2732" s="153"/>
      <c r="S2732" s="154"/>
      <c r="T2732" s="115"/>
    </row>
    <row r="2733" spans="1:20">
      <c r="A2733" t="s">
        <v>1230</v>
      </c>
      <c r="B2733" t="s">
        <v>72</v>
      </c>
      <c r="C2733" t="s">
        <v>51</v>
      </c>
      <c r="D2733" t="s">
        <v>882</v>
      </c>
      <c r="E2733" t="s">
        <v>4272</v>
      </c>
      <c r="F2733" s="121">
        <v>2220</v>
      </c>
      <c r="G2733" s="121">
        <v>2220</v>
      </c>
      <c r="H2733" t="s">
        <v>396</v>
      </c>
      <c r="I2733" s="156">
        <v>41697</v>
      </c>
      <c r="K2733" s="153"/>
      <c r="L2733" s="153"/>
      <c r="M2733" s="153"/>
      <c r="N2733" s="153"/>
      <c r="O2733" s="153"/>
      <c r="P2733" s="152"/>
      <c r="Q2733" s="152"/>
      <c r="R2733" s="153"/>
      <c r="S2733" s="154"/>
      <c r="T2733" s="115"/>
    </row>
    <row r="2734" spans="1:20">
      <c r="A2734" t="s">
        <v>1230</v>
      </c>
      <c r="B2734" t="s">
        <v>73</v>
      </c>
      <c r="C2734" t="s">
        <v>43</v>
      </c>
      <c r="D2734" t="s">
        <v>1058</v>
      </c>
      <c r="E2734" t="s">
        <v>4273</v>
      </c>
      <c r="F2734" s="121">
        <v>3107</v>
      </c>
      <c r="G2734" s="121">
        <v>3107</v>
      </c>
      <c r="H2734" t="s">
        <v>442</v>
      </c>
      <c r="I2734" s="156">
        <v>41698</v>
      </c>
      <c r="K2734" s="153"/>
      <c r="L2734" s="153"/>
      <c r="M2734" s="153"/>
      <c r="N2734" s="153"/>
      <c r="O2734" s="153"/>
      <c r="P2734" s="150"/>
      <c r="Q2734" s="150"/>
      <c r="R2734" s="153"/>
      <c r="S2734" s="154"/>
      <c r="T2734" s="115"/>
    </row>
    <row r="2735" spans="1:20">
      <c r="A2735" t="s">
        <v>1230</v>
      </c>
      <c r="B2735" t="s">
        <v>73</v>
      </c>
      <c r="C2735" t="s">
        <v>43</v>
      </c>
      <c r="D2735" t="s">
        <v>1058</v>
      </c>
      <c r="E2735" t="s">
        <v>4274</v>
      </c>
      <c r="F2735" s="121">
        <v>1688</v>
      </c>
      <c r="G2735" s="121">
        <v>1688</v>
      </c>
      <c r="H2735" t="s">
        <v>442</v>
      </c>
      <c r="I2735" s="156">
        <v>41698</v>
      </c>
      <c r="K2735" s="153"/>
      <c r="L2735" s="153"/>
      <c r="M2735" s="153"/>
      <c r="N2735" s="153"/>
      <c r="O2735" s="153"/>
      <c r="P2735" s="150"/>
      <c r="Q2735" s="150"/>
      <c r="R2735" s="153"/>
      <c r="S2735" s="154"/>
      <c r="T2735" s="115"/>
    </row>
    <row r="2736" spans="1:20">
      <c r="A2736" t="s">
        <v>1231</v>
      </c>
      <c r="B2736" t="s">
        <v>72</v>
      </c>
      <c r="C2736" t="s">
        <v>64</v>
      </c>
      <c r="D2736" t="s">
        <v>1059</v>
      </c>
      <c r="E2736" t="s">
        <v>4275</v>
      </c>
      <c r="F2736" s="121">
        <v>26160</v>
      </c>
      <c r="G2736" s="121">
        <v>26160</v>
      </c>
      <c r="H2736" t="s">
        <v>649</v>
      </c>
      <c r="I2736" s="156">
        <v>41691</v>
      </c>
      <c r="K2736" s="153"/>
      <c r="L2736" s="153"/>
      <c r="M2736" s="153"/>
      <c r="N2736" s="153"/>
      <c r="O2736" s="153"/>
      <c r="P2736" s="150"/>
      <c r="Q2736" s="150"/>
      <c r="R2736" s="153"/>
      <c r="S2736" s="154"/>
      <c r="T2736" s="115"/>
    </row>
    <row r="2737" spans="1:20">
      <c r="A2737" t="s">
        <v>1230</v>
      </c>
      <c r="B2737" t="s">
        <v>73</v>
      </c>
      <c r="C2737" t="s">
        <v>43</v>
      </c>
      <c r="D2737" t="s">
        <v>1060</v>
      </c>
      <c r="E2737" t="s">
        <v>4276</v>
      </c>
      <c r="F2737" s="121">
        <v>1159.3900000000001</v>
      </c>
      <c r="G2737" s="121">
        <v>1159.3900000000001</v>
      </c>
      <c r="H2737" t="s">
        <v>457</v>
      </c>
      <c r="I2737" s="156">
        <v>41715</v>
      </c>
      <c r="K2737" s="153"/>
      <c r="L2737" s="153"/>
      <c r="M2737" s="153"/>
      <c r="N2737" s="153"/>
      <c r="O2737" s="153"/>
      <c r="P2737" s="150"/>
      <c r="Q2737" s="150"/>
      <c r="R2737" s="153"/>
      <c r="S2737" s="154"/>
      <c r="T2737" s="115"/>
    </row>
    <row r="2738" spans="1:20">
      <c r="A2738" t="s">
        <v>1230</v>
      </c>
      <c r="B2738" t="s">
        <v>76</v>
      </c>
      <c r="C2738" t="s">
        <v>43</v>
      </c>
      <c r="D2738" t="s">
        <v>1060</v>
      </c>
      <c r="E2738" t="s">
        <v>4277</v>
      </c>
      <c r="F2738" s="121">
        <v>1159.3900000000001</v>
      </c>
      <c r="G2738" s="121">
        <v>1159.3900000000001</v>
      </c>
      <c r="H2738" t="s">
        <v>875</v>
      </c>
      <c r="I2738" s="156">
        <v>41715</v>
      </c>
      <c r="K2738" s="153"/>
      <c r="L2738" s="153"/>
      <c r="M2738" s="153"/>
      <c r="N2738" s="153"/>
      <c r="O2738" s="153"/>
      <c r="P2738" s="150"/>
      <c r="Q2738" s="150"/>
      <c r="R2738" s="153"/>
      <c r="S2738" s="154"/>
      <c r="T2738" s="115"/>
    </row>
    <row r="2739" spans="1:20">
      <c r="A2739" t="s">
        <v>1230</v>
      </c>
      <c r="B2739" t="s">
        <v>71</v>
      </c>
      <c r="C2739" t="s">
        <v>43</v>
      </c>
      <c r="D2739" t="s">
        <v>1061</v>
      </c>
      <c r="E2739" t="s">
        <v>4278</v>
      </c>
      <c r="F2739" s="121">
        <v>2321</v>
      </c>
      <c r="G2739" s="121">
        <v>2321</v>
      </c>
      <c r="H2739" t="s">
        <v>1062</v>
      </c>
      <c r="I2739" s="156">
        <v>41715</v>
      </c>
      <c r="K2739" s="153"/>
      <c r="L2739" s="153"/>
      <c r="M2739" s="153"/>
      <c r="N2739" s="153"/>
      <c r="O2739" s="153"/>
      <c r="P2739" s="150"/>
      <c r="Q2739" s="150"/>
      <c r="R2739" s="153"/>
      <c r="S2739" s="154"/>
      <c r="T2739" s="115"/>
    </row>
    <row r="2740" spans="1:20">
      <c r="A2740" t="s">
        <v>1230</v>
      </c>
      <c r="B2740" t="s">
        <v>71</v>
      </c>
      <c r="C2740" t="s">
        <v>43</v>
      </c>
      <c r="D2740" t="s">
        <v>1061</v>
      </c>
      <c r="E2740" t="s">
        <v>4279</v>
      </c>
      <c r="F2740" s="121">
        <v>2321</v>
      </c>
      <c r="G2740" s="121">
        <v>2321</v>
      </c>
      <c r="H2740" t="s">
        <v>1062</v>
      </c>
      <c r="I2740" s="156">
        <v>41715</v>
      </c>
      <c r="K2740" s="153"/>
      <c r="L2740" s="153"/>
      <c r="M2740" s="153"/>
      <c r="N2740" s="153"/>
      <c r="O2740" s="153"/>
      <c r="P2740" s="150"/>
      <c r="Q2740" s="150"/>
      <c r="R2740" s="153"/>
      <c r="S2740" s="154"/>
      <c r="T2740" s="115"/>
    </row>
    <row r="2741" spans="1:20">
      <c r="A2741" t="s">
        <v>1230</v>
      </c>
      <c r="B2741" t="s">
        <v>72</v>
      </c>
      <c r="C2741" t="s">
        <v>51</v>
      </c>
      <c r="D2741" t="s">
        <v>1063</v>
      </c>
      <c r="E2741" t="s">
        <v>4280</v>
      </c>
      <c r="F2741" s="121">
        <v>499.01</v>
      </c>
      <c r="G2741" s="121">
        <v>499.01</v>
      </c>
      <c r="H2741" t="s">
        <v>1064</v>
      </c>
      <c r="I2741" s="156">
        <v>41715</v>
      </c>
      <c r="K2741" s="153"/>
      <c r="L2741" s="153"/>
      <c r="M2741" s="153"/>
      <c r="N2741" s="153"/>
      <c r="O2741" s="153"/>
      <c r="P2741" s="150"/>
      <c r="Q2741" s="150"/>
      <c r="R2741" s="153"/>
      <c r="S2741" s="154"/>
      <c r="T2741" s="115"/>
    </row>
    <row r="2742" spans="1:20">
      <c r="A2742" t="s">
        <v>1230</v>
      </c>
      <c r="B2742" t="s">
        <v>72</v>
      </c>
      <c r="C2742" t="s">
        <v>53</v>
      </c>
      <c r="D2742" t="s">
        <v>910</v>
      </c>
      <c r="E2742" t="s">
        <v>4281</v>
      </c>
      <c r="F2742" s="121">
        <v>1199</v>
      </c>
      <c r="G2742" s="121">
        <v>1199</v>
      </c>
      <c r="H2742" t="s">
        <v>1065</v>
      </c>
      <c r="I2742" s="156">
        <v>41715</v>
      </c>
      <c r="K2742" s="153"/>
      <c r="L2742" s="153"/>
      <c r="M2742" s="153"/>
      <c r="N2742" s="153"/>
      <c r="O2742" s="153"/>
      <c r="P2742" s="150"/>
      <c r="Q2742" s="150"/>
      <c r="R2742" s="153"/>
      <c r="S2742" s="154"/>
      <c r="T2742" s="115"/>
    </row>
    <row r="2743" spans="1:20">
      <c r="A2743" t="s">
        <v>1230</v>
      </c>
      <c r="B2743" t="s">
        <v>72</v>
      </c>
      <c r="C2743" t="s">
        <v>55</v>
      </c>
      <c r="D2743" t="s">
        <v>776</v>
      </c>
      <c r="E2743" t="s">
        <v>4282</v>
      </c>
      <c r="F2743" s="121">
        <v>249</v>
      </c>
      <c r="G2743" s="121">
        <v>249</v>
      </c>
      <c r="H2743" t="s">
        <v>396</v>
      </c>
      <c r="I2743" s="156">
        <v>41715</v>
      </c>
      <c r="K2743" s="153"/>
      <c r="L2743" s="153"/>
      <c r="M2743" s="153"/>
      <c r="N2743" s="153"/>
      <c r="O2743" s="153"/>
      <c r="P2743" s="150"/>
      <c r="Q2743" s="150"/>
      <c r="R2743" s="153"/>
      <c r="S2743" s="154"/>
      <c r="T2743" s="115"/>
    </row>
    <row r="2744" spans="1:20">
      <c r="A2744" t="s">
        <v>1230</v>
      </c>
      <c r="B2744" t="s">
        <v>72</v>
      </c>
      <c r="C2744" t="s">
        <v>55</v>
      </c>
      <c r="D2744" t="s">
        <v>776</v>
      </c>
      <c r="E2744" t="s">
        <v>4283</v>
      </c>
      <c r="F2744" s="121">
        <v>249</v>
      </c>
      <c r="G2744" s="121">
        <v>249</v>
      </c>
      <c r="H2744" t="s">
        <v>396</v>
      </c>
      <c r="I2744" s="156">
        <v>41715</v>
      </c>
      <c r="K2744" s="153"/>
      <c r="L2744" s="153"/>
      <c r="M2744" s="153"/>
      <c r="N2744" s="153"/>
      <c r="O2744" s="153"/>
      <c r="P2744" s="150"/>
      <c r="Q2744" s="150"/>
      <c r="R2744" s="153"/>
      <c r="S2744" s="154"/>
      <c r="T2744" s="115"/>
    </row>
    <row r="2745" spans="1:20">
      <c r="A2745" t="s">
        <v>1230</v>
      </c>
      <c r="B2745" t="s">
        <v>72</v>
      </c>
      <c r="C2745" t="s">
        <v>50</v>
      </c>
      <c r="D2745" t="s">
        <v>783</v>
      </c>
      <c r="E2745" t="s">
        <v>4284</v>
      </c>
      <c r="F2745" s="121">
        <v>1349</v>
      </c>
      <c r="G2745" s="121">
        <v>1349</v>
      </c>
      <c r="H2745" t="s">
        <v>1066</v>
      </c>
      <c r="I2745" s="156">
        <v>41723</v>
      </c>
      <c r="K2745" s="153"/>
      <c r="L2745" s="153"/>
      <c r="M2745" s="153"/>
      <c r="N2745" s="153"/>
      <c r="O2745" s="153"/>
      <c r="P2745" s="150"/>
      <c r="Q2745" s="150"/>
      <c r="R2745" s="153"/>
      <c r="S2745" s="154"/>
      <c r="T2745" s="115"/>
    </row>
    <row r="2746" spans="1:20">
      <c r="A2746" t="s">
        <v>1230</v>
      </c>
      <c r="B2746" t="s">
        <v>71</v>
      </c>
      <c r="C2746" t="s">
        <v>54</v>
      </c>
      <c r="D2746" t="s">
        <v>736</v>
      </c>
      <c r="E2746" t="s">
        <v>4285</v>
      </c>
      <c r="F2746" s="121">
        <v>1650</v>
      </c>
      <c r="G2746" s="121">
        <v>1650</v>
      </c>
      <c r="H2746" t="s">
        <v>442</v>
      </c>
      <c r="I2746" s="156">
        <v>41726</v>
      </c>
      <c r="K2746" s="153"/>
      <c r="L2746" s="153"/>
      <c r="M2746" s="153"/>
      <c r="N2746" s="153"/>
      <c r="O2746" s="153"/>
      <c r="P2746" s="150"/>
      <c r="Q2746" s="150"/>
      <c r="R2746" s="153"/>
      <c r="S2746" s="154"/>
      <c r="T2746" s="115"/>
    </row>
    <row r="2747" spans="1:20">
      <c r="A2747" t="s">
        <v>1230</v>
      </c>
      <c r="B2747" t="s">
        <v>71</v>
      </c>
      <c r="C2747" t="s">
        <v>54</v>
      </c>
      <c r="D2747" t="s">
        <v>736</v>
      </c>
      <c r="E2747" t="s">
        <v>4286</v>
      </c>
      <c r="F2747" s="121">
        <v>1650</v>
      </c>
      <c r="G2747" s="121">
        <v>1650</v>
      </c>
      <c r="H2747" t="s">
        <v>442</v>
      </c>
      <c r="I2747" s="156">
        <v>41726</v>
      </c>
      <c r="K2747" s="153"/>
      <c r="L2747" s="153"/>
      <c r="M2747" s="153"/>
      <c r="N2747" s="153"/>
      <c r="O2747" s="153"/>
      <c r="P2747" s="150"/>
      <c r="Q2747" s="150"/>
      <c r="R2747" s="153"/>
      <c r="S2747" s="154"/>
      <c r="T2747" s="115"/>
    </row>
    <row r="2748" spans="1:20">
      <c r="A2748" t="s">
        <v>1230</v>
      </c>
      <c r="B2748" t="s">
        <v>71</v>
      </c>
      <c r="C2748" t="s">
        <v>54</v>
      </c>
      <c r="D2748" t="s">
        <v>736</v>
      </c>
      <c r="E2748" t="s">
        <v>4287</v>
      </c>
      <c r="F2748" s="121">
        <v>1650</v>
      </c>
      <c r="G2748" s="121">
        <v>1650</v>
      </c>
      <c r="H2748" t="s">
        <v>442</v>
      </c>
      <c r="I2748" s="156">
        <v>41726</v>
      </c>
      <c r="K2748" s="153"/>
      <c r="L2748" s="153"/>
      <c r="M2748" s="153"/>
      <c r="N2748" s="153"/>
      <c r="O2748" s="153"/>
      <c r="P2748" s="150"/>
      <c r="Q2748" s="150"/>
      <c r="R2748" s="153"/>
      <c r="S2748" s="154"/>
      <c r="T2748" s="115"/>
    </row>
    <row r="2749" spans="1:20">
      <c r="A2749" t="s">
        <v>1230</v>
      </c>
      <c r="B2749" t="s">
        <v>71</v>
      </c>
      <c r="C2749" t="s">
        <v>54</v>
      </c>
      <c r="D2749" t="s">
        <v>736</v>
      </c>
      <c r="E2749" t="s">
        <v>4288</v>
      </c>
      <c r="F2749" s="121">
        <v>1650</v>
      </c>
      <c r="G2749" s="121">
        <v>1650</v>
      </c>
      <c r="H2749" t="s">
        <v>442</v>
      </c>
      <c r="I2749" s="156">
        <v>41726</v>
      </c>
      <c r="K2749" s="153"/>
      <c r="L2749" s="153"/>
      <c r="M2749" s="153"/>
      <c r="N2749" s="153"/>
      <c r="O2749" s="153"/>
      <c r="P2749" s="150"/>
      <c r="Q2749" s="150"/>
      <c r="R2749" s="153"/>
      <c r="S2749" s="154"/>
      <c r="T2749" s="115"/>
    </row>
    <row r="2750" spans="1:20">
      <c r="A2750" t="s">
        <v>1230</v>
      </c>
      <c r="B2750" t="s">
        <v>71</v>
      </c>
      <c r="C2750" t="s">
        <v>54</v>
      </c>
      <c r="D2750" t="s">
        <v>736</v>
      </c>
      <c r="E2750" t="s">
        <v>4289</v>
      </c>
      <c r="F2750" s="121">
        <v>1650</v>
      </c>
      <c r="G2750" s="121">
        <v>1650</v>
      </c>
      <c r="H2750" t="s">
        <v>442</v>
      </c>
      <c r="I2750" s="156">
        <v>41726</v>
      </c>
      <c r="K2750" s="153"/>
      <c r="L2750" s="153"/>
      <c r="M2750" s="153"/>
      <c r="N2750" s="153"/>
      <c r="O2750" s="153"/>
      <c r="P2750" s="150"/>
      <c r="Q2750" s="150"/>
      <c r="R2750" s="153"/>
      <c r="S2750" s="154"/>
      <c r="T2750" s="115"/>
    </row>
    <row r="2751" spans="1:20">
      <c r="A2751" t="s">
        <v>1230</v>
      </c>
      <c r="B2751" t="s">
        <v>71</v>
      </c>
      <c r="C2751" t="s">
        <v>54</v>
      </c>
      <c r="D2751" t="s">
        <v>961</v>
      </c>
      <c r="E2751" t="s">
        <v>4290</v>
      </c>
      <c r="F2751" s="121">
        <v>2124.1999999999998</v>
      </c>
      <c r="G2751" s="121">
        <v>2124.1999999999998</v>
      </c>
      <c r="H2751" t="s">
        <v>442</v>
      </c>
      <c r="I2751" s="156">
        <v>41726</v>
      </c>
      <c r="K2751" s="153"/>
      <c r="L2751" s="153"/>
      <c r="M2751" s="153"/>
      <c r="N2751" s="153"/>
      <c r="O2751" s="153"/>
      <c r="P2751" s="150"/>
      <c r="Q2751" s="150"/>
      <c r="R2751" s="153"/>
      <c r="S2751" s="154"/>
      <c r="T2751" s="115"/>
    </row>
    <row r="2752" spans="1:20">
      <c r="A2752" t="s">
        <v>1230</v>
      </c>
      <c r="B2752" t="s">
        <v>71</v>
      </c>
      <c r="C2752" t="s">
        <v>54</v>
      </c>
      <c r="D2752" t="s">
        <v>961</v>
      </c>
      <c r="E2752" t="s">
        <v>4291</v>
      </c>
      <c r="F2752" s="121">
        <v>2124.1999999999998</v>
      </c>
      <c r="G2752" s="121">
        <v>2124.1999999999998</v>
      </c>
      <c r="H2752" t="s">
        <v>442</v>
      </c>
      <c r="I2752" s="156">
        <v>41726</v>
      </c>
      <c r="K2752" s="153"/>
      <c r="L2752" s="153"/>
      <c r="M2752" s="153"/>
      <c r="N2752" s="153"/>
      <c r="O2752" s="153"/>
      <c r="P2752" s="150"/>
      <c r="Q2752" s="150"/>
      <c r="R2752" s="153"/>
      <c r="S2752" s="154"/>
      <c r="T2752" s="115"/>
    </row>
    <row r="2753" spans="1:20">
      <c r="A2753" t="s">
        <v>1230</v>
      </c>
      <c r="B2753" t="s">
        <v>71</v>
      </c>
      <c r="C2753" t="s">
        <v>54</v>
      </c>
      <c r="D2753" t="s">
        <v>961</v>
      </c>
      <c r="E2753" t="s">
        <v>4292</v>
      </c>
      <c r="F2753" s="121">
        <v>2124.1999999999998</v>
      </c>
      <c r="G2753" s="121">
        <v>2124.1999999999998</v>
      </c>
      <c r="H2753" t="s">
        <v>442</v>
      </c>
      <c r="I2753" s="156">
        <v>41726</v>
      </c>
      <c r="K2753" s="153"/>
      <c r="L2753" s="153"/>
      <c r="M2753" s="153"/>
      <c r="N2753" s="153"/>
      <c r="O2753" s="153"/>
      <c r="P2753" s="150"/>
      <c r="Q2753" s="150"/>
      <c r="R2753" s="153"/>
      <c r="S2753" s="154"/>
      <c r="T2753" s="115"/>
    </row>
    <row r="2754" spans="1:20">
      <c r="A2754" t="s">
        <v>1230</v>
      </c>
      <c r="B2754" t="s">
        <v>72</v>
      </c>
      <c r="C2754" t="s">
        <v>51</v>
      </c>
      <c r="D2754" t="s">
        <v>1063</v>
      </c>
      <c r="E2754" t="s">
        <v>4293</v>
      </c>
      <c r="F2754" s="121">
        <v>499.01</v>
      </c>
      <c r="G2754" s="121">
        <v>499.01</v>
      </c>
      <c r="H2754" t="s">
        <v>396</v>
      </c>
      <c r="I2754" s="156">
        <v>41726</v>
      </c>
      <c r="K2754" s="153"/>
      <c r="L2754" s="153"/>
      <c r="M2754" s="153"/>
      <c r="N2754" s="153"/>
      <c r="O2754" s="153"/>
      <c r="P2754" s="150"/>
      <c r="Q2754" s="150"/>
      <c r="R2754" s="153"/>
      <c r="S2754" s="154"/>
      <c r="T2754" s="115"/>
    </row>
    <row r="2755" spans="1:20">
      <c r="A2755" t="s">
        <v>1230</v>
      </c>
      <c r="B2755" t="s">
        <v>71</v>
      </c>
      <c r="C2755" t="s">
        <v>43</v>
      </c>
      <c r="D2755" t="s">
        <v>700</v>
      </c>
      <c r="E2755" t="s">
        <v>4294</v>
      </c>
      <c r="F2755" s="121">
        <v>881.91</v>
      </c>
      <c r="G2755" s="121">
        <v>881.91</v>
      </c>
      <c r="H2755" t="s">
        <v>442</v>
      </c>
      <c r="I2755" s="156">
        <v>41726</v>
      </c>
      <c r="K2755" s="153"/>
      <c r="L2755" s="153"/>
      <c r="M2755" s="153"/>
      <c r="N2755" s="153"/>
      <c r="O2755" s="153"/>
      <c r="P2755" s="150"/>
      <c r="Q2755" s="150"/>
      <c r="R2755" s="153"/>
      <c r="S2755" s="154"/>
      <c r="T2755" s="151"/>
    </row>
    <row r="2756" spans="1:20">
      <c r="A2756" t="s">
        <v>1230</v>
      </c>
      <c r="B2756" t="s">
        <v>71</v>
      </c>
      <c r="C2756" t="s">
        <v>43</v>
      </c>
      <c r="D2756" t="s">
        <v>700</v>
      </c>
      <c r="E2756" t="s">
        <v>4295</v>
      </c>
      <c r="F2756" s="121">
        <v>881.91</v>
      </c>
      <c r="G2756" s="121">
        <v>881.91</v>
      </c>
      <c r="H2756" t="s">
        <v>442</v>
      </c>
      <c r="I2756" s="156">
        <v>41726</v>
      </c>
      <c r="K2756" s="153"/>
      <c r="L2756" s="153"/>
      <c r="M2756" s="153"/>
      <c r="N2756" s="153"/>
      <c r="O2756" s="153"/>
      <c r="P2756" s="150"/>
      <c r="Q2756" s="150"/>
      <c r="R2756" s="153"/>
      <c r="S2756" s="154"/>
      <c r="T2756" s="151"/>
    </row>
    <row r="2757" spans="1:20">
      <c r="A2757" t="s">
        <v>1230</v>
      </c>
      <c r="B2757" t="s">
        <v>72</v>
      </c>
      <c r="C2757" t="s">
        <v>55</v>
      </c>
      <c r="D2757" t="s">
        <v>701</v>
      </c>
      <c r="E2757" t="s">
        <v>4296</v>
      </c>
      <c r="F2757" s="121">
        <v>399</v>
      </c>
      <c r="G2757" s="121">
        <v>399</v>
      </c>
      <c r="H2757" t="s">
        <v>396</v>
      </c>
      <c r="I2757" s="156">
        <v>41726</v>
      </c>
      <c r="K2757" s="153"/>
      <c r="L2757" s="153"/>
      <c r="M2757" s="153"/>
      <c r="N2757" s="153"/>
      <c r="O2757" s="153"/>
      <c r="P2757" s="150"/>
      <c r="Q2757" s="150"/>
      <c r="R2757" s="153"/>
      <c r="S2757" s="154"/>
      <c r="T2757" s="115"/>
    </row>
    <row r="2758" spans="1:20">
      <c r="A2758" t="s">
        <v>1230</v>
      </c>
      <c r="B2758" t="s">
        <v>72</v>
      </c>
      <c r="C2758" t="s">
        <v>51</v>
      </c>
      <c r="D2758" t="s">
        <v>1063</v>
      </c>
      <c r="E2758" t="s">
        <v>4297</v>
      </c>
      <c r="F2758" s="121">
        <v>499.01</v>
      </c>
      <c r="G2758" s="121">
        <v>499.01</v>
      </c>
      <c r="H2758" t="s">
        <v>396</v>
      </c>
      <c r="I2758" s="156">
        <v>41726</v>
      </c>
      <c r="K2758" s="153"/>
      <c r="L2758" s="153"/>
      <c r="M2758" s="153"/>
      <c r="N2758" s="153"/>
      <c r="O2758" s="153"/>
      <c r="P2758" s="150"/>
      <c r="Q2758" s="150"/>
      <c r="R2758" s="153"/>
      <c r="S2758" s="154"/>
      <c r="T2758" s="115"/>
    </row>
    <row r="2759" spans="1:20">
      <c r="A2759" t="s">
        <v>1230</v>
      </c>
      <c r="B2759" t="s">
        <v>75</v>
      </c>
      <c r="C2759" t="s">
        <v>55</v>
      </c>
      <c r="D2759" t="s">
        <v>796</v>
      </c>
      <c r="E2759" t="s">
        <v>4298</v>
      </c>
      <c r="F2759" s="121">
        <v>380</v>
      </c>
      <c r="G2759" s="121">
        <v>380</v>
      </c>
      <c r="H2759" t="s">
        <v>460</v>
      </c>
      <c r="I2759" s="156">
        <v>41729</v>
      </c>
      <c r="K2759" s="153"/>
      <c r="L2759" s="153"/>
      <c r="M2759" s="153"/>
      <c r="N2759" s="153"/>
      <c r="O2759" s="153"/>
      <c r="P2759" s="150"/>
      <c r="Q2759" s="150"/>
      <c r="R2759" s="153"/>
      <c r="S2759" s="154"/>
      <c r="T2759" s="115"/>
    </row>
    <row r="2760" spans="1:20">
      <c r="A2760" t="s">
        <v>1230</v>
      </c>
      <c r="B2760" t="s">
        <v>76</v>
      </c>
      <c r="C2760" t="s">
        <v>43</v>
      </c>
      <c r="D2760" t="s">
        <v>1067</v>
      </c>
      <c r="E2760" t="s">
        <v>4299</v>
      </c>
      <c r="F2760" s="121">
        <v>339</v>
      </c>
      <c r="G2760" s="121">
        <v>339</v>
      </c>
      <c r="H2760" t="s">
        <v>875</v>
      </c>
      <c r="I2760" s="156">
        <v>41691.422361111108</v>
      </c>
      <c r="K2760" s="153"/>
      <c r="L2760" s="153"/>
      <c r="M2760" s="153"/>
      <c r="N2760" s="153"/>
      <c r="O2760" s="153"/>
      <c r="P2760" s="152"/>
      <c r="Q2760" s="152"/>
      <c r="R2760" s="153"/>
      <c r="S2760" s="154"/>
      <c r="T2760" s="115"/>
    </row>
    <row r="2761" spans="1:20">
      <c r="A2761" t="s">
        <v>1230</v>
      </c>
      <c r="B2761" t="s">
        <v>76</v>
      </c>
      <c r="C2761" t="s">
        <v>43</v>
      </c>
      <c r="D2761" t="s">
        <v>1068</v>
      </c>
      <c r="E2761" t="s">
        <v>4300</v>
      </c>
      <c r="F2761" s="121">
        <v>339</v>
      </c>
      <c r="G2761" s="121">
        <v>339</v>
      </c>
      <c r="H2761" t="s">
        <v>875</v>
      </c>
      <c r="I2761" s="156">
        <v>41691</v>
      </c>
      <c r="K2761" s="153"/>
      <c r="L2761" s="153"/>
      <c r="M2761" s="153"/>
      <c r="N2761" s="153"/>
      <c r="O2761" s="153"/>
      <c r="P2761" s="152"/>
      <c r="Q2761" s="152"/>
      <c r="R2761" s="153"/>
      <c r="S2761" s="154"/>
      <c r="T2761" s="115"/>
    </row>
    <row r="2762" spans="1:20">
      <c r="A2762" t="s">
        <v>1231</v>
      </c>
      <c r="B2762" t="s">
        <v>71</v>
      </c>
      <c r="C2762" t="s">
        <v>43</v>
      </c>
      <c r="D2762" t="s">
        <v>1135</v>
      </c>
      <c r="E2762" t="s">
        <v>4301</v>
      </c>
      <c r="F2762" s="121">
        <v>1384.42</v>
      </c>
      <c r="G2762" s="121">
        <v>1384.42</v>
      </c>
      <c r="H2762" t="s">
        <v>442</v>
      </c>
      <c r="I2762" s="156">
        <v>41738</v>
      </c>
      <c r="K2762" s="153"/>
      <c r="L2762" s="153"/>
      <c r="M2762" s="153"/>
      <c r="N2762" s="153"/>
      <c r="O2762" s="153"/>
      <c r="P2762" s="152"/>
      <c r="Q2762" s="152"/>
      <c r="R2762" s="153"/>
      <c r="S2762" s="154"/>
      <c r="T2762" s="115"/>
    </row>
    <row r="2763" spans="1:20">
      <c r="A2763" t="s">
        <v>1230</v>
      </c>
      <c r="B2763" t="s">
        <v>72</v>
      </c>
      <c r="C2763" t="s">
        <v>43</v>
      </c>
      <c r="D2763" t="s">
        <v>700</v>
      </c>
      <c r="E2763" t="s">
        <v>4302</v>
      </c>
      <c r="F2763" s="121">
        <v>643.08000000000004</v>
      </c>
      <c r="G2763" s="121">
        <v>643.08000000000004</v>
      </c>
      <c r="H2763" t="s">
        <v>396</v>
      </c>
      <c r="I2763" s="156">
        <v>41738</v>
      </c>
      <c r="K2763" s="153"/>
      <c r="L2763" s="153"/>
      <c r="M2763" s="153"/>
      <c r="N2763" s="153"/>
      <c r="O2763" s="153"/>
      <c r="P2763" s="152"/>
      <c r="Q2763" s="152"/>
      <c r="R2763" s="153"/>
      <c r="S2763" s="154"/>
      <c r="T2763" s="115"/>
    </row>
    <row r="2764" spans="1:20">
      <c r="A2764" t="s">
        <v>1230</v>
      </c>
      <c r="B2764" t="s">
        <v>72</v>
      </c>
      <c r="C2764" t="s">
        <v>43</v>
      </c>
      <c r="D2764" t="s">
        <v>700</v>
      </c>
      <c r="E2764" t="s">
        <v>4303</v>
      </c>
      <c r="F2764" s="121">
        <v>643.08000000000004</v>
      </c>
      <c r="G2764" s="121">
        <v>643.08000000000004</v>
      </c>
      <c r="H2764" t="s">
        <v>396</v>
      </c>
      <c r="I2764" s="156">
        <v>41738</v>
      </c>
      <c r="K2764" s="153"/>
      <c r="L2764" s="153"/>
      <c r="M2764" s="153"/>
      <c r="N2764" s="153"/>
      <c r="O2764" s="153"/>
      <c r="P2764" s="152"/>
      <c r="Q2764" s="152"/>
      <c r="R2764" s="153"/>
      <c r="S2764" s="154"/>
      <c r="T2764" s="115"/>
    </row>
    <row r="2765" spans="1:20">
      <c r="A2765" t="s">
        <v>1230</v>
      </c>
      <c r="B2765" t="s">
        <v>72</v>
      </c>
      <c r="C2765" t="s">
        <v>43</v>
      </c>
      <c r="D2765" t="s">
        <v>1136</v>
      </c>
      <c r="E2765" t="s">
        <v>4304</v>
      </c>
      <c r="F2765" s="121">
        <v>1158.28</v>
      </c>
      <c r="G2765" s="121">
        <v>1158.27</v>
      </c>
      <c r="H2765" t="s">
        <v>396</v>
      </c>
      <c r="I2765" s="156">
        <v>41738</v>
      </c>
      <c r="K2765" s="153"/>
      <c r="L2765" s="153"/>
      <c r="M2765" s="153"/>
      <c r="N2765" s="153"/>
      <c r="O2765" s="153"/>
      <c r="P2765" s="152"/>
      <c r="Q2765" s="152"/>
      <c r="R2765" s="153"/>
      <c r="S2765" s="154"/>
      <c r="T2765" s="115"/>
    </row>
    <row r="2766" spans="1:20">
      <c r="A2766" t="s">
        <v>1230</v>
      </c>
      <c r="B2766" t="s">
        <v>71</v>
      </c>
      <c r="C2766" t="s">
        <v>54</v>
      </c>
      <c r="D2766" t="s">
        <v>687</v>
      </c>
      <c r="E2766" t="s">
        <v>4305</v>
      </c>
      <c r="F2766" s="121">
        <v>5820</v>
      </c>
      <c r="G2766" s="121">
        <v>5820</v>
      </c>
      <c r="H2766" t="s">
        <v>442</v>
      </c>
      <c r="I2766" s="156">
        <v>41733</v>
      </c>
      <c r="K2766" s="153"/>
      <c r="L2766" s="153"/>
      <c r="M2766" s="153"/>
      <c r="N2766" s="153"/>
      <c r="O2766" s="153"/>
      <c r="P2766" s="152"/>
      <c r="Q2766" s="152"/>
      <c r="R2766" s="153"/>
      <c r="S2766" s="154"/>
      <c r="T2766" s="115"/>
    </row>
    <row r="2767" spans="1:20">
      <c r="A2767" t="s">
        <v>1230</v>
      </c>
      <c r="B2767" t="s">
        <v>71</v>
      </c>
      <c r="C2767" t="s">
        <v>54</v>
      </c>
      <c r="D2767" t="s">
        <v>686</v>
      </c>
      <c r="E2767" t="s">
        <v>4306</v>
      </c>
      <c r="F2767" s="121">
        <v>2300</v>
      </c>
      <c r="G2767" s="121">
        <v>2300</v>
      </c>
      <c r="H2767" t="s">
        <v>442</v>
      </c>
      <c r="I2767" s="156">
        <v>41733</v>
      </c>
      <c r="K2767" s="153"/>
      <c r="L2767" s="153"/>
      <c r="M2767" s="153"/>
      <c r="N2767" s="153"/>
      <c r="O2767" s="153"/>
      <c r="P2767" s="152"/>
      <c r="Q2767" s="152"/>
      <c r="R2767" s="153"/>
      <c r="S2767" s="154"/>
      <c r="T2767" s="115"/>
    </row>
    <row r="2768" spans="1:20">
      <c r="A2768" t="s">
        <v>1230</v>
      </c>
      <c r="B2768" t="s">
        <v>71</v>
      </c>
      <c r="C2768" t="s">
        <v>54</v>
      </c>
      <c r="D2768" t="s">
        <v>686</v>
      </c>
      <c r="E2768" t="s">
        <v>4307</v>
      </c>
      <c r="F2768" s="121">
        <v>2300</v>
      </c>
      <c r="G2768" s="121">
        <v>2300</v>
      </c>
      <c r="H2768" t="s">
        <v>442</v>
      </c>
      <c r="I2768" s="156">
        <v>41733</v>
      </c>
      <c r="K2768" s="153"/>
      <c r="L2768" s="153"/>
      <c r="M2768" s="153"/>
      <c r="N2768" s="153"/>
      <c r="O2768" s="153"/>
      <c r="P2768" s="152"/>
      <c r="Q2768" s="152"/>
      <c r="R2768" s="153"/>
      <c r="S2768" s="154"/>
      <c r="T2768" s="115"/>
    </row>
    <row r="2769" spans="1:20">
      <c r="A2769" t="s">
        <v>1230</v>
      </c>
      <c r="B2769" t="s">
        <v>71</v>
      </c>
      <c r="C2769" t="s">
        <v>54</v>
      </c>
      <c r="D2769" t="s">
        <v>766</v>
      </c>
      <c r="E2769" t="s">
        <v>4308</v>
      </c>
      <c r="F2769" s="121">
        <v>5800</v>
      </c>
      <c r="G2769" s="121">
        <v>5800</v>
      </c>
      <c r="H2769" t="s">
        <v>442</v>
      </c>
      <c r="I2769" s="156">
        <v>41733</v>
      </c>
      <c r="K2769" s="153"/>
      <c r="L2769" s="153"/>
      <c r="M2769" s="153"/>
      <c r="N2769" s="153"/>
      <c r="O2769" s="153"/>
      <c r="P2769" s="152"/>
      <c r="Q2769" s="152"/>
      <c r="R2769" s="153"/>
      <c r="S2769" s="154"/>
      <c r="T2769" s="115"/>
    </row>
    <row r="2770" spans="1:20">
      <c r="A2770" t="s">
        <v>1230</v>
      </c>
      <c r="B2770" t="s">
        <v>71</v>
      </c>
      <c r="C2770" t="s">
        <v>54</v>
      </c>
      <c r="D2770" t="s">
        <v>1137</v>
      </c>
      <c r="E2770" t="s">
        <v>4309</v>
      </c>
      <c r="F2770" s="121">
        <v>4730</v>
      </c>
      <c r="G2770" s="121">
        <v>4730</v>
      </c>
      <c r="H2770" t="s">
        <v>442</v>
      </c>
      <c r="I2770" s="156">
        <v>41733</v>
      </c>
      <c r="K2770" s="153"/>
      <c r="L2770" s="153"/>
      <c r="M2770" s="153"/>
      <c r="N2770" s="153"/>
      <c r="O2770" s="153"/>
      <c r="P2770" s="152"/>
      <c r="Q2770" s="152"/>
      <c r="R2770" s="153"/>
      <c r="S2770" s="154"/>
      <c r="T2770" s="115"/>
    </row>
    <row r="2771" spans="1:20">
      <c r="A2771" t="s">
        <v>1230</v>
      </c>
      <c r="B2771" t="s">
        <v>71</v>
      </c>
      <c r="C2771" t="s">
        <v>54</v>
      </c>
      <c r="D2771" t="s">
        <v>1138</v>
      </c>
      <c r="E2771" t="s">
        <v>4310</v>
      </c>
      <c r="F2771" s="121">
        <v>2600</v>
      </c>
      <c r="G2771" s="121">
        <v>2600</v>
      </c>
      <c r="H2771" t="s">
        <v>442</v>
      </c>
      <c r="I2771" s="156">
        <v>41733</v>
      </c>
      <c r="K2771" s="153"/>
      <c r="L2771" s="153"/>
      <c r="M2771" s="153"/>
      <c r="N2771" s="153"/>
      <c r="O2771" s="153"/>
      <c r="P2771" s="152"/>
      <c r="Q2771" s="152"/>
      <c r="R2771" s="153"/>
      <c r="S2771" s="154"/>
      <c r="T2771" s="115"/>
    </row>
    <row r="2772" spans="1:20">
      <c r="A2772" t="s">
        <v>1230</v>
      </c>
      <c r="B2772" t="s">
        <v>71</v>
      </c>
      <c r="C2772" t="s">
        <v>54</v>
      </c>
      <c r="D2772" t="s">
        <v>1138</v>
      </c>
      <c r="E2772" t="s">
        <v>4311</v>
      </c>
      <c r="F2772" s="121">
        <v>2600</v>
      </c>
      <c r="G2772" s="121">
        <v>2600</v>
      </c>
      <c r="H2772" t="s">
        <v>442</v>
      </c>
      <c r="I2772" s="156">
        <v>41733</v>
      </c>
      <c r="K2772" s="153"/>
      <c r="L2772" s="153"/>
      <c r="M2772" s="153"/>
      <c r="N2772" s="153"/>
      <c r="O2772" s="153"/>
      <c r="P2772" s="152"/>
      <c r="Q2772" s="152"/>
      <c r="R2772" s="153"/>
      <c r="S2772" s="154"/>
      <c r="T2772" s="115"/>
    </row>
    <row r="2773" spans="1:20">
      <c r="A2773" t="s">
        <v>1230</v>
      </c>
      <c r="B2773" t="s">
        <v>71</v>
      </c>
      <c r="C2773" t="s">
        <v>54</v>
      </c>
      <c r="D2773" t="s">
        <v>1138</v>
      </c>
      <c r="E2773" t="s">
        <v>4312</v>
      </c>
      <c r="F2773" s="121">
        <v>2600</v>
      </c>
      <c r="G2773" s="121">
        <v>2600</v>
      </c>
      <c r="H2773" t="s">
        <v>442</v>
      </c>
      <c r="I2773" s="156">
        <v>41733</v>
      </c>
      <c r="K2773" s="153"/>
      <c r="L2773" s="153"/>
      <c r="M2773" s="153"/>
      <c r="N2773" s="153"/>
      <c r="O2773" s="153"/>
      <c r="P2773" s="152"/>
      <c r="Q2773" s="152"/>
      <c r="R2773" s="153"/>
      <c r="S2773" s="154"/>
      <c r="T2773" s="115"/>
    </row>
    <row r="2774" spans="1:20">
      <c r="A2774" t="s">
        <v>1230</v>
      </c>
      <c r="B2774" t="s">
        <v>71</v>
      </c>
      <c r="C2774" t="s">
        <v>54</v>
      </c>
      <c r="D2774" t="s">
        <v>1138</v>
      </c>
      <c r="E2774" t="s">
        <v>4313</v>
      </c>
      <c r="F2774" s="121">
        <v>2600</v>
      </c>
      <c r="G2774" s="121">
        <v>2600.04</v>
      </c>
      <c r="H2774" t="s">
        <v>442</v>
      </c>
      <c r="I2774" s="156">
        <v>41733</v>
      </c>
      <c r="K2774" s="153"/>
      <c r="L2774" s="153"/>
      <c r="M2774" s="153"/>
      <c r="N2774" s="153"/>
      <c r="O2774" s="153"/>
      <c r="P2774" s="152"/>
      <c r="Q2774" s="152"/>
      <c r="R2774" s="153"/>
      <c r="S2774" s="154"/>
      <c r="T2774" s="115"/>
    </row>
    <row r="2775" spans="1:20">
      <c r="A2775" t="s">
        <v>1231</v>
      </c>
      <c r="B2775" t="s">
        <v>71</v>
      </c>
      <c r="C2775" t="s">
        <v>43</v>
      </c>
      <c r="D2775" t="s">
        <v>1135</v>
      </c>
      <c r="E2775" t="s">
        <v>4314</v>
      </c>
      <c r="F2775" s="121">
        <v>1384.42</v>
      </c>
      <c r="G2775" s="121">
        <v>1384.42</v>
      </c>
      <c r="H2775" t="s">
        <v>442</v>
      </c>
      <c r="I2775" s="156">
        <v>41738</v>
      </c>
      <c r="K2775" s="153"/>
      <c r="L2775" s="153"/>
      <c r="M2775" s="153"/>
      <c r="N2775" s="153"/>
      <c r="O2775" s="153"/>
      <c r="P2775" s="152"/>
      <c r="Q2775" s="152"/>
      <c r="R2775" s="153"/>
      <c r="S2775" s="154"/>
      <c r="T2775" s="115"/>
    </row>
    <row r="2776" spans="1:20">
      <c r="A2776" t="s">
        <v>1230</v>
      </c>
      <c r="B2776" t="s">
        <v>72</v>
      </c>
      <c r="C2776" t="s">
        <v>55</v>
      </c>
      <c r="D2776" t="s">
        <v>1139</v>
      </c>
      <c r="E2776" t="s">
        <v>4315</v>
      </c>
      <c r="F2776" s="121">
        <v>1020</v>
      </c>
      <c r="G2776" s="121">
        <v>1020</v>
      </c>
      <c r="H2776" t="s">
        <v>1140</v>
      </c>
      <c r="I2776" s="156">
        <v>41753</v>
      </c>
      <c r="K2776" s="153"/>
      <c r="L2776" s="153"/>
      <c r="M2776" s="153"/>
      <c r="N2776" s="153"/>
      <c r="O2776" s="153"/>
      <c r="P2776" s="150"/>
      <c r="Q2776" s="150"/>
      <c r="R2776" s="153"/>
      <c r="S2776" s="154"/>
      <c r="T2776" s="115"/>
    </row>
    <row r="2777" spans="1:20">
      <c r="A2777" t="s">
        <v>1230</v>
      </c>
      <c r="B2777" t="s">
        <v>72</v>
      </c>
      <c r="C2777" t="s">
        <v>55</v>
      </c>
      <c r="D2777" t="s">
        <v>1141</v>
      </c>
      <c r="E2777" t="s">
        <v>4316</v>
      </c>
      <c r="F2777" s="121">
        <v>1750</v>
      </c>
      <c r="G2777" s="121">
        <v>1750</v>
      </c>
      <c r="H2777" t="s">
        <v>1142</v>
      </c>
      <c r="I2777" s="156">
        <v>41753</v>
      </c>
      <c r="K2777" s="153"/>
      <c r="L2777" s="153"/>
      <c r="M2777" s="153"/>
      <c r="N2777" s="153"/>
      <c r="O2777" s="153"/>
      <c r="P2777" s="150"/>
      <c r="Q2777" s="150"/>
      <c r="R2777" s="153"/>
      <c r="S2777" s="154"/>
      <c r="T2777" s="115"/>
    </row>
    <row r="2778" spans="1:20">
      <c r="A2778" t="s">
        <v>1230</v>
      </c>
      <c r="B2778" t="s">
        <v>72</v>
      </c>
      <c r="C2778" t="s">
        <v>55</v>
      </c>
      <c r="D2778" t="s">
        <v>1141</v>
      </c>
      <c r="E2778" t="s">
        <v>4317</v>
      </c>
      <c r="F2778" s="121">
        <v>1750</v>
      </c>
      <c r="G2778" s="121">
        <v>1750</v>
      </c>
      <c r="H2778" t="s">
        <v>1143</v>
      </c>
      <c r="I2778" s="156">
        <v>41753</v>
      </c>
      <c r="K2778" s="153"/>
      <c r="L2778" s="153"/>
      <c r="M2778" s="153"/>
      <c r="N2778" s="153"/>
      <c r="O2778" s="153"/>
      <c r="P2778" s="150"/>
      <c r="Q2778" s="150"/>
      <c r="R2778" s="153"/>
      <c r="S2778" s="154"/>
      <c r="T2778" s="115"/>
    </row>
    <row r="2779" spans="1:20">
      <c r="A2779" t="s">
        <v>1230</v>
      </c>
      <c r="B2779" t="s">
        <v>75</v>
      </c>
      <c r="C2779" t="s">
        <v>53</v>
      </c>
      <c r="D2779" t="s">
        <v>461</v>
      </c>
      <c r="E2779" t="s">
        <v>4318</v>
      </c>
      <c r="F2779" s="121">
        <v>1664.14</v>
      </c>
      <c r="G2779" s="121">
        <v>1664.14</v>
      </c>
      <c r="H2779" t="s">
        <v>460</v>
      </c>
      <c r="I2779" s="156">
        <v>41745</v>
      </c>
      <c r="K2779" s="153"/>
      <c r="L2779" s="153"/>
      <c r="M2779" s="153"/>
      <c r="N2779" s="153"/>
      <c r="O2779" s="153"/>
      <c r="P2779" s="150"/>
      <c r="Q2779" s="150"/>
      <c r="R2779" s="153"/>
      <c r="S2779" s="154"/>
      <c r="T2779" s="115"/>
    </row>
    <row r="2780" spans="1:20">
      <c r="A2780" t="s">
        <v>1230</v>
      </c>
      <c r="B2780" t="s">
        <v>72</v>
      </c>
      <c r="C2780" t="s">
        <v>55</v>
      </c>
      <c r="D2780" t="s">
        <v>712</v>
      </c>
      <c r="E2780" t="s">
        <v>4319</v>
      </c>
      <c r="F2780" s="121">
        <v>259</v>
      </c>
      <c r="G2780" s="121">
        <v>259</v>
      </c>
      <c r="H2780" t="s">
        <v>1144</v>
      </c>
      <c r="I2780" s="156">
        <v>41753</v>
      </c>
      <c r="K2780" s="153"/>
      <c r="L2780" s="153"/>
      <c r="M2780" s="153"/>
      <c r="N2780" s="153"/>
      <c r="O2780" s="153"/>
      <c r="P2780" s="150"/>
      <c r="Q2780" s="150"/>
      <c r="R2780" s="153"/>
      <c r="S2780" s="154"/>
      <c r="T2780" s="115"/>
    </row>
    <row r="2781" spans="1:20">
      <c r="A2781" t="s">
        <v>1230</v>
      </c>
      <c r="B2781" t="s">
        <v>72</v>
      </c>
      <c r="C2781" t="s">
        <v>55</v>
      </c>
      <c r="D2781" t="s">
        <v>1141</v>
      </c>
      <c r="E2781" t="s">
        <v>4320</v>
      </c>
      <c r="F2781" s="121">
        <v>1750</v>
      </c>
      <c r="G2781" s="121">
        <v>1750</v>
      </c>
      <c r="H2781" t="s">
        <v>1142</v>
      </c>
      <c r="I2781" s="156">
        <v>41753</v>
      </c>
      <c r="K2781" s="153"/>
      <c r="L2781" s="153"/>
      <c r="M2781" s="153"/>
      <c r="N2781" s="153"/>
      <c r="O2781" s="153"/>
      <c r="P2781" s="150"/>
      <c r="Q2781" s="150"/>
      <c r="R2781" s="153"/>
      <c r="S2781" s="154"/>
      <c r="T2781" s="115"/>
    </row>
    <row r="2782" spans="1:20">
      <c r="A2782" t="s">
        <v>1230</v>
      </c>
      <c r="B2782" t="s">
        <v>72</v>
      </c>
      <c r="C2782" t="s">
        <v>55</v>
      </c>
      <c r="D2782" t="s">
        <v>1145</v>
      </c>
      <c r="E2782" t="s">
        <v>4321</v>
      </c>
      <c r="F2782" s="121">
        <v>500</v>
      </c>
      <c r="G2782" s="121">
        <v>500</v>
      </c>
      <c r="H2782" t="s">
        <v>1146</v>
      </c>
      <c r="I2782" s="156">
        <v>41733</v>
      </c>
      <c r="K2782" s="153"/>
      <c r="L2782" s="153"/>
      <c r="M2782" s="153"/>
      <c r="N2782" s="153"/>
      <c r="O2782" s="153"/>
      <c r="P2782" s="150"/>
      <c r="Q2782" s="150"/>
      <c r="R2782" s="153"/>
      <c r="S2782" s="154"/>
      <c r="T2782" s="115"/>
    </row>
    <row r="2783" spans="1:20">
      <c r="A2783" t="s">
        <v>1230</v>
      </c>
      <c r="B2783" t="s">
        <v>72</v>
      </c>
      <c r="C2783" t="s">
        <v>55</v>
      </c>
      <c r="D2783" t="s">
        <v>1147</v>
      </c>
      <c r="E2783" t="s">
        <v>4322</v>
      </c>
      <c r="F2783" s="121">
        <v>500</v>
      </c>
      <c r="G2783" s="121">
        <v>500</v>
      </c>
      <c r="H2783" t="s">
        <v>1146</v>
      </c>
      <c r="I2783" s="156">
        <v>41733</v>
      </c>
      <c r="K2783" s="153"/>
      <c r="L2783" s="153"/>
      <c r="M2783" s="153"/>
      <c r="N2783" s="153"/>
      <c r="O2783" s="153"/>
      <c r="P2783" s="152"/>
      <c r="Q2783" s="152"/>
      <c r="R2783" s="153"/>
      <c r="S2783" s="154"/>
      <c r="T2783" s="115"/>
    </row>
    <row r="2784" spans="1:20">
      <c r="A2784" t="s">
        <v>1230</v>
      </c>
      <c r="B2784" t="s">
        <v>72</v>
      </c>
      <c r="C2784" t="s">
        <v>43</v>
      </c>
      <c r="D2784" t="s">
        <v>1148</v>
      </c>
      <c r="E2784" t="s">
        <v>4323</v>
      </c>
      <c r="F2784" s="121">
        <v>4481</v>
      </c>
      <c r="G2784" s="121">
        <v>4481</v>
      </c>
      <c r="H2784" t="s">
        <v>875</v>
      </c>
      <c r="I2784" s="156">
        <v>41753</v>
      </c>
      <c r="K2784" s="153"/>
      <c r="L2784" s="153"/>
      <c r="M2784" s="153"/>
      <c r="N2784" s="153"/>
      <c r="O2784" s="153"/>
      <c r="P2784" s="152"/>
      <c r="Q2784" s="152"/>
      <c r="R2784" s="153"/>
      <c r="S2784" s="154"/>
      <c r="T2784" s="115"/>
    </row>
    <row r="2785" spans="1:20">
      <c r="A2785" t="s">
        <v>1230</v>
      </c>
      <c r="B2785" t="s">
        <v>72</v>
      </c>
      <c r="C2785" t="s">
        <v>43</v>
      </c>
      <c r="D2785" t="s">
        <v>1148</v>
      </c>
      <c r="E2785" t="s">
        <v>4324</v>
      </c>
      <c r="F2785" s="121">
        <v>4481</v>
      </c>
      <c r="G2785" s="121">
        <v>4481</v>
      </c>
      <c r="H2785" t="s">
        <v>875</v>
      </c>
      <c r="I2785" s="156">
        <v>41753</v>
      </c>
      <c r="K2785" s="153"/>
      <c r="L2785" s="153"/>
      <c r="M2785" s="153"/>
      <c r="N2785" s="153"/>
      <c r="O2785" s="153"/>
      <c r="P2785" s="150"/>
      <c r="Q2785" s="150"/>
      <c r="R2785" s="153"/>
      <c r="S2785" s="154"/>
      <c r="T2785" s="115"/>
    </row>
    <row r="2786" spans="1:20">
      <c r="A2786" t="s">
        <v>1230</v>
      </c>
      <c r="B2786" t="s">
        <v>72</v>
      </c>
      <c r="C2786" t="s">
        <v>43</v>
      </c>
      <c r="D2786" t="s">
        <v>1148</v>
      </c>
      <c r="E2786" t="s">
        <v>4325</v>
      </c>
      <c r="F2786" s="121">
        <v>5948</v>
      </c>
      <c r="G2786" s="121">
        <v>5948</v>
      </c>
      <c r="H2786" t="s">
        <v>875</v>
      </c>
      <c r="I2786" s="156">
        <v>41753</v>
      </c>
      <c r="K2786" s="153"/>
      <c r="L2786" s="153"/>
      <c r="M2786" s="153"/>
      <c r="N2786" s="153"/>
      <c r="O2786" s="153"/>
      <c r="P2786" s="152"/>
      <c r="Q2786" s="152"/>
      <c r="R2786" s="153"/>
      <c r="S2786" s="154"/>
      <c r="T2786" s="115"/>
    </row>
    <row r="2787" spans="1:20">
      <c r="A2787" t="s">
        <v>1230</v>
      </c>
      <c r="B2787" t="s">
        <v>72</v>
      </c>
      <c r="C2787" t="s">
        <v>43</v>
      </c>
      <c r="D2787" t="s">
        <v>1149</v>
      </c>
      <c r="E2787" t="s">
        <v>4326</v>
      </c>
      <c r="F2787" s="121">
        <v>1490.01</v>
      </c>
      <c r="G2787" s="121">
        <v>1490.01</v>
      </c>
      <c r="H2787" t="s">
        <v>396</v>
      </c>
      <c r="I2787" s="156">
        <v>41753</v>
      </c>
      <c r="K2787" s="153"/>
      <c r="L2787" s="153"/>
      <c r="M2787" s="153"/>
      <c r="N2787" s="153"/>
      <c r="O2787" s="153"/>
      <c r="P2787" s="152"/>
      <c r="Q2787" s="152"/>
      <c r="R2787" s="153"/>
      <c r="S2787" s="154"/>
      <c r="T2787" s="115"/>
    </row>
    <row r="2788" spans="1:20">
      <c r="A2788" t="s">
        <v>1230</v>
      </c>
      <c r="B2788" t="s">
        <v>72</v>
      </c>
      <c r="C2788" t="s">
        <v>43</v>
      </c>
      <c r="D2788" t="s">
        <v>812</v>
      </c>
      <c r="E2788" t="s">
        <v>4327</v>
      </c>
      <c r="F2788" s="121">
        <v>495</v>
      </c>
      <c r="G2788" s="121">
        <v>495</v>
      </c>
      <c r="H2788" t="s">
        <v>875</v>
      </c>
      <c r="I2788" s="156">
        <v>41753</v>
      </c>
      <c r="K2788" s="153"/>
      <c r="L2788" s="153"/>
      <c r="M2788" s="153"/>
      <c r="N2788" s="153"/>
      <c r="O2788" s="153"/>
      <c r="P2788" s="152"/>
      <c r="Q2788" s="152"/>
      <c r="R2788" s="153"/>
      <c r="S2788" s="154"/>
      <c r="T2788" s="115"/>
    </row>
    <row r="2789" spans="1:20">
      <c r="A2789" t="s">
        <v>1230</v>
      </c>
      <c r="B2789" t="s">
        <v>72</v>
      </c>
      <c r="C2789" t="s">
        <v>43</v>
      </c>
      <c r="D2789" t="s">
        <v>812</v>
      </c>
      <c r="E2789" t="s">
        <v>4328</v>
      </c>
      <c r="F2789" s="121">
        <v>495</v>
      </c>
      <c r="G2789" s="121">
        <v>495</v>
      </c>
      <c r="H2789" t="s">
        <v>875</v>
      </c>
      <c r="I2789" s="156">
        <v>41753</v>
      </c>
      <c r="K2789" s="153"/>
      <c r="L2789" s="153"/>
      <c r="M2789" s="153"/>
      <c r="N2789" s="153"/>
      <c r="O2789" s="153"/>
      <c r="P2789" s="152"/>
      <c r="Q2789" s="152"/>
      <c r="R2789" s="153"/>
      <c r="S2789" s="154"/>
      <c r="T2789" s="115"/>
    </row>
    <row r="2790" spans="1:20">
      <c r="A2790" t="s">
        <v>1230</v>
      </c>
      <c r="B2790" t="s">
        <v>74</v>
      </c>
      <c r="C2790" t="s">
        <v>43</v>
      </c>
      <c r="D2790" t="s">
        <v>1150</v>
      </c>
      <c r="E2790" t="s">
        <v>4329</v>
      </c>
      <c r="F2790" s="121">
        <v>9423</v>
      </c>
      <c r="G2790" s="121">
        <v>9423</v>
      </c>
      <c r="H2790" t="s">
        <v>519</v>
      </c>
      <c r="I2790" s="156">
        <v>41732</v>
      </c>
      <c r="K2790" s="153"/>
      <c r="L2790" s="153"/>
      <c r="M2790" s="153"/>
      <c r="N2790" s="153"/>
      <c r="O2790" s="153"/>
      <c r="P2790" s="150"/>
      <c r="Q2790" s="150"/>
      <c r="R2790" s="153"/>
      <c r="S2790" s="154"/>
      <c r="T2790" s="115"/>
    </row>
    <row r="2791" spans="1:20">
      <c r="A2791" t="s">
        <v>1230</v>
      </c>
      <c r="B2791" t="s">
        <v>74</v>
      </c>
      <c r="C2791" t="s">
        <v>43</v>
      </c>
      <c r="D2791" t="s">
        <v>1061</v>
      </c>
      <c r="E2791" t="s">
        <v>4330</v>
      </c>
      <c r="F2791" s="121">
        <v>2899</v>
      </c>
      <c r="G2791" s="121">
        <v>2899</v>
      </c>
      <c r="H2791" t="s">
        <v>1151</v>
      </c>
      <c r="I2791" s="156">
        <v>41731</v>
      </c>
      <c r="K2791" s="153"/>
      <c r="L2791" s="153"/>
      <c r="M2791" s="153"/>
      <c r="N2791" s="153"/>
      <c r="O2791" s="153"/>
      <c r="P2791" s="150"/>
      <c r="Q2791" s="150"/>
      <c r="R2791" s="153"/>
      <c r="S2791" s="154"/>
      <c r="T2791" s="115"/>
    </row>
    <row r="2792" spans="1:20">
      <c r="A2792" t="s">
        <v>1230</v>
      </c>
      <c r="B2792" t="s">
        <v>76</v>
      </c>
      <c r="C2792" t="s">
        <v>55</v>
      </c>
      <c r="D2792" t="s">
        <v>948</v>
      </c>
      <c r="E2792" t="s">
        <v>4331</v>
      </c>
      <c r="F2792" s="121">
        <v>890</v>
      </c>
      <c r="G2792" s="121">
        <v>890</v>
      </c>
      <c r="H2792" t="s">
        <v>875</v>
      </c>
      <c r="I2792" s="156">
        <v>41732</v>
      </c>
      <c r="K2792" s="153"/>
      <c r="L2792" s="153"/>
      <c r="M2792" s="153"/>
      <c r="N2792" s="153"/>
      <c r="O2792" s="153"/>
      <c r="P2792" s="150"/>
      <c r="Q2792" s="150"/>
      <c r="R2792" s="153"/>
      <c r="S2792" s="154"/>
      <c r="T2792" s="115"/>
    </row>
    <row r="2793" spans="1:20">
      <c r="A2793" t="s">
        <v>1230</v>
      </c>
      <c r="B2793" t="s">
        <v>76</v>
      </c>
      <c r="C2793" t="s">
        <v>55</v>
      </c>
      <c r="D2793" t="s">
        <v>948</v>
      </c>
      <c r="E2793" t="s">
        <v>4332</v>
      </c>
      <c r="F2793" s="121">
        <v>890</v>
      </c>
      <c r="G2793" s="121">
        <v>890</v>
      </c>
      <c r="H2793" t="s">
        <v>875</v>
      </c>
      <c r="I2793" s="156">
        <v>41732</v>
      </c>
      <c r="K2793" s="153"/>
      <c r="L2793" s="153"/>
      <c r="M2793" s="153"/>
      <c r="N2793" s="153"/>
      <c r="O2793" s="153"/>
      <c r="P2793" s="152"/>
      <c r="Q2793" s="152"/>
      <c r="R2793" s="153"/>
      <c r="S2793" s="154"/>
      <c r="T2793" s="115"/>
    </row>
    <row r="2794" spans="1:20">
      <c r="A2794" t="s">
        <v>1230</v>
      </c>
      <c r="B2794" t="s">
        <v>76</v>
      </c>
      <c r="C2794" t="s">
        <v>55</v>
      </c>
      <c r="D2794" t="s">
        <v>948</v>
      </c>
      <c r="E2794" t="s">
        <v>4333</v>
      </c>
      <c r="F2794" s="121">
        <v>890</v>
      </c>
      <c r="G2794" s="121">
        <v>890</v>
      </c>
      <c r="H2794" t="s">
        <v>875</v>
      </c>
      <c r="I2794" s="156">
        <v>41732</v>
      </c>
      <c r="K2794" s="153"/>
      <c r="L2794" s="153"/>
      <c r="M2794" s="153"/>
      <c r="N2794" s="153"/>
      <c r="O2794" s="153"/>
      <c r="P2794" s="150"/>
      <c r="Q2794" s="150"/>
      <c r="R2794" s="153"/>
      <c r="S2794" s="154"/>
      <c r="T2794" s="115"/>
    </row>
    <row r="2795" spans="1:20">
      <c r="A2795" t="s">
        <v>1230</v>
      </c>
      <c r="B2795" t="s">
        <v>76</v>
      </c>
      <c r="C2795" t="s">
        <v>55</v>
      </c>
      <c r="D2795" t="s">
        <v>1152</v>
      </c>
      <c r="E2795" t="s">
        <v>4334</v>
      </c>
      <c r="F2795" s="121">
        <v>377.52</v>
      </c>
      <c r="G2795" s="121">
        <v>377.52</v>
      </c>
      <c r="H2795" t="s">
        <v>875</v>
      </c>
      <c r="I2795" s="156">
        <v>41732</v>
      </c>
      <c r="K2795" s="153"/>
      <c r="L2795" s="153"/>
      <c r="M2795" s="153"/>
      <c r="N2795" s="153"/>
      <c r="O2795" s="153"/>
      <c r="P2795" s="150"/>
      <c r="Q2795" s="150"/>
      <c r="R2795" s="153"/>
      <c r="S2795" s="154"/>
      <c r="T2795" s="115"/>
    </row>
    <row r="2796" spans="1:20">
      <c r="A2796" t="s">
        <v>1230</v>
      </c>
      <c r="B2796" t="s">
        <v>76</v>
      </c>
      <c r="C2796" t="s">
        <v>55</v>
      </c>
      <c r="D2796" t="s">
        <v>958</v>
      </c>
      <c r="E2796" t="s">
        <v>4335</v>
      </c>
      <c r="F2796" s="121">
        <v>1628</v>
      </c>
      <c r="G2796" s="121">
        <v>1628</v>
      </c>
      <c r="H2796" t="s">
        <v>875</v>
      </c>
      <c r="I2796" s="156">
        <v>41732</v>
      </c>
      <c r="K2796" s="153"/>
      <c r="L2796" s="153"/>
      <c r="M2796" s="153"/>
      <c r="N2796" s="153"/>
      <c r="O2796" s="153"/>
      <c r="P2796" s="150"/>
      <c r="Q2796" s="150"/>
      <c r="R2796" s="153"/>
      <c r="S2796" s="154"/>
      <c r="T2796" s="115"/>
    </row>
    <row r="2797" spans="1:20">
      <c r="A2797" t="s">
        <v>1230</v>
      </c>
      <c r="B2797" t="s">
        <v>76</v>
      </c>
      <c r="C2797" t="s">
        <v>55</v>
      </c>
      <c r="D2797" t="s">
        <v>1153</v>
      </c>
      <c r="E2797" t="s">
        <v>4336</v>
      </c>
      <c r="F2797" s="121">
        <v>1311.2</v>
      </c>
      <c r="G2797" s="121">
        <v>1311.2</v>
      </c>
      <c r="H2797" t="s">
        <v>875</v>
      </c>
      <c r="I2797" s="156">
        <v>41732</v>
      </c>
      <c r="K2797" s="153"/>
      <c r="L2797" s="153"/>
      <c r="M2797" s="153"/>
      <c r="N2797" s="153"/>
      <c r="O2797" s="153"/>
      <c r="P2797" s="152"/>
      <c r="Q2797" s="152"/>
      <c r="R2797" s="153"/>
      <c r="S2797" s="154"/>
      <c r="T2797" s="115"/>
    </row>
    <row r="2798" spans="1:20">
      <c r="A2798" t="s">
        <v>1230</v>
      </c>
      <c r="B2798" t="s">
        <v>76</v>
      </c>
      <c r="C2798" t="s">
        <v>55</v>
      </c>
      <c r="D2798" t="s">
        <v>1154</v>
      </c>
      <c r="E2798" t="s">
        <v>4337</v>
      </c>
      <c r="F2798" s="121">
        <v>1575.2</v>
      </c>
      <c r="G2798" s="121">
        <v>1575.2</v>
      </c>
      <c r="H2798" t="s">
        <v>875</v>
      </c>
      <c r="I2798" s="156">
        <v>41732</v>
      </c>
      <c r="K2798" s="153"/>
      <c r="L2798" s="153"/>
      <c r="M2798" s="153"/>
      <c r="N2798" s="153"/>
      <c r="O2798" s="153"/>
      <c r="P2798" s="152"/>
      <c r="Q2798" s="152"/>
      <c r="R2798" s="153"/>
      <c r="S2798" s="154"/>
      <c r="T2798" s="115"/>
    </row>
    <row r="2799" spans="1:20">
      <c r="A2799" t="s">
        <v>1230</v>
      </c>
      <c r="B2799" t="s">
        <v>76</v>
      </c>
      <c r="C2799" t="s">
        <v>55</v>
      </c>
      <c r="D2799" t="s">
        <v>1155</v>
      </c>
      <c r="E2799" t="s">
        <v>4338</v>
      </c>
      <c r="F2799" s="121">
        <v>2279.1999999999998</v>
      </c>
      <c r="G2799" s="121">
        <v>2279.1999999999998</v>
      </c>
      <c r="H2799" t="s">
        <v>875</v>
      </c>
      <c r="I2799" s="156">
        <v>41732</v>
      </c>
      <c r="K2799" s="153"/>
      <c r="L2799" s="153"/>
      <c r="M2799" s="153"/>
      <c r="N2799" s="153"/>
      <c r="O2799" s="153"/>
      <c r="P2799" s="152"/>
      <c r="Q2799" s="152"/>
      <c r="R2799" s="153"/>
      <c r="S2799" s="154"/>
      <c r="T2799" s="115"/>
    </row>
    <row r="2800" spans="1:20">
      <c r="A2800" t="s">
        <v>1230</v>
      </c>
      <c r="B2800" t="s">
        <v>72</v>
      </c>
      <c r="C2800" t="s">
        <v>55</v>
      </c>
      <c r="D2800" t="s">
        <v>1156</v>
      </c>
      <c r="E2800" t="s">
        <v>4339</v>
      </c>
      <c r="F2800" s="121">
        <v>1049</v>
      </c>
      <c r="G2800" s="121">
        <v>1049</v>
      </c>
      <c r="H2800" t="s">
        <v>1157</v>
      </c>
      <c r="I2800" s="156">
        <v>41802</v>
      </c>
      <c r="K2800" s="153"/>
      <c r="L2800" s="153"/>
      <c r="M2800" s="153"/>
      <c r="N2800" s="153"/>
      <c r="O2800" s="153"/>
      <c r="P2800" s="152"/>
      <c r="Q2800" s="152"/>
      <c r="R2800" s="153"/>
      <c r="S2800" s="154"/>
      <c r="T2800" s="115"/>
    </row>
    <row r="2801" spans="1:20">
      <c r="A2801" t="s">
        <v>1230</v>
      </c>
      <c r="B2801" t="s">
        <v>72</v>
      </c>
      <c r="C2801" t="s">
        <v>55</v>
      </c>
      <c r="D2801" t="s">
        <v>1156</v>
      </c>
      <c r="E2801" t="s">
        <v>4340</v>
      </c>
      <c r="F2801" s="121">
        <v>1049</v>
      </c>
      <c r="G2801" s="121">
        <v>1049</v>
      </c>
      <c r="H2801" t="s">
        <v>1157</v>
      </c>
      <c r="I2801" s="156">
        <v>41802</v>
      </c>
      <c r="K2801" s="153"/>
      <c r="L2801" s="153"/>
      <c r="M2801" s="153"/>
      <c r="N2801" s="153"/>
      <c r="O2801" s="153"/>
      <c r="P2801" s="152"/>
      <c r="Q2801" s="152"/>
      <c r="R2801" s="153"/>
      <c r="S2801" s="154"/>
      <c r="T2801" s="115"/>
    </row>
    <row r="2802" spans="1:20">
      <c r="A2802" t="s">
        <v>1230</v>
      </c>
      <c r="B2802" t="s">
        <v>72</v>
      </c>
      <c r="C2802" t="s">
        <v>55</v>
      </c>
      <c r="D2802" t="s">
        <v>702</v>
      </c>
      <c r="E2802" t="s">
        <v>4341</v>
      </c>
      <c r="F2802" s="121">
        <v>299</v>
      </c>
      <c r="G2802" s="121">
        <v>299</v>
      </c>
      <c r="H2802" t="s">
        <v>517</v>
      </c>
      <c r="I2802" s="156">
        <v>41814</v>
      </c>
      <c r="K2802" s="153"/>
      <c r="L2802" s="153"/>
      <c r="M2802" s="153"/>
      <c r="N2802" s="153"/>
      <c r="O2802" s="153"/>
      <c r="P2802" s="152"/>
      <c r="Q2802" s="152"/>
      <c r="R2802" s="153"/>
      <c r="S2802" s="154"/>
      <c r="T2802" s="115"/>
    </row>
    <row r="2803" spans="1:20">
      <c r="A2803" t="s">
        <v>1230</v>
      </c>
      <c r="B2803" t="s">
        <v>72</v>
      </c>
      <c r="C2803" t="s">
        <v>43</v>
      </c>
      <c r="D2803" t="s">
        <v>916</v>
      </c>
      <c r="E2803" t="s">
        <v>4342</v>
      </c>
      <c r="F2803" s="121">
        <v>429</v>
      </c>
      <c r="G2803" s="121">
        <v>429</v>
      </c>
      <c r="H2803" t="s">
        <v>1158</v>
      </c>
      <c r="I2803" s="156">
        <v>41801</v>
      </c>
      <c r="K2803" s="153"/>
      <c r="L2803" s="153"/>
      <c r="M2803" s="153"/>
      <c r="N2803" s="153"/>
      <c r="O2803" s="153"/>
      <c r="P2803" s="152"/>
      <c r="Q2803" s="152"/>
      <c r="R2803" s="153"/>
      <c r="S2803" s="154"/>
      <c r="T2803" s="115"/>
    </row>
    <row r="2804" spans="1:20">
      <c r="A2804" t="s">
        <v>1230</v>
      </c>
      <c r="B2804" t="s">
        <v>72</v>
      </c>
      <c r="C2804" t="s">
        <v>43</v>
      </c>
      <c r="D2804" t="s">
        <v>914</v>
      </c>
      <c r="E2804" t="s">
        <v>4343</v>
      </c>
      <c r="F2804" s="121">
        <v>1194.42</v>
      </c>
      <c r="G2804" s="121">
        <v>1194.42</v>
      </c>
      <c r="H2804" t="s">
        <v>1158</v>
      </c>
      <c r="I2804" s="156">
        <v>41801</v>
      </c>
      <c r="K2804" s="153"/>
      <c r="L2804" s="153"/>
      <c r="M2804" s="153"/>
      <c r="N2804" s="153"/>
      <c r="O2804" s="153"/>
      <c r="P2804" s="152"/>
      <c r="Q2804" s="152"/>
      <c r="R2804" s="153"/>
      <c r="S2804" s="154"/>
      <c r="T2804" s="115"/>
    </row>
    <row r="2805" spans="1:20">
      <c r="A2805" t="s">
        <v>1230</v>
      </c>
      <c r="B2805" t="s">
        <v>72</v>
      </c>
      <c r="C2805" t="s">
        <v>43</v>
      </c>
      <c r="D2805" t="s">
        <v>1112</v>
      </c>
      <c r="E2805" t="s">
        <v>4344</v>
      </c>
      <c r="F2805" s="121">
        <v>971.1</v>
      </c>
      <c r="G2805" s="121">
        <v>971.1</v>
      </c>
      <c r="H2805" t="s">
        <v>528</v>
      </c>
      <c r="I2805" s="156">
        <v>41801</v>
      </c>
      <c r="K2805" s="153"/>
      <c r="L2805" s="153"/>
      <c r="M2805" s="153"/>
      <c r="N2805" s="153"/>
      <c r="O2805" s="153"/>
      <c r="P2805" s="152"/>
      <c r="Q2805" s="152"/>
      <c r="R2805" s="153"/>
      <c r="S2805" s="154"/>
      <c r="T2805" s="115"/>
    </row>
    <row r="2806" spans="1:20">
      <c r="A2806" t="s">
        <v>1230</v>
      </c>
      <c r="B2806" t="s">
        <v>72</v>
      </c>
      <c r="C2806" t="s">
        <v>55</v>
      </c>
      <c r="D2806" t="s">
        <v>958</v>
      </c>
      <c r="E2806" t="s">
        <v>4345</v>
      </c>
      <c r="F2806" s="121">
        <v>1860</v>
      </c>
      <c r="G2806" s="121">
        <v>1860</v>
      </c>
      <c r="H2806" t="s">
        <v>875</v>
      </c>
      <c r="I2806" s="156">
        <v>41789</v>
      </c>
      <c r="K2806" s="153"/>
      <c r="L2806" s="153"/>
      <c r="M2806" s="153"/>
      <c r="N2806" s="153"/>
      <c r="O2806" s="153"/>
      <c r="P2806" s="152"/>
      <c r="Q2806" s="152"/>
      <c r="R2806" s="153"/>
      <c r="S2806" s="154"/>
      <c r="T2806" s="115"/>
    </row>
    <row r="2807" spans="1:20">
      <c r="A2807" t="s">
        <v>1230</v>
      </c>
      <c r="B2807" t="s">
        <v>73</v>
      </c>
      <c r="C2807" t="s">
        <v>43</v>
      </c>
      <c r="D2807" t="s">
        <v>488</v>
      </c>
      <c r="E2807" t="s">
        <v>4346</v>
      </c>
      <c r="F2807" s="121">
        <v>5400</v>
      </c>
      <c r="G2807" s="121">
        <v>5400</v>
      </c>
      <c r="H2807" t="s">
        <v>442</v>
      </c>
      <c r="I2807" s="156">
        <v>41788</v>
      </c>
      <c r="K2807" s="153"/>
      <c r="L2807" s="153"/>
      <c r="M2807" s="153"/>
      <c r="N2807" s="153"/>
      <c r="O2807" s="153"/>
      <c r="P2807" s="152"/>
      <c r="Q2807" s="152"/>
      <c r="R2807" s="153"/>
      <c r="S2807" s="154"/>
      <c r="T2807" s="115"/>
    </row>
    <row r="2808" spans="1:20">
      <c r="A2808" t="s">
        <v>1230</v>
      </c>
      <c r="B2808" t="s">
        <v>72</v>
      </c>
      <c r="C2808" t="s">
        <v>55</v>
      </c>
      <c r="D2808" t="s">
        <v>712</v>
      </c>
      <c r="E2808" t="s">
        <v>4347</v>
      </c>
      <c r="F2808" s="121">
        <v>500</v>
      </c>
      <c r="G2808" s="121">
        <v>500</v>
      </c>
      <c r="H2808" t="s">
        <v>834</v>
      </c>
      <c r="I2808" s="156">
        <v>41823</v>
      </c>
      <c r="K2808" s="153"/>
      <c r="L2808" s="153"/>
      <c r="M2808" s="153"/>
      <c r="N2808" s="153"/>
      <c r="O2808" s="153"/>
      <c r="P2808" s="152"/>
      <c r="Q2808" s="152"/>
      <c r="R2808" s="153"/>
      <c r="S2808" s="154"/>
      <c r="T2808" s="115"/>
    </row>
    <row r="2809" spans="1:20">
      <c r="A2809" t="s">
        <v>1230</v>
      </c>
      <c r="B2809" t="s">
        <v>71</v>
      </c>
      <c r="C2809" t="s">
        <v>55</v>
      </c>
      <c r="D2809" t="s">
        <v>1359</v>
      </c>
      <c r="E2809" t="s">
        <v>4348</v>
      </c>
      <c r="F2809" s="121">
        <v>3650</v>
      </c>
      <c r="G2809" s="121">
        <v>3650</v>
      </c>
      <c r="H2809" t="s">
        <v>519</v>
      </c>
      <c r="I2809" s="156">
        <v>41829</v>
      </c>
      <c r="K2809" s="153"/>
      <c r="L2809" s="153"/>
      <c r="M2809" s="153"/>
      <c r="N2809" s="153"/>
      <c r="O2809" s="153"/>
      <c r="P2809" s="152"/>
      <c r="Q2809" s="152"/>
      <c r="R2809" s="153"/>
      <c r="S2809" s="154"/>
      <c r="T2809" s="151"/>
    </row>
    <row r="2810" spans="1:20">
      <c r="A2810" t="s">
        <v>1230</v>
      </c>
      <c r="B2810" t="s">
        <v>71</v>
      </c>
      <c r="C2810" t="s">
        <v>55</v>
      </c>
      <c r="D2810" t="s">
        <v>961</v>
      </c>
      <c r="E2810" t="s">
        <v>4349</v>
      </c>
      <c r="F2810" s="121">
        <v>2068</v>
      </c>
      <c r="G2810" s="121">
        <v>2068</v>
      </c>
      <c r="H2810" t="s">
        <v>519</v>
      </c>
      <c r="I2810" s="156">
        <v>41829</v>
      </c>
      <c r="K2810" s="153"/>
      <c r="L2810" s="153"/>
      <c r="M2810" s="153"/>
      <c r="N2810" s="153"/>
      <c r="O2810" s="153"/>
      <c r="P2810" s="150"/>
      <c r="Q2810" s="150"/>
      <c r="R2810" s="153"/>
      <c r="S2810" s="154"/>
      <c r="T2810" s="115"/>
    </row>
    <row r="2811" spans="1:20">
      <c r="A2811" t="s">
        <v>1230</v>
      </c>
      <c r="B2811" t="s">
        <v>72</v>
      </c>
      <c r="C2811" t="s">
        <v>55</v>
      </c>
      <c r="D2811" t="s">
        <v>740</v>
      </c>
      <c r="E2811" t="s">
        <v>4350</v>
      </c>
      <c r="F2811" s="121">
        <v>658</v>
      </c>
      <c r="G2811" s="121">
        <v>658</v>
      </c>
      <c r="H2811" t="s">
        <v>1360</v>
      </c>
      <c r="I2811" s="156">
        <v>41830</v>
      </c>
      <c r="K2811" s="153"/>
      <c r="L2811" s="153"/>
      <c r="M2811" s="153"/>
      <c r="N2811" s="153"/>
      <c r="O2811" s="153"/>
      <c r="P2811" s="152"/>
      <c r="Q2811" s="152"/>
      <c r="R2811" s="153"/>
      <c r="S2811" s="154"/>
      <c r="T2811" s="115"/>
    </row>
    <row r="2812" spans="1:20">
      <c r="A2812" t="s">
        <v>1230</v>
      </c>
      <c r="B2812" t="s">
        <v>72</v>
      </c>
      <c r="C2812" t="s">
        <v>55</v>
      </c>
      <c r="D2812" t="s">
        <v>748</v>
      </c>
      <c r="E2812" t="s">
        <v>4351</v>
      </c>
      <c r="F2812" s="121">
        <v>259</v>
      </c>
      <c r="G2812" s="121">
        <v>259</v>
      </c>
      <c r="H2812" t="s">
        <v>396</v>
      </c>
      <c r="I2812" s="156">
        <v>41820</v>
      </c>
      <c r="K2812" s="153"/>
      <c r="L2812" s="153"/>
      <c r="M2812" s="153"/>
      <c r="N2812" s="153"/>
      <c r="O2812" s="153"/>
      <c r="P2812" s="152"/>
      <c r="Q2812" s="152"/>
      <c r="R2812" s="153"/>
      <c r="S2812" s="154"/>
      <c r="T2812" s="115"/>
    </row>
    <row r="2813" spans="1:20">
      <c r="A2813" t="s">
        <v>1230</v>
      </c>
      <c r="B2813" t="s">
        <v>72</v>
      </c>
      <c r="C2813" t="s">
        <v>55</v>
      </c>
      <c r="D2813" t="s">
        <v>701</v>
      </c>
      <c r="E2813" t="s">
        <v>4352</v>
      </c>
      <c r="F2813" s="121">
        <v>399</v>
      </c>
      <c r="G2813" s="121">
        <v>399</v>
      </c>
      <c r="H2813" t="s">
        <v>396</v>
      </c>
      <c r="I2813" s="156">
        <v>41849</v>
      </c>
      <c r="K2813" s="153"/>
      <c r="L2813" s="153"/>
      <c r="M2813" s="153"/>
      <c r="N2813" s="153"/>
      <c r="O2813" s="153"/>
      <c r="P2813" s="152"/>
      <c r="Q2813" s="152"/>
      <c r="R2813" s="153"/>
      <c r="S2813" s="154"/>
      <c r="T2813" s="115"/>
    </row>
    <row r="2814" spans="1:20">
      <c r="A2814" t="s">
        <v>1230</v>
      </c>
      <c r="B2814" t="s">
        <v>74</v>
      </c>
      <c r="C2814" t="s">
        <v>43</v>
      </c>
      <c r="D2814" t="s">
        <v>661</v>
      </c>
      <c r="E2814" t="s">
        <v>4353</v>
      </c>
      <c r="F2814" s="121">
        <v>721.65</v>
      </c>
      <c r="G2814" s="121">
        <v>721.65</v>
      </c>
      <c r="H2814" t="s">
        <v>875</v>
      </c>
      <c r="I2814" s="156">
        <v>41848</v>
      </c>
      <c r="K2814" s="153"/>
      <c r="L2814" s="153"/>
      <c r="M2814" s="153"/>
      <c r="N2814" s="153"/>
      <c r="O2814" s="153"/>
      <c r="P2814" s="152"/>
      <c r="Q2814" s="152"/>
      <c r="R2814" s="153"/>
      <c r="S2814" s="154"/>
      <c r="T2814" s="153"/>
    </row>
    <row r="2815" spans="1:20">
      <c r="A2815" t="s">
        <v>1230</v>
      </c>
      <c r="B2815" t="s">
        <v>74</v>
      </c>
      <c r="C2815" t="s">
        <v>43</v>
      </c>
      <c r="D2815" t="s">
        <v>661</v>
      </c>
      <c r="E2815" t="s">
        <v>4354</v>
      </c>
      <c r="F2815" s="121">
        <v>721.65</v>
      </c>
      <c r="G2815" s="121">
        <v>721.65</v>
      </c>
      <c r="H2815" t="s">
        <v>1363</v>
      </c>
      <c r="I2815" s="156">
        <v>41848</v>
      </c>
      <c r="K2815" s="153"/>
      <c r="L2815" s="153"/>
      <c r="M2815" s="153"/>
      <c r="N2815" s="153"/>
      <c r="O2815" s="153"/>
      <c r="P2815" s="152"/>
      <c r="Q2815" s="152"/>
      <c r="R2815" s="153"/>
      <c r="S2815" s="154"/>
      <c r="T2815" s="153"/>
    </row>
    <row r="2816" spans="1:20">
      <c r="A2816" t="s">
        <v>1230</v>
      </c>
      <c r="B2816" t="s">
        <v>74</v>
      </c>
      <c r="C2816" t="s">
        <v>43</v>
      </c>
      <c r="D2816" t="s">
        <v>661</v>
      </c>
      <c r="E2816" t="s">
        <v>4355</v>
      </c>
      <c r="F2816" s="121">
        <v>721.65</v>
      </c>
      <c r="G2816" s="121">
        <v>721.65</v>
      </c>
      <c r="H2816" t="s">
        <v>1364</v>
      </c>
      <c r="I2816" s="156">
        <v>41848</v>
      </c>
      <c r="K2816" s="153"/>
      <c r="L2816" s="153"/>
      <c r="M2816" s="153"/>
      <c r="N2816" s="153"/>
      <c r="O2816" s="153"/>
      <c r="P2816" s="152"/>
      <c r="Q2816" s="152"/>
      <c r="R2816" s="153"/>
      <c r="S2816" s="154"/>
      <c r="T2816" s="153"/>
    </row>
    <row r="2817" spans="1:20">
      <c r="A2817" t="s">
        <v>1230</v>
      </c>
      <c r="B2817" t="s">
        <v>71</v>
      </c>
      <c r="C2817" t="s">
        <v>55</v>
      </c>
      <c r="D2817" t="s">
        <v>764</v>
      </c>
      <c r="E2817" t="s">
        <v>4356</v>
      </c>
      <c r="F2817" s="121">
        <v>518</v>
      </c>
      <c r="G2817" s="121">
        <v>518</v>
      </c>
      <c r="H2817" t="s">
        <v>945</v>
      </c>
      <c r="I2817" s="156">
        <v>41849</v>
      </c>
      <c r="K2817" s="153"/>
      <c r="L2817" s="153"/>
      <c r="M2817" s="153"/>
      <c r="N2817" s="153"/>
      <c r="O2817" s="153"/>
      <c r="P2817" s="152"/>
      <c r="Q2817" s="152"/>
      <c r="R2817" s="153"/>
      <c r="S2817" s="154"/>
      <c r="T2817" s="153"/>
    </row>
    <row r="2818" spans="1:20">
      <c r="A2818" t="s">
        <v>1230</v>
      </c>
      <c r="B2818" t="s">
        <v>71</v>
      </c>
      <c r="C2818" t="s">
        <v>55</v>
      </c>
      <c r="D2818" t="s">
        <v>764</v>
      </c>
      <c r="E2818" t="s">
        <v>4357</v>
      </c>
      <c r="F2818" s="121">
        <v>518</v>
      </c>
      <c r="G2818" s="121">
        <v>518</v>
      </c>
      <c r="H2818" t="s">
        <v>945</v>
      </c>
      <c r="I2818" s="156">
        <v>41849</v>
      </c>
      <c r="K2818" s="153"/>
      <c r="L2818" s="153"/>
      <c r="M2818" s="153"/>
      <c r="N2818" s="153"/>
      <c r="O2818" s="153"/>
      <c r="P2818" s="152"/>
      <c r="Q2818" s="152"/>
      <c r="R2818" s="153"/>
      <c r="S2818" s="154"/>
      <c r="T2818" s="153"/>
    </row>
    <row r="2819" spans="1:20">
      <c r="A2819" t="s">
        <v>1230</v>
      </c>
      <c r="B2819" t="s">
        <v>71</v>
      </c>
      <c r="C2819" t="s">
        <v>55</v>
      </c>
      <c r="D2819" t="s">
        <v>764</v>
      </c>
      <c r="E2819" t="s">
        <v>4358</v>
      </c>
      <c r="F2819" s="121">
        <v>518</v>
      </c>
      <c r="G2819" s="121">
        <v>518</v>
      </c>
      <c r="H2819" t="s">
        <v>945</v>
      </c>
      <c r="I2819" s="156">
        <v>41849</v>
      </c>
      <c r="K2819" s="153"/>
      <c r="L2819" s="153"/>
      <c r="M2819" s="153"/>
      <c r="N2819" s="153"/>
      <c r="O2819" s="153"/>
      <c r="P2819" s="152"/>
      <c r="Q2819" s="152"/>
      <c r="R2819" s="153"/>
      <c r="S2819" s="154"/>
      <c r="T2819" s="153"/>
    </row>
    <row r="2820" spans="1:20">
      <c r="A2820" t="s">
        <v>1230</v>
      </c>
      <c r="B2820" t="s">
        <v>71</v>
      </c>
      <c r="C2820" t="s">
        <v>55</v>
      </c>
      <c r="D2820" t="s">
        <v>764</v>
      </c>
      <c r="E2820" t="s">
        <v>4359</v>
      </c>
      <c r="F2820" s="121">
        <v>518</v>
      </c>
      <c r="G2820" s="121">
        <v>518</v>
      </c>
      <c r="H2820" t="s">
        <v>945</v>
      </c>
      <c r="I2820" s="156">
        <v>41849</v>
      </c>
      <c r="K2820" s="153"/>
      <c r="L2820" s="153"/>
      <c r="M2820" s="153"/>
      <c r="N2820" s="153"/>
      <c r="O2820" s="153"/>
      <c r="P2820" s="152"/>
      <c r="Q2820" s="152"/>
      <c r="R2820" s="153"/>
      <c r="S2820" s="154"/>
      <c r="T2820" s="153"/>
    </row>
    <row r="2821" spans="1:20">
      <c r="A2821" t="s">
        <v>1230</v>
      </c>
      <c r="B2821" t="s">
        <v>71</v>
      </c>
      <c r="C2821" t="s">
        <v>55</v>
      </c>
      <c r="D2821" t="s">
        <v>764</v>
      </c>
      <c r="E2821" t="s">
        <v>4360</v>
      </c>
      <c r="F2821" s="121">
        <v>518</v>
      </c>
      <c r="G2821" s="121">
        <v>518</v>
      </c>
      <c r="H2821" t="s">
        <v>1365</v>
      </c>
      <c r="I2821" s="156">
        <v>41849</v>
      </c>
      <c r="K2821" s="153"/>
      <c r="L2821" s="153"/>
      <c r="M2821" s="153"/>
      <c r="N2821" s="153"/>
      <c r="O2821" s="153"/>
      <c r="P2821" s="152"/>
      <c r="Q2821" s="152"/>
      <c r="R2821" s="153"/>
      <c r="S2821" s="154"/>
      <c r="T2821" s="153"/>
    </row>
    <row r="2822" spans="1:20">
      <c r="A2822" t="s">
        <v>1230</v>
      </c>
      <c r="B2822" t="s">
        <v>71</v>
      </c>
      <c r="C2822" t="s">
        <v>55</v>
      </c>
      <c r="D2822" t="s">
        <v>764</v>
      </c>
      <c r="E2822" t="s">
        <v>4361</v>
      </c>
      <c r="F2822" s="121">
        <v>518</v>
      </c>
      <c r="G2822" s="121">
        <v>518</v>
      </c>
      <c r="H2822" t="s">
        <v>1365</v>
      </c>
      <c r="I2822" s="156">
        <v>41849</v>
      </c>
      <c r="K2822" s="153"/>
      <c r="L2822" s="153"/>
      <c r="M2822" s="153"/>
      <c r="N2822" s="153"/>
      <c r="O2822" s="153"/>
      <c r="P2822" s="152"/>
      <c r="Q2822" s="152"/>
      <c r="R2822" s="153"/>
      <c r="S2822" s="154"/>
      <c r="T2822" s="153"/>
    </row>
    <row r="2823" spans="1:20">
      <c r="A2823" t="s">
        <v>1230</v>
      </c>
      <c r="B2823" t="s">
        <v>71</v>
      </c>
      <c r="C2823" t="s">
        <v>55</v>
      </c>
      <c r="D2823" t="s">
        <v>764</v>
      </c>
      <c r="E2823" t="s">
        <v>4362</v>
      </c>
      <c r="F2823" s="121">
        <v>518</v>
      </c>
      <c r="G2823" s="121">
        <v>518</v>
      </c>
      <c r="H2823" t="s">
        <v>1366</v>
      </c>
      <c r="I2823" s="156">
        <v>41849</v>
      </c>
      <c r="K2823" s="153"/>
      <c r="L2823" s="153"/>
      <c r="M2823" s="153"/>
      <c r="N2823" s="153"/>
      <c r="O2823" s="153"/>
      <c r="P2823" s="152"/>
      <c r="Q2823" s="152"/>
      <c r="R2823" s="153"/>
      <c r="S2823" s="154"/>
      <c r="T2823" s="153"/>
    </row>
    <row r="2824" spans="1:20">
      <c r="A2824" t="s">
        <v>1230</v>
      </c>
      <c r="B2824" t="s">
        <v>71</v>
      </c>
      <c r="C2824" t="s">
        <v>55</v>
      </c>
      <c r="D2824" t="s">
        <v>764</v>
      </c>
      <c r="E2824" t="s">
        <v>4363</v>
      </c>
      <c r="F2824" s="121">
        <v>518</v>
      </c>
      <c r="G2824" s="121">
        <v>518</v>
      </c>
      <c r="H2824" t="s">
        <v>1367</v>
      </c>
      <c r="I2824" s="156">
        <v>41849</v>
      </c>
      <c r="K2824" s="153"/>
      <c r="L2824" s="153"/>
      <c r="M2824" s="153"/>
      <c r="N2824" s="153"/>
      <c r="O2824" s="153"/>
      <c r="P2824" s="152"/>
      <c r="Q2824" s="152"/>
      <c r="R2824" s="153"/>
      <c r="S2824" s="154"/>
      <c r="T2824" s="153"/>
    </row>
    <row r="2825" spans="1:20">
      <c r="A2825" t="s">
        <v>1230</v>
      </c>
      <c r="B2825" t="s">
        <v>71</v>
      </c>
      <c r="C2825" t="s">
        <v>55</v>
      </c>
      <c r="D2825" t="s">
        <v>764</v>
      </c>
      <c r="E2825" t="s">
        <v>4364</v>
      </c>
      <c r="F2825" s="121">
        <v>518</v>
      </c>
      <c r="G2825" s="121">
        <v>518</v>
      </c>
      <c r="H2825" t="s">
        <v>1367</v>
      </c>
      <c r="I2825" s="156">
        <v>41849</v>
      </c>
      <c r="K2825" s="153"/>
      <c r="L2825" s="153"/>
      <c r="M2825" s="153"/>
      <c r="N2825" s="153"/>
      <c r="O2825" s="153"/>
      <c r="P2825" s="152"/>
      <c r="Q2825" s="152"/>
      <c r="R2825" s="153"/>
      <c r="S2825" s="154"/>
      <c r="T2825" s="153"/>
    </row>
    <row r="2826" spans="1:20">
      <c r="A2826" t="s">
        <v>1230</v>
      </c>
      <c r="B2826" t="s">
        <v>71</v>
      </c>
      <c r="C2826" t="s">
        <v>55</v>
      </c>
      <c r="D2826" t="s">
        <v>764</v>
      </c>
      <c r="E2826" t="s">
        <v>4365</v>
      </c>
      <c r="F2826" s="121">
        <v>518</v>
      </c>
      <c r="G2826" s="121">
        <v>518</v>
      </c>
      <c r="H2826" t="s">
        <v>1367</v>
      </c>
      <c r="I2826" s="156">
        <v>41849</v>
      </c>
      <c r="K2826" s="153"/>
      <c r="L2826" s="153"/>
      <c r="M2826" s="153"/>
      <c r="N2826" s="153"/>
      <c r="O2826" s="153"/>
      <c r="P2826" s="152"/>
      <c r="Q2826" s="152"/>
      <c r="R2826" s="153"/>
      <c r="S2826" s="154"/>
      <c r="T2826" s="153"/>
    </row>
    <row r="2827" spans="1:20">
      <c r="A2827" t="s">
        <v>1230</v>
      </c>
      <c r="B2827" t="s">
        <v>71</v>
      </c>
      <c r="C2827" t="s">
        <v>55</v>
      </c>
      <c r="D2827" t="s">
        <v>764</v>
      </c>
      <c r="E2827" t="s">
        <v>4366</v>
      </c>
      <c r="F2827" s="121">
        <v>518</v>
      </c>
      <c r="G2827" s="121">
        <v>518</v>
      </c>
      <c r="H2827" t="s">
        <v>946</v>
      </c>
      <c r="I2827" s="156">
        <v>41849</v>
      </c>
      <c r="K2827" s="153"/>
      <c r="L2827" s="153"/>
      <c r="M2827" s="153"/>
      <c r="N2827" s="153"/>
      <c r="O2827" s="153"/>
      <c r="P2827" s="152"/>
      <c r="Q2827" s="152"/>
      <c r="R2827" s="153"/>
      <c r="S2827" s="154"/>
      <c r="T2827" s="153"/>
    </row>
    <row r="2828" spans="1:20">
      <c r="A2828" t="s">
        <v>1230</v>
      </c>
      <c r="B2828" t="s">
        <v>71</v>
      </c>
      <c r="C2828" t="s">
        <v>55</v>
      </c>
      <c r="D2828" t="s">
        <v>764</v>
      </c>
      <c r="E2828" t="s">
        <v>4367</v>
      </c>
      <c r="F2828" s="121">
        <v>518</v>
      </c>
      <c r="G2828" s="121">
        <v>518</v>
      </c>
      <c r="H2828" t="s">
        <v>946</v>
      </c>
      <c r="I2828" s="156">
        <v>41849</v>
      </c>
      <c r="K2828" s="153"/>
      <c r="L2828" s="153"/>
      <c r="M2828" s="153"/>
      <c r="N2828" s="153"/>
      <c r="O2828" s="153"/>
      <c r="P2828" s="152"/>
      <c r="Q2828" s="152"/>
      <c r="R2828" s="153"/>
      <c r="S2828" s="154"/>
      <c r="T2828" s="153"/>
    </row>
    <row r="2829" spans="1:20">
      <c r="A2829" t="s">
        <v>1230</v>
      </c>
      <c r="B2829" t="s">
        <v>71</v>
      </c>
      <c r="C2829" t="s">
        <v>55</v>
      </c>
      <c r="D2829" t="s">
        <v>764</v>
      </c>
      <c r="E2829" t="s">
        <v>4368</v>
      </c>
      <c r="F2829" s="121">
        <v>518</v>
      </c>
      <c r="G2829" s="121">
        <v>518</v>
      </c>
      <c r="H2829" t="s">
        <v>907</v>
      </c>
      <c r="I2829" s="156">
        <v>41849</v>
      </c>
      <c r="K2829" s="153"/>
      <c r="L2829" s="153"/>
      <c r="M2829" s="153"/>
      <c r="N2829" s="153"/>
      <c r="O2829" s="153"/>
      <c r="P2829" s="152"/>
      <c r="Q2829" s="152"/>
      <c r="R2829" s="153"/>
      <c r="S2829" s="154"/>
      <c r="T2829" s="153"/>
    </row>
    <row r="2830" spans="1:20">
      <c r="A2830" t="s">
        <v>1230</v>
      </c>
      <c r="B2830" t="s">
        <v>71</v>
      </c>
      <c r="C2830" t="s">
        <v>55</v>
      </c>
      <c r="D2830" t="s">
        <v>764</v>
      </c>
      <c r="E2830" t="s">
        <v>4369</v>
      </c>
      <c r="F2830" s="121">
        <v>518</v>
      </c>
      <c r="G2830" s="121">
        <v>518</v>
      </c>
      <c r="H2830" t="s">
        <v>907</v>
      </c>
      <c r="I2830" s="156">
        <v>41849</v>
      </c>
      <c r="K2830" s="153"/>
      <c r="L2830" s="153"/>
      <c r="M2830" s="153"/>
      <c r="N2830" s="153"/>
      <c r="O2830" s="153"/>
      <c r="P2830" s="152"/>
      <c r="Q2830" s="152"/>
      <c r="R2830" s="153"/>
      <c r="S2830" s="154"/>
      <c r="T2830" s="153"/>
    </row>
    <row r="2831" spans="1:20">
      <c r="A2831" t="s">
        <v>1230</v>
      </c>
      <c r="B2831" t="s">
        <v>71</v>
      </c>
      <c r="C2831" t="s">
        <v>55</v>
      </c>
      <c r="D2831" t="s">
        <v>764</v>
      </c>
      <c r="E2831" t="s">
        <v>4370</v>
      </c>
      <c r="F2831" s="121">
        <v>518</v>
      </c>
      <c r="G2831" s="121">
        <v>518</v>
      </c>
      <c r="H2831" t="s">
        <v>1368</v>
      </c>
      <c r="I2831" s="156">
        <v>41849</v>
      </c>
      <c r="K2831" s="153"/>
      <c r="L2831" s="153"/>
      <c r="M2831" s="153"/>
      <c r="N2831" s="153"/>
      <c r="O2831" s="153"/>
      <c r="P2831" s="152"/>
      <c r="Q2831" s="152"/>
      <c r="R2831" s="153"/>
      <c r="S2831" s="154"/>
      <c r="T2831" s="153"/>
    </row>
    <row r="2832" spans="1:20">
      <c r="A2832" t="s">
        <v>1230</v>
      </c>
      <c r="B2832" t="s">
        <v>71</v>
      </c>
      <c r="C2832" t="s">
        <v>55</v>
      </c>
      <c r="D2832" t="s">
        <v>764</v>
      </c>
      <c r="E2832" t="s">
        <v>4371</v>
      </c>
      <c r="F2832" s="121">
        <v>518</v>
      </c>
      <c r="G2832" s="121">
        <v>518</v>
      </c>
      <c r="H2832" t="s">
        <v>1368</v>
      </c>
      <c r="I2832" s="156">
        <v>41849</v>
      </c>
      <c r="K2832" s="153"/>
      <c r="L2832" s="153"/>
      <c r="M2832" s="153"/>
      <c r="N2832" s="153"/>
      <c r="O2832" s="153"/>
      <c r="P2832" s="152"/>
      <c r="Q2832" s="152"/>
      <c r="R2832" s="153"/>
      <c r="S2832" s="154"/>
      <c r="T2832" s="153"/>
    </row>
    <row r="2833" spans="1:20">
      <c r="A2833" t="s">
        <v>1230</v>
      </c>
      <c r="B2833" t="s">
        <v>71</v>
      </c>
      <c r="C2833" t="s">
        <v>55</v>
      </c>
      <c r="D2833" t="s">
        <v>764</v>
      </c>
      <c r="E2833" t="s">
        <v>4372</v>
      </c>
      <c r="F2833" s="121">
        <v>518</v>
      </c>
      <c r="G2833" s="121">
        <v>518</v>
      </c>
      <c r="H2833" t="s">
        <v>1368</v>
      </c>
      <c r="I2833" s="156">
        <v>41849</v>
      </c>
      <c r="K2833" s="153"/>
      <c r="L2833" s="153"/>
      <c r="M2833" s="153"/>
      <c r="N2833" s="153"/>
      <c r="O2833" s="153"/>
      <c r="P2833" s="152"/>
      <c r="Q2833" s="152"/>
      <c r="R2833" s="153"/>
      <c r="S2833" s="154"/>
      <c r="T2833" s="153"/>
    </row>
    <row r="2834" spans="1:20">
      <c r="A2834" t="s">
        <v>1230</v>
      </c>
      <c r="B2834" t="s">
        <v>71</v>
      </c>
      <c r="C2834" t="s">
        <v>55</v>
      </c>
      <c r="D2834" t="s">
        <v>764</v>
      </c>
      <c r="E2834" t="s">
        <v>4373</v>
      </c>
      <c r="F2834" s="121">
        <v>518</v>
      </c>
      <c r="G2834" s="121">
        <v>518</v>
      </c>
      <c r="H2834" t="s">
        <v>1369</v>
      </c>
      <c r="I2834" s="156">
        <v>41849</v>
      </c>
      <c r="K2834" s="153"/>
      <c r="L2834" s="153"/>
      <c r="M2834" s="153"/>
      <c r="N2834" s="153"/>
      <c r="O2834" s="153"/>
      <c r="P2834" s="152"/>
      <c r="Q2834" s="152"/>
      <c r="R2834" s="153"/>
      <c r="S2834" s="154"/>
      <c r="T2834" s="153"/>
    </row>
    <row r="2835" spans="1:20">
      <c r="A2835" t="s">
        <v>1230</v>
      </c>
      <c r="B2835" t="s">
        <v>71</v>
      </c>
      <c r="C2835" t="s">
        <v>55</v>
      </c>
      <c r="D2835" t="s">
        <v>764</v>
      </c>
      <c r="E2835" t="s">
        <v>4374</v>
      </c>
      <c r="F2835" s="121">
        <v>518</v>
      </c>
      <c r="G2835" s="121">
        <v>518</v>
      </c>
      <c r="H2835" t="s">
        <v>1370</v>
      </c>
      <c r="I2835" s="156">
        <v>41849</v>
      </c>
      <c r="K2835" s="153"/>
      <c r="L2835" s="153"/>
      <c r="M2835" s="153"/>
      <c r="N2835" s="153"/>
      <c r="O2835" s="153"/>
      <c r="P2835" s="152"/>
      <c r="Q2835" s="152"/>
      <c r="R2835" s="153"/>
      <c r="S2835" s="154"/>
      <c r="T2835" s="153"/>
    </row>
    <row r="2836" spans="1:20">
      <c r="A2836" t="s">
        <v>1230</v>
      </c>
      <c r="B2836" t="s">
        <v>71</v>
      </c>
      <c r="C2836" t="s">
        <v>55</v>
      </c>
      <c r="D2836" t="s">
        <v>764</v>
      </c>
      <c r="E2836" t="s">
        <v>4375</v>
      </c>
      <c r="F2836" s="121">
        <v>518</v>
      </c>
      <c r="G2836" s="121">
        <v>518</v>
      </c>
      <c r="H2836" t="s">
        <v>1370</v>
      </c>
      <c r="I2836" s="156">
        <v>41849</v>
      </c>
      <c r="K2836" s="153"/>
      <c r="L2836" s="153"/>
      <c r="M2836" s="153"/>
      <c r="N2836" s="153"/>
      <c r="O2836" s="153"/>
      <c r="P2836" s="152"/>
      <c r="Q2836" s="152"/>
      <c r="R2836" s="153"/>
      <c r="S2836" s="154"/>
      <c r="T2836" s="153"/>
    </row>
    <row r="2837" spans="1:20">
      <c r="A2837" t="s">
        <v>1230</v>
      </c>
      <c r="B2837" t="s">
        <v>71</v>
      </c>
      <c r="C2837" t="s">
        <v>55</v>
      </c>
      <c r="D2837" t="s">
        <v>763</v>
      </c>
      <c r="E2837" t="s">
        <v>4376</v>
      </c>
      <c r="F2837" s="121">
        <v>1049</v>
      </c>
      <c r="G2837" s="121">
        <v>1049</v>
      </c>
      <c r="H2837" t="s">
        <v>1371</v>
      </c>
      <c r="I2837" s="156">
        <v>41849</v>
      </c>
      <c r="K2837" s="153"/>
      <c r="L2837" s="153"/>
      <c r="M2837" s="153"/>
      <c r="N2837" s="153"/>
      <c r="O2837" s="153"/>
      <c r="P2837" s="152"/>
      <c r="Q2837" s="152"/>
      <c r="R2837" s="153"/>
      <c r="S2837" s="154"/>
      <c r="T2837" s="153"/>
    </row>
    <row r="2838" spans="1:20">
      <c r="A2838" t="s">
        <v>1230</v>
      </c>
      <c r="B2838" t="s">
        <v>71</v>
      </c>
      <c r="C2838" t="s">
        <v>55</v>
      </c>
      <c r="D2838" t="s">
        <v>763</v>
      </c>
      <c r="E2838" t="s">
        <v>4377</v>
      </c>
      <c r="F2838" s="121">
        <v>1049</v>
      </c>
      <c r="G2838" s="121">
        <v>1049</v>
      </c>
      <c r="H2838" t="s">
        <v>1371</v>
      </c>
      <c r="I2838" s="156">
        <v>41849</v>
      </c>
      <c r="K2838" s="153"/>
      <c r="L2838" s="153"/>
      <c r="M2838" s="153"/>
      <c r="N2838" s="153"/>
      <c r="O2838" s="153"/>
      <c r="P2838" s="152"/>
      <c r="Q2838" s="152"/>
      <c r="R2838" s="153"/>
      <c r="S2838" s="154"/>
      <c r="T2838" s="153"/>
    </row>
    <row r="2839" spans="1:20">
      <c r="A2839" t="s">
        <v>1230</v>
      </c>
      <c r="B2839" t="s">
        <v>71</v>
      </c>
      <c r="C2839" t="s">
        <v>55</v>
      </c>
      <c r="D2839" t="s">
        <v>763</v>
      </c>
      <c r="E2839" t="s">
        <v>4378</v>
      </c>
      <c r="F2839" s="121">
        <v>1049</v>
      </c>
      <c r="G2839" s="121">
        <v>1049</v>
      </c>
      <c r="H2839" t="s">
        <v>1371</v>
      </c>
      <c r="I2839" s="156">
        <v>41849</v>
      </c>
      <c r="K2839" s="153"/>
      <c r="L2839" s="153"/>
      <c r="M2839" s="153"/>
      <c r="N2839" s="153"/>
      <c r="O2839" s="153"/>
      <c r="P2839" s="152"/>
      <c r="Q2839" s="152"/>
      <c r="R2839" s="153"/>
      <c r="S2839" s="154"/>
      <c r="T2839" s="153"/>
    </row>
    <row r="2840" spans="1:20">
      <c r="A2840" t="s">
        <v>1230</v>
      </c>
      <c r="B2840" t="s">
        <v>71</v>
      </c>
      <c r="C2840" t="s">
        <v>55</v>
      </c>
      <c r="D2840" t="s">
        <v>763</v>
      </c>
      <c r="E2840" t="s">
        <v>4379</v>
      </c>
      <c r="F2840" s="121">
        <v>1049</v>
      </c>
      <c r="G2840" s="121">
        <v>1049</v>
      </c>
      <c r="H2840" t="s">
        <v>1371</v>
      </c>
      <c r="I2840" s="156">
        <v>41849</v>
      </c>
      <c r="K2840" s="153"/>
      <c r="L2840" s="153"/>
      <c r="M2840" s="153"/>
      <c r="N2840" s="153"/>
      <c r="O2840" s="153"/>
      <c r="P2840" s="152"/>
      <c r="Q2840" s="152"/>
      <c r="R2840" s="153"/>
      <c r="S2840" s="154"/>
      <c r="T2840" s="153"/>
    </row>
    <row r="2841" spans="1:20">
      <c r="A2841" t="s">
        <v>1230</v>
      </c>
      <c r="B2841" t="s">
        <v>71</v>
      </c>
      <c r="C2841" t="s">
        <v>55</v>
      </c>
      <c r="D2841" t="s">
        <v>765</v>
      </c>
      <c r="E2841" t="s">
        <v>4380</v>
      </c>
      <c r="F2841" s="121">
        <v>1372</v>
      </c>
      <c r="G2841" s="121">
        <v>1372</v>
      </c>
      <c r="H2841" t="s">
        <v>1371</v>
      </c>
      <c r="I2841" s="156">
        <v>41849</v>
      </c>
      <c r="K2841" s="153"/>
      <c r="L2841" s="153"/>
      <c r="M2841" s="153"/>
      <c r="N2841" s="153"/>
      <c r="O2841" s="153"/>
      <c r="P2841" s="152"/>
      <c r="Q2841" s="152"/>
      <c r="R2841" s="153"/>
      <c r="S2841" s="154"/>
      <c r="T2841" s="153"/>
    </row>
    <row r="2842" spans="1:20">
      <c r="A2842" t="s">
        <v>1230</v>
      </c>
      <c r="B2842" t="s">
        <v>71</v>
      </c>
      <c r="C2842" t="s">
        <v>55</v>
      </c>
      <c r="D2842" t="s">
        <v>765</v>
      </c>
      <c r="E2842" t="s">
        <v>4381</v>
      </c>
      <c r="F2842" s="121">
        <v>1372</v>
      </c>
      <c r="G2842" s="121">
        <v>1372</v>
      </c>
      <c r="H2842" t="s">
        <v>1371</v>
      </c>
      <c r="I2842" s="156">
        <v>41849</v>
      </c>
      <c r="K2842" s="153"/>
      <c r="L2842" s="153"/>
      <c r="M2842" s="153"/>
      <c r="N2842" s="153"/>
      <c r="O2842" s="153"/>
      <c r="P2842" s="152"/>
      <c r="Q2842" s="152"/>
      <c r="R2842" s="153"/>
      <c r="S2842" s="154"/>
      <c r="T2842" s="153"/>
    </row>
    <row r="2843" spans="1:20">
      <c r="A2843" t="s">
        <v>1230</v>
      </c>
      <c r="B2843" t="s">
        <v>73</v>
      </c>
      <c r="C2843" t="s">
        <v>55</v>
      </c>
      <c r="D2843" t="s">
        <v>775</v>
      </c>
      <c r="E2843" t="s">
        <v>4382</v>
      </c>
      <c r="F2843" s="121">
        <v>1690.1</v>
      </c>
      <c r="G2843" s="121">
        <v>1690.1</v>
      </c>
      <c r="H2843" t="s">
        <v>1372</v>
      </c>
      <c r="I2843" s="156">
        <v>41855</v>
      </c>
      <c r="K2843" s="153"/>
      <c r="L2843" s="153"/>
      <c r="M2843" s="153"/>
      <c r="N2843" s="153"/>
      <c r="O2843" s="153"/>
      <c r="P2843" s="152"/>
      <c r="Q2843" s="152"/>
      <c r="R2843" s="153"/>
      <c r="S2843" s="154"/>
      <c r="T2843" s="153"/>
    </row>
    <row r="2844" spans="1:20">
      <c r="A2844" t="s">
        <v>1230</v>
      </c>
      <c r="B2844" t="s">
        <v>72</v>
      </c>
      <c r="C2844" t="s">
        <v>43</v>
      </c>
      <c r="D2844" t="s">
        <v>689</v>
      </c>
      <c r="E2844" t="s">
        <v>4383</v>
      </c>
      <c r="F2844" s="121">
        <v>2172.7199999999998</v>
      </c>
      <c r="G2844" s="121">
        <v>2172.7199999999998</v>
      </c>
      <c r="H2844" t="s">
        <v>1373</v>
      </c>
      <c r="I2844" s="156">
        <v>41869</v>
      </c>
      <c r="K2844" s="153"/>
      <c r="L2844" s="153"/>
      <c r="M2844" s="153"/>
      <c r="N2844" s="153"/>
      <c r="O2844" s="153"/>
      <c r="P2844" s="152"/>
      <c r="Q2844" s="152"/>
      <c r="R2844" s="153"/>
      <c r="S2844" s="154"/>
      <c r="T2844" s="153"/>
    </row>
    <row r="2845" spans="1:20">
      <c r="A2845" t="s">
        <v>1230</v>
      </c>
      <c r="B2845" t="s">
        <v>73</v>
      </c>
      <c r="C2845" t="s">
        <v>54</v>
      </c>
      <c r="D2845" t="s">
        <v>1374</v>
      </c>
      <c r="E2845" t="s">
        <v>4384</v>
      </c>
      <c r="F2845" s="121">
        <v>6634.4</v>
      </c>
      <c r="G2845" s="121">
        <v>6634.4</v>
      </c>
      <c r="H2845" t="s">
        <v>1375</v>
      </c>
      <c r="I2845" s="156">
        <v>41855</v>
      </c>
      <c r="K2845" s="153"/>
      <c r="L2845" s="153"/>
      <c r="M2845" s="153"/>
      <c r="N2845" s="153"/>
      <c r="O2845" s="153"/>
      <c r="P2845" s="152"/>
      <c r="Q2845" s="152"/>
      <c r="R2845" s="153"/>
      <c r="S2845" s="154"/>
      <c r="T2845" s="153"/>
    </row>
    <row r="2846" spans="1:20">
      <c r="A2846" t="s">
        <v>1230</v>
      </c>
      <c r="B2846" t="s">
        <v>73</v>
      </c>
      <c r="C2846" t="s">
        <v>54</v>
      </c>
      <c r="D2846" t="s">
        <v>1374</v>
      </c>
      <c r="E2846" t="s">
        <v>4385</v>
      </c>
      <c r="F2846" s="121">
        <v>6634.38</v>
      </c>
      <c r="G2846" s="121">
        <v>6634.38</v>
      </c>
      <c r="H2846" t="s">
        <v>1376</v>
      </c>
      <c r="I2846" s="156">
        <v>41855</v>
      </c>
      <c r="K2846" s="153"/>
      <c r="L2846" s="153"/>
      <c r="M2846" s="153"/>
      <c r="N2846" s="153"/>
      <c r="O2846" s="153"/>
      <c r="P2846" s="152"/>
      <c r="Q2846" s="152"/>
      <c r="R2846" s="153"/>
      <c r="S2846" s="154"/>
      <c r="T2846" s="153"/>
    </row>
    <row r="2847" spans="1:20">
      <c r="A2847" t="s">
        <v>1230</v>
      </c>
      <c r="B2847" t="s">
        <v>73</v>
      </c>
      <c r="C2847" t="s">
        <v>54</v>
      </c>
      <c r="D2847" t="s">
        <v>1374</v>
      </c>
      <c r="E2847" t="s">
        <v>4386</v>
      </c>
      <c r="F2847" s="121">
        <v>5307.5</v>
      </c>
      <c r="G2847" s="121">
        <v>5307.5</v>
      </c>
      <c r="H2847" t="s">
        <v>946</v>
      </c>
      <c r="I2847" s="156">
        <v>41855</v>
      </c>
      <c r="K2847" s="153"/>
      <c r="L2847" s="153"/>
      <c r="M2847" s="153"/>
      <c r="N2847" s="153"/>
      <c r="O2847" s="153"/>
      <c r="P2847" s="152"/>
      <c r="Q2847" s="152"/>
      <c r="R2847" s="153"/>
      <c r="S2847" s="154"/>
      <c r="T2847" s="153"/>
    </row>
    <row r="2848" spans="1:20">
      <c r="A2848" t="s">
        <v>1230</v>
      </c>
      <c r="B2848" t="s">
        <v>73</v>
      </c>
      <c r="C2848" t="s">
        <v>54</v>
      </c>
      <c r="D2848" t="s">
        <v>1374</v>
      </c>
      <c r="E2848" t="s">
        <v>4387</v>
      </c>
      <c r="F2848" s="121">
        <v>6978.38</v>
      </c>
      <c r="G2848" s="121">
        <v>6978.38</v>
      </c>
      <c r="H2848" t="s">
        <v>945</v>
      </c>
      <c r="I2848" s="156">
        <v>41855</v>
      </c>
      <c r="K2848" s="153"/>
      <c r="L2848" s="153"/>
      <c r="M2848" s="153"/>
      <c r="N2848" s="153"/>
      <c r="O2848" s="153"/>
      <c r="P2848" s="152"/>
      <c r="Q2848" s="152"/>
      <c r="R2848" s="153"/>
      <c r="S2848" s="154"/>
      <c r="T2848" s="153"/>
    </row>
    <row r="2849" spans="1:20">
      <c r="A2849" t="s">
        <v>1230</v>
      </c>
      <c r="B2849" t="s">
        <v>73</v>
      </c>
      <c r="C2849" t="s">
        <v>54</v>
      </c>
      <c r="D2849" t="s">
        <v>1374</v>
      </c>
      <c r="E2849" t="s">
        <v>4388</v>
      </c>
      <c r="F2849" s="121">
        <v>13563.62</v>
      </c>
      <c r="G2849" s="121">
        <v>13563.62</v>
      </c>
      <c r="H2849" t="s">
        <v>1377</v>
      </c>
      <c r="I2849" s="156">
        <v>41855</v>
      </c>
      <c r="K2849" s="153"/>
      <c r="L2849" s="153"/>
      <c r="M2849" s="153"/>
      <c r="N2849" s="153"/>
      <c r="O2849" s="153"/>
      <c r="P2849" s="152"/>
      <c r="Q2849" s="152"/>
      <c r="R2849" s="153"/>
      <c r="S2849" s="154"/>
      <c r="T2849" s="153"/>
    </row>
    <row r="2850" spans="1:20">
      <c r="A2850" t="s">
        <v>1230</v>
      </c>
      <c r="B2850" t="s">
        <v>73</v>
      </c>
      <c r="C2850" t="s">
        <v>54</v>
      </c>
      <c r="D2850" t="s">
        <v>1374</v>
      </c>
      <c r="E2850" t="s">
        <v>4389</v>
      </c>
      <c r="F2850" s="121">
        <v>5995.51</v>
      </c>
      <c r="G2850" s="121">
        <v>5995.51</v>
      </c>
      <c r="H2850" t="s">
        <v>1378</v>
      </c>
      <c r="I2850" s="156">
        <v>41855</v>
      </c>
      <c r="K2850" s="153"/>
      <c r="L2850" s="153"/>
      <c r="M2850" s="153"/>
      <c r="N2850" s="153"/>
      <c r="O2850" s="153"/>
      <c r="P2850" s="152"/>
      <c r="Q2850" s="152"/>
      <c r="R2850" s="153"/>
      <c r="S2850" s="154"/>
      <c r="T2850" s="153"/>
    </row>
    <row r="2851" spans="1:20">
      <c r="A2851" t="s">
        <v>1230</v>
      </c>
      <c r="B2851" t="s">
        <v>73</v>
      </c>
      <c r="C2851" t="s">
        <v>54</v>
      </c>
      <c r="D2851" t="s">
        <v>1374</v>
      </c>
      <c r="E2851" t="s">
        <v>4390</v>
      </c>
      <c r="F2851" s="121">
        <v>7076.67</v>
      </c>
      <c r="G2851" s="121">
        <v>7076.67</v>
      </c>
      <c r="H2851" t="s">
        <v>1379</v>
      </c>
      <c r="I2851" s="156">
        <v>41855</v>
      </c>
      <c r="K2851" s="153"/>
      <c r="L2851" s="153"/>
      <c r="M2851" s="153"/>
      <c r="N2851" s="153"/>
      <c r="O2851" s="153"/>
      <c r="P2851" s="152"/>
      <c r="Q2851" s="152"/>
      <c r="R2851" s="153"/>
      <c r="S2851" s="154"/>
      <c r="T2851" s="153"/>
    </row>
    <row r="2852" spans="1:20">
      <c r="A2852" t="s">
        <v>1230</v>
      </c>
      <c r="B2852" t="s">
        <v>73</v>
      </c>
      <c r="C2852" t="s">
        <v>54</v>
      </c>
      <c r="D2852" t="s">
        <v>1374</v>
      </c>
      <c r="E2852" t="s">
        <v>4391</v>
      </c>
      <c r="F2852" s="121">
        <v>8059.54</v>
      </c>
      <c r="G2852" s="121">
        <v>8059.54</v>
      </c>
      <c r="H2852" t="s">
        <v>1370</v>
      </c>
      <c r="I2852" s="156">
        <v>41855</v>
      </c>
      <c r="K2852" s="153"/>
      <c r="L2852" s="153"/>
      <c r="M2852" s="153"/>
      <c r="N2852" s="153"/>
      <c r="O2852" s="153"/>
      <c r="P2852" s="152"/>
      <c r="Q2852" s="152"/>
      <c r="R2852" s="153"/>
      <c r="S2852" s="154"/>
      <c r="T2852" s="153"/>
    </row>
    <row r="2853" spans="1:20">
      <c r="A2853" t="s">
        <v>1230</v>
      </c>
      <c r="B2853" t="s">
        <v>72</v>
      </c>
      <c r="C2853" t="s">
        <v>45</v>
      </c>
      <c r="D2853" t="s">
        <v>1380</v>
      </c>
      <c r="E2853" t="s">
        <v>4392</v>
      </c>
      <c r="F2853" s="121">
        <v>845</v>
      </c>
      <c r="G2853" s="121">
        <v>845</v>
      </c>
      <c r="H2853" t="s">
        <v>528</v>
      </c>
      <c r="I2853" s="156">
        <v>41877</v>
      </c>
      <c r="K2853" s="153"/>
      <c r="L2853" s="153"/>
      <c r="M2853" s="153"/>
      <c r="N2853" s="153"/>
      <c r="O2853" s="153"/>
      <c r="P2853" s="152"/>
      <c r="Q2853" s="152"/>
      <c r="R2853" s="153"/>
      <c r="S2853" s="154"/>
      <c r="T2853" s="153"/>
    </row>
    <row r="2854" spans="1:20">
      <c r="A2854" t="s">
        <v>1230</v>
      </c>
      <c r="B2854" t="s">
        <v>72</v>
      </c>
      <c r="C2854" t="s">
        <v>45</v>
      </c>
      <c r="D2854" t="s">
        <v>1380</v>
      </c>
      <c r="E2854" t="s">
        <v>4393</v>
      </c>
      <c r="F2854" s="121">
        <v>845</v>
      </c>
      <c r="G2854" s="121">
        <v>845</v>
      </c>
      <c r="H2854" t="s">
        <v>528</v>
      </c>
      <c r="I2854" s="156">
        <v>41877</v>
      </c>
      <c r="K2854" s="153"/>
      <c r="L2854" s="153"/>
      <c r="M2854" s="153"/>
      <c r="N2854" s="153"/>
      <c r="O2854" s="153"/>
      <c r="P2854" s="152"/>
      <c r="Q2854" s="152"/>
      <c r="R2854" s="153"/>
      <c r="S2854" s="154"/>
      <c r="T2854" s="153"/>
    </row>
    <row r="2855" spans="1:20">
      <c r="A2855" t="s">
        <v>1230</v>
      </c>
      <c r="B2855" t="s">
        <v>73</v>
      </c>
      <c r="C2855" t="s">
        <v>54</v>
      </c>
      <c r="D2855" t="s">
        <v>1381</v>
      </c>
      <c r="E2855" t="s">
        <v>4394</v>
      </c>
      <c r="F2855" s="121">
        <v>357</v>
      </c>
      <c r="G2855" s="121">
        <v>357</v>
      </c>
      <c r="H2855" t="s">
        <v>834</v>
      </c>
      <c r="I2855" s="156">
        <v>41878</v>
      </c>
      <c r="K2855" s="153"/>
      <c r="L2855" s="153"/>
      <c r="M2855" s="153"/>
      <c r="N2855" s="153"/>
      <c r="O2855" s="153"/>
      <c r="P2855" s="152"/>
      <c r="Q2855" s="152"/>
      <c r="R2855" s="153"/>
      <c r="S2855" s="154"/>
      <c r="T2855" s="153"/>
    </row>
    <row r="2856" spans="1:20">
      <c r="A2856" t="s">
        <v>1230</v>
      </c>
      <c r="B2856" t="s">
        <v>71</v>
      </c>
      <c r="C2856" t="s">
        <v>43</v>
      </c>
      <c r="D2856" t="s">
        <v>1382</v>
      </c>
      <c r="E2856" t="s">
        <v>4395</v>
      </c>
      <c r="F2856" s="121">
        <v>325</v>
      </c>
      <c r="G2856" s="121">
        <v>325</v>
      </c>
      <c r="H2856" t="s">
        <v>442</v>
      </c>
      <c r="I2856" s="156">
        <v>41887</v>
      </c>
      <c r="K2856" s="153"/>
      <c r="L2856" s="153"/>
      <c r="M2856" s="153"/>
      <c r="N2856" s="153"/>
      <c r="O2856" s="153"/>
      <c r="P2856" s="152"/>
      <c r="Q2856" s="152"/>
      <c r="R2856" s="153"/>
      <c r="S2856" s="154"/>
      <c r="T2856" s="153"/>
    </row>
    <row r="2857" spans="1:20">
      <c r="A2857" t="s">
        <v>1230</v>
      </c>
      <c r="B2857" t="s">
        <v>71</v>
      </c>
      <c r="C2857" t="s">
        <v>43</v>
      </c>
      <c r="D2857" t="s">
        <v>1384</v>
      </c>
      <c r="E2857" t="s">
        <v>4396</v>
      </c>
      <c r="F2857" s="121">
        <v>303</v>
      </c>
      <c r="G2857" s="121">
        <v>303</v>
      </c>
      <c r="H2857" t="s">
        <v>442</v>
      </c>
      <c r="I2857" s="156">
        <v>41887</v>
      </c>
      <c r="K2857" s="153"/>
      <c r="L2857" s="153"/>
      <c r="M2857" s="153"/>
      <c r="N2857" s="153"/>
      <c r="O2857" s="153"/>
      <c r="P2857" s="152"/>
      <c r="Q2857" s="152"/>
      <c r="R2857" s="153"/>
      <c r="S2857" s="154"/>
      <c r="T2857" s="153"/>
    </row>
    <row r="2858" spans="1:20">
      <c r="A2858" t="s">
        <v>1230</v>
      </c>
      <c r="B2858" t="s">
        <v>71</v>
      </c>
      <c r="C2858" t="s">
        <v>43</v>
      </c>
      <c r="D2858" t="s">
        <v>1384</v>
      </c>
      <c r="E2858" t="s">
        <v>4397</v>
      </c>
      <c r="F2858" s="121">
        <v>303</v>
      </c>
      <c r="G2858" s="121">
        <v>303</v>
      </c>
      <c r="H2858" t="s">
        <v>442</v>
      </c>
      <c r="I2858" s="156">
        <v>41887</v>
      </c>
      <c r="K2858" s="153"/>
      <c r="L2858" s="153"/>
      <c r="M2858" s="153"/>
      <c r="N2858" s="153"/>
      <c r="O2858" s="153"/>
      <c r="P2858" s="152"/>
      <c r="Q2858" s="152"/>
      <c r="R2858" s="153"/>
      <c r="S2858" s="154"/>
      <c r="T2858" s="153"/>
    </row>
    <row r="2859" spans="1:20">
      <c r="A2859" t="s">
        <v>1230</v>
      </c>
      <c r="B2859" t="s">
        <v>71</v>
      </c>
      <c r="C2859" t="s">
        <v>43</v>
      </c>
      <c r="D2859" t="s">
        <v>1384</v>
      </c>
      <c r="E2859" t="s">
        <v>4398</v>
      </c>
      <c r="F2859" s="121">
        <v>303</v>
      </c>
      <c r="G2859" s="121">
        <v>303</v>
      </c>
      <c r="H2859" t="s">
        <v>442</v>
      </c>
      <c r="I2859" s="156">
        <v>41887</v>
      </c>
      <c r="K2859" s="153"/>
      <c r="L2859" s="153"/>
      <c r="M2859" s="153"/>
      <c r="N2859" s="153"/>
      <c r="O2859" s="153"/>
      <c r="P2859" s="152"/>
      <c r="Q2859" s="152"/>
      <c r="R2859" s="153"/>
      <c r="S2859" s="154"/>
      <c r="T2859" s="153"/>
    </row>
    <row r="2860" spans="1:20">
      <c r="A2860" t="s">
        <v>1230</v>
      </c>
      <c r="B2860" t="s">
        <v>74</v>
      </c>
      <c r="C2860" t="s">
        <v>53</v>
      </c>
      <c r="D2860" t="s">
        <v>1385</v>
      </c>
      <c r="E2860" t="s">
        <v>4399</v>
      </c>
      <c r="F2860" s="121">
        <v>2000</v>
      </c>
      <c r="G2860" s="121">
        <v>2000</v>
      </c>
      <c r="H2860" t="s">
        <v>1386</v>
      </c>
      <c r="I2860" s="156">
        <v>41883</v>
      </c>
      <c r="K2860" s="153"/>
      <c r="L2860" s="153"/>
      <c r="M2860" s="153"/>
      <c r="N2860" s="153"/>
      <c r="O2860" s="153"/>
      <c r="P2860" s="152"/>
      <c r="Q2860" s="152"/>
      <c r="R2860" s="153"/>
      <c r="S2860" s="154"/>
      <c r="T2860" s="153"/>
    </row>
    <row r="2861" spans="1:20">
      <c r="A2861" t="s">
        <v>1230</v>
      </c>
      <c r="B2861" t="s">
        <v>73</v>
      </c>
      <c r="C2861" t="s">
        <v>55</v>
      </c>
      <c r="D2861" t="s">
        <v>1387</v>
      </c>
      <c r="E2861" t="s">
        <v>4400</v>
      </c>
      <c r="F2861" s="121">
        <v>6200</v>
      </c>
      <c r="G2861" s="121">
        <v>6200</v>
      </c>
      <c r="H2861" t="s">
        <v>1388</v>
      </c>
      <c r="I2861" s="156">
        <v>41883</v>
      </c>
      <c r="K2861" s="153"/>
      <c r="L2861" s="153"/>
      <c r="M2861" s="153"/>
      <c r="N2861" s="153"/>
      <c r="O2861" s="153"/>
      <c r="P2861" s="152"/>
      <c r="Q2861" s="152"/>
      <c r="R2861" s="153"/>
      <c r="S2861" s="154"/>
      <c r="T2861" s="153"/>
    </row>
    <row r="2862" spans="1:20">
      <c r="A2862" t="s">
        <v>1230</v>
      </c>
      <c r="B2862" t="s">
        <v>73</v>
      </c>
      <c r="C2862" t="s">
        <v>55</v>
      </c>
      <c r="D2862" t="s">
        <v>1389</v>
      </c>
      <c r="E2862" t="s">
        <v>4401</v>
      </c>
      <c r="F2862" s="121">
        <v>680</v>
      </c>
      <c r="G2862" s="121">
        <v>680</v>
      </c>
      <c r="H2862" t="s">
        <v>1390</v>
      </c>
      <c r="I2862" s="156">
        <v>41883</v>
      </c>
      <c r="K2862" s="153"/>
      <c r="L2862" s="153"/>
      <c r="M2862" s="153"/>
      <c r="N2862" s="153"/>
      <c r="O2862" s="153"/>
      <c r="P2862" s="152"/>
      <c r="Q2862" s="152"/>
      <c r="R2862" s="153"/>
      <c r="S2862" s="154"/>
      <c r="T2862" s="153"/>
    </row>
    <row r="2863" spans="1:20">
      <c r="A2863" t="s">
        <v>1230</v>
      </c>
      <c r="B2863" t="s">
        <v>73</v>
      </c>
      <c r="C2863" t="s">
        <v>55</v>
      </c>
      <c r="D2863" t="s">
        <v>740</v>
      </c>
      <c r="E2863" t="s">
        <v>4402</v>
      </c>
      <c r="F2863" s="121">
        <v>2116</v>
      </c>
      <c r="G2863" s="121">
        <v>2116</v>
      </c>
      <c r="H2863" t="s">
        <v>946</v>
      </c>
      <c r="I2863" s="156">
        <v>41883</v>
      </c>
      <c r="K2863" s="153"/>
      <c r="L2863" s="153"/>
      <c r="M2863" s="153"/>
      <c r="N2863" s="153"/>
      <c r="O2863" s="153"/>
      <c r="P2863" s="152"/>
      <c r="Q2863" s="152"/>
      <c r="R2863" s="153"/>
      <c r="S2863" s="154"/>
      <c r="T2863" s="153"/>
    </row>
    <row r="2864" spans="1:20">
      <c r="A2864" t="s">
        <v>1230</v>
      </c>
      <c r="B2864" t="s">
        <v>73</v>
      </c>
      <c r="C2864" t="s">
        <v>55</v>
      </c>
      <c r="D2864" t="s">
        <v>1391</v>
      </c>
      <c r="E2864" t="s">
        <v>4403</v>
      </c>
      <c r="F2864" s="121">
        <v>3000</v>
      </c>
      <c r="G2864" s="121">
        <v>3000</v>
      </c>
      <c r="H2864" t="s">
        <v>1392</v>
      </c>
      <c r="I2864" s="156">
        <v>41883</v>
      </c>
      <c r="K2864" s="153"/>
      <c r="L2864" s="153"/>
      <c r="M2864" s="153"/>
      <c r="N2864" s="153"/>
      <c r="O2864" s="153"/>
      <c r="P2864" s="152"/>
      <c r="Q2864" s="152"/>
      <c r="R2864" s="153"/>
      <c r="S2864" s="154"/>
      <c r="T2864" s="153"/>
    </row>
    <row r="2865" spans="1:20">
      <c r="A2865" t="s">
        <v>1230</v>
      </c>
      <c r="B2865" t="s">
        <v>73</v>
      </c>
      <c r="C2865" t="s">
        <v>55</v>
      </c>
      <c r="D2865" t="s">
        <v>1391</v>
      </c>
      <c r="E2865" t="s">
        <v>4404</v>
      </c>
      <c r="F2865" s="121">
        <v>3000</v>
      </c>
      <c r="G2865" s="121">
        <v>3000</v>
      </c>
      <c r="H2865" t="s">
        <v>1393</v>
      </c>
      <c r="I2865" s="156">
        <v>41883</v>
      </c>
      <c r="K2865" s="153"/>
      <c r="L2865" s="153"/>
      <c r="M2865" s="153"/>
      <c r="N2865" s="153"/>
      <c r="O2865" s="153"/>
      <c r="P2865" s="152"/>
      <c r="Q2865" s="152"/>
      <c r="R2865" s="153"/>
      <c r="S2865" s="154"/>
      <c r="T2865" s="153"/>
    </row>
    <row r="2866" spans="1:20">
      <c r="A2866" t="s">
        <v>1230</v>
      </c>
      <c r="B2866" t="s">
        <v>73</v>
      </c>
      <c r="C2866" t="s">
        <v>55</v>
      </c>
      <c r="D2866" t="s">
        <v>1387</v>
      </c>
      <c r="E2866" t="s">
        <v>4405</v>
      </c>
      <c r="F2866" s="121">
        <v>1600</v>
      </c>
      <c r="G2866" s="121">
        <v>1600</v>
      </c>
      <c r="H2866" t="s">
        <v>519</v>
      </c>
      <c r="I2866" s="156">
        <v>41883</v>
      </c>
      <c r="K2866" s="153"/>
      <c r="L2866" s="153"/>
      <c r="M2866" s="153"/>
      <c r="N2866" s="153"/>
      <c r="O2866" s="153"/>
      <c r="P2866" s="152"/>
      <c r="Q2866" s="152"/>
      <c r="R2866" s="153"/>
      <c r="S2866" s="154"/>
      <c r="T2866" s="153"/>
    </row>
    <row r="2867" spans="1:20">
      <c r="A2867" t="s">
        <v>1230</v>
      </c>
      <c r="B2867" t="s">
        <v>76</v>
      </c>
      <c r="C2867" t="s">
        <v>55</v>
      </c>
      <c r="D2867" t="s">
        <v>721</v>
      </c>
      <c r="E2867" t="s">
        <v>4406</v>
      </c>
      <c r="F2867" s="121">
        <v>990</v>
      </c>
      <c r="G2867" s="121">
        <v>990</v>
      </c>
      <c r="H2867" t="s">
        <v>875</v>
      </c>
      <c r="I2867" s="156">
        <v>41897</v>
      </c>
      <c r="K2867" s="153"/>
      <c r="L2867" s="153"/>
      <c r="M2867" s="153"/>
      <c r="N2867" s="153"/>
      <c r="O2867" s="153"/>
      <c r="P2867" s="152"/>
      <c r="Q2867" s="152"/>
      <c r="R2867" s="153"/>
      <c r="S2867" s="154"/>
      <c r="T2867" s="153"/>
    </row>
    <row r="2868" spans="1:20">
      <c r="A2868" t="s">
        <v>1230</v>
      </c>
      <c r="B2868" t="s">
        <v>76</v>
      </c>
      <c r="C2868" t="s">
        <v>55</v>
      </c>
      <c r="D2868" t="s">
        <v>721</v>
      </c>
      <c r="E2868" t="s">
        <v>4407</v>
      </c>
      <c r="F2868" s="121">
        <v>990</v>
      </c>
      <c r="G2868" s="121">
        <v>990</v>
      </c>
      <c r="H2868" t="s">
        <v>875</v>
      </c>
      <c r="I2868" s="156">
        <v>41897</v>
      </c>
      <c r="K2868" s="153"/>
      <c r="L2868" s="153"/>
      <c r="M2868" s="153"/>
      <c r="N2868" s="153"/>
      <c r="O2868" s="153"/>
      <c r="P2868" s="152"/>
      <c r="Q2868" s="152"/>
      <c r="R2868" s="153"/>
      <c r="S2868" s="154"/>
      <c r="T2868" s="153"/>
    </row>
    <row r="2869" spans="1:20">
      <c r="A2869" t="s">
        <v>1230</v>
      </c>
      <c r="B2869" t="s">
        <v>76</v>
      </c>
      <c r="C2869" t="s">
        <v>55</v>
      </c>
      <c r="D2869" t="s">
        <v>721</v>
      </c>
      <c r="E2869" t="s">
        <v>4408</v>
      </c>
      <c r="F2869" s="121">
        <v>990</v>
      </c>
      <c r="G2869" s="121">
        <v>990</v>
      </c>
      <c r="H2869" t="s">
        <v>875</v>
      </c>
      <c r="I2869" s="156">
        <v>41897</v>
      </c>
      <c r="K2869" s="153"/>
      <c r="L2869" s="153"/>
      <c r="M2869" s="153"/>
      <c r="N2869" s="153"/>
      <c r="O2869" s="153"/>
      <c r="P2869" s="152"/>
      <c r="Q2869" s="152"/>
      <c r="R2869" s="153"/>
      <c r="S2869" s="154"/>
      <c r="T2869" s="153"/>
    </row>
    <row r="2870" spans="1:20">
      <c r="A2870" t="s">
        <v>1230</v>
      </c>
      <c r="B2870" t="s">
        <v>74</v>
      </c>
      <c r="C2870" t="s">
        <v>53</v>
      </c>
      <c r="D2870" t="s">
        <v>1394</v>
      </c>
      <c r="E2870" t="s">
        <v>4409</v>
      </c>
      <c r="F2870" s="121">
        <v>1200</v>
      </c>
      <c r="G2870" s="121">
        <v>1200</v>
      </c>
      <c r="H2870" t="s">
        <v>1395</v>
      </c>
      <c r="I2870" s="156">
        <v>41883</v>
      </c>
      <c r="K2870" s="153"/>
      <c r="L2870" s="153"/>
      <c r="M2870" s="153"/>
      <c r="N2870" s="153"/>
      <c r="O2870" s="153"/>
      <c r="P2870" s="152"/>
      <c r="Q2870" s="152"/>
      <c r="R2870" s="153"/>
      <c r="S2870" s="154"/>
      <c r="T2870" s="153"/>
    </row>
    <row r="2871" spans="1:20">
      <c r="A2871" t="s">
        <v>1230</v>
      </c>
      <c r="B2871" t="s">
        <v>73</v>
      </c>
      <c r="C2871" t="s">
        <v>55</v>
      </c>
      <c r="D2871" t="s">
        <v>1396</v>
      </c>
      <c r="E2871" t="s">
        <v>4410</v>
      </c>
      <c r="F2871" s="121">
        <v>850</v>
      </c>
      <c r="G2871" s="121">
        <v>850</v>
      </c>
      <c r="H2871" t="s">
        <v>457</v>
      </c>
      <c r="I2871" s="156">
        <v>41863</v>
      </c>
      <c r="K2871" s="153"/>
      <c r="L2871" s="153"/>
      <c r="M2871" s="153"/>
      <c r="N2871" s="153"/>
      <c r="O2871" s="153"/>
      <c r="P2871" s="152"/>
      <c r="Q2871" s="152"/>
      <c r="R2871" s="153"/>
      <c r="S2871" s="154"/>
      <c r="T2871" s="153"/>
    </row>
    <row r="2872" spans="1:20">
      <c r="A2872" t="s">
        <v>1230</v>
      </c>
      <c r="B2872" t="s">
        <v>71</v>
      </c>
      <c r="C2872" t="s">
        <v>43</v>
      </c>
      <c r="D2872" t="s">
        <v>1397</v>
      </c>
      <c r="E2872" t="s">
        <v>4411</v>
      </c>
      <c r="F2872" s="121">
        <v>921.33</v>
      </c>
      <c r="G2872" s="121">
        <v>921.33</v>
      </c>
      <c r="H2872" t="s">
        <v>946</v>
      </c>
      <c r="I2872" s="156">
        <v>41913</v>
      </c>
      <c r="K2872" s="153"/>
      <c r="L2872" s="153"/>
      <c r="M2872" s="153"/>
      <c r="N2872" s="153"/>
      <c r="O2872" s="153"/>
      <c r="P2872" s="152"/>
      <c r="Q2872" s="152"/>
      <c r="R2872" s="153"/>
      <c r="S2872" s="154"/>
      <c r="T2872" s="153"/>
    </row>
    <row r="2873" spans="1:20">
      <c r="A2873" t="s">
        <v>1230</v>
      </c>
      <c r="B2873" t="s">
        <v>73</v>
      </c>
      <c r="C2873" t="s">
        <v>54</v>
      </c>
      <c r="D2873" t="s">
        <v>1398</v>
      </c>
      <c r="E2873" t="s">
        <v>4412</v>
      </c>
      <c r="F2873" s="121">
        <v>613.85</v>
      </c>
      <c r="G2873" s="121">
        <v>613.85</v>
      </c>
      <c r="H2873" t="s">
        <v>519</v>
      </c>
      <c r="I2873" s="156">
        <v>41914</v>
      </c>
      <c r="K2873" s="153"/>
      <c r="L2873" s="153"/>
      <c r="M2873" s="153"/>
      <c r="N2873" s="153"/>
      <c r="O2873" s="153"/>
      <c r="P2873" s="152"/>
      <c r="Q2873" s="152"/>
      <c r="R2873" s="153"/>
      <c r="S2873" s="154"/>
      <c r="T2873" s="153"/>
    </row>
    <row r="2874" spans="1:20">
      <c r="A2874" t="s">
        <v>1230</v>
      </c>
      <c r="B2874" t="s">
        <v>73</v>
      </c>
      <c r="C2874" t="s">
        <v>54</v>
      </c>
      <c r="D2874" t="s">
        <v>1400</v>
      </c>
      <c r="E2874" t="s">
        <v>4413</v>
      </c>
      <c r="F2874" s="121">
        <v>1121</v>
      </c>
      <c r="G2874" s="121">
        <v>1121</v>
      </c>
      <c r="H2874" t="s">
        <v>834</v>
      </c>
      <c r="I2874" s="156">
        <v>41914</v>
      </c>
      <c r="K2874" s="153"/>
      <c r="L2874" s="153"/>
      <c r="M2874" s="153"/>
      <c r="N2874" s="153"/>
      <c r="O2874" s="153"/>
      <c r="P2874" s="152"/>
      <c r="Q2874" s="152"/>
      <c r="R2874" s="153"/>
      <c r="S2874" s="154"/>
      <c r="T2874" s="153"/>
    </row>
    <row r="2875" spans="1:20">
      <c r="A2875" t="s">
        <v>1230</v>
      </c>
      <c r="B2875" t="s">
        <v>73</v>
      </c>
      <c r="C2875" t="s">
        <v>54</v>
      </c>
      <c r="D2875" t="s">
        <v>1401</v>
      </c>
      <c r="E2875" t="s">
        <v>4414</v>
      </c>
      <c r="F2875" s="121">
        <v>2569</v>
      </c>
      <c r="G2875" s="121">
        <v>2569</v>
      </c>
      <c r="H2875" t="s">
        <v>519</v>
      </c>
      <c r="I2875" s="156">
        <v>41914</v>
      </c>
      <c r="K2875" s="153"/>
      <c r="L2875" s="153"/>
      <c r="M2875" s="153"/>
      <c r="N2875" s="153"/>
      <c r="O2875" s="153"/>
      <c r="P2875" s="152"/>
      <c r="Q2875" s="152"/>
      <c r="R2875" s="153"/>
      <c r="S2875" s="154"/>
      <c r="T2875" s="153"/>
    </row>
    <row r="2876" spans="1:20">
      <c r="A2876" t="s">
        <v>1230</v>
      </c>
      <c r="B2876" t="s">
        <v>73</v>
      </c>
      <c r="C2876" t="s">
        <v>54</v>
      </c>
      <c r="D2876" t="s">
        <v>1401</v>
      </c>
      <c r="E2876" t="s">
        <v>4415</v>
      </c>
      <c r="F2876" s="121">
        <v>2569</v>
      </c>
      <c r="G2876" s="121">
        <v>2569</v>
      </c>
      <c r="H2876" t="s">
        <v>519</v>
      </c>
      <c r="I2876" s="156">
        <v>41914</v>
      </c>
      <c r="K2876" s="153"/>
      <c r="L2876" s="153"/>
      <c r="M2876" s="153"/>
      <c r="N2876" s="153"/>
      <c r="O2876" s="153"/>
      <c r="P2876" s="152"/>
      <c r="Q2876" s="152"/>
      <c r="R2876" s="153"/>
      <c r="S2876" s="154"/>
      <c r="T2876" s="153"/>
    </row>
    <row r="2877" spans="1:20">
      <c r="A2877" t="s">
        <v>1230</v>
      </c>
      <c r="B2877" t="s">
        <v>73</v>
      </c>
      <c r="C2877" t="s">
        <v>54</v>
      </c>
      <c r="D2877" t="s">
        <v>1401</v>
      </c>
      <c r="E2877" t="s">
        <v>4416</v>
      </c>
      <c r="F2877" s="121">
        <v>2569</v>
      </c>
      <c r="G2877" s="121">
        <v>2569</v>
      </c>
      <c r="H2877" t="s">
        <v>519</v>
      </c>
      <c r="I2877" s="156">
        <v>41914</v>
      </c>
      <c r="K2877" s="153"/>
      <c r="L2877" s="153"/>
      <c r="M2877" s="153"/>
      <c r="N2877" s="153"/>
      <c r="O2877" s="153"/>
      <c r="P2877" s="152"/>
      <c r="Q2877" s="152"/>
      <c r="R2877" s="153"/>
      <c r="S2877" s="154"/>
      <c r="T2877" s="153"/>
    </row>
    <row r="2878" spans="1:20">
      <c r="A2878" t="s">
        <v>1230</v>
      </c>
      <c r="B2878" t="s">
        <v>73</v>
      </c>
      <c r="C2878" t="s">
        <v>54</v>
      </c>
      <c r="D2878" t="s">
        <v>1401</v>
      </c>
      <c r="E2878" t="s">
        <v>4417</v>
      </c>
      <c r="F2878" s="121">
        <v>2569</v>
      </c>
      <c r="G2878" s="121">
        <v>2569</v>
      </c>
      <c r="H2878" t="s">
        <v>519</v>
      </c>
      <c r="I2878" s="156">
        <v>41914</v>
      </c>
      <c r="K2878" s="153"/>
      <c r="L2878" s="153"/>
      <c r="M2878" s="153"/>
      <c r="N2878" s="153"/>
      <c r="O2878" s="153"/>
      <c r="P2878" s="152"/>
      <c r="Q2878" s="152"/>
      <c r="R2878" s="153"/>
      <c r="S2878" s="154"/>
      <c r="T2878" s="153"/>
    </row>
    <row r="2879" spans="1:20">
      <c r="A2879" t="s">
        <v>1230</v>
      </c>
      <c r="B2879" t="s">
        <v>74</v>
      </c>
      <c r="C2879" t="s">
        <v>51</v>
      </c>
      <c r="D2879" t="s">
        <v>1051</v>
      </c>
      <c r="E2879" t="s">
        <v>4418</v>
      </c>
      <c r="F2879" s="121">
        <v>4140</v>
      </c>
      <c r="G2879" s="121">
        <v>4140</v>
      </c>
      <c r="H2879" t="s">
        <v>411</v>
      </c>
      <c r="I2879" s="156">
        <v>41955</v>
      </c>
      <c r="K2879" s="153"/>
      <c r="L2879" s="153"/>
      <c r="M2879" s="153"/>
      <c r="N2879" s="153"/>
      <c r="O2879" s="153"/>
      <c r="P2879" s="152"/>
      <c r="Q2879" s="152"/>
      <c r="R2879" s="153"/>
      <c r="S2879" s="154"/>
      <c r="T2879" s="153"/>
    </row>
    <row r="2880" spans="1:20">
      <c r="A2880" t="s">
        <v>1230</v>
      </c>
      <c r="B2880" t="s">
        <v>76</v>
      </c>
      <c r="C2880" t="s">
        <v>55</v>
      </c>
      <c r="D2880" t="s">
        <v>910</v>
      </c>
      <c r="E2880" t="s">
        <v>4419</v>
      </c>
      <c r="F2880" s="121">
        <v>1099</v>
      </c>
      <c r="G2880" s="121">
        <v>1099</v>
      </c>
      <c r="H2880" t="s">
        <v>1402</v>
      </c>
      <c r="I2880" s="156">
        <v>41967</v>
      </c>
      <c r="K2880" s="153"/>
      <c r="L2880" s="153"/>
      <c r="M2880" s="153"/>
      <c r="N2880" s="153"/>
      <c r="O2880" s="153"/>
      <c r="P2880" s="152"/>
      <c r="Q2880" s="152"/>
      <c r="R2880" s="153"/>
      <c r="S2880" s="154"/>
      <c r="T2880" s="153"/>
    </row>
    <row r="2881" spans="1:20">
      <c r="A2881" t="s">
        <v>1230</v>
      </c>
      <c r="B2881" t="s">
        <v>76</v>
      </c>
      <c r="C2881" t="s">
        <v>55</v>
      </c>
      <c r="D2881" t="s">
        <v>910</v>
      </c>
      <c r="E2881" t="s">
        <v>4420</v>
      </c>
      <c r="F2881" s="121">
        <v>1099</v>
      </c>
      <c r="G2881" s="121">
        <v>1099</v>
      </c>
      <c r="H2881" t="s">
        <v>1402</v>
      </c>
      <c r="I2881" s="156">
        <v>41967</v>
      </c>
      <c r="K2881" s="153"/>
      <c r="L2881" s="153"/>
      <c r="M2881" s="153"/>
      <c r="N2881" s="153"/>
      <c r="O2881" s="153"/>
      <c r="P2881" s="152"/>
      <c r="Q2881" s="152"/>
      <c r="R2881" s="153"/>
      <c r="S2881" s="154"/>
      <c r="T2881" s="153"/>
    </row>
    <row r="2882" spans="1:20">
      <c r="A2882" t="s">
        <v>1230</v>
      </c>
      <c r="B2882" t="s">
        <v>73</v>
      </c>
      <c r="C2882" t="s">
        <v>55</v>
      </c>
      <c r="D2882" t="s">
        <v>721</v>
      </c>
      <c r="E2882" t="s">
        <v>4421</v>
      </c>
      <c r="F2882" s="121">
        <v>1049</v>
      </c>
      <c r="G2882" s="121">
        <v>1049</v>
      </c>
      <c r="H2882" t="s">
        <v>1181</v>
      </c>
      <c r="I2882" s="156">
        <v>41967</v>
      </c>
      <c r="K2882" s="153"/>
      <c r="L2882" s="153"/>
      <c r="M2882" s="153"/>
      <c r="N2882" s="153"/>
      <c r="O2882" s="153"/>
      <c r="P2882" s="152"/>
      <c r="Q2882" s="152"/>
      <c r="R2882" s="153"/>
      <c r="S2882" s="154"/>
      <c r="T2882" s="153"/>
    </row>
    <row r="2883" spans="1:20">
      <c r="A2883" t="s">
        <v>1230</v>
      </c>
      <c r="B2883" t="s">
        <v>73</v>
      </c>
      <c r="C2883" t="s">
        <v>55</v>
      </c>
      <c r="D2883" t="s">
        <v>721</v>
      </c>
      <c r="E2883" t="s">
        <v>4422</v>
      </c>
      <c r="F2883" s="121">
        <v>1049</v>
      </c>
      <c r="G2883" s="121">
        <v>1049</v>
      </c>
      <c r="H2883" t="s">
        <v>1181</v>
      </c>
      <c r="I2883" s="156">
        <v>41967</v>
      </c>
      <c r="K2883" s="153"/>
      <c r="L2883" s="153"/>
      <c r="M2883" s="153"/>
      <c r="N2883" s="153"/>
      <c r="O2883" s="153"/>
      <c r="P2883" s="152"/>
      <c r="Q2883" s="152"/>
      <c r="R2883" s="153"/>
      <c r="S2883" s="154"/>
      <c r="T2883" s="153"/>
    </row>
    <row r="2884" spans="1:20">
      <c r="A2884" t="s">
        <v>1230</v>
      </c>
      <c r="B2884" t="s">
        <v>73</v>
      </c>
      <c r="C2884" t="s">
        <v>55</v>
      </c>
      <c r="D2884" t="s">
        <v>721</v>
      </c>
      <c r="E2884" t="s">
        <v>4423</v>
      </c>
      <c r="F2884" s="121">
        <v>1049</v>
      </c>
      <c r="G2884" s="121">
        <v>1049</v>
      </c>
      <c r="H2884" t="s">
        <v>1181</v>
      </c>
      <c r="I2884" s="156">
        <v>41967</v>
      </c>
      <c r="K2884" s="153"/>
      <c r="L2884" s="153"/>
      <c r="M2884" s="153"/>
      <c r="N2884" s="153"/>
      <c r="O2884" s="153"/>
      <c r="P2884" s="152"/>
      <c r="Q2884" s="152"/>
      <c r="R2884" s="153"/>
      <c r="S2884" s="154"/>
      <c r="T2884" s="153"/>
    </row>
    <row r="2885" spans="1:20">
      <c r="A2885" t="s">
        <v>1230</v>
      </c>
      <c r="B2885" t="s">
        <v>73</v>
      </c>
      <c r="C2885" t="s">
        <v>55</v>
      </c>
      <c r="D2885" t="s">
        <v>721</v>
      </c>
      <c r="E2885" t="s">
        <v>4424</v>
      </c>
      <c r="F2885" s="121">
        <v>1049</v>
      </c>
      <c r="G2885" s="121">
        <v>1049</v>
      </c>
      <c r="H2885" t="s">
        <v>1181</v>
      </c>
      <c r="I2885" s="156">
        <v>41967</v>
      </c>
      <c r="K2885" s="153"/>
      <c r="L2885" s="153"/>
      <c r="M2885" s="153"/>
      <c r="N2885" s="153"/>
      <c r="O2885" s="153"/>
      <c r="P2885" s="152"/>
      <c r="Q2885" s="152"/>
      <c r="R2885" s="153"/>
      <c r="S2885" s="154"/>
      <c r="T2885" s="153"/>
    </row>
    <row r="2886" spans="1:20">
      <c r="A2886" t="s">
        <v>1230</v>
      </c>
      <c r="B2886" t="s">
        <v>76</v>
      </c>
      <c r="C2886" t="s">
        <v>55</v>
      </c>
      <c r="D2886" t="s">
        <v>1403</v>
      </c>
      <c r="E2886" t="s">
        <v>4425</v>
      </c>
      <c r="F2886" s="121">
        <v>1800</v>
      </c>
      <c r="G2886" s="121">
        <v>1800</v>
      </c>
      <c r="H2886" t="s">
        <v>875</v>
      </c>
      <c r="I2886" s="156">
        <v>41992</v>
      </c>
      <c r="K2886" s="153"/>
      <c r="L2886" s="153"/>
      <c r="M2886" s="153"/>
      <c r="N2886" s="153"/>
      <c r="O2886" s="153"/>
      <c r="P2886" s="152"/>
      <c r="Q2886" s="152"/>
      <c r="R2886" s="153"/>
      <c r="S2886" s="154"/>
      <c r="T2886" s="153"/>
    </row>
    <row r="2887" spans="1:20">
      <c r="A2887" t="s">
        <v>1230</v>
      </c>
      <c r="B2887" t="s">
        <v>76</v>
      </c>
      <c r="C2887" t="s">
        <v>55</v>
      </c>
      <c r="D2887" t="s">
        <v>1404</v>
      </c>
      <c r="E2887" t="s">
        <v>4426</v>
      </c>
      <c r="F2887" s="121">
        <v>547.20000000000005</v>
      </c>
      <c r="G2887" s="121">
        <v>547.20000000000005</v>
      </c>
      <c r="H2887" t="s">
        <v>875</v>
      </c>
      <c r="I2887" s="156">
        <v>41992</v>
      </c>
      <c r="K2887" s="153"/>
      <c r="L2887" s="153"/>
      <c r="M2887" s="153"/>
      <c r="N2887" s="153"/>
      <c r="O2887" s="153"/>
      <c r="P2887" s="152"/>
      <c r="Q2887" s="152"/>
      <c r="R2887" s="153"/>
      <c r="S2887" s="154"/>
      <c r="T2887" s="153"/>
    </row>
    <row r="2888" spans="1:20">
      <c r="A2888" t="s">
        <v>1230</v>
      </c>
      <c r="B2888" t="s">
        <v>76</v>
      </c>
      <c r="C2888" t="s">
        <v>43</v>
      </c>
      <c r="D2888" t="s">
        <v>4427</v>
      </c>
      <c r="E2888" t="s">
        <v>4428</v>
      </c>
      <c r="F2888" s="121">
        <v>1584.94</v>
      </c>
      <c r="G2888" s="121">
        <v>1584.94</v>
      </c>
      <c r="H2888" t="s">
        <v>6859</v>
      </c>
      <c r="I2888" s="156">
        <v>42016</v>
      </c>
      <c r="K2888" s="153"/>
      <c r="L2888" s="153"/>
      <c r="M2888" s="153"/>
      <c r="N2888" s="153"/>
      <c r="O2888" s="153"/>
      <c r="P2888" s="152"/>
      <c r="Q2888" s="152"/>
      <c r="R2888" s="153"/>
      <c r="S2888" s="154"/>
      <c r="T2888" s="153"/>
    </row>
    <row r="2889" spans="1:20">
      <c r="A2889" t="s">
        <v>1230</v>
      </c>
      <c r="B2889" t="s">
        <v>76</v>
      </c>
      <c r="C2889" t="s">
        <v>55</v>
      </c>
      <c r="D2889" t="s">
        <v>721</v>
      </c>
      <c r="E2889" t="s">
        <v>4431</v>
      </c>
      <c r="F2889" s="121">
        <v>1049</v>
      </c>
      <c r="G2889" s="121">
        <v>1049</v>
      </c>
      <c r="H2889" t="s">
        <v>875</v>
      </c>
      <c r="I2889" s="156">
        <v>42044.703645833331</v>
      </c>
      <c r="K2889" s="153"/>
      <c r="L2889" s="153"/>
      <c r="M2889" s="153"/>
      <c r="N2889" s="153"/>
      <c r="O2889" s="153"/>
      <c r="P2889" s="152"/>
      <c r="Q2889" s="152"/>
      <c r="R2889" s="153"/>
      <c r="S2889" s="154"/>
      <c r="T2889" s="153"/>
    </row>
    <row r="2890" spans="1:20">
      <c r="A2890" t="s">
        <v>1230</v>
      </c>
      <c r="B2890" t="s">
        <v>76</v>
      </c>
      <c r="C2890" t="s">
        <v>55</v>
      </c>
      <c r="D2890" t="s">
        <v>721</v>
      </c>
      <c r="E2890" t="s">
        <v>4432</v>
      </c>
      <c r="F2890" s="121">
        <v>1049</v>
      </c>
      <c r="G2890" s="121">
        <v>1049</v>
      </c>
      <c r="H2890" t="s">
        <v>875</v>
      </c>
      <c r="I2890" s="156">
        <v>42044.703645833331</v>
      </c>
      <c r="K2890" s="153"/>
      <c r="L2890" s="153"/>
      <c r="M2890" s="153"/>
      <c r="N2890" s="153"/>
      <c r="O2890" s="153"/>
      <c r="P2890" s="152"/>
      <c r="Q2890" s="152"/>
      <c r="R2890" s="153"/>
      <c r="S2890" s="154"/>
      <c r="T2890" s="153"/>
    </row>
    <row r="2891" spans="1:20">
      <c r="A2891" t="s">
        <v>1230</v>
      </c>
      <c r="B2891" t="s">
        <v>76</v>
      </c>
      <c r="C2891" t="s">
        <v>55</v>
      </c>
      <c r="D2891" t="s">
        <v>721</v>
      </c>
      <c r="E2891" t="s">
        <v>4433</v>
      </c>
      <c r="F2891" s="121">
        <v>1049</v>
      </c>
      <c r="G2891" s="121">
        <v>1049</v>
      </c>
      <c r="H2891" t="s">
        <v>875</v>
      </c>
      <c r="I2891" s="156">
        <v>42044.703645833331</v>
      </c>
      <c r="K2891" s="153"/>
      <c r="L2891" s="153"/>
      <c r="M2891" s="153"/>
      <c r="N2891" s="153"/>
      <c r="O2891" s="153"/>
      <c r="P2891" s="152"/>
      <c r="Q2891" s="152"/>
      <c r="R2891" s="153"/>
      <c r="S2891" s="154"/>
      <c r="T2891" s="153"/>
    </row>
    <row r="2892" spans="1:20">
      <c r="A2892" t="s">
        <v>1230</v>
      </c>
      <c r="B2892" t="s">
        <v>76</v>
      </c>
      <c r="C2892" t="s">
        <v>55</v>
      </c>
      <c r="D2892" t="s">
        <v>721</v>
      </c>
      <c r="E2892" t="s">
        <v>4434</v>
      </c>
      <c r="F2892" s="121">
        <v>1049</v>
      </c>
      <c r="G2892" s="121">
        <v>1049</v>
      </c>
      <c r="H2892" t="s">
        <v>875</v>
      </c>
      <c r="I2892" s="156">
        <v>42044.703645833331</v>
      </c>
      <c r="K2892" s="153"/>
      <c r="L2892" s="153"/>
      <c r="M2892" s="153"/>
      <c r="N2892" s="153"/>
      <c r="O2892" s="153"/>
      <c r="P2892" s="152"/>
      <c r="Q2892" s="152"/>
      <c r="R2892" s="153"/>
      <c r="S2892" s="154"/>
      <c r="T2892" s="153"/>
    </row>
    <row r="2893" spans="1:20">
      <c r="A2893" t="s">
        <v>1230</v>
      </c>
      <c r="B2893" t="s">
        <v>76</v>
      </c>
      <c r="C2893" t="s">
        <v>55</v>
      </c>
      <c r="D2893" t="s">
        <v>721</v>
      </c>
      <c r="E2893" t="s">
        <v>4435</v>
      </c>
      <c r="F2893" s="121">
        <v>1049</v>
      </c>
      <c r="G2893" s="121">
        <v>1049</v>
      </c>
      <c r="H2893" t="s">
        <v>875</v>
      </c>
      <c r="I2893" s="156">
        <v>42044.703645833331</v>
      </c>
      <c r="K2893" s="153"/>
      <c r="L2893" s="153"/>
      <c r="M2893" s="153"/>
      <c r="N2893" s="153"/>
      <c r="O2893" s="153"/>
      <c r="P2893" s="152"/>
      <c r="Q2893" s="152"/>
      <c r="R2893" s="153"/>
      <c r="S2893" s="154"/>
      <c r="T2893" s="153"/>
    </row>
    <row r="2894" spans="1:20">
      <c r="A2894" t="s">
        <v>1230</v>
      </c>
      <c r="B2894" t="s">
        <v>76</v>
      </c>
      <c r="C2894" t="s">
        <v>55</v>
      </c>
      <c r="D2894" t="s">
        <v>721</v>
      </c>
      <c r="E2894" t="s">
        <v>4436</v>
      </c>
      <c r="F2894" s="121">
        <v>1049</v>
      </c>
      <c r="G2894" s="121">
        <v>1049</v>
      </c>
      <c r="H2894" t="s">
        <v>875</v>
      </c>
      <c r="I2894" s="156">
        <v>42044.703645833331</v>
      </c>
      <c r="K2894" s="153"/>
      <c r="L2894" s="153"/>
      <c r="M2894" s="153"/>
      <c r="N2894" s="153"/>
      <c r="O2894" s="153"/>
      <c r="P2894" s="152"/>
      <c r="Q2894" s="152"/>
      <c r="R2894" s="153"/>
      <c r="S2894" s="154"/>
      <c r="T2894" s="153"/>
    </row>
    <row r="2895" spans="1:20">
      <c r="A2895" t="s">
        <v>1230</v>
      </c>
      <c r="B2895" t="s">
        <v>76</v>
      </c>
      <c r="C2895" t="s">
        <v>55</v>
      </c>
      <c r="D2895" t="s">
        <v>721</v>
      </c>
      <c r="E2895" t="s">
        <v>4437</v>
      </c>
      <c r="F2895" s="121">
        <v>1049</v>
      </c>
      <c r="G2895" s="121">
        <v>1049</v>
      </c>
      <c r="H2895" t="s">
        <v>875</v>
      </c>
      <c r="I2895" s="156">
        <v>42044.703645833331</v>
      </c>
      <c r="K2895" s="153"/>
      <c r="L2895" s="153"/>
      <c r="M2895" s="153"/>
      <c r="N2895" s="153"/>
      <c r="O2895" s="153"/>
      <c r="P2895" s="152"/>
      <c r="Q2895" s="152"/>
      <c r="R2895" s="153"/>
      <c r="S2895" s="154"/>
      <c r="T2895" s="153"/>
    </row>
    <row r="2896" spans="1:20">
      <c r="A2896" t="s">
        <v>1230</v>
      </c>
      <c r="B2896" t="s">
        <v>76</v>
      </c>
      <c r="C2896" t="s">
        <v>55</v>
      </c>
      <c r="D2896" t="s">
        <v>721</v>
      </c>
      <c r="E2896" t="s">
        <v>4438</v>
      </c>
      <c r="F2896" s="121">
        <v>1049</v>
      </c>
      <c r="G2896" s="121">
        <v>1049</v>
      </c>
      <c r="H2896" t="s">
        <v>875</v>
      </c>
      <c r="I2896" s="156">
        <v>42044.703645833331</v>
      </c>
      <c r="K2896" s="153"/>
      <c r="L2896" s="153"/>
      <c r="M2896" s="153"/>
      <c r="N2896" s="153"/>
      <c r="O2896" s="153"/>
      <c r="P2896" s="152"/>
      <c r="Q2896" s="152"/>
      <c r="R2896" s="153"/>
      <c r="S2896" s="154"/>
      <c r="T2896" s="153"/>
    </row>
    <row r="2897" spans="1:20">
      <c r="A2897" t="s">
        <v>1230</v>
      </c>
      <c r="B2897" t="s">
        <v>76</v>
      </c>
      <c r="C2897" t="s">
        <v>55</v>
      </c>
      <c r="D2897" t="s">
        <v>721</v>
      </c>
      <c r="E2897" t="s">
        <v>4439</v>
      </c>
      <c r="F2897" s="121">
        <v>1049</v>
      </c>
      <c r="G2897" s="121">
        <v>1049</v>
      </c>
      <c r="H2897" t="s">
        <v>875</v>
      </c>
      <c r="I2897" s="156">
        <v>42044.703645833331</v>
      </c>
      <c r="K2897" s="153"/>
      <c r="L2897" s="153"/>
      <c r="M2897" s="153"/>
      <c r="N2897" s="153"/>
      <c r="O2897" s="153"/>
      <c r="P2897" s="152"/>
      <c r="Q2897" s="152"/>
      <c r="R2897" s="153"/>
      <c r="S2897" s="154"/>
      <c r="T2897" s="153"/>
    </row>
    <row r="2898" spans="1:20">
      <c r="A2898" t="s">
        <v>1230</v>
      </c>
      <c r="B2898" t="s">
        <v>76</v>
      </c>
      <c r="C2898" t="s">
        <v>55</v>
      </c>
      <c r="D2898" t="s">
        <v>721</v>
      </c>
      <c r="E2898" t="s">
        <v>4440</v>
      </c>
      <c r="F2898" s="121">
        <v>1049</v>
      </c>
      <c r="G2898" s="121">
        <v>1049</v>
      </c>
      <c r="H2898" t="s">
        <v>875</v>
      </c>
      <c r="I2898" s="156">
        <v>42044.703645833331</v>
      </c>
      <c r="K2898" s="153"/>
      <c r="L2898" s="153"/>
      <c r="M2898" s="153"/>
      <c r="N2898" s="153"/>
      <c r="O2898" s="153"/>
      <c r="P2898" s="152"/>
      <c r="Q2898" s="152"/>
      <c r="R2898" s="153"/>
      <c r="S2898" s="154"/>
      <c r="T2898" s="153"/>
    </row>
    <row r="2899" spans="1:20">
      <c r="A2899" t="s">
        <v>1230</v>
      </c>
      <c r="B2899" t="s">
        <v>76</v>
      </c>
      <c r="C2899" t="s">
        <v>55</v>
      </c>
      <c r="D2899" t="s">
        <v>721</v>
      </c>
      <c r="E2899" t="s">
        <v>4441</v>
      </c>
      <c r="F2899" s="121">
        <v>1049</v>
      </c>
      <c r="G2899" s="121">
        <v>1049</v>
      </c>
      <c r="H2899" t="s">
        <v>875</v>
      </c>
      <c r="I2899" s="156">
        <v>42044.703645833331</v>
      </c>
      <c r="K2899" s="153"/>
      <c r="L2899" s="153"/>
      <c r="M2899" s="153"/>
      <c r="N2899" s="153"/>
      <c r="O2899" s="153"/>
      <c r="P2899" s="152"/>
      <c r="Q2899" s="152"/>
      <c r="R2899" s="153"/>
      <c r="S2899" s="154"/>
      <c r="T2899" s="153"/>
    </row>
    <row r="2900" spans="1:20">
      <c r="A2900" t="s">
        <v>1230</v>
      </c>
      <c r="B2900" t="s">
        <v>76</v>
      </c>
      <c r="C2900" t="s">
        <v>55</v>
      </c>
      <c r="D2900" t="s">
        <v>721</v>
      </c>
      <c r="E2900" t="s">
        <v>4442</v>
      </c>
      <c r="F2900" s="121">
        <v>1049</v>
      </c>
      <c r="G2900" s="121">
        <v>1049</v>
      </c>
      <c r="H2900" t="s">
        <v>875</v>
      </c>
      <c r="I2900" s="156">
        <v>42044.703645833331</v>
      </c>
      <c r="K2900" s="153"/>
      <c r="L2900" s="153"/>
      <c r="M2900" s="153"/>
      <c r="N2900" s="153"/>
      <c r="O2900" s="153"/>
      <c r="P2900" s="152"/>
      <c r="Q2900" s="152"/>
      <c r="R2900" s="153"/>
      <c r="S2900" s="154"/>
      <c r="T2900" s="153"/>
    </row>
    <row r="2901" spans="1:20">
      <c r="A2901" t="s">
        <v>1230</v>
      </c>
      <c r="B2901" t="s">
        <v>72</v>
      </c>
      <c r="C2901" t="s">
        <v>55</v>
      </c>
      <c r="D2901" t="s">
        <v>910</v>
      </c>
      <c r="E2901" t="s">
        <v>4443</v>
      </c>
      <c r="F2901" s="121">
        <v>1249</v>
      </c>
      <c r="G2901" s="121">
        <v>1249</v>
      </c>
      <c r="H2901" t="s">
        <v>396</v>
      </c>
      <c r="I2901" s="156">
        <v>42023</v>
      </c>
      <c r="K2901" s="153"/>
      <c r="L2901" s="153"/>
      <c r="M2901" s="153"/>
      <c r="N2901" s="153"/>
      <c r="O2901" s="153"/>
      <c r="P2901" s="152"/>
      <c r="Q2901" s="152"/>
      <c r="R2901" s="153"/>
      <c r="S2901" s="154"/>
      <c r="T2901" s="153"/>
    </row>
    <row r="2902" spans="1:20">
      <c r="A2902" t="s">
        <v>1230</v>
      </c>
      <c r="B2902" t="s">
        <v>72</v>
      </c>
      <c r="C2902" t="s">
        <v>43</v>
      </c>
      <c r="D2902" t="s">
        <v>1061</v>
      </c>
      <c r="E2902" t="s">
        <v>4444</v>
      </c>
      <c r="F2902" s="121">
        <v>2538.2800000000002</v>
      </c>
      <c r="G2902" s="121">
        <v>2538.2800000000002</v>
      </c>
      <c r="H2902" t="s">
        <v>396</v>
      </c>
      <c r="I2902" s="156">
        <v>42024</v>
      </c>
      <c r="K2902" s="153"/>
      <c r="L2902" s="153"/>
      <c r="M2902" s="153"/>
      <c r="N2902" s="153"/>
      <c r="O2902" s="153"/>
      <c r="P2902" s="152"/>
      <c r="Q2902" s="152"/>
      <c r="R2902" s="153"/>
      <c r="S2902" s="154"/>
      <c r="T2902" s="153"/>
    </row>
    <row r="2903" spans="1:20">
      <c r="A2903" t="s">
        <v>1230</v>
      </c>
      <c r="B2903" t="s">
        <v>76</v>
      </c>
      <c r="C2903" t="s">
        <v>53</v>
      </c>
      <c r="D2903" t="s">
        <v>4445</v>
      </c>
      <c r="E2903" t="s">
        <v>4446</v>
      </c>
      <c r="F2903" s="121">
        <v>1590</v>
      </c>
      <c r="G2903" s="121">
        <v>1590</v>
      </c>
      <c r="H2903" t="s">
        <v>875</v>
      </c>
      <c r="I2903" s="156">
        <v>42046.56422453704</v>
      </c>
      <c r="K2903" s="153"/>
      <c r="L2903" s="153"/>
      <c r="M2903" s="153"/>
      <c r="N2903" s="153"/>
      <c r="O2903" s="153"/>
      <c r="P2903" s="152"/>
      <c r="Q2903" s="152"/>
      <c r="R2903" s="153"/>
      <c r="S2903" s="154"/>
      <c r="T2903" s="153"/>
    </row>
    <row r="2904" spans="1:20">
      <c r="A2904" t="s">
        <v>1230</v>
      </c>
      <c r="B2904" t="s">
        <v>72</v>
      </c>
      <c r="C2904" t="s">
        <v>53</v>
      </c>
      <c r="D2904" t="s">
        <v>807</v>
      </c>
      <c r="E2904" t="s">
        <v>4447</v>
      </c>
      <c r="F2904" s="121">
        <v>722</v>
      </c>
      <c r="G2904" s="121">
        <v>722</v>
      </c>
      <c r="H2904" t="s">
        <v>804</v>
      </c>
      <c r="I2904" s="156">
        <v>42044.686747685184</v>
      </c>
      <c r="K2904" s="153"/>
      <c r="L2904" s="153"/>
      <c r="M2904" s="153"/>
      <c r="N2904" s="153"/>
      <c r="O2904" s="153"/>
      <c r="P2904" s="152"/>
      <c r="Q2904" s="152"/>
      <c r="R2904" s="153"/>
      <c r="S2904" s="154"/>
      <c r="T2904" s="153"/>
    </row>
    <row r="2905" spans="1:20">
      <c r="A2905" t="s">
        <v>1230</v>
      </c>
      <c r="B2905" t="s">
        <v>74</v>
      </c>
      <c r="C2905" t="s">
        <v>43</v>
      </c>
      <c r="D2905" t="s">
        <v>1061</v>
      </c>
      <c r="E2905" t="s">
        <v>4448</v>
      </c>
      <c r="F2905" s="121">
        <v>2895.3</v>
      </c>
      <c r="G2905" s="121">
        <v>2895.3</v>
      </c>
      <c r="H2905" t="s">
        <v>452</v>
      </c>
      <c r="I2905" s="156">
        <v>42044.716863425929</v>
      </c>
      <c r="K2905" s="153"/>
      <c r="L2905" s="153"/>
      <c r="M2905" s="153"/>
      <c r="N2905" s="153"/>
      <c r="O2905" s="153"/>
      <c r="P2905" s="152"/>
      <c r="Q2905" s="152"/>
      <c r="R2905" s="153"/>
      <c r="S2905" s="154"/>
      <c r="T2905" s="153"/>
    </row>
    <row r="2906" spans="1:20">
      <c r="A2906" t="s">
        <v>1230</v>
      </c>
      <c r="B2906" t="s">
        <v>73</v>
      </c>
      <c r="C2906" t="s">
        <v>43</v>
      </c>
      <c r="D2906" t="s">
        <v>4449</v>
      </c>
      <c r="E2906" t="s">
        <v>4450</v>
      </c>
      <c r="F2906" s="121">
        <v>525</v>
      </c>
      <c r="G2906" s="121">
        <v>525</v>
      </c>
      <c r="H2906" t="s">
        <v>942</v>
      </c>
      <c r="I2906" s="156">
        <v>42046.530451388891</v>
      </c>
      <c r="K2906" s="153"/>
      <c r="L2906" s="153"/>
      <c r="M2906" s="153"/>
      <c r="N2906" s="153"/>
      <c r="O2906" s="153"/>
      <c r="P2906" s="152"/>
      <c r="Q2906" s="152"/>
      <c r="R2906" s="153"/>
      <c r="S2906" s="154"/>
      <c r="T2906" s="153"/>
    </row>
    <row r="2907" spans="1:20">
      <c r="A2907" t="s">
        <v>1230</v>
      </c>
      <c r="B2907" t="s">
        <v>73</v>
      </c>
      <c r="C2907" t="s">
        <v>55</v>
      </c>
      <c r="D2907" t="s">
        <v>4480</v>
      </c>
      <c r="E2907" t="s">
        <v>4481</v>
      </c>
      <c r="F2907" s="121">
        <v>999</v>
      </c>
      <c r="G2907" s="121">
        <v>999</v>
      </c>
      <c r="H2907" t="s">
        <v>460</v>
      </c>
      <c r="I2907" s="156">
        <v>42090.720891203702</v>
      </c>
      <c r="K2907" s="153"/>
      <c r="L2907" s="153"/>
      <c r="M2907" s="153"/>
      <c r="N2907" s="153"/>
      <c r="O2907" s="153"/>
      <c r="P2907" s="152"/>
      <c r="Q2907" s="152"/>
      <c r="R2907" s="153"/>
      <c r="S2907" s="154"/>
      <c r="T2907" s="153"/>
    </row>
    <row r="2908" spans="1:20">
      <c r="A2908" t="s">
        <v>1230</v>
      </c>
      <c r="B2908" t="s">
        <v>73</v>
      </c>
      <c r="C2908" t="s">
        <v>55</v>
      </c>
      <c r="D2908" t="s">
        <v>4480</v>
      </c>
      <c r="E2908" t="s">
        <v>4482</v>
      </c>
      <c r="F2908" s="121">
        <v>999</v>
      </c>
      <c r="G2908" s="121">
        <v>999</v>
      </c>
      <c r="H2908" t="s">
        <v>460</v>
      </c>
      <c r="I2908" s="156">
        <v>42090.720891203702</v>
      </c>
      <c r="K2908" s="153"/>
      <c r="L2908" s="153"/>
      <c r="M2908" s="153"/>
      <c r="N2908" s="153"/>
      <c r="O2908" s="153"/>
      <c r="P2908" s="152"/>
      <c r="Q2908" s="152"/>
      <c r="R2908" s="153"/>
      <c r="S2908" s="154"/>
      <c r="T2908" s="153"/>
    </row>
    <row r="2909" spans="1:20">
      <c r="A2909" t="s">
        <v>1230</v>
      </c>
      <c r="B2909" t="s">
        <v>73</v>
      </c>
      <c r="C2909" t="s">
        <v>55</v>
      </c>
      <c r="D2909" t="s">
        <v>4480</v>
      </c>
      <c r="E2909" t="s">
        <v>4483</v>
      </c>
      <c r="F2909" s="121">
        <v>999</v>
      </c>
      <c r="G2909" s="121">
        <v>999</v>
      </c>
      <c r="H2909" t="s">
        <v>460</v>
      </c>
      <c r="I2909" s="156">
        <v>42090.720891203702</v>
      </c>
      <c r="K2909" s="153"/>
      <c r="L2909" s="153"/>
      <c r="M2909" s="153"/>
      <c r="N2909" s="153"/>
      <c r="O2909" s="153"/>
      <c r="P2909" s="152"/>
      <c r="Q2909" s="152"/>
      <c r="R2909" s="153"/>
      <c r="S2909" s="154"/>
      <c r="T2909" s="153"/>
    </row>
    <row r="2910" spans="1:20">
      <c r="A2910" t="s">
        <v>1230</v>
      </c>
      <c r="B2910" t="s">
        <v>73</v>
      </c>
      <c r="C2910" t="s">
        <v>55</v>
      </c>
      <c r="D2910" t="s">
        <v>4480</v>
      </c>
      <c r="E2910" t="s">
        <v>4484</v>
      </c>
      <c r="F2910" s="121">
        <v>999</v>
      </c>
      <c r="G2910" s="121">
        <v>999</v>
      </c>
      <c r="H2910" t="s">
        <v>460</v>
      </c>
      <c r="I2910" s="156">
        <v>42090.720891203702</v>
      </c>
      <c r="K2910" s="153"/>
      <c r="L2910" s="153"/>
      <c r="M2910" s="153"/>
      <c r="N2910" s="153"/>
      <c r="O2910" s="153"/>
      <c r="P2910" s="152"/>
      <c r="Q2910" s="152"/>
      <c r="R2910" s="153"/>
      <c r="S2910" s="154"/>
      <c r="T2910" s="115"/>
    </row>
    <row r="2911" spans="1:20">
      <c r="A2911" t="s">
        <v>1230</v>
      </c>
      <c r="B2911" t="s">
        <v>73</v>
      </c>
      <c r="C2911" t="s">
        <v>55</v>
      </c>
      <c r="D2911" t="s">
        <v>4480</v>
      </c>
      <c r="E2911" t="s">
        <v>4485</v>
      </c>
      <c r="F2911" s="121">
        <v>999</v>
      </c>
      <c r="G2911" s="121">
        <v>999</v>
      </c>
      <c r="H2911" t="s">
        <v>460</v>
      </c>
      <c r="I2911" s="156">
        <v>42090.720891203702</v>
      </c>
      <c r="K2911" s="153"/>
      <c r="L2911" s="153"/>
      <c r="M2911" s="153"/>
      <c r="N2911" s="153"/>
      <c r="O2911" s="153"/>
      <c r="P2911" s="152"/>
      <c r="Q2911" s="152"/>
      <c r="R2911" s="153"/>
      <c r="S2911" s="154"/>
      <c r="T2911" s="115"/>
    </row>
    <row r="2912" spans="1:20">
      <c r="A2912" t="s">
        <v>1230</v>
      </c>
      <c r="B2912" t="s">
        <v>72</v>
      </c>
      <c r="C2912" t="s">
        <v>55</v>
      </c>
      <c r="D2912" t="s">
        <v>920</v>
      </c>
      <c r="E2912" t="s">
        <v>4486</v>
      </c>
      <c r="F2912" s="121">
        <v>99</v>
      </c>
      <c r="G2912" s="121">
        <v>99</v>
      </c>
      <c r="H2912" t="s">
        <v>4487</v>
      </c>
      <c r="I2912" s="156">
        <v>42068.434675925928</v>
      </c>
      <c r="K2912" s="153"/>
      <c r="L2912" s="153"/>
      <c r="M2912" s="153"/>
      <c r="N2912" s="153"/>
      <c r="O2912" s="153"/>
      <c r="P2912" s="152"/>
      <c r="Q2912" s="152"/>
      <c r="R2912" s="153"/>
      <c r="S2912" s="154"/>
      <c r="T2912" s="115"/>
    </row>
    <row r="2913" spans="1:20">
      <c r="A2913" t="s">
        <v>1230</v>
      </c>
      <c r="B2913" t="s">
        <v>72</v>
      </c>
      <c r="C2913" t="s">
        <v>55</v>
      </c>
      <c r="D2913" t="s">
        <v>920</v>
      </c>
      <c r="E2913" t="s">
        <v>4488</v>
      </c>
      <c r="F2913" s="121">
        <v>99</v>
      </c>
      <c r="G2913" s="121">
        <v>99</v>
      </c>
      <c r="H2913" t="s">
        <v>804</v>
      </c>
      <c r="I2913" s="156">
        <v>42068.434675925928</v>
      </c>
      <c r="K2913" s="153"/>
      <c r="L2913" s="153"/>
      <c r="M2913" s="153"/>
      <c r="N2913" s="153"/>
      <c r="O2913" s="153"/>
      <c r="P2913" s="152"/>
      <c r="Q2913" s="152"/>
      <c r="R2913" s="153"/>
      <c r="S2913" s="154"/>
      <c r="T2913" s="115"/>
    </row>
    <row r="2914" spans="1:20">
      <c r="A2914" t="s">
        <v>1230</v>
      </c>
      <c r="B2914" t="s">
        <v>72</v>
      </c>
      <c r="C2914" t="s">
        <v>55</v>
      </c>
      <c r="D2914" t="s">
        <v>920</v>
      </c>
      <c r="E2914" t="s">
        <v>4489</v>
      </c>
      <c r="F2914" s="121">
        <v>99</v>
      </c>
      <c r="G2914" s="121">
        <v>99</v>
      </c>
      <c r="H2914" t="s">
        <v>804</v>
      </c>
      <c r="I2914" s="156">
        <v>42068.434675925928</v>
      </c>
      <c r="K2914" s="153"/>
      <c r="L2914" s="153"/>
      <c r="M2914" s="153"/>
      <c r="N2914" s="153"/>
      <c r="O2914" s="153"/>
      <c r="P2914" s="152"/>
      <c r="Q2914" s="152"/>
      <c r="R2914" s="153"/>
      <c r="S2914" s="154"/>
      <c r="T2914" s="115"/>
    </row>
    <row r="2915" spans="1:20">
      <c r="A2915" t="s">
        <v>1230</v>
      </c>
      <c r="B2915" t="s">
        <v>76</v>
      </c>
      <c r="C2915" t="s">
        <v>53</v>
      </c>
      <c r="D2915" t="s">
        <v>930</v>
      </c>
      <c r="E2915" t="s">
        <v>4490</v>
      </c>
      <c r="F2915" s="121">
        <v>1600</v>
      </c>
      <c r="G2915" s="121">
        <v>1600</v>
      </c>
      <c r="H2915" t="s">
        <v>4491</v>
      </c>
      <c r="I2915" s="156">
        <v>42081.434525462966</v>
      </c>
      <c r="K2915" s="153"/>
      <c r="L2915" s="153"/>
      <c r="M2915" s="153"/>
      <c r="N2915" s="153"/>
      <c r="O2915" s="153"/>
      <c r="P2915" s="152"/>
      <c r="Q2915" s="152"/>
      <c r="R2915" s="153"/>
      <c r="S2915" s="154"/>
      <c r="T2915" s="115"/>
    </row>
    <row r="2916" spans="1:20">
      <c r="A2916" t="s">
        <v>1230</v>
      </c>
      <c r="B2916" t="s">
        <v>76</v>
      </c>
      <c r="C2916" t="s">
        <v>53</v>
      </c>
      <c r="D2916" t="s">
        <v>910</v>
      </c>
      <c r="E2916" t="s">
        <v>4492</v>
      </c>
      <c r="F2916" s="121">
        <v>1099</v>
      </c>
      <c r="G2916" s="121">
        <v>1099</v>
      </c>
      <c r="H2916" t="s">
        <v>4491</v>
      </c>
      <c r="I2916" s="156">
        <v>42081.434525462966</v>
      </c>
      <c r="K2916" s="153"/>
      <c r="L2916" s="153"/>
      <c r="M2916" s="153"/>
      <c r="N2916" s="153"/>
      <c r="O2916" s="153"/>
      <c r="P2916" s="152"/>
      <c r="Q2916" s="152"/>
      <c r="R2916" s="153"/>
      <c r="S2916" s="154"/>
      <c r="T2916" s="115"/>
    </row>
    <row r="2917" spans="1:20">
      <c r="A2917" t="s">
        <v>1230</v>
      </c>
      <c r="B2917" t="s">
        <v>76</v>
      </c>
      <c r="C2917" t="s">
        <v>53</v>
      </c>
      <c r="D2917" t="s">
        <v>910</v>
      </c>
      <c r="E2917" t="s">
        <v>4493</v>
      </c>
      <c r="F2917" s="121">
        <v>1099</v>
      </c>
      <c r="G2917" s="121">
        <v>1099</v>
      </c>
      <c r="H2917" t="s">
        <v>4491</v>
      </c>
      <c r="I2917" s="156">
        <v>42081.434525462966</v>
      </c>
      <c r="K2917" s="153"/>
      <c r="L2917" s="153"/>
      <c r="M2917" s="153"/>
      <c r="N2917" s="153"/>
      <c r="O2917" s="153"/>
      <c r="P2917" s="152"/>
      <c r="Q2917" s="152"/>
      <c r="R2917" s="153"/>
      <c r="S2917" s="154"/>
      <c r="T2917" s="115"/>
    </row>
    <row r="2918" spans="1:20">
      <c r="A2918" t="s">
        <v>1230</v>
      </c>
      <c r="B2918" t="s">
        <v>73</v>
      </c>
      <c r="C2918" t="s">
        <v>43</v>
      </c>
      <c r="D2918" t="s">
        <v>4494</v>
      </c>
      <c r="E2918" t="s">
        <v>4495</v>
      </c>
      <c r="F2918" s="121">
        <v>1999</v>
      </c>
      <c r="G2918" s="121">
        <v>1999</v>
      </c>
      <c r="H2918" t="s">
        <v>4496</v>
      </c>
      <c r="I2918" s="156">
        <v>42065.470937500002</v>
      </c>
      <c r="K2918" s="153"/>
      <c r="L2918" s="153"/>
      <c r="M2918" s="153"/>
      <c r="N2918" s="153"/>
      <c r="O2918" s="153"/>
      <c r="P2918" s="152"/>
      <c r="Q2918" s="152"/>
      <c r="R2918" s="153"/>
      <c r="S2918" s="154"/>
      <c r="T2918" s="115"/>
    </row>
    <row r="2919" spans="1:20">
      <c r="A2919" t="s">
        <v>1230</v>
      </c>
      <c r="B2919" t="s">
        <v>72</v>
      </c>
      <c r="C2919" t="s">
        <v>55</v>
      </c>
      <c r="D2919" t="s">
        <v>540</v>
      </c>
      <c r="E2919" t="s">
        <v>4497</v>
      </c>
      <c r="F2919" s="121">
        <v>268</v>
      </c>
      <c r="G2919" s="121">
        <v>268</v>
      </c>
      <c r="H2919" t="s">
        <v>804</v>
      </c>
      <c r="I2919" s="156">
        <v>42068.429849537039</v>
      </c>
      <c r="K2919" s="153"/>
      <c r="L2919" s="153"/>
      <c r="M2919" s="153"/>
      <c r="N2919" s="153"/>
      <c r="O2919" s="153"/>
      <c r="P2919" s="152"/>
      <c r="Q2919" s="152"/>
      <c r="R2919" s="153"/>
      <c r="S2919" s="154"/>
      <c r="T2919" s="115"/>
    </row>
    <row r="2920" spans="1:20">
      <c r="A2920" t="s">
        <v>1230</v>
      </c>
      <c r="B2920" t="s">
        <v>76</v>
      </c>
      <c r="C2920" t="s">
        <v>53</v>
      </c>
      <c r="D2920" t="s">
        <v>4498</v>
      </c>
      <c r="E2920" t="s">
        <v>4499</v>
      </c>
      <c r="F2920" s="121">
        <v>1799</v>
      </c>
      <c r="G2920" s="121">
        <v>1799</v>
      </c>
      <c r="H2920" t="s">
        <v>458</v>
      </c>
      <c r="I2920" s="156">
        <v>42086.492604166669</v>
      </c>
      <c r="K2920" s="153"/>
      <c r="L2920" s="153"/>
      <c r="M2920" s="153"/>
      <c r="N2920" s="153"/>
      <c r="O2920" s="153"/>
      <c r="P2920" s="152"/>
      <c r="Q2920" s="152"/>
      <c r="R2920" s="153"/>
      <c r="S2920" s="154"/>
      <c r="T2920" s="115"/>
    </row>
    <row r="2921" spans="1:20">
      <c r="A2921" t="s">
        <v>1230</v>
      </c>
      <c r="B2921" t="s">
        <v>73</v>
      </c>
      <c r="C2921" t="s">
        <v>43</v>
      </c>
      <c r="D2921" t="s">
        <v>4430</v>
      </c>
      <c r="E2921" t="s">
        <v>5387</v>
      </c>
      <c r="F2921" s="121">
        <v>2365.61</v>
      </c>
      <c r="G2921" s="121">
        <v>2365.61</v>
      </c>
      <c r="H2921" t="s">
        <v>5388</v>
      </c>
      <c r="I2921" s="156">
        <v>42123.366655092592</v>
      </c>
      <c r="K2921" s="153"/>
      <c r="L2921" s="153"/>
      <c r="M2921" s="153"/>
      <c r="N2921" s="153"/>
      <c r="O2921" s="153"/>
      <c r="P2921" s="152"/>
      <c r="Q2921" s="152"/>
      <c r="R2921" s="153"/>
      <c r="S2921" s="154"/>
      <c r="T2921" s="115"/>
    </row>
    <row r="2922" spans="1:20">
      <c r="A2922" t="s">
        <v>1230</v>
      </c>
      <c r="B2922" t="s">
        <v>73</v>
      </c>
      <c r="C2922" t="s">
        <v>54</v>
      </c>
      <c r="D2922" t="s">
        <v>5389</v>
      </c>
      <c r="E2922" t="s">
        <v>5390</v>
      </c>
      <c r="F2922" s="121">
        <v>4700</v>
      </c>
      <c r="G2922" s="121">
        <v>4700</v>
      </c>
      <c r="H2922" t="s">
        <v>1369</v>
      </c>
      <c r="I2922" s="156">
        <v>42108.579780092594</v>
      </c>
      <c r="K2922" s="153"/>
      <c r="L2922" s="153"/>
      <c r="M2922" s="153"/>
      <c r="N2922" s="153"/>
      <c r="O2922" s="153"/>
      <c r="P2922" s="152"/>
      <c r="Q2922" s="152"/>
      <c r="R2922" s="153"/>
      <c r="S2922" s="154"/>
      <c r="T2922" s="115"/>
    </row>
    <row r="2923" spans="1:20">
      <c r="A2923" t="s">
        <v>1230</v>
      </c>
      <c r="B2923" t="s">
        <v>73</v>
      </c>
      <c r="C2923" t="s">
        <v>54</v>
      </c>
      <c r="D2923" t="s">
        <v>5391</v>
      </c>
      <c r="E2923" t="s">
        <v>5392</v>
      </c>
      <c r="F2923" s="121">
        <v>1499</v>
      </c>
      <c r="G2923" s="121">
        <v>1499</v>
      </c>
      <c r="H2923" t="s">
        <v>442</v>
      </c>
      <c r="I2923" s="156">
        <v>42108.482858796298</v>
      </c>
      <c r="K2923" s="153"/>
      <c r="L2923" s="153"/>
      <c r="M2923" s="153"/>
      <c r="N2923" s="153"/>
      <c r="O2923" s="153"/>
      <c r="P2923" s="152"/>
      <c r="Q2923" s="152"/>
      <c r="R2923" s="153"/>
      <c r="S2923" s="154"/>
      <c r="T2923" s="115"/>
    </row>
    <row r="2924" spans="1:20">
      <c r="A2924" t="s">
        <v>1230</v>
      </c>
      <c r="B2924" t="s">
        <v>73</v>
      </c>
      <c r="C2924" t="s">
        <v>43</v>
      </c>
      <c r="D2924" t="s">
        <v>5393</v>
      </c>
      <c r="E2924" t="s">
        <v>5394</v>
      </c>
      <c r="F2924" s="121">
        <v>2982</v>
      </c>
      <c r="G2924" s="121">
        <v>2982</v>
      </c>
      <c r="H2924" t="s">
        <v>5395</v>
      </c>
      <c r="I2924" s="156">
        <v>42153.474861111114</v>
      </c>
      <c r="K2924" s="153"/>
      <c r="L2924" s="153"/>
      <c r="M2924" s="153"/>
      <c r="N2924" s="153"/>
      <c r="O2924" s="153"/>
      <c r="P2924" s="152"/>
      <c r="Q2924" s="152"/>
      <c r="R2924" s="153"/>
      <c r="S2924" s="154"/>
      <c r="T2924" s="115"/>
    </row>
    <row r="2925" spans="1:20">
      <c r="A2925" t="s">
        <v>1230</v>
      </c>
      <c r="B2925" t="s">
        <v>73</v>
      </c>
      <c r="C2925" t="s">
        <v>43</v>
      </c>
      <c r="D2925" t="s">
        <v>4427</v>
      </c>
      <c r="E2925" t="s">
        <v>5396</v>
      </c>
      <c r="F2925" s="121">
        <v>2218.3000000000002</v>
      </c>
      <c r="G2925" s="121">
        <v>2218.3000000000002</v>
      </c>
      <c r="H2925" t="s">
        <v>5397</v>
      </c>
      <c r="I2925" s="156">
        <v>42143.359293981484</v>
      </c>
      <c r="K2925" s="153"/>
      <c r="L2925" s="153"/>
      <c r="M2925" s="153"/>
      <c r="N2925" s="153"/>
      <c r="O2925" s="153"/>
      <c r="P2925" s="152"/>
      <c r="Q2925" s="152"/>
      <c r="R2925" s="153"/>
      <c r="S2925" s="154"/>
      <c r="T2925" s="115"/>
    </row>
    <row r="2926" spans="1:20">
      <c r="A2926" t="s">
        <v>1230</v>
      </c>
      <c r="B2926" t="s">
        <v>73</v>
      </c>
      <c r="C2926" t="s">
        <v>43</v>
      </c>
      <c r="D2926" t="s">
        <v>5398</v>
      </c>
      <c r="E2926" t="s">
        <v>5399</v>
      </c>
      <c r="F2926" s="121">
        <v>847.21</v>
      </c>
      <c r="G2926" s="121">
        <v>847.21</v>
      </c>
      <c r="H2926" t="s">
        <v>1369</v>
      </c>
      <c r="I2926" s="156">
        <v>42146.444618055553</v>
      </c>
      <c r="K2926" s="153"/>
      <c r="L2926" s="153"/>
      <c r="M2926" s="153"/>
      <c r="N2926" s="153"/>
      <c r="O2926" s="153"/>
      <c r="P2926" s="152"/>
      <c r="Q2926" s="152"/>
      <c r="R2926" s="153"/>
      <c r="S2926" s="154"/>
      <c r="T2926" s="115"/>
    </row>
    <row r="2927" spans="1:20">
      <c r="A2927" t="s">
        <v>1230</v>
      </c>
      <c r="B2927" t="s">
        <v>74</v>
      </c>
      <c r="C2927" t="s">
        <v>43</v>
      </c>
      <c r="D2927" t="s">
        <v>1061</v>
      </c>
      <c r="E2927" t="s">
        <v>5400</v>
      </c>
      <c r="F2927" s="121">
        <v>2439</v>
      </c>
      <c r="G2927" s="121">
        <v>2439</v>
      </c>
      <c r="H2927" t="s">
        <v>5401</v>
      </c>
      <c r="I2927" s="156">
        <v>42107.387384259258</v>
      </c>
      <c r="K2927" s="153"/>
      <c r="L2927" s="153"/>
      <c r="M2927" s="153"/>
      <c r="N2927" s="153"/>
      <c r="O2927" s="153"/>
      <c r="P2927" s="152"/>
      <c r="Q2927" s="152"/>
      <c r="R2927" s="153"/>
      <c r="S2927" s="154"/>
      <c r="T2927" s="115"/>
    </row>
    <row r="2928" spans="1:20">
      <c r="A2928" t="s">
        <v>1230</v>
      </c>
      <c r="B2928" t="s">
        <v>74</v>
      </c>
      <c r="C2928" t="s">
        <v>43</v>
      </c>
      <c r="D2928" t="s">
        <v>5402</v>
      </c>
      <c r="E2928" t="s">
        <v>5403</v>
      </c>
      <c r="F2928" s="121">
        <v>2654.1</v>
      </c>
      <c r="G2928" s="121">
        <v>2654.1</v>
      </c>
      <c r="H2928" t="s">
        <v>442</v>
      </c>
      <c r="I2928" s="156">
        <v>42108.596099537041</v>
      </c>
      <c r="K2928" s="153"/>
      <c r="L2928" s="153"/>
      <c r="M2928" s="153"/>
      <c r="N2928" s="153"/>
      <c r="O2928" s="153"/>
      <c r="P2928" s="152"/>
      <c r="Q2928" s="152"/>
      <c r="R2928" s="153"/>
      <c r="S2928" s="154"/>
      <c r="T2928" s="115"/>
    </row>
    <row r="2929" spans="1:20">
      <c r="A2929" t="s">
        <v>1230</v>
      </c>
      <c r="B2929" t="s">
        <v>73</v>
      </c>
      <c r="C2929" t="s">
        <v>53</v>
      </c>
      <c r="D2929" t="s">
        <v>5404</v>
      </c>
      <c r="E2929" t="s">
        <v>5405</v>
      </c>
      <c r="F2929" s="121">
        <v>1352.26</v>
      </c>
      <c r="G2929" s="121">
        <v>1352.26</v>
      </c>
      <c r="H2929" t="s">
        <v>460</v>
      </c>
      <c r="I2929" s="156">
        <v>42146.45584490741</v>
      </c>
      <c r="K2929" s="153"/>
      <c r="L2929" s="153"/>
      <c r="M2929" s="153"/>
      <c r="N2929" s="153"/>
      <c r="O2929" s="153"/>
      <c r="P2929" s="152"/>
      <c r="Q2929" s="152"/>
      <c r="R2929" s="153"/>
      <c r="S2929" s="154"/>
      <c r="T2929" s="115"/>
    </row>
    <row r="2930" spans="1:20">
      <c r="A2930" t="s">
        <v>1230</v>
      </c>
      <c r="B2930" t="s">
        <v>73</v>
      </c>
      <c r="C2930" t="s">
        <v>53</v>
      </c>
      <c r="D2930" t="s">
        <v>5406</v>
      </c>
      <c r="E2930" t="s">
        <v>5407</v>
      </c>
      <c r="F2930" s="121">
        <v>1850.75</v>
      </c>
      <c r="G2930" s="121">
        <v>1850.75</v>
      </c>
      <c r="H2930" t="s">
        <v>460</v>
      </c>
      <c r="I2930" s="156">
        <v>42146.45584490741</v>
      </c>
      <c r="K2930" s="153"/>
      <c r="L2930" s="153"/>
      <c r="M2930" s="153"/>
      <c r="N2930" s="153"/>
      <c r="O2930" s="153"/>
      <c r="P2930" s="152"/>
      <c r="Q2930" s="152"/>
      <c r="R2930" s="153"/>
      <c r="S2930" s="154"/>
      <c r="T2930" s="115"/>
    </row>
    <row r="2931" spans="1:20">
      <c r="A2931" t="s">
        <v>1230</v>
      </c>
      <c r="B2931" t="s">
        <v>72</v>
      </c>
      <c r="C2931" t="s">
        <v>55</v>
      </c>
      <c r="D2931" t="s">
        <v>721</v>
      </c>
      <c r="E2931" t="s">
        <v>5408</v>
      </c>
      <c r="F2931" s="121">
        <v>1300</v>
      </c>
      <c r="G2931" s="121">
        <v>1300</v>
      </c>
      <c r="H2931" t="s">
        <v>1146</v>
      </c>
      <c r="I2931" s="156">
        <v>42117.394594907404</v>
      </c>
      <c r="K2931" s="153"/>
      <c r="L2931" s="153"/>
      <c r="M2931" s="153"/>
      <c r="N2931" s="153"/>
      <c r="O2931" s="153"/>
      <c r="P2931" s="152"/>
      <c r="Q2931" s="152"/>
      <c r="R2931" s="153"/>
      <c r="S2931" s="154"/>
      <c r="T2931" s="115"/>
    </row>
    <row r="2932" spans="1:20">
      <c r="A2932" t="s">
        <v>1230</v>
      </c>
      <c r="B2932" t="s">
        <v>76</v>
      </c>
      <c r="C2932" t="s">
        <v>55</v>
      </c>
      <c r="D2932" t="s">
        <v>1139</v>
      </c>
      <c r="E2932" t="s">
        <v>5409</v>
      </c>
      <c r="F2932" s="121">
        <v>999</v>
      </c>
      <c r="G2932" s="121">
        <v>999</v>
      </c>
      <c r="H2932" t="s">
        <v>5410</v>
      </c>
      <c r="I2932" s="156">
        <v>42100.362650462965</v>
      </c>
      <c r="K2932" s="153"/>
      <c r="L2932" s="153"/>
      <c r="M2932" s="153"/>
      <c r="N2932" s="153"/>
      <c r="O2932" s="153"/>
      <c r="P2932" s="152"/>
      <c r="Q2932" s="152"/>
      <c r="R2932" s="153"/>
      <c r="S2932" s="154"/>
      <c r="T2932" s="115"/>
    </row>
    <row r="2933" spans="1:20">
      <c r="A2933" t="s">
        <v>1230</v>
      </c>
      <c r="B2933" t="s">
        <v>73</v>
      </c>
      <c r="C2933" t="s">
        <v>55</v>
      </c>
      <c r="D2933" t="s">
        <v>4480</v>
      </c>
      <c r="E2933" t="s">
        <v>5411</v>
      </c>
      <c r="F2933" s="121">
        <v>1040</v>
      </c>
      <c r="G2933" s="121">
        <v>1040</v>
      </c>
      <c r="H2933" t="s">
        <v>460</v>
      </c>
      <c r="I2933" s="156">
        <v>42100.323819444442</v>
      </c>
      <c r="K2933" s="153"/>
      <c r="L2933" s="153"/>
      <c r="M2933" s="153"/>
      <c r="N2933" s="153"/>
      <c r="O2933" s="153"/>
      <c r="P2933" s="152"/>
      <c r="Q2933" s="152"/>
      <c r="R2933" s="153"/>
      <c r="S2933" s="154"/>
      <c r="T2933" s="115"/>
    </row>
    <row r="2934" spans="1:20">
      <c r="A2934" t="s">
        <v>1230</v>
      </c>
      <c r="B2934" t="s">
        <v>76</v>
      </c>
      <c r="C2934" t="s">
        <v>55</v>
      </c>
      <c r="D2934" t="s">
        <v>1152</v>
      </c>
      <c r="E2934" t="s">
        <v>5412</v>
      </c>
      <c r="F2934" s="121">
        <v>430</v>
      </c>
      <c r="G2934" s="121">
        <v>430</v>
      </c>
      <c r="H2934" t="s">
        <v>5410</v>
      </c>
      <c r="I2934" s="156">
        <v>42102.474722222221</v>
      </c>
      <c r="K2934" s="153"/>
      <c r="L2934" s="153"/>
      <c r="M2934" s="153"/>
      <c r="N2934" s="153"/>
      <c r="O2934" s="153"/>
      <c r="P2934" s="152"/>
      <c r="Q2934" s="152"/>
      <c r="R2934" s="153"/>
      <c r="S2934" s="154"/>
      <c r="T2934" s="115"/>
    </row>
    <row r="2935" spans="1:20">
      <c r="A2935" t="s">
        <v>1230</v>
      </c>
      <c r="B2935" t="s">
        <v>73</v>
      </c>
      <c r="C2935" t="s">
        <v>55</v>
      </c>
      <c r="D2935" t="s">
        <v>5413</v>
      </c>
      <c r="E2935" t="s">
        <v>5414</v>
      </c>
      <c r="F2935" s="121">
        <v>669.01</v>
      </c>
      <c r="G2935" s="121">
        <v>669.01</v>
      </c>
      <c r="H2935" t="s">
        <v>5415</v>
      </c>
      <c r="I2935" s="156">
        <v>42107.430428240739</v>
      </c>
      <c r="K2935" s="153"/>
      <c r="L2935" s="153"/>
      <c r="M2935" s="153"/>
      <c r="N2935" s="153"/>
      <c r="O2935" s="153"/>
      <c r="P2935" s="152"/>
      <c r="Q2935" s="152"/>
      <c r="R2935" s="153"/>
      <c r="S2935" s="154"/>
      <c r="T2935" s="115"/>
    </row>
    <row r="2936" spans="1:20">
      <c r="A2936" t="s">
        <v>1230</v>
      </c>
      <c r="B2936" t="s">
        <v>73</v>
      </c>
      <c r="C2936" t="s">
        <v>55</v>
      </c>
      <c r="D2936" t="s">
        <v>930</v>
      </c>
      <c r="E2936" t="s">
        <v>5416</v>
      </c>
      <c r="F2936" s="121">
        <v>1655</v>
      </c>
      <c r="G2936" s="121">
        <v>1655</v>
      </c>
      <c r="H2936" t="s">
        <v>834</v>
      </c>
      <c r="I2936" s="156">
        <v>42143.361712962964</v>
      </c>
      <c r="K2936" s="153"/>
      <c r="L2936" s="153"/>
      <c r="M2936" s="153"/>
      <c r="N2936" s="153"/>
      <c r="O2936" s="153"/>
      <c r="P2936" s="152"/>
      <c r="Q2936" s="152"/>
      <c r="R2936" s="153"/>
      <c r="S2936" s="154"/>
      <c r="T2936" s="115"/>
    </row>
    <row r="2937" spans="1:20">
      <c r="A2937" t="s">
        <v>1230</v>
      </c>
      <c r="B2937" t="s">
        <v>72</v>
      </c>
      <c r="C2937" t="s">
        <v>53</v>
      </c>
      <c r="D2937" t="s">
        <v>5417</v>
      </c>
      <c r="E2937" t="s">
        <v>5418</v>
      </c>
      <c r="F2937" s="121">
        <v>610</v>
      </c>
      <c r="G2937" s="121">
        <v>610</v>
      </c>
      <c r="H2937" t="s">
        <v>804</v>
      </c>
      <c r="I2937" s="156">
        <v>42146.428530092591</v>
      </c>
      <c r="K2937" s="153"/>
      <c r="L2937" s="153"/>
      <c r="M2937" s="153"/>
      <c r="N2937" s="153"/>
      <c r="O2937" s="153"/>
      <c r="P2937" s="152"/>
      <c r="Q2937" s="152"/>
      <c r="R2937" s="153"/>
      <c r="S2937" s="154"/>
      <c r="T2937" s="115"/>
    </row>
    <row r="2938" spans="1:20">
      <c r="A2938" t="s">
        <v>1230</v>
      </c>
      <c r="B2938" t="s">
        <v>72</v>
      </c>
      <c r="C2938" t="s">
        <v>53</v>
      </c>
      <c r="D2938" t="s">
        <v>5419</v>
      </c>
      <c r="E2938" t="s">
        <v>5420</v>
      </c>
      <c r="F2938" s="121">
        <v>1635</v>
      </c>
      <c r="G2938" s="121">
        <v>1635</v>
      </c>
      <c r="H2938" t="s">
        <v>804</v>
      </c>
      <c r="I2938" s="156">
        <v>42146.428530092591</v>
      </c>
      <c r="K2938" s="153"/>
      <c r="L2938" s="153"/>
      <c r="M2938" s="153"/>
      <c r="N2938" s="153"/>
      <c r="O2938" s="153"/>
      <c r="P2938" s="152"/>
      <c r="Q2938" s="152"/>
      <c r="R2938" s="153"/>
      <c r="S2938" s="154"/>
      <c r="T2938" s="115"/>
    </row>
    <row r="2939" spans="1:20">
      <c r="A2939" t="s">
        <v>1230</v>
      </c>
      <c r="B2939" t="s">
        <v>76</v>
      </c>
      <c r="C2939" t="s">
        <v>53</v>
      </c>
      <c r="D2939" t="s">
        <v>5421</v>
      </c>
      <c r="E2939" t="s">
        <v>5422</v>
      </c>
      <c r="F2939" s="121">
        <v>1772.45</v>
      </c>
      <c r="G2939" s="121">
        <v>1772.45</v>
      </c>
      <c r="H2939" t="s">
        <v>875</v>
      </c>
      <c r="I2939" s="156">
        <v>42146.495185185187</v>
      </c>
      <c r="K2939" s="153"/>
      <c r="L2939" s="153"/>
      <c r="M2939" s="153"/>
      <c r="N2939" s="153"/>
      <c r="O2939" s="153"/>
      <c r="P2939" s="152"/>
      <c r="Q2939" s="152"/>
      <c r="R2939" s="153"/>
      <c r="S2939" s="154"/>
      <c r="T2939" s="115"/>
    </row>
    <row r="2940" spans="1:20">
      <c r="A2940" t="s">
        <v>1230</v>
      </c>
      <c r="B2940" t="s">
        <v>73</v>
      </c>
      <c r="C2940" t="s">
        <v>55</v>
      </c>
      <c r="D2940" t="s">
        <v>4480</v>
      </c>
      <c r="E2940" t="s">
        <v>5423</v>
      </c>
      <c r="F2940" s="121">
        <v>1040</v>
      </c>
      <c r="G2940" s="121">
        <v>1040</v>
      </c>
      <c r="H2940" t="s">
        <v>460</v>
      </c>
      <c r="I2940" s="156">
        <v>42100.323819444442</v>
      </c>
      <c r="K2940" s="153"/>
      <c r="L2940" s="153"/>
      <c r="M2940" s="153"/>
      <c r="N2940" s="153"/>
      <c r="O2940" s="153"/>
      <c r="P2940" s="152"/>
      <c r="Q2940" s="152"/>
      <c r="R2940" s="153"/>
      <c r="S2940" s="154"/>
      <c r="T2940" s="115"/>
    </row>
    <row r="2941" spans="1:20">
      <c r="A2941" t="s">
        <v>1230</v>
      </c>
      <c r="B2941" t="s">
        <v>71</v>
      </c>
      <c r="C2941" t="s">
        <v>43</v>
      </c>
      <c r="D2941" t="s">
        <v>1021</v>
      </c>
      <c r="E2941" t="s">
        <v>5561</v>
      </c>
      <c r="F2941" s="121">
        <v>9979.01</v>
      </c>
      <c r="G2941" s="121">
        <v>9979.01</v>
      </c>
      <c r="H2941" t="s">
        <v>519</v>
      </c>
      <c r="I2941" s="156">
        <v>42179</v>
      </c>
      <c r="K2941" s="153"/>
      <c r="L2941" s="153"/>
      <c r="M2941" s="153"/>
      <c r="N2941" s="153"/>
      <c r="O2941" s="153"/>
      <c r="P2941" s="152"/>
      <c r="Q2941" s="152"/>
      <c r="R2941" s="153"/>
      <c r="S2941" s="154"/>
      <c r="T2941" s="115"/>
    </row>
    <row r="2942" spans="1:20">
      <c r="A2942" t="s">
        <v>1230</v>
      </c>
      <c r="B2942" t="s">
        <v>73</v>
      </c>
      <c r="C2942" t="s">
        <v>53</v>
      </c>
      <c r="D2942" t="s">
        <v>5562</v>
      </c>
      <c r="E2942" t="s">
        <v>5563</v>
      </c>
      <c r="F2942" s="121">
        <v>1336.16</v>
      </c>
      <c r="G2942" s="121">
        <v>1336.16</v>
      </c>
      <c r="H2942" t="s">
        <v>398</v>
      </c>
      <c r="I2942" s="156">
        <v>42179.435648148145</v>
      </c>
      <c r="K2942" s="153"/>
      <c r="L2942" s="153"/>
      <c r="M2942" s="153"/>
      <c r="N2942" s="153"/>
      <c r="O2942" s="153"/>
      <c r="P2942" s="152"/>
      <c r="Q2942" s="152"/>
      <c r="R2942" s="153"/>
      <c r="S2942" s="154"/>
      <c r="T2942" s="115"/>
    </row>
    <row r="2943" spans="1:20">
      <c r="A2943" t="s">
        <v>1230</v>
      </c>
      <c r="B2943" t="s">
        <v>74</v>
      </c>
      <c r="C2943" t="s">
        <v>43</v>
      </c>
      <c r="D2943" t="s">
        <v>811</v>
      </c>
      <c r="E2943" t="s">
        <v>5564</v>
      </c>
      <c r="F2943" s="121">
        <v>342</v>
      </c>
      <c r="G2943" s="121">
        <v>342</v>
      </c>
      <c r="H2943" t="s">
        <v>875</v>
      </c>
      <c r="I2943" s="156">
        <v>42166.418333333335</v>
      </c>
      <c r="K2943" s="153"/>
      <c r="L2943" s="153"/>
      <c r="M2943" s="153"/>
      <c r="N2943" s="153"/>
      <c r="O2943" s="153"/>
      <c r="P2943" s="152"/>
      <c r="Q2943" s="152"/>
      <c r="R2943" s="153"/>
      <c r="S2943" s="154"/>
      <c r="T2943" s="115"/>
    </row>
    <row r="2944" spans="1:20">
      <c r="A2944" t="s">
        <v>1230</v>
      </c>
      <c r="B2944" t="s">
        <v>72</v>
      </c>
      <c r="C2944" t="s">
        <v>55</v>
      </c>
      <c r="D2944" t="s">
        <v>5565</v>
      </c>
      <c r="E2944" t="s">
        <v>5566</v>
      </c>
      <c r="F2944" s="121">
        <v>120</v>
      </c>
      <c r="G2944" s="121">
        <v>120</v>
      </c>
      <c r="H2944" t="s">
        <v>396</v>
      </c>
      <c r="I2944" s="156">
        <v>42179.431238425925</v>
      </c>
      <c r="K2944" s="153"/>
      <c r="L2944" s="153"/>
      <c r="M2944" s="153"/>
      <c r="N2944" s="153"/>
      <c r="O2944" s="153"/>
      <c r="P2944" s="152"/>
      <c r="Q2944" s="152"/>
      <c r="R2944" s="153"/>
      <c r="S2944" s="154"/>
      <c r="T2944" s="115"/>
    </row>
    <row r="2945" spans="1:20">
      <c r="A2945" t="s">
        <v>1230</v>
      </c>
      <c r="B2945" t="s">
        <v>72</v>
      </c>
      <c r="C2945" t="s">
        <v>55</v>
      </c>
      <c r="D2945" t="s">
        <v>5565</v>
      </c>
      <c r="E2945" t="s">
        <v>5567</v>
      </c>
      <c r="F2945" s="121">
        <v>120</v>
      </c>
      <c r="G2945" s="121">
        <v>120</v>
      </c>
      <c r="H2945" t="s">
        <v>396</v>
      </c>
      <c r="I2945" s="156">
        <v>42179.431238425925</v>
      </c>
      <c r="K2945" s="153"/>
      <c r="L2945" s="153"/>
      <c r="M2945" s="153"/>
      <c r="N2945" s="153"/>
      <c r="O2945" s="153"/>
      <c r="P2945" s="152"/>
      <c r="Q2945" s="152"/>
      <c r="R2945" s="153"/>
      <c r="S2945" s="154"/>
      <c r="T2945" s="115"/>
    </row>
    <row r="2946" spans="1:20">
      <c r="A2946" t="s">
        <v>1230</v>
      </c>
      <c r="B2946" t="s">
        <v>72</v>
      </c>
      <c r="C2946" t="s">
        <v>55</v>
      </c>
      <c r="D2946" t="s">
        <v>5565</v>
      </c>
      <c r="E2946" t="s">
        <v>5568</v>
      </c>
      <c r="F2946" s="121">
        <v>120</v>
      </c>
      <c r="G2946" s="121">
        <v>120</v>
      </c>
      <c r="H2946" t="s">
        <v>396</v>
      </c>
      <c r="I2946" s="156">
        <v>42179.431238425925</v>
      </c>
      <c r="K2946" s="153"/>
      <c r="L2946" s="153"/>
      <c r="M2946" s="153"/>
      <c r="N2946" s="153"/>
      <c r="O2946" s="153"/>
      <c r="P2946" s="152"/>
      <c r="Q2946" s="152"/>
      <c r="R2946" s="153"/>
      <c r="S2946" s="154"/>
      <c r="T2946" s="115"/>
    </row>
    <row r="2947" spans="1:20">
      <c r="A2947" t="s">
        <v>1230</v>
      </c>
      <c r="B2947" t="s">
        <v>72</v>
      </c>
      <c r="C2947" t="s">
        <v>55</v>
      </c>
      <c r="D2947" t="s">
        <v>5565</v>
      </c>
      <c r="E2947" t="s">
        <v>5569</v>
      </c>
      <c r="F2947" s="121">
        <v>120</v>
      </c>
      <c r="G2947" s="121">
        <v>120</v>
      </c>
      <c r="H2947" t="s">
        <v>396</v>
      </c>
      <c r="I2947" s="156">
        <v>42179.431238425925</v>
      </c>
      <c r="K2947" s="153"/>
      <c r="L2947" s="153"/>
      <c r="M2947" s="153"/>
      <c r="N2947" s="153"/>
      <c r="O2947" s="153"/>
      <c r="P2947" s="152"/>
      <c r="Q2947" s="152"/>
      <c r="R2947" s="153"/>
      <c r="S2947" s="154"/>
      <c r="T2947" s="115"/>
    </row>
    <row r="2948" spans="1:20">
      <c r="A2948" t="s">
        <v>1230</v>
      </c>
      <c r="B2948" t="s">
        <v>72</v>
      </c>
      <c r="C2948" t="s">
        <v>55</v>
      </c>
      <c r="D2948" t="s">
        <v>5565</v>
      </c>
      <c r="E2948" t="s">
        <v>5570</v>
      </c>
      <c r="F2948" s="121">
        <v>120</v>
      </c>
      <c r="G2948" s="121">
        <v>120</v>
      </c>
      <c r="H2948" t="s">
        <v>396</v>
      </c>
      <c r="I2948" s="156">
        <v>42179.431238425925</v>
      </c>
      <c r="K2948" s="153"/>
      <c r="L2948" s="153"/>
      <c r="M2948" s="153"/>
      <c r="N2948" s="153"/>
      <c r="O2948" s="153"/>
      <c r="P2948" s="152"/>
      <c r="Q2948" s="152"/>
      <c r="R2948" s="153"/>
      <c r="S2948" s="154"/>
      <c r="T2948" s="115"/>
    </row>
    <row r="2949" spans="1:20">
      <c r="A2949" t="s">
        <v>1230</v>
      </c>
      <c r="B2949" t="s">
        <v>72</v>
      </c>
      <c r="C2949" t="s">
        <v>55</v>
      </c>
      <c r="D2949" t="s">
        <v>5565</v>
      </c>
      <c r="E2949" t="s">
        <v>5571</v>
      </c>
      <c r="F2949" s="121">
        <v>120</v>
      </c>
      <c r="G2949" s="121">
        <v>120</v>
      </c>
      <c r="H2949" t="s">
        <v>396</v>
      </c>
      <c r="I2949" s="156">
        <v>42179.431238425925</v>
      </c>
      <c r="K2949" s="153"/>
      <c r="L2949" s="153"/>
      <c r="M2949" s="153"/>
      <c r="N2949" s="153"/>
      <c r="O2949" s="153"/>
      <c r="P2949" s="152"/>
      <c r="Q2949" s="152"/>
      <c r="R2949" s="153"/>
      <c r="S2949" s="154"/>
      <c r="T2949" s="115"/>
    </row>
    <row r="2950" spans="1:20">
      <c r="A2950" t="s">
        <v>1230</v>
      </c>
      <c r="B2950" t="s">
        <v>72</v>
      </c>
      <c r="C2950" t="s">
        <v>55</v>
      </c>
      <c r="D2950" t="s">
        <v>5565</v>
      </c>
      <c r="E2950" t="s">
        <v>5572</v>
      </c>
      <c r="F2950" s="121">
        <v>120</v>
      </c>
      <c r="G2950" s="121">
        <v>120</v>
      </c>
      <c r="H2950" t="s">
        <v>396</v>
      </c>
      <c r="I2950" s="156">
        <v>42179.431238425925</v>
      </c>
      <c r="K2950" s="153"/>
      <c r="L2950" s="153"/>
      <c r="M2950" s="153"/>
      <c r="N2950" s="153"/>
      <c r="O2950" s="153"/>
      <c r="P2950" s="152"/>
      <c r="Q2950" s="152"/>
      <c r="R2950" s="153"/>
      <c r="S2950" s="154"/>
      <c r="T2950" s="115"/>
    </row>
    <row r="2951" spans="1:20">
      <c r="A2951" t="s">
        <v>1230</v>
      </c>
      <c r="B2951" t="s">
        <v>72</v>
      </c>
      <c r="C2951" t="s">
        <v>55</v>
      </c>
      <c r="D2951" t="s">
        <v>5565</v>
      </c>
      <c r="E2951" t="s">
        <v>5573</v>
      </c>
      <c r="F2951" s="121">
        <v>120</v>
      </c>
      <c r="G2951" s="121">
        <v>120</v>
      </c>
      <c r="H2951" t="s">
        <v>396</v>
      </c>
      <c r="I2951" s="156">
        <v>42179.431238425925</v>
      </c>
      <c r="K2951" s="153"/>
      <c r="L2951" s="153"/>
      <c r="M2951" s="153"/>
      <c r="N2951" s="153"/>
      <c r="O2951" s="153"/>
      <c r="P2951" s="152"/>
      <c r="Q2951" s="152"/>
      <c r="R2951" s="153"/>
      <c r="S2951" s="154"/>
      <c r="T2951" s="115"/>
    </row>
    <row r="2952" spans="1:20">
      <c r="A2952" t="s">
        <v>1230</v>
      </c>
      <c r="B2952" t="s">
        <v>72</v>
      </c>
      <c r="C2952" t="s">
        <v>55</v>
      </c>
      <c r="D2952" t="s">
        <v>5565</v>
      </c>
      <c r="E2952" t="s">
        <v>5574</v>
      </c>
      <c r="F2952" s="121">
        <v>120</v>
      </c>
      <c r="G2952" s="121">
        <v>120</v>
      </c>
      <c r="H2952" t="s">
        <v>396</v>
      </c>
      <c r="I2952" s="156">
        <v>42179.431238425925</v>
      </c>
      <c r="K2952" s="153"/>
      <c r="L2952" s="153"/>
      <c r="M2952" s="153"/>
      <c r="N2952" s="153"/>
      <c r="O2952" s="153"/>
      <c r="P2952" s="152"/>
      <c r="Q2952" s="152"/>
      <c r="R2952" s="153"/>
      <c r="S2952" s="154"/>
      <c r="T2952" s="115"/>
    </row>
    <row r="2953" spans="1:20">
      <c r="A2953" t="s">
        <v>1230</v>
      </c>
      <c r="B2953" t="s">
        <v>72</v>
      </c>
      <c r="C2953" t="s">
        <v>55</v>
      </c>
      <c r="D2953" t="s">
        <v>5565</v>
      </c>
      <c r="E2953" t="s">
        <v>5575</v>
      </c>
      <c r="F2953" s="121">
        <v>120</v>
      </c>
      <c r="G2953" s="121">
        <v>120</v>
      </c>
      <c r="H2953" t="s">
        <v>396</v>
      </c>
      <c r="I2953" s="156">
        <v>42179.431238425925</v>
      </c>
      <c r="K2953" s="153"/>
      <c r="L2953" s="153"/>
      <c r="M2953" s="153"/>
      <c r="N2953" s="153"/>
      <c r="O2953" s="153"/>
      <c r="P2953" s="152"/>
      <c r="Q2953" s="152"/>
      <c r="R2953" s="153"/>
      <c r="S2953" s="154"/>
      <c r="T2953" s="115"/>
    </row>
    <row r="2954" spans="1:20">
      <c r="A2954" t="s">
        <v>1230</v>
      </c>
      <c r="B2954" t="s">
        <v>72</v>
      </c>
      <c r="C2954" t="s">
        <v>55</v>
      </c>
      <c r="D2954" t="s">
        <v>5565</v>
      </c>
      <c r="E2954" t="s">
        <v>5576</v>
      </c>
      <c r="F2954" s="121">
        <v>120</v>
      </c>
      <c r="G2954" s="121">
        <v>120</v>
      </c>
      <c r="H2954" t="s">
        <v>396</v>
      </c>
      <c r="I2954" s="156">
        <v>42179.431238425925</v>
      </c>
      <c r="K2954" s="153"/>
      <c r="L2954" s="153"/>
      <c r="M2954" s="153"/>
      <c r="N2954" s="153"/>
      <c r="O2954" s="153"/>
      <c r="P2954" s="152"/>
      <c r="Q2954" s="152"/>
      <c r="R2954" s="153"/>
      <c r="S2954" s="154"/>
      <c r="T2954" s="115"/>
    </row>
    <row r="2955" spans="1:20">
      <c r="A2955" t="s">
        <v>1230</v>
      </c>
      <c r="B2955" t="s">
        <v>72</v>
      </c>
      <c r="C2955" t="s">
        <v>55</v>
      </c>
      <c r="D2955" t="s">
        <v>5565</v>
      </c>
      <c r="E2955" t="s">
        <v>5577</v>
      </c>
      <c r="F2955" s="121">
        <v>120</v>
      </c>
      <c r="G2955" s="121">
        <v>120</v>
      </c>
      <c r="H2955" t="s">
        <v>396</v>
      </c>
      <c r="I2955" s="156">
        <v>42179.431238425925</v>
      </c>
      <c r="K2955" s="153"/>
      <c r="L2955" s="153"/>
      <c r="M2955" s="153"/>
      <c r="N2955" s="153"/>
      <c r="O2955" s="153"/>
      <c r="P2955" s="152"/>
      <c r="Q2955" s="152"/>
      <c r="R2955" s="153"/>
      <c r="S2955" s="154"/>
      <c r="T2955" s="115"/>
    </row>
    <row r="2956" spans="1:20">
      <c r="A2956" t="s">
        <v>1230</v>
      </c>
      <c r="B2956" t="s">
        <v>72</v>
      </c>
      <c r="C2956" t="s">
        <v>55</v>
      </c>
      <c r="D2956" t="s">
        <v>5565</v>
      </c>
      <c r="E2956" t="s">
        <v>5578</v>
      </c>
      <c r="F2956" s="121">
        <v>120</v>
      </c>
      <c r="G2956" s="121">
        <v>120</v>
      </c>
      <c r="H2956" t="s">
        <v>396</v>
      </c>
      <c r="I2956" s="156">
        <v>42179.431238425925</v>
      </c>
      <c r="K2956" s="153"/>
      <c r="L2956" s="153"/>
      <c r="M2956" s="153"/>
      <c r="N2956" s="153"/>
      <c r="O2956" s="153"/>
      <c r="P2956" s="152"/>
      <c r="Q2956" s="152"/>
      <c r="R2956" s="153"/>
      <c r="S2956" s="154"/>
      <c r="T2956" s="115"/>
    </row>
    <row r="2957" spans="1:20">
      <c r="A2957" t="s">
        <v>1230</v>
      </c>
      <c r="B2957" t="s">
        <v>72</v>
      </c>
      <c r="C2957" t="s">
        <v>55</v>
      </c>
      <c r="D2957" t="s">
        <v>5565</v>
      </c>
      <c r="E2957" t="s">
        <v>5579</v>
      </c>
      <c r="F2957" s="121">
        <v>120</v>
      </c>
      <c r="G2957" s="121">
        <v>120</v>
      </c>
      <c r="H2957" t="s">
        <v>396</v>
      </c>
      <c r="I2957" s="156">
        <v>42179.431238425925</v>
      </c>
      <c r="K2957" s="153"/>
      <c r="L2957" s="153"/>
      <c r="M2957" s="153"/>
      <c r="N2957" s="153"/>
      <c r="O2957" s="153"/>
      <c r="P2957" s="152"/>
      <c r="Q2957" s="152"/>
      <c r="R2957" s="153"/>
      <c r="S2957" s="154"/>
      <c r="T2957" s="115"/>
    </row>
    <row r="2958" spans="1:20">
      <c r="A2958" t="s">
        <v>1230</v>
      </c>
      <c r="B2958" t="s">
        <v>72</v>
      </c>
      <c r="C2958" t="s">
        <v>55</v>
      </c>
      <c r="D2958" t="s">
        <v>5565</v>
      </c>
      <c r="E2958" t="s">
        <v>5580</v>
      </c>
      <c r="F2958" s="121">
        <v>120</v>
      </c>
      <c r="G2958" s="121">
        <v>120</v>
      </c>
      <c r="H2958" t="s">
        <v>396</v>
      </c>
      <c r="I2958" s="156">
        <v>42179.431238425925</v>
      </c>
      <c r="K2958" s="153"/>
      <c r="L2958" s="153"/>
      <c r="M2958" s="153"/>
      <c r="N2958" s="153"/>
      <c r="O2958" s="153"/>
      <c r="P2958" s="152"/>
      <c r="Q2958" s="152"/>
      <c r="R2958" s="153"/>
      <c r="S2958" s="154"/>
      <c r="T2958" s="115"/>
    </row>
    <row r="2959" spans="1:20">
      <c r="A2959" t="s">
        <v>1230</v>
      </c>
      <c r="B2959" t="s">
        <v>72</v>
      </c>
      <c r="C2959" t="s">
        <v>55</v>
      </c>
      <c r="D2959" t="s">
        <v>5565</v>
      </c>
      <c r="E2959" t="s">
        <v>5581</v>
      </c>
      <c r="F2959" s="121">
        <v>120</v>
      </c>
      <c r="G2959" s="121">
        <v>120</v>
      </c>
      <c r="H2959" t="s">
        <v>396</v>
      </c>
      <c r="I2959" s="156">
        <v>42179.431238425925</v>
      </c>
      <c r="K2959" s="153"/>
      <c r="L2959" s="153"/>
      <c r="M2959" s="153"/>
      <c r="N2959" s="153"/>
      <c r="O2959" s="153"/>
      <c r="P2959" s="152"/>
      <c r="Q2959" s="152"/>
      <c r="R2959" s="153"/>
      <c r="S2959" s="154"/>
      <c r="T2959" s="115"/>
    </row>
    <row r="2960" spans="1:20">
      <c r="A2960" t="s">
        <v>1230</v>
      </c>
      <c r="B2960" t="s">
        <v>72</v>
      </c>
      <c r="C2960" t="s">
        <v>55</v>
      </c>
      <c r="D2960" t="s">
        <v>5565</v>
      </c>
      <c r="E2960" t="s">
        <v>5582</v>
      </c>
      <c r="F2960" s="121">
        <v>120</v>
      </c>
      <c r="G2960" s="121">
        <v>120</v>
      </c>
      <c r="H2960" t="s">
        <v>396</v>
      </c>
      <c r="I2960" s="156">
        <v>42179.431238425925</v>
      </c>
      <c r="K2960" s="153"/>
      <c r="L2960" s="153"/>
      <c r="M2960" s="153"/>
      <c r="N2960" s="153"/>
      <c r="O2960" s="153"/>
      <c r="P2960" s="152"/>
      <c r="Q2960" s="152"/>
      <c r="R2960" s="153"/>
      <c r="S2960" s="154"/>
      <c r="T2960" s="115"/>
    </row>
    <row r="2961" spans="1:20">
      <c r="A2961" t="s">
        <v>1230</v>
      </c>
      <c r="B2961" t="s">
        <v>72</v>
      </c>
      <c r="C2961" t="s">
        <v>55</v>
      </c>
      <c r="D2961" t="s">
        <v>5565</v>
      </c>
      <c r="E2961" t="s">
        <v>5583</v>
      </c>
      <c r="F2961" s="121">
        <v>120</v>
      </c>
      <c r="G2961" s="121">
        <v>120</v>
      </c>
      <c r="H2961" t="s">
        <v>396</v>
      </c>
      <c r="I2961" s="156">
        <v>42179.431238425925</v>
      </c>
      <c r="K2961" s="153"/>
      <c r="L2961" s="153"/>
      <c r="M2961" s="153"/>
      <c r="N2961" s="153"/>
      <c r="O2961" s="153"/>
      <c r="P2961" s="152"/>
      <c r="Q2961" s="152"/>
      <c r="R2961" s="153"/>
      <c r="S2961" s="154"/>
      <c r="T2961" s="115"/>
    </row>
    <row r="2962" spans="1:20">
      <c r="A2962" t="s">
        <v>1230</v>
      </c>
      <c r="B2962" t="s">
        <v>72</v>
      </c>
      <c r="C2962" t="s">
        <v>55</v>
      </c>
      <c r="D2962" t="s">
        <v>5565</v>
      </c>
      <c r="E2962" t="s">
        <v>5584</v>
      </c>
      <c r="F2962" s="121">
        <v>120</v>
      </c>
      <c r="G2962" s="121">
        <v>120</v>
      </c>
      <c r="H2962" t="s">
        <v>396</v>
      </c>
      <c r="I2962" s="156">
        <v>42179.431238425925</v>
      </c>
      <c r="K2962" s="153"/>
      <c r="L2962" s="153"/>
      <c r="M2962" s="153"/>
      <c r="N2962" s="153"/>
      <c r="O2962" s="153"/>
      <c r="P2962" s="152"/>
      <c r="Q2962" s="152"/>
      <c r="R2962" s="153"/>
      <c r="S2962" s="154"/>
      <c r="T2962" s="115"/>
    </row>
    <row r="2963" spans="1:20">
      <c r="A2963" t="s">
        <v>1230</v>
      </c>
      <c r="B2963" t="s">
        <v>72</v>
      </c>
      <c r="C2963" t="s">
        <v>55</v>
      </c>
      <c r="D2963" t="s">
        <v>5565</v>
      </c>
      <c r="E2963" t="s">
        <v>5585</v>
      </c>
      <c r="F2963" s="121">
        <v>120</v>
      </c>
      <c r="G2963" s="121">
        <v>120</v>
      </c>
      <c r="H2963" t="s">
        <v>396</v>
      </c>
      <c r="I2963" s="156">
        <v>42179.431238425925</v>
      </c>
      <c r="K2963" s="153"/>
      <c r="L2963" s="153"/>
      <c r="M2963" s="153"/>
      <c r="N2963" s="153"/>
      <c r="O2963" s="153"/>
      <c r="P2963" s="152"/>
      <c r="Q2963" s="152"/>
      <c r="R2963" s="153"/>
      <c r="S2963" s="154"/>
      <c r="T2963" s="115"/>
    </row>
    <row r="2964" spans="1:20">
      <c r="A2964" t="s">
        <v>1230</v>
      </c>
      <c r="B2964" t="s">
        <v>76</v>
      </c>
      <c r="C2964" t="s">
        <v>54</v>
      </c>
      <c r="D2964" t="s">
        <v>5586</v>
      </c>
      <c r="E2964" t="s">
        <v>5587</v>
      </c>
      <c r="F2964" s="121">
        <v>600</v>
      </c>
      <c r="G2964" s="121">
        <v>600</v>
      </c>
      <c r="H2964" t="s">
        <v>875</v>
      </c>
      <c r="I2964" s="156">
        <v>42171</v>
      </c>
      <c r="K2964" s="153"/>
      <c r="L2964" s="153"/>
      <c r="M2964" s="153"/>
      <c r="N2964" s="153"/>
      <c r="O2964" s="153"/>
      <c r="P2964" s="152"/>
      <c r="Q2964" s="152"/>
      <c r="R2964" s="153"/>
      <c r="S2964" s="154"/>
      <c r="T2964" s="115"/>
    </row>
    <row r="2965" spans="1:20">
      <c r="A2965" t="s">
        <v>1230</v>
      </c>
      <c r="B2965" t="s">
        <v>73</v>
      </c>
      <c r="C2965" t="s">
        <v>43</v>
      </c>
      <c r="D2965" t="s">
        <v>5611</v>
      </c>
      <c r="E2965" t="s">
        <v>5612</v>
      </c>
      <c r="F2965" s="121">
        <v>3068.41</v>
      </c>
      <c r="G2965" s="121">
        <v>3068.41</v>
      </c>
      <c r="H2965" t="s">
        <v>5613</v>
      </c>
      <c r="I2965" s="156">
        <v>42212.549467592595</v>
      </c>
      <c r="K2965" s="153"/>
      <c r="L2965" s="153"/>
      <c r="M2965" s="153"/>
      <c r="N2965" s="153"/>
      <c r="O2965" s="153"/>
      <c r="P2965" s="152"/>
      <c r="Q2965" s="152"/>
      <c r="R2965" s="153"/>
      <c r="S2965" s="154"/>
      <c r="T2965" s="115"/>
    </row>
    <row r="2966" spans="1:20">
      <c r="A2966" t="s">
        <v>1230</v>
      </c>
      <c r="B2966" t="s">
        <v>72</v>
      </c>
      <c r="C2966" t="s">
        <v>43</v>
      </c>
      <c r="D2966" t="s">
        <v>5614</v>
      </c>
      <c r="E2966" t="s">
        <v>5615</v>
      </c>
      <c r="F2966" s="121">
        <v>1346.4</v>
      </c>
      <c r="G2966" s="121">
        <v>1346.4</v>
      </c>
      <c r="H2966" t="s">
        <v>474</v>
      </c>
      <c r="I2966" s="156">
        <v>42213.494479166664</v>
      </c>
      <c r="K2966" s="153"/>
      <c r="L2966" s="153"/>
      <c r="M2966" s="153"/>
      <c r="N2966" s="153"/>
      <c r="O2966" s="153"/>
      <c r="P2966" s="152"/>
      <c r="Q2966" s="152"/>
      <c r="R2966" s="153"/>
      <c r="S2966" s="154"/>
      <c r="T2966" s="115"/>
    </row>
    <row r="2967" spans="1:20">
      <c r="A2967" t="s">
        <v>1230</v>
      </c>
      <c r="B2967" t="s">
        <v>74</v>
      </c>
      <c r="C2967" t="s">
        <v>43</v>
      </c>
      <c r="D2967" t="s">
        <v>5614</v>
      </c>
      <c r="E2967" t="s">
        <v>5616</v>
      </c>
      <c r="F2967" s="121">
        <v>1494.9</v>
      </c>
      <c r="G2967" s="121">
        <v>1494.9</v>
      </c>
      <c r="H2967" t="s">
        <v>1292</v>
      </c>
      <c r="I2967" s="156">
        <v>42212.560925925929</v>
      </c>
      <c r="K2967" s="153"/>
      <c r="L2967" s="153"/>
      <c r="M2967" s="153"/>
      <c r="N2967" s="153"/>
      <c r="O2967" s="153"/>
      <c r="P2967" s="152"/>
      <c r="Q2967" s="152"/>
      <c r="R2967" s="153"/>
      <c r="S2967" s="154"/>
      <c r="T2967" s="115"/>
    </row>
    <row r="2968" spans="1:20">
      <c r="A2968" t="s">
        <v>1230</v>
      </c>
      <c r="B2968" t="s">
        <v>72</v>
      </c>
      <c r="C2968" t="s">
        <v>55</v>
      </c>
      <c r="D2968" t="s">
        <v>748</v>
      </c>
      <c r="E2968" t="s">
        <v>5617</v>
      </c>
      <c r="F2968" s="121">
        <v>269</v>
      </c>
      <c r="G2968" s="121">
        <v>269</v>
      </c>
      <c r="H2968" t="s">
        <v>396</v>
      </c>
      <c r="I2968" s="156">
        <v>42212.554444444446</v>
      </c>
      <c r="K2968" s="153"/>
      <c r="L2968" s="153"/>
      <c r="M2968" s="153"/>
      <c r="N2968" s="153"/>
      <c r="O2968" s="153"/>
      <c r="P2968" s="152"/>
      <c r="Q2968" s="152"/>
      <c r="R2968" s="153"/>
      <c r="S2968" s="154"/>
      <c r="T2968" s="115"/>
    </row>
    <row r="2969" spans="1:20">
      <c r="A2969" t="s">
        <v>1230</v>
      </c>
      <c r="B2969" t="s">
        <v>74</v>
      </c>
      <c r="C2969" t="s">
        <v>43</v>
      </c>
      <c r="D2969" t="s">
        <v>661</v>
      </c>
      <c r="E2969" t="s">
        <v>5618</v>
      </c>
      <c r="F2969" s="121">
        <v>755.1</v>
      </c>
      <c r="G2969" s="121">
        <v>755.1</v>
      </c>
      <c r="H2969" t="s">
        <v>4491</v>
      </c>
      <c r="I2969" s="156">
        <v>42208.448576388888</v>
      </c>
      <c r="K2969" s="153"/>
      <c r="L2969" s="153"/>
      <c r="M2969" s="153"/>
      <c r="N2969" s="153"/>
      <c r="O2969" s="153"/>
      <c r="P2969" s="152"/>
      <c r="Q2969" s="152"/>
      <c r="R2969" s="153"/>
      <c r="S2969" s="154"/>
      <c r="T2969" s="115"/>
    </row>
    <row r="2970" spans="1:20">
      <c r="A2970" t="s">
        <v>1231</v>
      </c>
      <c r="B2970" t="s">
        <v>71</v>
      </c>
      <c r="C2970" t="s">
        <v>43</v>
      </c>
      <c r="D2970" t="s">
        <v>5619</v>
      </c>
      <c r="E2970" t="s">
        <v>5620</v>
      </c>
      <c r="F2970" s="121">
        <v>1484.96</v>
      </c>
      <c r="G2970" s="121">
        <v>1484.96</v>
      </c>
      <c r="H2970" t="s">
        <v>5621</v>
      </c>
      <c r="I2970" s="156">
        <v>42186.659756944442</v>
      </c>
      <c r="K2970" s="153"/>
      <c r="L2970" s="153"/>
      <c r="M2970" s="153"/>
      <c r="N2970" s="153"/>
      <c r="O2970" s="153"/>
      <c r="P2970" s="152"/>
      <c r="Q2970" s="152"/>
      <c r="R2970" s="153"/>
      <c r="S2970" s="154"/>
      <c r="T2970" s="115"/>
    </row>
    <row r="2971" spans="1:20">
      <c r="A2971" t="s">
        <v>1231</v>
      </c>
      <c r="B2971" t="s">
        <v>71</v>
      </c>
      <c r="C2971" t="s">
        <v>43</v>
      </c>
      <c r="D2971" t="s">
        <v>5619</v>
      </c>
      <c r="E2971" t="s">
        <v>5622</v>
      </c>
      <c r="F2971" s="121">
        <v>1484.96</v>
      </c>
      <c r="G2971" s="121">
        <v>1484.96</v>
      </c>
      <c r="H2971" t="s">
        <v>5621</v>
      </c>
      <c r="I2971" s="156">
        <v>42186.659756944442</v>
      </c>
      <c r="K2971" s="153"/>
      <c r="L2971" s="153"/>
      <c r="M2971" s="153"/>
      <c r="N2971" s="153"/>
      <c r="O2971" s="153"/>
      <c r="P2971" s="152"/>
      <c r="Q2971" s="152"/>
      <c r="R2971" s="153"/>
      <c r="S2971" s="154"/>
      <c r="T2971" s="115"/>
    </row>
    <row r="2972" spans="1:20">
      <c r="A2972" t="s">
        <v>1231</v>
      </c>
      <c r="B2972" t="s">
        <v>71</v>
      </c>
      <c r="C2972" t="s">
        <v>43</v>
      </c>
      <c r="D2972" t="s">
        <v>5619</v>
      </c>
      <c r="E2972" t="s">
        <v>5623</v>
      </c>
      <c r="F2972" s="121">
        <v>1484.96</v>
      </c>
      <c r="G2972" s="121">
        <v>1484.96</v>
      </c>
      <c r="H2972" t="s">
        <v>5621</v>
      </c>
      <c r="I2972" s="156">
        <v>42186.659756944442</v>
      </c>
      <c r="K2972" s="153"/>
      <c r="L2972" s="153"/>
      <c r="M2972" s="153"/>
      <c r="N2972" s="153"/>
      <c r="O2972" s="153"/>
      <c r="P2972" s="152"/>
      <c r="Q2972" s="152"/>
      <c r="R2972" s="153"/>
      <c r="S2972" s="154"/>
      <c r="T2972" s="115"/>
    </row>
    <row r="2973" spans="1:20">
      <c r="A2973" t="s">
        <v>1230</v>
      </c>
      <c r="B2973" t="s">
        <v>73</v>
      </c>
      <c r="C2973" t="s">
        <v>43</v>
      </c>
      <c r="D2973" t="s">
        <v>4451</v>
      </c>
      <c r="E2973" t="s">
        <v>4452</v>
      </c>
      <c r="F2973" s="121">
        <v>1439.86</v>
      </c>
      <c r="G2973" s="121">
        <v>1439.86</v>
      </c>
      <c r="H2973" t="s">
        <v>4453</v>
      </c>
      <c r="I2973" s="156">
        <v>42061.378842592596</v>
      </c>
      <c r="K2973" s="153"/>
      <c r="L2973" s="153"/>
      <c r="M2973" s="153"/>
      <c r="N2973" s="153"/>
      <c r="O2973" s="153"/>
      <c r="P2973" s="152"/>
      <c r="Q2973" s="152"/>
      <c r="R2973" s="153"/>
      <c r="S2973" s="154"/>
      <c r="T2973" s="115"/>
    </row>
    <row r="2974" spans="1:20">
      <c r="A2974" t="s">
        <v>1230</v>
      </c>
      <c r="B2974" t="s">
        <v>73</v>
      </c>
      <c r="C2974" t="s">
        <v>43</v>
      </c>
      <c r="D2974" t="s">
        <v>4451</v>
      </c>
      <c r="E2974" t="s">
        <v>4454</v>
      </c>
      <c r="F2974" s="121">
        <v>1439.86</v>
      </c>
      <c r="G2974" s="121">
        <v>1439.86</v>
      </c>
      <c r="H2974" t="s">
        <v>4453</v>
      </c>
      <c r="I2974" s="156">
        <v>42061.378842592596</v>
      </c>
      <c r="K2974" s="153"/>
      <c r="L2974" s="153"/>
      <c r="M2974" s="153"/>
      <c r="N2974" s="153"/>
      <c r="O2974" s="153"/>
      <c r="P2974" s="152"/>
      <c r="Q2974" s="152"/>
      <c r="R2974" s="153"/>
      <c r="S2974" s="154"/>
      <c r="T2974" s="115"/>
    </row>
    <row r="2975" spans="1:20">
      <c r="A2975" t="s">
        <v>1230</v>
      </c>
      <c r="B2975" t="s">
        <v>72</v>
      </c>
      <c r="C2975" t="s">
        <v>51</v>
      </c>
      <c r="D2975" t="s">
        <v>5791</v>
      </c>
      <c r="E2975" t="s">
        <v>5792</v>
      </c>
      <c r="F2975" s="121">
        <v>1666.5</v>
      </c>
      <c r="G2975" s="121">
        <v>1666.5</v>
      </c>
      <c r="H2975" t="s">
        <v>1146</v>
      </c>
      <c r="I2975" s="156">
        <v>42244.437557870369</v>
      </c>
      <c r="K2975" s="153"/>
      <c r="L2975" s="153"/>
      <c r="M2975" s="153"/>
      <c r="N2975" s="153"/>
      <c r="O2975" s="153"/>
      <c r="P2975" s="152"/>
      <c r="Q2975" s="152"/>
      <c r="R2975" s="153"/>
      <c r="S2975" s="154"/>
      <c r="T2975" s="115"/>
    </row>
    <row r="2976" spans="1:20">
      <c r="A2976" t="s">
        <v>1230</v>
      </c>
      <c r="B2976" t="s">
        <v>76</v>
      </c>
      <c r="C2976" t="s">
        <v>55</v>
      </c>
      <c r="D2976" t="s">
        <v>685</v>
      </c>
      <c r="E2976" t="s">
        <v>5793</v>
      </c>
      <c r="F2976" s="121">
        <v>999</v>
      </c>
      <c r="G2976" s="121">
        <v>999</v>
      </c>
      <c r="H2976" t="s">
        <v>5790</v>
      </c>
      <c r="I2976" s="156">
        <v>42226.452951388892</v>
      </c>
      <c r="K2976" s="153"/>
      <c r="L2976" s="153"/>
      <c r="M2976" s="153"/>
      <c r="N2976" s="153"/>
      <c r="O2976" s="153"/>
      <c r="P2976" s="152"/>
      <c r="Q2976" s="152"/>
      <c r="R2976" s="153"/>
      <c r="S2976" s="154"/>
      <c r="T2976" s="115"/>
    </row>
    <row r="2977" spans="1:20">
      <c r="A2977" t="s">
        <v>1230</v>
      </c>
      <c r="B2977" t="s">
        <v>72</v>
      </c>
      <c r="C2977" t="s">
        <v>55</v>
      </c>
      <c r="D2977" t="s">
        <v>961</v>
      </c>
      <c r="E2977" t="s">
        <v>5794</v>
      </c>
      <c r="F2977" s="121">
        <v>2500</v>
      </c>
      <c r="G2977" s="121">
        <v>2500</v>
      </c>
      <c r="H2977" t="s">
        <v>5795</v>
      </c>
      <c r="I2977" s="156">
        <v>42226.342881944445</v>
      </c>
      <c r="K2977" s="153"/>
      <c r="L2977" s="153"/>
      <c r="M2977" s="153"/>
      <c r="N2977" s="153"/>
      <c r="O2977" s="153"/>
      <c r="P2977" s="152"/>
      <c r="Q2977" s="152"/>
      <c r="R2977" s="153"/>
      <c r="S2977" s="154"/>
      <c r="T2977" s="115"/>
    </row>
    <row r="2978" spans="1:20">
      <c r="A2978" t="s">
        <v>1230</v>
      </c>
      <c r="B2978" t="s">
        <v>1012</v>
      </c>
      <c r="C2978" t="s">
        <v>55</v>
      </c>
      <c r="D2978" t="s">
        <v>5796</v>
      </c>
      <c r="E2978" t="s">
        <v>5797</v>
      </c>
      <c r="F2978" s="121">
        <v>333.11</v>
      </c>
      <c r="G2978" s="121">
        <v>333.11</v>
      </c>
      <c r="H2978" t="s">
        <v>5798</v>
      </c>
      <c r="I2978" s="156">
        <v>42236.715324074074</v>
      </c>
      <c r="K2978" s="153"/>
      <c r="L2978" s="153"/>
      <c r="M2978" s="153"/>
      <c r="N2978" s="153"/>
      <c r="O2978" s="153"/>
      <c r="P2978" s="152"/>
      <c r="Q2978" s="152"/>
      <c r="R2978" s="153"/>
      <c r="S2978" s="154"/>
      <c r="T2978" s="115"/>
    </row>
    <row r="2979" spans="1:20">
      <c r="A2979" t="s">
        <v>1230</v>
      </c>
      <c r="B2979" t="s">
        <v>1012</v>
      </c>
      <c r="C2979" t="s">
        <v>55</v>
      </c>
      <c r="D2979" t="s">
        <v>1032</v>
      </c>
      <c r="E2979" t="s">
        <v>5799</v>
      </c>
      <c r="F2979" s="121">
        <v>611.63</v>
      </c>
      <c r="G2979" s="121">
        <v>611.63</v>
      </c>
      <c r="H2979" t="s">
        <v>5798</v>
      </c>
      <c r="I2979" s="156">
        <v>42236.715324074074</v>
      </c>
      <c r="K2979" s="153"/>
      <c r="L2979" s="153"/>
      <c r="M2979" s="153"/>
      <c r="N2979" s="153"/>
      <c r="O2979" s="153"/>
      <c r="P2979" s="152"/>
      <c r="Q2979" s="152"/>
      <c r="R2979" s="153"/>
      <c r="S2979" s="154"/>
      <c r="T2979" s="115"/>
    </row>
    <row r="2980" spans="1:20">
      <c r="A2980" t="s">
        <v>1230</v>
      </c>
      <c r="B2980" t="s">
        <v>72</v>
      </c>
      <c r="C2980" t="s">
        <v>55</v>
      </c>
      <c r="D2980" t="s">
        <v>5800</v>
      </c>
      <c r="E2980" t="s">
        <v>5801</v>
      </c>
      <c r="F2980" s="121">
        <v>695</v>
      </c>
      <c r="G2980" s="121">
        <v>695</v>
      </c>
      <c r="H2980" t="s">
        <v>533</v>
      </c>
      <c r="I2980" s="156">
        <v>42226.3984837963</v>
      </c>
      <c r="K2980" s="153"/>
      <c r="L2980" s="153"/>
      <c r="M2980" s="153"/>
      <c r="N2980" s="153"/>
      <c r="O2980" s="153"/>
      <c r="P2980" s="152"/>
      <c r="Q2980" s="152"/>
      <c r="R2980" s="153"/>
      <c r="S2980" s="154"/>
      <c r="T2980" s="115"/>
    </row>
    <row r="2981" spans="1:20">
      <c r="A2981" t="s">
        <v>1230</v>
      </c>
      <c r="B2981" t="s">
        <v>970</v>
      </c>
      <c r="C2981" t="s">
        <v>55</v>
      </c>
      <c r="D2981" t="s">
        <v>5802</v>
      </c>
      <c r="E2981" t="s">
        <v>5803</v>
      </c>
      <c r="F2981" s="121">
        <v>1271.32</v>
      </c>
      <c r="G2981" s="121">
        <v>1271.32</v>
      </c>
      <c r="H2981" t="s">
        <v>1181</v>
      </c>
      <c r="I2981" s="156">
        <v>42233.467604166668</v>
      </c>
      <c r="K2981" s="153"/>
      <c r="L2981" s="153"/>
      <c r="M2981" s="153"/>
      <c r="N2981" s="153"/>
      <c r="O2981" s="153"/>
      <c r="P2981" s="152"/>
      <c r="Q2981" s="152"/>
      <c r="R2981" s="153"/>
      <c r="S2981" s="154"/>
      <c r="T2981" s="115"/>
    </row>
    <row r="2982" spans="1:20">
      <c r="A2982" t="s">
        <v>1230</v>
      </c>
      <c r="B2982" t="s">
        <v>970</v>
      </c>
      <c r="C2982" t="s">
        <v>55</v>
      </c>
      <c r="D2982" t="s">
        <v>1136</v>
      </c>
      <c r="E2982" t="s">
        <v>5804</v>
      </c>
      <c r="F2982" s="121">
        <v>1329.92</v>
      </c>
      <c r="G2982" s="121">
        <v>1329.92</v>
      </c>
      <c r="H2982" t="s">
        <v>1181</v>
      </c>
      <c r="I2982" s="156">
        <v>42233.467604166668</v>
      </c>
      <c r="K2982" s="153"/>
      <c r="L2982" s="153"/>
      <c r="M2982" s="153"/>
      <c r="N2982" s="153"/>
      <c r="O2982" s="153"/>
      <c r="P2982" s="152"/>
      <c r="Q2982" s="152"/>
      <c r="R2982" s="153"/>
      <c r="S2982" s="154"/>
      <c r="T2982" s="115"/>
    </row>
    <row r="2983" spans="1:20">
      <c r="A2983" t="s">
        <v>1230</v>
      </c>
      <c r="B2983" t="s">
        <v>73</v>
      </c>
      <c r="C2983" t="s">
        <v>43</v>
      </c>
      <c r="D2983" t="s">
        <v>5805</v>
      </c>
      <c r="E2983" t="s">
        <v>5806</v>
      </c>
      <c r="F2983" s="121">
        <v>2660.96</v>
      </c>
      <c r="G2983" s="121">
        <v>2660.96</v>
      </c>
      <c r="H2983" t="s">
        <v>946</v>
      </c>
      <c r="I2983" s="156">
        <v>42229.39130787037</v>
      </c>
      <c r="K2983" s="153"/>
      <c r="L2983" s="153"/>
      <c r="M2983" s="153"/>
      <c r="N2983" s="153"/>
      <c r="O2983" s="153"/>
      <c r="P2983" s="152"/>
      <c r="Q2983" s="152"/>
      <c r="R2983" s="153"/>
      <c r="S2983" s="154"/>
      <c r="T2983" s="115"/>
    </row>
    <row r="2984" spans="1:20">
      <c r="A2984" t="s">
        <v>1230</v>
      </c>
      <c r="B2984" t="s">
        <v>73</v>
      </c>
      <c r="C2984" t="s">
        <v>43</v>
      </c>
      <c r="D2984" t="s">
        <v>5805</v>
      </c>
      <c r="E2984" t="s">
        <v>5807</v>
      </c>
      <c r="F2984" s="121">
        <v>2660.95</v>
      </c>
      <c r="G2984" s="121">
        <v>2660.95</v>
      </c>
      <c r="H2984" t="s">
        <v>946</v>
      </c>
      <c r="I2984" s="156">
        <v>42229.39130787037</v>
      </c>
      <c r="K2984" s="153"/>
      <c r="L2984" s="153"/>
      <c r="M2984" s="153"/>
      <c r="N2984" s="153"/>
      <c r="O2984" s="153"/>
      <c r="P2984" s="152"/>
      <c r="Q2984" s="152"/>
      <c r="R2984" s="153"/>
      <c r="S2984" s="154"/>
      <c r="T2984" s="115"/>
    </row>
    <row r="2985" spans="1:20">
      <c r="A2985" t="s">
        <v>1230</v>
      </c>
      <c r="B2985" t="s">
        <v>1012</v>
      </c>
      <c r="C2985" t="s">
        <v>55</v>
      </c>
      <c r="D2985" t="s">
        <v>5808</v>
      </c>
      <c r="E2985" t="s">
        <v>5809</v>
      </c>
      <c r="F2985" s="121">
        <v>1499</v>
      </c>
      <c r="G2985" s="121">
        <v>1499</v>
      </c>
      <c r="H2985" t="s">
        <v>460</v>
      </c>
      <c r="I2985" s="156">
        <v>42228.379895833335</v>
      </c>
      <c r="K2985" s="153"/>
      <c r="L2985" s="153"/>
      <c r="M2985" s="153"/>
      <c r="N2985" s="153"/>
      <c r="O2985" s="153"/>
      <c r="P2985" s="152"/>
      <c r="Q2985" s="152"/>
      <c r="R2985" s="153"/>
      <c r="S2985" s="154"/>
      <c r="T2985" s="115"/>
    </row>
    <row r="2986" spans="1:20">
      <c r="A2986" t="s">
        <v>1230</v>
      </c>
      <c r="B2986" t="s">
        <v>72</v>
      </c>
      <c r="C2986" t="s">
        <v>55</v>
      </c>
      <c r="D2986" t="s">
        <v>5810</v>
      </c>
      <c r="E2986" t="s">
        <v>5811</v>
      </c>
      <c r="F2986" s="121">
        <v>589</v>
      </c>
      <c r="G2986" s="121">
        <v>589</v>
      </c>
      <c r="H2986" t="s">
        <v>5812</v>
      </c>
      <c r="I2986" s="156">
        <v>42229.381967592592</v>
      </c>
      <c r="K2986" s="153"/>
      <c r="L2986" s="153"/>
      <c r="M2986" s="153"/>
      <c r="N2986" s="153"/>
      <c r="O2986" s="153"/>
      <c r="P2986" s="152"/>
      <c r="Q2986" s="152"/>
      <c r="R2986" s="153"/>
      <c r="S2986" s="154"/>
      <c r="T2986" s="115"/>
    </row>
    <row r="2987" spans="1:20">
      <c r="A2987" t="s">
        <v>1230</v>
      </c>
      <c r="B2987" t="s">
        <v>74</v>
      </c>
      <c r="C2987" t="s">
        <v>51</v>
      </c>
      <c r="D2987" t="s">
        <v>1051</v>
      </c>
      <c r="E2987" t="s">
        <v>5813</v>
      </c>
      <c r="F2987" s="121">
        <v>4979</v>
      </c>
      <c r="G2987" s="121">
        <v>4979</v>
      </c>
      <c r="H2987" t="s">
        <v>5798</v>
      </c>
      <c r="I2987" s="156">
        <v>42226.369571759256</v>
      </c>
      <c r="K2987" s="153"/>
      <c r="L2987" s="153"/>
      <c r="M2987" s="153"/>
      <c r="N2987" s="153"/>
      <c r="O2987" s="153"/>
      <c r="P2987" s="152"/>
      <c r="Q2987" s="152"/>
      <c r="R2987" s="153"/>
      <c r="S2987" s="154"/>
      <c r="T2987" s="115"/>
    </row>
    <row r="2988" spans="1:20">
      <c r="A2988" t="s">
        <v>1230</v>
      </c>
      <c r="B2988" t="s">
        <v>76</v>
      </c>
      <c r="C2988" t="s">
        <v>55</v>
      </c>
      <c r="D2988" t="s">
        <v>5814</v>
      </c>
      <c r="E2988" t="s">
        <v>5815</v>
      </c>
      <c r="F2988" s="121">
        <v>910</v>
      </c>
      <c r="G2988" s="121">
        <v>910</v>
      </c>
      <c r="H2988" t="s">
        <v>875</v>
      </c>
      <c r="I2988" s="156">
        <v>42233.448738425926</v>
      </c>
      <c r="K2988" s="153"/>
      <c r="L2988" s="153"/>
      <c r="M2988" s="153"/>
      <c r="N2988" s="153"/>
      <c r="O2988" s="153"/>
      <c r="P2988" s="152"/>
      <c r="Q2988" s="152"/>
      <c r="R2988" s="153"/>
      <c r="S2988" s="154"/>
      <c r="T2988" s="115"/>
    </row>
    <row r="2989" spans="1:20">
      <c r="A2989" t="s">
        <v>1230</v>
      </c>
      <c r="B2989" t="s">
        <v>76</v>
      </c>
      <c r="C2989" t="s">
        <v>55</v>
      </c>
      <c r="D2989" t="s">
        <v>920</v>
      </c>
      <c r="E2989" t="s">
        <v>5816</v>
      </c>
      <c r="F2989" s="121">
        <v>89.4</v>
      </c>
      <c r="G2989" s="121">
        <v>89.4</v>
      </c>
      <c r="H2989" t="s">
        <v>875</v>
      </c>
      <c r="I2989" s="156">
        <v>42233.448738425926</v>
      </c>
      <c r="K2989" s="153"/>
      <c r="L2989" s="153"/>
      <c r="M2989" s="153"/>
      <c r="N2989" s="153"/>
      <c r="O2989" s="153"/>
      <c r="P2989" s="152"/>
      <c r="Q2989" s="152"/>
      <c r="R2989" s="153"/>
      <c r="S2989" s="154"/>
      <c r="T2989" s="115"/>
    </row>
    <row r="2990" spans="1:20">
      <c r="A2990" t="s">
        <v>1230</v>
      </c>
      <c r="B2990" t="s">
        <v>76</v>
      </c>
      <c r="C2990" t="s">
        <v>55</v>
      </c>
      <c r="D2990" t="s">
        <v>920</v>
      </c>
      <c r="E2990" t="s">
        <v>5817</v>
      </c>
      <c r="F2990" s="121">
        <v>89.4</v>
      </c>
      <c r="G2990" s="121">
        <v>89.4</v>
      </c>
      <c r="H2990" t="s">
        <v>875</v>
      </c>
      <c r="I2990" s="156">
        <v>42233.448738425926</v>
      </c>
      <c r="K2990" s="153"/>
      <c r="L2990" s="153"/>
      <c r="M2990" s="153"/>
      <c r="N2990" s="153"/>
      <c r="O2990" s="153"/>
      <c r="P2990" s="152"/>
      <c r="Q2990" s="152"/>
      <c r="R2990" s="153"/>
      <c r="S2990" s="154"/>
      <c r="T2990" s="153"/>
    </row>
    <row r="2991" spans="1:20">
      <c r="A2991" t="s">
        <v>1230</v>
      </c>
      <c r="B2991" t="s">
        <v>76</v>
      </c>
      <c r="C2991" t="s">
        <v>55</v>
      </c>
      <c r="D2991" t="s">
        <v>5818</v>
      </c>
      <c r="E2991" t="s">
        <v>5819</v>
      </c>
      <c r="F2991" s="121">
        <v>195.47</v>
      </c>
      <c r="G2991" s="121">
        <v>195.47</v>
      </c>
      <c r="H2991" t="s">
        <v>875</v>
      </c>
      <c r="I2991" s="156">
        <v>42233.448738425926</v>
      </c>
      <c r="K2991" s="153"/>
      <c r="L2991" s="153"/>
      <c r="M2991" s="153"/>
      <c r="N2991" s="153"/>
      <c r="O2991" s="153"/>
      <c r="P2991" s="152"/>
      <c r="Q2991" s="152"/>
      <c r="R2991" s="153"/>
      <c r="S2991" s="154"/>
      <c r="T2991" s="153"/>
    </row>
    <row r="2992" spans="1:20">
      <c r="A2992" t="s">
        <v>1230</v>
      </c>
      <c r="B2992" t="s">
        <v>76</v>
      </c>
      <c r="C2992" t="s">
        <v>55</v>
      </c>
      <c r="D2992" t="s">
        <v>5818</v>
      </c>
      <c r="E2992" t="s">
        <v>5820</v>
      </c>
      <c r="F2992" s="121">
        <v>195.47</v>
      </c>
      <c r="G2992" s="121">
        <v>195.47</v>
      </c>
      <c r="H2992" t="s">
        <v>875</v>
      </c>
      <c r="I2992" s="156">
        <v>42233.448738425926</v>
      </c>
      <c r="K2992" s="153"/>
      <c r="L2992" s="153"/>
      <c r="M2992" s="153"/>
      <c r="N2992" s="153"/>
      <c r="O2992" s="153"/>
      <c r="P2992" s="152"/>
      <c r="Q2992" s="152"/>
      <c r="R2992" s="153"/>
      <c r="S2992" s="154"/>
      <c r="T2992" s="153"/>
    </row>
    <row r="2993" spans="1:20">
      <c r="A2993" t="s">
        <v>1230</v>
      </c>
      <c r="B2993" t="s">
        <v>76</v>
      </c>
      <c r="C2993" t="s">
        <v>55</v>
      </c>
      <c r="D2993" t="s">
        <v>5818</v>
      </c>
      <c r="E2993" t="s">
        <v>5821</v>
      </c>
      <c r="F2993" s="121">
        <v>195.46</v>
      </c>
      <c r="G2993" s="121">
        <v>195.46</v>
      </c>
      <c r="H2993" t="s">
        <v>5822</v>
      </c>
      <c r="I2993" s="156">
        <v>42233.448738425926</v>
      </c>
      <c r="K2993" s="153"/>
      <c r="L2993" s="153"/>
      <c r="M2993" s="153"/>
      <c r="N2993" s="153"/>
      <c r="O2993" s="153"/>
      <c r="P2993" s="150"/>
      <c r="Q2993" s="150"/>
      <c r="R2993" s="153"/>
      <c r="S2993" s="154"/>
      <c r="T2993" s="153"/>
    </row>
    <row r="2994" spans="1:20">
      <c r="A2994" t="s">
        <v>1230</v>
      </c>
      <c r="B2994" t="s">
        <v>71</v>
      </c>
      <c r="C2994" t="s">
        <v>43</v>
      </c>
      <c r="D2994" t="s">
        <v>5393</v>
      </c>
      <c r="E2994" t="s">
        <v>5823</v>
      </c>
      <c r="F2994" s="121">
        <v>2643.02</v>
      </c>
      <c r="G2994" s="121">
        <v>2643.02</v>
      </c>
      <c r="H2994" t="s">
        <v>460</v>
      </c>
      <c r="I2994" s="156">
        <v>42261.42491898148</v>
      </c>
      <c r="K2994" s="153"/>
      <c r="L2994" s="153"/>
      <c r="M2994" s="153"/>
      <c r="N2994" s="153"/>
      <c r="O2994" s="153"/>
      <c r="P2994" s="152"/>
      <c r="Q2994" s="152"/>
      <c r="R2994" s="153"/>
      <c r="S2994" s="154"/>
      <c r="T2994" s="153"/>
    </row>
    <row r="2995" spans="1:20">
      <c r="A2995" t="s">
        <v>1230</v>
      </c>
      <c r="B2995" t="s">
        <v>72</v>
      </c>
      <c r="C2995" t="s">
        <v>43</v>
      </c>
      <c r="D2995" t="s">
        <v>5824</v>
      </c>
      <c r="E2995" t="s">
        <v>5825</v>
      </c>
      <c r="F2995" s="121">
        <v>10673.36</v>
      </c>
      <c r="G2995" s="121">
        <v>10673.36</v>
      </c>
      <c r="H2995" t="s">
        <v>517</v>
      </c>
      <c r="I2995" s="156">
        <v>42264.328703703701</v>
      </c>
      <c r="K2995" s="153"/>
      <c r="L2995" s="153"/>
      <c r="M2995" s="153"/>
      <c r="N2995" s="153"/>
      <c r="O2995" s="153"/>
      <c r="P2995" s="152"/>
      <c r="Q2995" s="152"/>
      <c r="R2995" s="153"/>
      <c r="S2995" s="154"/>
      <c r="T2995" s="153"/>
    </row>
    <row r="2996" spans="1:20">
      <c r="A2996" t="s">
        <v>1230</v>
      </c>
      <c r="B2996" t="s">
        <v>72</v>
      </c>
      <c r="C2996" t="s">
        <v>43</v>
      </c>
      <c r="D2996" t="s">
        <v>5826</v>
      </c>
      <c r="E2996" t="s">
        <v>5827</v>
      </c>
      <c r="F2996" s="121">
        <v>1650.45</v>
      </c>
      <c r="G2996" s="121">
        <v>1650.45</v>
      </c>
      <c r="H2996" t="s">
        <v>517</v>
      </c>
      <c r="I2996" s="156">
        <v>42264.328703703701</v>
      </c>
      <c r="K2996" s="153"/>
      <c r="L2996" s="153"/>
      <c r="M2996" s="153"/>
      <c r="N2996" s="153"/>
      <c r="O2996" s="153"/>
      <c r="P2996" s="152"/>
      <c r="Q2996" s="152"/>
      <c r="R2996" s="153"/>
      <c r="S2996" s="154"/>
      <c r="T2996" s="153"/>
    </row>
    <row r="2997" spans="1:20">
      <c r="A2997" t="s">
        <v>1230</v>
      </c>
      <c r="B2997" t="s">
        <v>74</v>
      </c>
      <c r="C2997" t="s">
        <v>43</v>
      </c>
      <c r="D2997" t="s">
        <v>801</v>
      </c>
      <c r="E2997" t="s">
        <v>5828</v>
      </c>
      <c r="F2997" s="121">
        <v>900</v>
      </c>
      <c r="G2997" s="121">
        <v>900</v>
      </c>
      <c r="H2997" t="s">
        <v>5798</v>
      </c>
      <c r="I2997" s="156">
        <v>42263.329884259256</v>
      </c>
      <c r="K2997" s="153"/>
      <c r="L2997" s="153"/>
      <c r="M2997" s="153"/>
      <c r="N2997" s="153"/>
      <c r="O2997" s="153"/>
      <c r="P2997" s="152"/>
      <c r="Q2997" s="152"/>
      <c r="R2997" s="153"/>
      <c r="S2997" s="154"/>
      <c r="T2997" s="153"/>
    </row>
    <row r="2998" spans="1:20">
      <c r="A2998" t="s">
        <v>1230</v>
      </c>
      <c r="B2998" t="s">
        <v>72</v>
      </c>
      <c r="C2998" t="s">
        <v>55</v>
      </c>
      <c r="D2998" t="s">
        <v>961</v>
      </c>
      <c r="E2998" t="s">
        <v>5829</v>
      </c>
      <c r="F2998" s="121">
        <v>2299</v>
      </c>
      <c r="G2998" s="121">
        <v>2299</v>
      </c>
      <c r="H2998" t="s">
        <v>5830</v>
      </c>
      <c r="I2998" s="156">
        <v>42268.587337962963</v>
      </c>
      <c r="K2998" s="153"/>
      <c r="L2998" s="153"/>
      <c r="M2998" s="153"/>
      <c r="N2998" s="153"/>
      <c r="O2998" s="153"/>
      <c r="P2998" s="152"/>
      <c r="Q2998" s="152"/>
      <c r="R2998" s="153"/>
      <c r="S2998" s="154"/>
      <c r="T2998" s="153"/>
    </row>
    <row r="2999" spans="1:20">
      <c r="A2999" t="s">
        <v>1230</v>
      </c>
      <c r="B2999" t="s">
        <v>72</v>
      </c>
      <c r="C2999" t="s">
        <v>55</v>
      </c>
      <c r="D2999" t="s">
        <v>910</v>
      </c>
      <c r="E2999" t="s">
        <v>5831</v>
      </c>
      <c r="F2999" s="121">
        <v>1200</v>
      </c>
      <c r="G2999" s="121">
        <v>1200</v>
      </c>
      <c r="H2999" t="s">
        <v>396</v>
      </c>
      <c r="I2999" s="156">
        <v>42261.442719907405</v>
      </c>
      <c r="K2999" s="153"/>
      <c r="L2999" s="153"/>
      <c r="M2999" s="153"/>
      <c r="N2999" s="153"/>
      <c r="O2999" s="153"/>
      <c r="P2999" s="152"/>
      <c r="Q2999" s="152"/>
      <c r="R2999" s="153"/>
      <c r="S2999" s="154"/>
      <c r="T2999" s="153"/>
    </row>
    <row r="3000" spans="1:20">
      <c r="A3000" t="s">
        <v>1230</v>
      </c>
      <c r="B3000" t="s">
        <v>74</v>
      </c>
      <c r="C3000" t="s">
        <v>43</v>
      </c>
      <c r="D3000" t="s">
        <v>5832</v>
      </c>
      <c r="E3000" t="s">
        <v>5833</v>
      </c>
      <c r="F3000" s="121">
        <v>701.1</v>
      </c>
      <c r="G3000" s="121">
        <v>701.1</v>
      </c>
      <c r="H3000" t="s">
        <v>519</v>
      </c>
      <c r="I3000" s="156">
        <v>42250.660486111112</v>
      </c>
      <c r="K3000" s="153"/>
      <c r="L3000" s="153"/>
      <c r="M3000" s="153"/>
      <c r="N3000" s="153"/>
      <c r="O3000" s="153"/>
      <c r="P3000" s="152"/>
      <c r="Q3000" s="152"/>
      <c r="R3000" s="153"/>
      <c r="S3000" s="154"/>
      <c r="T3000" s="155"/>
    </row>
    <row r="3001" spans="1:20">
      <c r="A3001" t="s">
        <v>1230</v>
      </c>
      <c r="B3001" t="s">
        <v>74</v>
      </c>
      <c r="C3001" t="s">
        <v>43</v>
      </c>
      <c r="D3001" t="s">
        <v>802</v>
      </c>
      <c r="E3001" t="s">
        <v>5834</v>
      </c>
      <c r="F3001" s="121">
        <v>551.70000000000005</v>
      </c>
      <c r="G3001" s="121">
        <v>551.70000000000005</v>
      </c>
      <c r="H3001" t="s">
        <v>5798</v>
      </c>
      <c r="I3001" s="156">
        <v>42243.56585648148</v>
      </c>
      <c r="K3001" s="153"/>
      <c r="L3001" s="153"/>
      <c r="M3001" s="153"/>
      <c r="N3001" s="153"/>
      <c r="O3001" s="153"/>
      <c r="P3001" s="152"/>
      <c r="Q3001" s="152"/>
      <c r="R3001" s="153"/>
      <c r="S3001" s="154"/>
      <c r="T3001" s="153"/>
    </row>
    <row r="3002" spans="1:20">
      <c r="A3002" t="s">
        <v>1230</v>
      </c>
      <c r="B3002" t="s">
        <v>970</v>
      </c>
      <c r="C3002" t="s">
        <v>55</v>
      </c>
      <c r="D3002" t="s">
        <v>5802</v>
      </c>
      <c r="E3002" t="s">
        <v>5835</v>
      </c>
      <c r="F3002" s="121">
        <v>1271.32</v>
      </c>
      <c r="G3002" s="121">
        <v>1271.32</v>
      </c>
      <c r="H3002" t="s">
        <v>1181</v>
      </c>
      <c r="I3002" s="156">
        <v>42233.467604166668</v>
      </c>
      <c r="K3002" s="153"/>
      <c r="L3002" s="153"/>
      <c r="M3002" s="153"/>
      <c r="N3002" s="153"/>
      <c r="O3002" s="153"/>
      <c r="P3002" s="152"/>
      <c r="Q3002" s="152"/>
      <c r="R3002" s="153"/>
      <c r="S3002" s="154"/>
      <c r="T3002" s="155"/>
    </row>
    <row r="3003" spans="1:20">
      <c r="A3003" t="s">
        <v>1230</v>
      </c>
      <c r="B3003" t="s">
        <v>76</v>
      </c>
      <c r="C3003" t="s">
        <v>55</v>
      </c>
      <c r="D3003" t="s">
        <v>5988</v>
      </c>
      <c r="E3003" t="s">
        <v>5989</v>
      </c>
      <c r="F3003" s="121">
        <v>450</v>
      </c>
      <c r="G3003" s="121">
        <v>450</v>
      </c>
      <c r="H3003" t="s">
        <v>875</v>
      </c>
      <c r="I3003" s="156">
        <v>42306.453993055555</v>
      </c>
      <c r="K3003" s="153"/>
      <c r="L3003" s="153"/>
      <c r="M3003" s="153"/>
      <c r="N3003" s="153"/>
      <c r="O3003" s="153"/>
      <c r="P3003" s="152"/>
      <c r="Q3003" s="152"/>
      <c r="R3003" s="153"/>
      <c r="S3003" s="154"/>
      <c r="T3003" s="155"/>
    </row>
    <row r="3004" spans="1:20">
      <c r="A3004" t="s">
        <v>1230</v>
      </c>
      <c r="B3004" t="s">
        <v>73</v>
      </c>
      <c r="C3004" t="s">
        <v>43</v>
      </c>
      <c r="D3004" t="s">
        <v>5805</v>
      </c>
      <c r="E3004" t="s">
        <v>5990</v>
      </c>
      <c r="F3004" s="121">
        <v>2543.5100000000002</v>
      </c>
      <c r="G3004" s="121">
        <v>2543.5100000000002</v>
      </c>
      <c r="H3004" t="s">
        <v>5991</v>
      </c>
      <c r="I3004" s="156">
        <v>42293.707280092596</v>
      </c>
      <c r="K3004" s="153"/>
      <c r="L3004" s="153"/>
      <c r="M3004" s="153"/>
      <c r="N3004" s="153"/>
      <c r="O3004" s="153"/>
      <c r="P3004" s="152"/>
      <c r="Q3004" s="152"/>
      <c r="R3004" s="153"/>
      <c r="S3004" s="154"/>
      <c r="T3004" s="153"/>
    </row>
    <row r="3005" spans="1:20">
      <c r="A3005" t="s">
        <v>1230</v>
      </c>
      <c r="B3005" t="s">
        <v>73</v>
      </c>
      <c r="C3005" t="s">
        <v>43</v>
      </c>
      <c r="D3005" t="s">
        <v>5992</v>
      </c>
      <c r="E3005" t="s">
        <v>5993</v>
      </c>
      <c r="F3005" s="121">
        <v>362.79</v>
      </c>
      <c r="G3005" s="121">
        <v>362.79</v>
      </c>
      <c r="H3005" t="s">
        <v>5994</v>
      </c>
      <c r="I3005" s="156">
        <v>42293.707280092596</v>
      </c>
      <c r="K3005" s="153"/>
      <c r="L3005" s="153"/>
      <c r="M3005" s="153"/>
      <c r="N3005" s="153"/>
      <c r="O3005" s="153"/>
      <c r="P3005" s="152"/>
      <c r="Q3005" s="152"/>
      <c r="R3005" s="153"/>
      <c r="S3005" s="154"/>
      <c r="T3005" s="153"/>
    </row>
    <row r="3006" spans="1:20">
      <c r="A3006" t="s">
        <v>1230</v>
      </c>
      <c r="B3006" t="s">
        <v>76</v>
      </c>
      <c r="C3006" t="s">
        <v>43</v>
      </c>
      <c r="D3006" t="s">
        <v>5995</v>
      </c>
      <c r="E3006" t="s">
        <v>5996</v>
      </c>
      <c r="F3006" s="121">
        <v>394.5</v>
      </c>
      <c r="G3006" s="121">
        <v>394.5</v>
      </c>
      <c r="H3006" t="s">
        <v>875</v>
      </c>
      <c r="I3006" s="156">
        <v>42325</v>
      </c>
      <c r="K3006" s="153"/>
      <c r="L3006" s="153"/>
      <c r="M3006" s="153"/>
      <c r="N3006" s="153"/>
      <c r="O3006" s="153"/>
      <c r="P3006" s="152"/>
      <c r="Q3006" s="152"/>
      <c r="R3006" s="153"/>
      <c r="S3006" s="154"/>
      <c r="T3006" s="153"/>
    </row>
    <row r="3007" spans="1:20">
      <c r="A3007" t="s">
        <v>1230</v>
      </c>
      <c r="B3007" t="s">
        <v>76</v>
      </c>
      <c r="C3007" t="s">
        <v>43</v>
      </c>
      <c r="D3007" t="s">
        <v>5997</v>
      </c>
      <c r="E3007" t="s">
        <v>5998</v>
      </c>
      <c r="F3007" s="121">
        <v>1600</v>
      </c>
      <c r="G3007" s="121">
        <v>1600</v>
      </c>
      <c r="H3007" t="s">
        <v>875</v>
      </c>
      <c r="I3007" s="156">
        <v>42325</v>
      </c>
      <c r="K3007" s="153"/>
      <c r="L3007" s="153"/>
      <c r="M3007" s="153"/>
      <c r="N3007" s="153"/>
      <c r="O3007" s="153"/>
      <c r="P3007" s="150"/>
      <c r="Q3007" s="150"/>
      <c r="R3007" s="153"/>
      <c r="S3007" s="154"/>
      <c r="T3007" s="153"/>
    </row>
    <row r="3008" spans="1:20">
      <c r="A3008" t="s">
        <v>1230</v>
      </c>
      <c r="B3008" t="s">
        <v>72</v>
      </c>
      <c r="C3008" t="s">
        <v>53</v>
      </c>
      <c r="D3008" t="s">
        <v>958</v>
      </c>
      <c r="E3008" t="s">
        <v>6860</v>
      </c>
      <c r="F3008" s="121">
        <v>2379</v>
      </c>
      <c r="G3008" s="121">
        <v>2379</v>
      </c>
      <c r="H3008" t="s">
        <v>804</v>
      </c>
      <c r="I3008" s="156">
        <v>42324.588321759256</v>
      </c>
      <c r="K3008" s="153"/>
      <c r="L3008" s="153"/>
      <c r="M3008" s="153"/>
      <c r="N3008" s="153"/>
      <c r="O3008" s="153"/>
      <c r="P3008" s="150"/>
      <c r="Q3008" s="150"/>
      <c r="R3008" s="153"/>
      <c r="S3008" s="154"/>
      <c r="T3008" s="153"/>
    </row>
    <row r="3009" spans="1:20">
      <c r="A3009" t="s">
        <v>1230</v>
      </c>
      <c r="B3009" t="s">
        <v>76</v>
      </c>
      <c r="C3009" t="s">
        <v>55</v>
      </c>
      <c r="D3009" t="s">
        <v>6861</v>
      </c>
      <c r="E3009" t="s">
        <v>6862</v>
      </c>
      <c r="F3009" s="121">
        <v>615.22</v>
      </c>
      <c r="G3009" s="121">
        <v>615.22</v>
      </c>
      <c r="H3009" t="s">
        <v>4491</v>
      </c>
      <c r="I3009" s="156">
        <v>42319.650914351849</v>
      </c>
      <c r="K3009" s="153"/>
      <c r="L3009" s="153"/>
      <c r="M3009" s="153"/>
      <c r="N3009" s="153"/>
      <c r="O3009" s="153"/>
      <c r="P3009" s="150"/>
      <c r="Q3009" s="150"/>
      <c r="R3009" s="153"/>
      <c r="S3009" s="154"/>
      <c r="T3009" s="153"/>
    </row>
    <row r="3010" spans="1:20">
      <c r="A3010" t="s">
        <v>1230</v>
      </c>
      <c r="B3010" t="s">
        <v>76</v>
      </c>
      <c r="C3010" t="s">
        <v>55</v>
      </c>
      <c r="D3010" t="s">
        <v>6863</v>
      </c>
      <c r="E3010" t="s">
        <v>6864</v>
      </c>
      <c r="F3010" s="121">
        <v>903.69</v>
      </c>
      <c r="G3010" s="121">
        <v>903.69</v>
      </c>
      <c r="H3010" t="s">
        <v>4491</v>
      </c>
      <c r="I3010" s="156">
        <v>42319.650914351849</v>
      </c>
      <c r="K3010" s="153"/>
      <c r="L3010" s="153"/>
      <c r="M3010" s="153"/>
      <c r="N3010" s="153"/>
      <c r="O3010" s="153"/>
      <c r="P3010" s="150"/>
      <c r="Q3010" s="150"/>
      <c r="R3010" s="153"/>
      <c r="S3010" s="154"/>
      <c r="T3010" s="153"/>
    </row>
    <row r="3011" spans="1:20">
      <c r="A3011" t="s">
        <v>1230</v>
      </c>
      <c r="B3011" t="s">
        <v>76</v>
      </c>
      <c r="C3011" t="s">
        <v>55</v>
      </c>
      <c r="D3011" t="s">
        <v>5406</v>
      </c>
      <c r="E3011" t="s">
        <v>6865</v>
      </c>
      <c r="F3011" s="121">
        <v>1807.09</v>
      </c>
      <c r="G3011" s="121">
        <v>1807.09</v>
      </c>
      <c r="H3011" t="s">
        <v>4491</v>
      </c>
      <c r="I3011" s="156">
        <v>42319.650914351849</v>
      </c>
      <c r="K3011" s="153"/>
      <c r="L3011" s="153"/>
      <c r="M3011" s="153"/>
      <c r="N3011" s="153"/>
      <c r="O3011" s="153"/>
      <c r="P3011" s="150"/>
      <c r="Q3011" s="150"/>
      <c r="R3011" s="153"/>
      <c r="S3011" s="154"/>
      <c r="T3011" s="153"/>
    </row>
    <row r="3012" spans="1:20">
      <c r="A3012" t="s">
        <v>1230</v>
      </c>
      <c r="B3012" t="s">
        <v>72</v>
      </c>
      <c r="C3012" t="s">
        <v>53</v>
      </c>
      <c r="D3012" t="s">
        <v>964</v>
      </c>
      <c r="E3012" t="s">
        <v>6866</v>
      </c>
      <c r="F3012" s="121">
        <v>3036</v>
      </c>
      <c r="G3012" s="121">
        <v>3036</v>
      </c>
      <c r="H3012" t="s">
        <v>804</v>
      </c>
      <c r="I3012" s="156">
        <v>42342.430196759262</v>
      </c>
      <c r="K3012" s="153"/>
      <c r="L3012" s="153"/>
      <c r="M3012" s="153"/>
      <c r="N3012" s="153"/>
      <c r="O3012" s="153"/>
      <c r="P3012" s="150"/>
      <c r="Q3012" s="150"/>
      <c r="R3012" s="153"/>
      <c r="S3012" s="154"/>
      <c r="T3012" s="153"/>
    </row>
    <row r="3013" spans="1:20">
      <c r="A3013" t="s">
        <v>1230</v>
      </c>
      <c r="B3013" t="s">
        <v>74</v>
      </c>
      <c r="C3013" t="s">
        <v>43</v>
      </c>
      <c r="D3013" t="s">
        <v>1397</v>
      </c>
      <c r="E3013" t="s">
        <v>6867</v>
      </c>
      <c r="F3013" s="121">
        <v>950</v>
      </c>
      <c r="G3013" s="121">
        <v>950</v>
      </c>
      <c r="H3013" t="s">
        <v>6868</v>
      </c>
      <c r="I3013" s="156">
        <v>42342.406597222223</v>
      </c>
      <c r="K3013" s="153"/>
      <c r="L3013" s="153"/>
      <c r="M3013" s="153"/>
      <c r="N3013" s="153"/>
      <c r="O3013" s="153"/>
      <c r="P3013" s="150"/>
      <c r="Q3013" s="150"/>
      <c r="R3013" s="153"/>
      <c r="S3013" s="154"/>
      <c r="T3013" s="153"/>
    </row>
    <row r="3014" spans="1:20">
      <c r="A3014" t="s">
        <v>4823</v>
      </c>
      <c r="B3014" t="s">
        <v>5741</v>
      </c>
      <c r="C3014" t="s">
        <v>43</v>
      </c>
      <c r="D3014" t="s">
        <v>1397</v>
      </c>
      <c r="E3014" t="s">
        <v>6869</v>
      </c>
      <c r="F3014" s="121">
        <v>950</v>
      </c>
      <c r="G3014" s="121">
        <v>950</v>
      </c>
      <c r="H3014" t="s">
        <v>6870</v>
      </c>
      <c r="I3014" s="156">
        <v>42342.416412037041</v>
      </c>
      <c r="K3014" s="153"/>
      <c r="L3014" s="153"/>
      <c r="M3014" s="153"/>
      <c r="N3014" s="153"/>
      <c r="O3014" s="153"/>
      <c r="P3014" s="150"/>
      <c r="Q3014" s="150"/>
      <c r="R3014" s="153"/>
      <c r="S3014" s="154"/>
      <c r="T3014" s="153"/>
    </row>
    <row r="3015" spans="1:20">
      <c r="A3015" t="s">
        <v>1230</v>
      </c>
      <c r="B3015" t="s">
        <v>73</v>
      </c>
      <c r="C3015" t="s">
        <v>43</v>
      </c>
      <c r="D3015" t="s">
        <v>5393</v>
      </c>
      <c r="E3015" t="s">
        <v>6871</v>
      </c>
      <c r="F3015" s="121">
        <v>2675.28</v>
      </c>
      <c r="G3015" s="121">
        <v>2675.28</v>
      </c>
      <c r="H3015" t="s">
        <v>6872</v>
      </c>
      <c r="I3015" s="156">
        <v>42376.394537037035</v>
      </c>
      <c r="K3015" s="153"/>
      <c r="L3015" s="153"/>
      <c r="M3015" s="153"/>
      <c r="N3015" s="153"/>
      <c r="O3015" s="153"/>
      <c r="P3015" s="152"/>
      <c r="Q3015" s="152"/>
      <c r="R3015" s="153"/>
      <c r="S3015" s="154"/>
      <c r="T3015" s="153"/>
    </row>
    <row r="3016" spans="1:20">
      <c r="A3016" t="s">
        <v>1230</v>
      </c>
      <c r="B3016" t="s">
        <v>73</v>
      </c>
      <c r="C3016" t="s">
        <v>43</v>
      </c>
      <c r="D3016" t="s">
        <v>5393</v>
      </c>
      <c r="E3016" t="s">
        <v>6873</v>
      </c>
      <c r="F3016" s="121">
        <v>2675.28</v>
      </c>
      <c r="G3016" s="121">
        <v>2675.28</v>
      </c>
      <c r="H3016" t="s">
        <v>6874</v>
      </c>
      <c r="I3016" s="156">
        <v>42376.394537037035</v>
      </c>
      <c r="K3016" s="153"/>
      <c r="L3016" s="153"/>
      <c r="M3016" s="153"/>
      <c r="N3016" s="153"/>
      <c r="O3016" s="153"/>
      <c r="P3016" s="150"/>
      <c r="Q3016" s="150"/>
      <c r="R3016" s="153"/>
      <c r="S3016" s="154"/>
      <c r="T3016" s="153"/>
    </row>
    <row r="3017" spans="1:20">
      <c r="A3017" t="s">
        <v>1230</v>
      </c>
      <c r="B3017" t="s">
        <v>73</v>
      </c>
      <c r="C3017" t="s">
        <v>43</v>
      </c>
      <c r="D3017" t="s">
        <v>5393</v>
      </c>
      <c r="E3017" t="s">
        <v>6875</v>
      </c>
      <c r="F3017" s="121">
        <v>4311.55</v>
      </c>
      <c r="G3017" s="121">
        <v>4311.55</v>
      </c>
      <c r="H3017" t="s">
        <v>6859</v>
      </c>
      <c r="I3017" s="156">
        <v>42376.438831018517</v>
      </c>
      <c r="K3017" s="153"/>
      <c r="L3017" s="153"/>
      <c r="M3017" s="153"/>
      <c r="N3017" s="153"/>
      <c r="O3017" s="153"/>
      <c r="P3017" s="152"/>
      <c r="Q3017" s="152"/>
      <c r="R3017" s="153"/>
      <c r="S3017" s="154"/>
      <c r="T3017" s="153"/>
    </row>
    <row r="3018" spans="1:20">
      <c r="A3018" t="s">
        <v>4823</v>
      </c>
      <c r="B3018" t="s">
        <v>5736</v>
      </c>
      <c r="C3018" t="s">
        <v>55</v>
      </c>
      <c r="D3018" t="s">
        <v>461</v>
      </c>
      <c r="E3018" t="s">
        <v>6876</v>
      </c>
      <c r="F3018" s="121">
        <v>1754</v>
      </c>
      <c r="G3018" s="121">
        <v>1754</v>
      </c>
      <c r="H3018" t="s">
        <v>6877</v>
      </c>
      <c r="I3018" s="156">
        <v>42374.642905092594</v>
      </c>
      <c r="K3018" s="153"/>
      <c r="L3018" s="153"/>
      <c r="M3018" s="153"/>
      <c r="N3018" s="153"/>
      <c r="O3018" s="153"/>
      <c r="P3018" s="150"/>
      <c r="Q3018" s="150"/>
      <c r="R3018" s="153"/>
      <c r="S3018" s="154"/>
      <c r="T3018" s="153"/>
    </row>
    <row r="3019" spans="1:20">
      <c r="A3019" t="s">
        <v>1230</v>
      </c>
      <c r="B3019" t="s">
        <v>72</v>
      </c>
      <c r="C3019" t="s">
        <v>43</v>
      </c>
      <c r="D3019" t="s">
        <v>6878</v>
      </c>
      <c r="E3019" t="s">
        <v>6879</v>
      </c>
      <c r="F3019" s="121">
        <v>4218</v>
      </c>
      <c r="G3019" s="121">
        <v>4218</v>
      </c>
      <c r="H3019" t="s">
        <v>517</v>
      </c>
      <c r="I3019" s="156">
        <v>42375.63957175926</v>
      </c>
      <c r="K3019" s="153"/>
      <c r="L3019" s="153"/>
      <c r="M3019" s="153"/>
      <c r="N3019" s="153"/>
      <c r="O3019" s="153"/>
      <c r="P3019" s="150"/>
      <c r="Q3019" s="150"/>
      <c r="R3019" s="153"/>
      <c r="S3019" s="154"/>
      <c r="T3019" s="153"/>
    </row>
    <row r="3020" spans="1:20">
      <c r="A3020" t="s">
        <v>1230</v>
      </c>
      <c r="B3020" t="s">
        <v>73</v>
      </c>
      <c r="C3020" t="s">
        <v>43</v>
      </c>
      <c r="D3020" t="s">
        <v>5805</v>
      </c>
      <c r="E3020" t="s">
        <v>6880</v>
      </c>
      <c r="F3020" s="121">
        <v>2909.75</v>
      </c>
      <c r="G3020" s="121">
        <v>2909.75</v>
      </c>
      <c r="H3020" t="s">
        <v>6881</v>
      </c>
      <c r="I3020" s="156">
        <v>42376.377511574072</v>
      </c>
      <c r="K3020" s="153"/>
      <c r="L3020" s="153"/>
      <c r="M3020" s="153"/>
      <c r="N3020" s="153"/>
      <c r="O3020" s="153"/>
      <c r="P3020" s="150"/>
      <c r="Q3020" s="150"/>
      <c r="R3020" s="153"/>
      <c r="S3020" s="154"/>
      <c r="T3020" s="153"/>
    </row>
    <row r="3021" spans="1:20">
      <c r="A3021" t="s">
        <v>1230</v>
      </c>
      <c r="B3021" t="s">
        <v>73</v>
      </c>
      <c r="C3021" t="s">
        <v>55</v>
      </c>
      <c r="D3021" t="s">
        <v>6882</v>
      </c>
      <c r="E3021" t="s">
        <v>6883</v>
      </c>
      <c r="F3021" s="121">
        <v>2100</v>
      </c>
      <c r="G3021" s="121">
        <v>2100</v>
      </c>
      <c r="H3021" t="s">
        <v>458</v>
      </c>
      <c r="I3021" s="156">
        <v>42394.642048611109</v>
      </c>
      <c r="K3021" s="153"/>
      <c r="L3021" s="153"/>
      <c r="M3021" s="153"/>
      <c r="N3021" s="153"/>
      <c r="O3021" s="153"/>
      <c r="P3021" s="150"/>
      <c r="Q3021" s="150"/>
      <c r="R3021" s="153"/>
      <c r="S3021" s="154"/>
      <c r="T3021" s="153"/>
    </row>
    <row r="3022" spans="1:20">
      <c r="A3022" t="s">
        <v>1230</v>
      </c>
      <c r="B3022" t="s">
        <v>72</v>
      </c>
      <c r="C3022" t="s">
        <v>55</v>
      </c>
      <c r="D3022" t="s">
        <v>1141</v>
      </c>
      <c r="E3022" t="s">
        <v>6884</v>
      </c>
      <c r="F3022" s="121">
        <v>2100</v>
      </c>
      <c r="G3022" s="121">
        <v>2100</v>
      </c>
      <c r="H3022" t="s">
        <v>517</v>
      </c>
      <c r="I3022" s="156">
        <v>42396.716134259259</v>
      </c>
      <c r="K3022" s="153"/>
      <c r="L3022" s="153"/>
      <c r="M3022" s="153"/>
      <c r="N3022" s="153"/>
      <c r="O3022" s="153"/>
      <c r="P3022" s="150"/>
      <c r="Q3022" s="150"/>
      <c r="R3022" s="153"/>
      <c r="S3022" s="154"/>
      <c r="T3022" s="153"/>
    </row>
    <row r="3023" spans="1:20">
      <c r="A3023" t="s">
        <v>1230</v>
      </c>
      <c r="B3023" t="s">
        <v>72</v>
      </c>
      <c r="C3023" t="s">
        <v>51</v>
      </c>
      <c r="D3023" t="s">
        <v>6885</v>
      </c>
      <c r="E3023" t="s">
        <v>6886</v>
      </c>
      <c r="F3023" s="121">
        <v>4200</v>
      </c>
      <c r="G3023" s="121">
        <v>4200</v>
      </c>
      <c r="H3023" t="s">
        <v>6887</v>
      </c>
      <c r="I3023" s="156">
        <v>42381.477303240739</v>
      </c>
      <c r="K3023" s="153"/>
      <c r="L3023" s="153"/>
      <c r="M3023" s="153"/>
      <c r="N3023" s="153"/>
      <c r="O3023" s="153"/>
      <c r="P3023" s="150"/>
      <c r="Q3023" s="150"/>
      <c r="R3023" s="153"/>
      <c r="S3023" s="154"/>
      <c r="T3023" s="153"/>
    </row>
    <row r="3024" spans="1:20">
      <c r="A3024" t="s">
        <v>1230</v>
      </c>
      <c r="B3024" t="s">
        <v>74</v>
      </c>
      <c r="C3024" t="s">
        <v>43</v>
      </c>
      <c r="D3024" t="s">
        <v>6888</v>
      </c>
      <c r="E3024" t="s">
        <v>6889</v>
      </c>
      <c r="F3024" s="121">
        <v>459</v>
      </c>
      <c r="G3024" s="121">
        <v>459</v>
      </c>
      <c r="H3024" t="s">
        <v>917</v>
      </c>
      <c r="I3024" s="156">
        <v>42417.334710648145</v>
      </c>
      <c r="K3024" s="153"/>
      <c r="L3024" s="153"/>
      <c r="M3024" s="153"/>
      <c r="N3024" s="153"/>
      <c r="O3024" s="153"/>
      <c r="P3024" s="150"/>
      <c r="Q3024" s="150"/>
      <c r="R3024" s="153"/>
      <c r="S3024" s="154"/>
      <c r="T3024" s="153"/>
    </row>
    <row r="3025" spans="1:20">
      <c r="A3025" t="s">
        <v>1230</v>
      </c>
      <c r="B3025" t="s">
        <v>72</v>
      </c>
      <c r="C3025" t="s">
        <v>55</v>
      </c>
      <c r="D3025" t="s">
        <v>920</v>
      </c>
      <c r="E3025" t="s">
        <v>6890</v>
      </c>
      <c r="F3025" s="121">
        <v>180</v>
      </c>
      <c r="G3025" s="121">
        <v>180</v>
      </c>
      <c r="H3025" t="s">
        <v>633</v>
      </c>
      <c r="I3025" s="156">
        <v>42426.374641203707</v>
      </c>
      <c r="K3025" s="153"/>
      <c r="L3025" s="153"/>
      <c r="M3025" s="153"/>
      <c r="N3025" s="153"/>
      <c r="O3025" s="153"/>
      <c r="P3025" s="150"/>
      <c r="Q3025" s="150"/>
      <c r="R3025" s="153"/>
      <c r="S3025" s="154"/>
      <c r="T3025" s="153"/>
    </row>
    <row r="3026" spans="1:20">
      <c r="A3026" t="s">
        <v>1230</v>
      </c>
      <c r="B3026" t="s">
        <v>72</v>
      </c>
      <c r="C3026" t="s">
        <v>55</v>
      </c>
      <c r="D3026" t="s">
        <v>920</v>
      </c>
      <c r="E3026" t="s">
        <v>6891</v>
      </c>
      <c r="F3026" s="121">
        <v>180</v>
      </c>
      <c r="G3026" s="121">
        <v>180</v>
      </c>
      <c r="H3026" t="s">
        <v>633</v>
      </c>
      <c r="I3026" s="156">
        <v>42426.374641203707</v>
      </c>
      <c r="K3026" s="153"/>
      <c r="L3026" s="153"/>
      <c r="M3026" s="153"/>
      <c r="N3026" s="153"/>
      <c r="O3026" s="153"/>
      <c r="P3026" s="150"/>
      <c r="Q3026" s="150"/>
      <c r="R3026" s="153"/>
      <c r="S3026" s="154"/>
      <c r="T3026" s="153"/>
    </row>
    <row r="3027" spans="1:20">
      <c r="A3027" t="s">
        <v>1230</v>
      </c>
      <c r="B3027" t="s">
        <v>72</v>
      </c>
      <c r="C3027" t="s">
        <v>51</v>
      </c>
      <c r="D3027" t="s">
        <v>1051</v>
      </c>
      <c r="E3027" t="s">
        <v>6892</v>
      </c>
      <c r="F3027" s="121">
        <v>3177.75</v>
      </c>
      <c r="G3027" s="121">
        <v>3177.75</v>
      </c>
      <c r="H3027" t="s">
        <v>6893</v>
      </c>
      <c r="I3027" s="156">
        <v>42425.596886574072</v>
      </c>
      <c r="K3027" s="153"/>
      <c r="L3027" s="153"/>
      <c r="M3027" s="153"/>
      <c r="N3027" s="153"/>
      <c r="O3027" s="153"/>
      <c r="P3027" s="150"/>
      <c r="Q3027" s="150"/>
      <c r="R3027" s="153"/>
      <c r="S3027" s="154"/>
      <c r="T3027" s="153"/>
    </row>
    <row r="3028" spans="1:20">
      <c r="A3028" t="s">
        <v>1230</v>
      </c>
      <c r="B3028" t="s">
        <v>72</v>
      </c>
      <c r="C3028" t="s">
        <v>55</v>
      </c>
      <c r="D3028" t="s">
        <v>6894</v>
      </c>
      <c r="E3028" t="s">
        <v>6895</v>
      </c>
      <c r="F3028" s="121">
        <v>1700</v>
      </c>
      <c r="G3028" s="121">
        <v>1700</v>
      </c>
      <c r="H3028" t="s">
        <v>517</v>
      </c>
      <c r="I3028" s="156">
        <v>42426.382534722223</v>
      </c>
      <c r="K3028" s="153"/>
      <c r="L3028" s="153"/>
      <c r="M3028" s="153"/>
      <c r="N3028" s="153"/>
      <c r="O3028" s="153"/>
      <c r="P3028" s="150"/>
      <c r="Q3028" s="150"/>
      <c r="R3028" s="153"/>
      <c r="S3028" s="154"/>
      <c r="T3028" s="153"/>
    </row>
    <row r="3029" spans="1:20">
      <c r="A3029" t="s">
        <v>1230</v>
      </c>
      <c r="B3029" t="s">
        <v>72</v>
      </c>
      <c r="C3029" t="s">
        <v>55</v>
      </c>
      <c r="D3029" t="s">
        <v>779</v>
      </c>
      <c r="E3029" t="s">
        <v>6896</v>
      </c>
      <c r="F3029" s="121">
        <v>1250</v>
      </c>
      <c r="G3029" s="121">
        <v>1250</v>
      </c>
      <c r="H3029" t="s">
        <v>804</v>
      </c>
      <c r="I3029" s="156">
        <v>42426.428923611114</v>
      </c>
      <c r="K3029" s="153"/>
      <c r="L3029" s="153"/>
      <c r="M3029" s="153"/>
      <c r="N3029" s="153"/>
      <c r="O3029" s="153"/>
      <c r="P3029" s="150"/>
      <c r="Q3029" s="150"/>
      <c r="R3029" s="153"/>
      <c r="S3029" s="154"/>
      <c r="T3029" s="153"/>
    </row>
    <row r="3030" spans="1:20">
      <c r="A3030" t="s">
        <v>1230</v>
      </c>
      <c r="B3030" t="s">
        <v>73</v>
      </c>
      <c r="C3030" t="s">
        <v>55</v>
      </c>
      <c r="D3030" t="s">
        <v>910</v>
      </c>
      <c r="E3030" t="s">
        <v>6897</v>
      </c>
      <c r="F3030" s="121">
        <v>1345</v>
      </c>
      <c r="G3030" s="121">
        <v>1345</v>
      </c>
      <c r="H3030" t="s">
        <v>6898</v>
      </c>
      <c r="I3030" s="156">
        <v>42436.662499999999</v>
      </c>
      <c r="K3030" s="153"/>
      <c r="L3030" s="153"/>
      <c r="M3030" s="153"/>
      <c r="N3030" s="153"/>
      <c r="O3030" s="153"/>
      <c r="P3030" s="150"/>
      <c r="Q3030" s="150"/>
      <c r="R3030" s="153"/>
      <c r="S3030" s="154"/>
      <c r="T3030" s="153"/>
    </row>
    <row r="3031" spans="1:20">
      <c r="A3031" t="s">
        <v>1230</v>
      </c>
      <c r="B3031" t="s">
        <v>72</v>
      </c>
      <c r="C3031" t="s">
        <v>55</v>
      </c>
      <c r="D3031" t="s">
        <v>6899</v>
      </c>
      <c r="E3031" t="s">
        <v>6900</v>
      </c>
      <c r="F3031" s="121">
        <v>1079</v>
      </c>
      <c r="G3031" s="121">
        <v>1079</v>
      </c>
      <c r="H3031" t="s">
        <v>913</v>
      </c>
      <c r="I3031" s="156">
        <v>42443.5784375</v>
      </c>
      <c r="K3031" s="153"/>
      <c r="L3031" s="153"/>
      <c r="M3031" s="153"/>
      <c r="N3031" s="153"/>
      <c r="O3031" s="153"/>
      <c r="P3031" s="150"/>
      <c r="Q3031" s="150"/>
      <c r="R3031" s="153"/>
      <c r="S3031" s="154"/>
      <c r="T3031" s="153"/>
    </row>
    <row r="3032" spans="1:20">
      <c r="A3032" t="s">
        <v>1230</v>
      </c>
      <c r="B3032" t="s">
        <v>72</v>
      </c>
      <c r="C3032" t="s">
        <v>55</v>
      </c>
      <c r="D3032" t="s">
        <v>920</v>
      </c>
      <c r="E3032" t="s">
        <v>6901</v>
      </c>
      <c r="F3032" s="121">
        <v>158</v>
      </c>
      <c r="G3032" s="121">
        <v>158</v>
      </c>
      <c r="H3032" t="s">
        <v>633</v>
      </c>
      <c r="I3032" s="156">
        <v>42446.377581018518</v>
      </c>
      <c r="K3032" s="153"/>
      <c r="L3032" s="153"/>
      <c r="M3032" s="153"/>
      <c r="N3032" s="153"/>
      <c r="O3032" s="153"/>
      <c r="P3032" s="150"/>
      <c r="Q3032" s="150"/>
      <c r="R3032" s="153"/>
      <c r="S3032" s="154"/>
      <c r="T3032" s="153"/>
    </row>
    <row r="3033" spans="1:20">
      <c r="A3033" t="s">
        <v>1230</v>
      </c>
      <c r="B3033" t="s">
        <v>72</v>
      </c>
      <c r="C3033" t="s">
        <v>55</v>
      </c>
      <c r="D3033" t="s">
        <v>920</v>
      </c>
      <c r="E3033" t="s">
        <v>6902</v>
      </c>
      <c r="F3033" s="121">
        <v>158</v>
      </c>
      <c r="G3033" s="121">
        <v>158</v>
      </c>
      <c r="H3033" t="s">
        <v>633</v>
      </c>
      <c r="I3033" s="156">
        <v>42446.377581018518</v>
      </c>
      <c r="K3033" s="153"/>
      <c r="L3033" s="153"/>
      <c r="M3033" s="153"/>
      <c r="N3033" s="153"/>
      <c r="O3033" s="153"/>
      <c r="P3033" s="150"/>
      <c r="Q3033" s="150"/>
      <c r="R3033" s="153"/>
      <c r="S3033" s="154"/>
      <c r="T3033" s="153"/>
    </row>
    <row r="3034" spans="1:20">
      <c r="A3034" t="s">
        <v>1230</v>
      </c>
      <c r="B3034" t="s">
        <v>72</v>
      </c>
      <c r="C3034" t="s">
        <v>55</v>
      </c>
      <c r="D3034" t="s">
        <v>6903</v>
      </c>
      <c r="E3034" t="s">
        <v>6904</v>
      </c>
      <c r="F3034" s="121">
        <v>2250</v>
      </c>
      <c r="G3034" s="121">
        <v>2250</v>
      </c>
      <c r="H3034" t="s">
        <v>517</v>
      </c>
      <c r="I3034" s="156">
        <v>42446.362754629627</v>
      </c>
      <c r="K3034" s="153"/>
      <c r="L3034" s="153"/>
      <c r="M3034" s="153"/>
      <c r="N3034" s="153"/>
      <c r="O3034" s="153"/>
      <c r="P3034" s="152"/>
      <c r="Q3034" s="152"/>
      <c r="R3034" s="153"/>
      <c r="S3034" s="154"/>
      <c r="T3034" s="153"/>
    </row>
    <row r="3035" spans="1:20">
      <c r="A3035" t="s">
        <v>1230</v>
      </c>
      <c r="B3035" t="s">
        <v>73</v>
      </c>
      <c r="C3035" t="s">
        <v>53</v>
      </c>
      <c r="D3035" t="s">
        <v>6905</v>
      </c>
      <c r="E3035" t="s">
        <v>6906</v>
      </c>
      <c r="F3035" s="121">
        <v>1015</v>
      </c>
      <c r="G3035" s="121">
        <v>1015</v>
      </c>
      <c r="H3035" t="s">
        <v>1395</v>
      </c>
      <c r="I3035" s="156">
        <v>42460.59443287037</v>
      </c>
      <c r="K3035" s="153"/>
      <c r="L3035" s="153"/>
      <c r="M3035" s="153"/>
      <c r="N3035" s="153"/>
      <c r="O3035" s="153"/>
      <c r="P3035" s="152"/>
      <c r="Q3035" s="152"/>
      <c r="R3035" s="153"/>
      <c r="S3035" s="154"/>
      <c r="T3035" s="153"/>
    </row>
    <row r="3036" spans="1:20">
      <c r="A3036" t="s">
        <v>1230</v>
      </c>
      <c r="B3036" t="s">
        <v>73</v>
      </c>
      <c r="C3036" t="s">
        <v>54</v>
      </c>
      <c r="D3036" t="s">
        <v>6907</v>
      </c>
      <c r="E3036" t="s">
        <v>6908</v>
      </c>
      <c r="F3036" s="121">
        <v>622.14</v>
      </c>
      <c r="G3036" s="121">
        <v>622.14</v>
      </c>
      <c r="H3036" t="s">
        <v>519</v>
      </c>
      <c r="I3036" s="156">
        <v>42460.482488425929</v>
      </c>
      <c r="K3036" s="153"/>
      <c r="L3036" s="153"/>
      <c r="M3036" s="153"/>
      <c r="N3036" s="153"/>
      <c r="O3036" s="153"/>
      <c r="P3036" s="152"/>
      <c r="Q3036" s="152"/>
      <c r="R3036" s="153"/>
      <c r="S3036" s="154"/>
      <c r="T3036" s="153"/>
    </row>
    <row r="3037" spans="1:20">
      <c r="A3037" t="s">
        <v>1230</v>
      </c>
      <c r="B3037" t="s">
        <v>73</v>
      </c>
      <c r="C3037" t="s">
        <v>55</v>
      </c>
      <c r="D3037" t="s">
        <v>910</v>
      </c>
      <c r="E3037" t="s">
        <v>6909</v>
      </c>
      <c r="F3037" s="121">
        <v>1299</v>
      </c>
      <c r="G3037" s="121">
        <v>1299</v>
      </c>
      <c r="H3037" t="s">
        <v>460</v>
      </c>
      <c r="I3037" s="156">
        <v>42460.48541666667</v>
      </c>
      <c r="K3037" s="153"/>
      <c r="L3037" s="153"/>
      <c r="M3037" s="153"/>
      <c r="N3037" s="153"/>
      <c r="O3037" s="153"/>
      <c r="P3037" s="152"/>
      <c r="Q3037" s="152"/>
      <c r="R3037" s="153"/>
      <c r="S3037" s="154"/>
      <c r="T3037" s="153"/>
    </row>
    <row r="3038" spans="1:20">
      <c r="A3038" t="s">
        <v>1230</v>
      </c>
      <c r="B3038" t="s">
        <v>73</v>
      </c>
      <c r="C3038" t="s">
        <v>55</v>
      </c>
      <c r="D3038" t="s">
        <v>910</v>
      </c>
      <c r="E3038" t="s">
        <v>6910</v>
      </c>
      <c r="F3038" s="121">
        <v>1299</v>
      </c>
      <c r="G3038" s="121">
        <v>1299</v>
      </c>
      <c r="H3038" t="s">
        <v>460</v>
      </c>
      <c r="I3038" s="156">
        <v>42460.48541666667</v>
      </c>
      <c r="K3038" s="153"/>
      <c r="L3038" s="153"/>
      <c r="M3038" s="153"/>
      <c r="N3038" s="153"/>
      <c r="O3038" s="153"/>
      <c r="P3038" s="152"/>
      <c r="Q3038" s="152"/>
      <c r="R3038" s="153"/>
      <c r="S3038" s="154"/>
      <c r="T3038" s="115"/>
    </row>
    <row r="3039" spans="1:20">
      <c r="A3039" t="s">
        <v>5046</v>
      </c>
      <c r="B3039" t="s">
        <v>71</v>
      </c>
      <c r="C3039" t="s">
        <v>43</v>
      </c>
      <c r="D3039" t="s">
        <v>1061</v>
      </c>
      <c r="E3039" t="s">
        <v>6911</v>
      </c>
      <c r="F3039" s="121">
        <v>1799.1</v>
      </c>
      <c r="G3039" s="121">
        <v>1799.1</v>
      </c>
      <c r="H3039" t="s">
        <v>4971</v>
      </c>
      <c r="I3039" s="156">
        <v>42472.58085648148</v>
      </c>
      <c r="K3039" s="153"/>
      <c r="L3039" s="153"/>
      <c r="M3039" s="153"/>
      <c r="N3039" s="153"/>
      <c r="O3039" s="153"/>
      <c r="P3039" s="152"/>
      <c r="Q3039" s="152"/>
      <c r="R3039" s="153"/>
      <c r="S3039" s="154"/>
      <c r="T3039" s="115"/>
    </row>
    <row r="3040" spans="1:20">
      <c r="A3040" t="s">
        <v>1230</v>
      </c>
      <c r="B3040" t="s">
        <v>76</v>
      </c>
      <c r="C3040" t="s">
        <v>55</v>
      </c>
      <c r="D3040" t="s">
        <v>930</v>
      </c>
      <c r="E3040" t="s">
        <v>6912</v>
      </c>
      <c r="F3040" s="121">
        <v>1649</v>
      </c>
      <c r="G3040" s="121">
        <v>1649</v>
      </c>
      <c r="H3040" t="s">
        <v>6913</v>
      </c>
      <c r="I3040" s="156">
        <v>42472.563460648147</v>
      </c>
      <c r="K3040" s="153"/>
      <c r="L3040" s="153"/>
      <c r="M3040" s="153"/>
      <c r="N3040" s="153"/>
      <c r="O3040" s="153"/>
      <c r="P3040" s="152"/>
      <c r="Q3040" s="152"/>
      <c r="R3040" s="153"/>
      <c r="S3040" s="154"/>
      <c r="T3040" s="115"/>
    </row>
    <row r="3041" spans="1:20">
      <c r="A3041" t="s">
        <v>1230</v>
      </c>
      <c r="B3041" t="s">
        <v>73</v>
      </c>
      <c r="C3041" t="s">
        <v>55</v>
      </c>
      <c r="D3041" t="s">
        <v>1141</v>
      </c>
      <c r="E3041" t="s">
        <v>6914</v>
      </c>
      <c r="F3041" s="121">
        <v>1625</v>
      </c>
      <c r="G3041" s="121">
        <v>1625</v>
      </c>
      <c r="H3041" t="s">
        <v>452</v>
      </c>
      <c r="I3041" s="156">
        <v>42486.653391203705</v>
      </c>
      <c r="K3041" s="153"/>
      <c r="L3041" s="153"/>
      <c r="M3041" s="153"/>
      <c r="N3041" s="153"/>
      <c r="O3041" s="153"/>
      <c r="P3041" s="152"/>
      <c r="Q3041" s="152"/>
      <c r="R3041" s="153"/>
      <c r="S3041" s="154"/>
      <c r="T3041" s="115"/>
    </row>
    <row r="3042" spans="1:20">
      <c r="A3042" t="s">
        <v>1230</v>
      </c>
      <c r="B3042" t="s">
        <v>73</v>
      </c>
      <c r="C3042" t="s">
        <v>55</v>
      </c>
      <c r="D3042" t="s">
        <v>1141</v>
      </c>
      <c r="E3042" t="s">
        <v>6915</v>
      </c>
      <c r="F3042" s="121">
        <v>1625</v>
      </c>
      <c r="G3042" s="121">
        <v>1625</v>
      </c>
      <c r="H3042" t="s">
        <v>457</v>
      </c>
      <c r="I3042" s="156">
        <v>42486.669328703705</v>
      </c>
      <c r="K3042" s="153"/>
      <c r="L3042" s="153"/>
      <c r="M3042" s="153"/>
      <c r="N3042" s="153"/>
      <c r="O3042" s="153"/>
      <c r="P3042" s="152"/>
      <c r="Q3042" s="152"/>
      <c r="R3042" s="153"/>
      <c r="S3042" s="154"/>
      <c r="T3042" s="115"/>
    </row>
    <row r="3043" spans="1:20">
      <c r="A3043" t="s">
        <v>1230</v>
      </c>
      <c r="B3043" t="s">
        <v>74</v>
      </c>
      <c r="C3043" t="s">
        <v>55</v>
      </c>
      <c r="D3043" t="s">
        <v>6916</v>
      </c>
      <c r="E3043" t="s">
        <v>6917</v>
      </c>
      <c r="F3043" s="121">
        <v>1420</v>
      </c>
      <c r="G3043" s="121">
        <v>1420</v>
      </c>
      <c r="H3043" t="s">
        <v>1368</v>
      </c>
      <c r="I3043" s="156">
        <v>42475.496261574073</v>
      </c>
      <c r="K3043" s="153"/>
      <c r="L3043" s="153"/>
      <c r="M3043" s="153"/>
      <c r="N3043" s="153"/>
      <c r="O3043" s="153"/>
      <c r="P3043" s="152"/>
      <c r="Q3043" s="152"/>
      <c r="R3043" s="153"/>
      <c r="S3043" s="154"/>
      <c r="T3043" s="115"/>
    </row>
    <row r="3044" spans="1:20">
      <c r="A3044" t="s">
        <v>1230</v>
      </c>
      <c r="B3044" t="s">
        <v>73</v>
      </c>
      <c r="C3044" t="s">
        <v>43</v>
      </c>
      <c r="D3044" t="s">
        <v>7063</v>
      </c>
      <c r="E3044" t="s">
        <v>7064</v>
      </c>
      <c r="F3044" s="121">
        <v>900</v>
      </c>
      <c r="G3044" s="121">
        <v>899.99</v>
      </c>
      <c r="H3044" t="s">
        <v>7065</v>
      </c>
      <c r="I3044" s="156">
        <v>42510.480046296296</v>
      </c>
      <c r="K3044" s="153"/>
      <c r="L3044" s="153"/>
      <c r="M3044" s="153"/>
      <c r="N3044" s="153"/>
      <c r="O3044" s="153"/>
      <c r="P3044" s="152"/>
      <c r="Q3044" s="152"/>
      <c r="R3044" s="153"/>
      <c r="S3044" s="154"/>
      <c r="T3044" s="115"/>
    </row>
    <row r="3045" spans="1:20">
      <c r="A3045" t="s">
        <v>1230</v>
      </c>
      <c r="B3045" t="s">
        <v>73</v>
      </c>
      <c r="C3045" t="s">
        <v>55</v>
      </c>
      <c r="D3045" t="s">
        <v>7066</v>
      </c>
      <c r="E3045" t="s">
        <v>7067</v>
      </c>
      <c r="F3045" s="121">
        <v>4700</v>
      </c>
      <c r="G3045" s="121">
        <v>4700</v>
      </c>
      <c r="H3045" t="s">
        <v>7068</v>
      </c>
      <c r="I3045" s="156">
        <v>42510.483067129629</v>
      </c>
      <c r="K3045" s="153"/>
      <c r="L3045" s="153"/>
      <c r="M3045" s="153"/>
      <c r="N3045" s="153"/>
      <c r="O3045" s="153"/>
      <c r="P3045" s="152"/>
      <c r="Q3045" s="152"/>
      <c r="R3045" s="153"/>
      <c r="S3045" s="154"/>
      <c r="T3045" s="115"/>
    </row>
    <row r="3046" spans="1:20">
      <c r="A3046" t="s">
        <v>1230</v>
      </c>
      <c r="B3046" t="s">
        <v>72</v>
      </c>
      <c r="C3046" t="s">
        <v>55</v>
      </c>
      <c r="D3046" t="s">
        <v>7069</v>
      </c>
      <c r="E3046" t="s">
        <v>7070</v>
      </c>
      <c r="F3046" s="121">
        <v>875</v>
      </c>
      <c r="G3046" s="121">
        <v>875</v>
      </c>
      <c r="H3046" t="s">
        <v>517</v>
      </c>
      <c r="I3046" s="156">
        <v>42493.699780092589</v>
      </c>
      <c r="K3046" s="153"/>
      <c r="L3046" s="153"/>
      <c r="M3046" s="153"/>
      <c r="N3046" s="153"/>
      <c r="O3046" s="153"/>
      <c r="P3046" s="152"/>
      <c r="Q3046" s="152"/>
      <c r="R3046" s="153"/>
      <c r="S3046" s="154"/>
      <c r="T3046" s="115"/>
    </row>
    <row r="3047" spans="1:20">
      <c r="A3047" t="s">
        <v>1230</v>
      </c>
      <c r="B3047" t="s">
        <v>72</v>
      </c>
      <c r="C3047" t="s">
        <v>55</v>
      </c>
      <c r="D3047" t="s">
        <v>7071</v>
      </c>
      <c r="E3047" t="s">
        <v>7072</v>
      </c>
      <c r="F3047" s="121">
        <v>2139</v>
      </c>
      <c r="G3047" s="121">
        <v>2139</v>
      </c>
      <c r="H3047" t="s">
        <v>7073</v>
      </c>
      <c r="I3047" s="156">
        <v>42530.465567129628</v>
      </c>
      <c r="K3047" s="153"/>
      <c r="L3047" s="153"/>
      <c r="M3047" s="153"/>
      <c r="N3047" s="153"/>
      <c r="O3047" s="153"/>
      <c r="P3047" s="152"/>
      <c r="Q3047" s="152"/>
      <c r="R3047" s="153"/>
      <c r="S3047" s="154"/>
      <c r="T3047" s="115"/>
    </row>
    <row r="3048" spans="1:20">
      <c r="A3048" t="s">
        <v>1230</v>
      </c>
      <c r="B3048" t="s">
        <v>72</v>
      </c>
      <c r="C3048" t="s">
        <v>55</v>
      </c>
      <c r="D3048" t="s">
        <v>597</v>
      </c>
      <c r="E3048" t="s">
        <v>7074</v>
      </c>
      <c r="F3048" s="121">
        <v>759</v>
      </c>
      <c r="G3048" s="121">
        <v>759</v>
      </c>
      <c r="H3048" t="s">
        <v>7073</v>
      </c>
      <c r="I3048" s="156">
        <v>42530.437962962962</v>
      </c>
      <c r="K3048" s="153"/>
      <c r="L3048" s="153"/>
      <c r="M3048" s="153"/>
      <c r="N3048" s="153"/>
      <c r="O3048" s="153"/>
      <c r="P3048" s="152"/>
      <c r="Q3048" s="152"/>
      <c r="R3048" s="153"/>
      <c r="S3048" s="154"/>
      <c r="T3048" s="115"/>
    </row>
    <row r="3049" spans="1:20">
      <c r="A3049" t="s">
        <v>1230</v>
      </c>
      <c r="B3049" t="s">
        <v>76</v>
      </c>
      <c r="C3049" t="s">
        <v>51</v>
      </c>
      <c r="D3049" t="s">
        <v>4480</v>
      </c>
      <c r="E3049" t="s">
        <v>7075</v>
      </c>
      <c r="F3049" s="121">
        <v>1230</v>
      </c>
      <c r="G3049" s="121">
        <v>1230</v>
      </c>
      <c r="H3049" t="s">
        <v>875</v>
      </c>
      <c r="I3049" s="156">
        <v>42536.440833333334</v>
      </c>
      <c r="K3049" s="153"/>
      <c r="L3049" s="153"/>
      <c r="M3049" s="153"/>
      <c r="N3049" s="153"/>
      <c r="O3049" s="153"/>
      <c r="P3049" s="152"/>
      <c r="Q3049" s="152"/>
      <c r="R3049" s="153"/>
      <c r="S3049" s="154"/>
      <c r="T3049" s="115"/>
    </row>
    <row r="3050" spans="1:20">
      <c r="A3050" t="s">
        <v>1230</v>
      </c>
      <c r="B3050" t="s">
        <v>73</v>
      </c>
      <c r="C3050" t="s">
        <v>51</v>
      </c>
      <c r="D3050" t="s">
        <v>910</v>
      </c>
      <c r="E3050" t="s">
        <v>7076</v>
      </c>
      <c r="F3050" s="121">
        <v>1290</v>
      </c>
      <c r="G3050" s="121">
        <v>1290</v>
      </c>
      <c r="H3050" t="s">
        <v>7077</v>
      </c>
      <c r="I3050" s="156">
        <v>42536.46707175926</v>
      </c>
      <c r="K3050" s="153"/>
      <c r="L3050" s="153"/>
      <c r="M3050" s="153"/>
      <c r="N3050" s="153"/>
      <c r="O3050" s="153"/>
      <c r="P3050" s="152"/>
      <c r="Q3050" s="152"/>
      <c r="R3050" s="153"/>
      <c r="S3050" s="154"/>
      <c r="T3050" s="115"/>
    </row>
    <row r="3051" spans="1:20">
      <c r="A3051" t="s">
        <v>1230</v>
      </c>
      <c r="B3051" t="s">
        <v>73</v>
      </c>
      <c r="C3051" t="s">
        <v>54</v>
      </c>
      <c r="D3051" t="s">
        <v>937</v>
      </c>
      <c r="E3051" t="s">
        <v>7078</v>
      </c>
      <c r="F3051" s="121">
        <v>1290</v>
      </c>
      <c r="H3051" t="s">
        <v>7079</v>
      </c>
      <c r="I3051" s="156">
        <v>42557.38385416667</v>
      </c>
      <c r="K3051" s="153"/>
      <c r="L3051" s="153"/>
      <c r="M3051" s="153"/>
      <c r="N3051" s="153"/>
      <c r="O3051" s="153"/>
      <c r="P3051" s="152"/>
      <c r="Q3051" s="152"/>
      <c r="R3051" s="153"/>
      <c r="S3051" s="154"/>
      <c r="T3051" s="115"/>
    </row>
    <row r="3052" spans="1:20">
      <c r="A3052" t="s">
        <v>1230</v>
      </c>
      <c r="B3052" t="s">
        <v>73</v>
      </c>
      <c r="C3052" t="s">
        <v>51</v>
      </c>
      <c r="D3052" t="s">
        <v>7080</v>
      </c>
      <c r="E3052" t="s">
        <v>7081</v>
      </c>
      <c r="F3052" s="121">
        <v>1512</v>
      </c>
      <c r="G3052" s="121">
        <v>1512</v>
      </c>
      <c r="H3052" t="s">
        <v>7079</v>
      </c>
      <c r="I3052" s="156">
        <v>42557.38385416667</v>
      </c>
      <c r="K3052" s="153"/>
      <c r="L3052" s="153"/>
      <c r="M3052" s="153"/>
      <c r="N3052" s="153"/>
      <c r="O3052" s="153"/>
      <c r="P3052" s="152"/>
      <c r="Q3052" s="152"/>
      <c r="R3052" s="153"/>
      <c r="S3052" s="154"/>
      <c r="T3052" s="115"/>
    </row>
    <row r="3053" spans="1:20">
      <c r="A3053" t="s">
        <v>1230</v>
      </c>
      <c r="B3053" t="s">
        <v>73</v>
      </c>
      <c r="C3053" t="s">
        <v>51</v>
      </c>
      <c r="D3053" t="s">
        <v>6882</v>
      </c>
      <c r="E3053" t="s">
        <v>7082</v>
      </c>
      <c r="F3053" s="121">
        <v>1720</v>
      </c>
      <c r="G3053" s="121">
        <v>1720</v>
      </c>
      <c r="H3053" t="s">
        <v>7083</v>
      </c>
      <c r="I3053" s="156">
        <v>42557.38385416667</v>
      </c>
      <c r="K3053" s="153"/>
      <c r="L3053" s="153"/>
      <c r="M3053" s="153"/>
      <c r="N3053" s="153"/>
      <c r="O3053" s="153"/>
      <c r="P3053" s="152"/>
      <c r="Q3053" s="152"/>
      <c r="R3053" s="153"/>
      <c r="S3053" s="154"/>
      <c r="T3053" s="115"/>
    </row>
    <row r="3054" spans="1:20">
      <c r="A3054" t="s">
        <v>1230</v>
      </c>
      <c r="B3054" t="s">
        <v>970</v>
      </c>
      <c r="C3054" t="s">
        <v>55</v>
      </c>
      <c r="D3054" t="s">
        <v>781</v>
      </c>
      <c r="E3054" t="s">
        <v>7084</v>
      </c>
      <c r="F3054" s="121">
        <v>1999</v>
      </c>
      <c r="G3054" s="121">
        <v>1999</v>
      </c>
      <c r="H3054" t="s">
        <v>7079</v>
      </c>
      <c r="I3054" s="156">
        <v>42557.378460648149</v>
      </c>
      <c r="K3054" s="153"/>
      <c r="L3054" s="153"/>
      <c r="M3054" s="153"/>
      <c r="N3054" s="153"/>
      <c r="O3054" s="153"/>
      <c r="P3054" s="152"/>
      <c r="Q3054" s="152"/>
      <c r="R3054" s="153"/>
      <c r="S3054" s="154"/>
      <c r="T3054" s="115"/>
    </row>
    <row r="3055" spans="1:20">
      <c r="A3055" t="s">
        <v>1230</v>
      </c>
      <c r="B3055" t="s">
        <v>74</v>
      </c>
      <c r="C3055" t="s">
        <v>51</v>
      </c>
      <c r="D3055" t="s">
        <v>1397</v>
      </c>
      <c r="E3055" t="s">
        <v>7085</v>
      </c>
      <c r="F3055" s="121">
        <v>1709.1</v>
      </c>
      <c r="G3055" s="121">
        <v>1899</v>
      </c>
      <c r="H3055" t="s">
        <v>7086</v>
      </c>
      <c r="I3055" s="156">
        <v>42565.619398148148</v>
      </c>
      <c r="K3055" s="153"/>
      <c r="L3055" s="153"/>
      <c r="M3055" s="153"/>
      <c r="N3055" s="153"/>
      <c r="O3055" s="153"/>
      <c r="P3055" s="152"/>
      <c r="Q3055" s="152"/>
      <c r="R3055" s="153"/>
      <c r="S3055" s="154"/>
      <c r="T3055" s="115"/>
    </row>
    <row r="3056" spans="1:20">
      <c r="A3056" t="s">
        <v>1230</v>
      </c>
      <c r="B3056" t="s">
        <v>76</v>
      </c>
      <c r="C3056" t="s">
        <v>51</v>
      </c>
      <c r="D3056" t="s">
        <v>7087</v>
      </c>
      <c r="E3056" t="s">
        <v>7088</v>
      </c>
      <c r="F3056" s="121">
        <v>1000</v>
      </c>
      <c r="G3056" s="121">
        <v>1000</v>
      </c>
      <c r="H3056" t="s">
        <v>7089</v>
      </c>
      <c r="I3056" s="156">
        <v>42583.49459490741</v>
      </c>
      <c r="K3056" s="153"/>
      <c r="L3056" s="153"/>
      <c r="M3056" s="153"/>
      <c r="N3056" s="153"/>
      <c r="O3056" s="153"/>
      <c r="P3056" s="152"/>
      <c r="Q3056" s="152"/>
      <c r="R3056" s="153"/>
      <c r="S3056" s="154"/>
      <c r="T3056" s="115"/>
    </row>
    <row r="3057" spans="1:20">
      <c r="A3057" t="s">
        <v>1230</v>
      </c>
      <c r="B3057" t="s">
        <v>72</v>
      </c>
      <c r="C3057" t="s">
        <v>51</v>
      </c>
      <c r="D3057" t="s">
        <v>743</v>
      </c>
      <c r="E3057" t="s">
        <v>7090</v>
      </c>
      <c r="F3057" s="121">
        <v>1679</v>
      </c>
      <c r="G3057" s="121">
        <v>1679</v>
      </c>
      <c r="H3057" t="s">
        <v>7091</v>
      </c>
      <c r="I3057" s="156">
        <v>42571.435439814813</v>
      </c>
      <c r="K3057" s="153"/>
      <c r="L3057" s="153"/>
      <c r="M3057" s="153"/>
      <c r="N3057" s="153"/>
      <c r="O3057" s="153"/>
      <c r="P3057" s="152"/>
      <c r="Q3057" s="152"/>
      <c r="R3057" s="153"/>
      <c r="S3057" s="154"/>
      <c r="T3057" s="115"/>
    </row>
    <row r="3058" spans="1:20">
      <c r="A3058" t="s">
        <v>1230</v>
      </c>
      <c r="B3058" t="s">
        <v>72</v>
      </c>
      <c r="C3058" t="s">
        <v>51</v>
      </c>
      <c r="D3058" t="s">
        <v>7092</v>
      </c>
      <c r="E3058" t="s">
        <v>7093</v>
      </c>
      <c r="F3058" s="121">
        <v>8360</v>
      </c>
      <c r="G3058" s="121">
        <v>8360</v>
      </c>
      <c r="H3058" t="s">
        <v>7094</v>
      </c>
      <c r="I3058" s="156">
        <v>42571.589618055557</v>
      </c>
      <c r="K3058" s="153"/>
      <c r="L3058" s="153"/>
      <c r="M3058" s="153"/>
      <c r="N3058" s="153"/>
      <c r="O3058" s="153"/>
      <c r="P3058" s="152"/>
      <c r="Q3058" s="152"/>
      <c r="R3058" s="153"/>
      <c r="S3058" s="154"/>
      <c r="T3058" s="115"/>
    </row>
    <row r="3059" spans="1:20">
      <c r="A3059" t="s">
        <v>1230</v>
      </c>
      <c r="B3059" t="s">
        <v>74</v>
      </c>
      <c r="C3059" t="s">
        <v>32</v>
      </c>
      <c r="D3059" t="s">
        <v>7444</v>
      </c>
      <c r="E3059" t="s">
        <v>7445</v>
      </c>
      <c r="F3059" s="121">
        <v>30457.66</v>
      </c>
      <c r="G3059" s="121">
        <v>30457.66</v>
      </c>
      <c r="H3059" t="s">
        <v>7446</v>
      </c>
      <c r="I3059" s="156">
        <v>42004</v>
      </c>
      <c r="K3059" s="153"/>
      <c r="L3059" s="153"/>
      <c r="M3059" s="153"/>
      <c r="N3059" s="153"/>
      <c r="O3059" s="153"/>
      <c r="P3059" s="152"/>
      <c r="Q3059" s="152"/>
      <c r="R3059" s="153"/>
      <c r="S3059" s="154"/>
      <c r="T3059" s="115"/>
    </row>
    <row r="3060" spans="1:20">
      <c r="A3060" t="s">
        <v>1230</v>
      </c>
      <c r="B3060" t="s">
        <v>74</v>
      </c>
      <c r="C3060" t="s">
        <v>34</v>
      </c>
      <c r="D3060" t="s">
        <v>7447</v>
      </c>
      <c r="E3060" t="s">
        <v>7448</v>
      </c>
      <c r="F3060" s="121">
        <v>12570.88</v>
      </c>
      <c r="G3060" s="121">
        <v>12570.88</v>
      </c>
      <c r="H3060" t="s">
        <v>7449</v>
      </c>
      <c r="I3060" s="156">
        <v>42004</v>
      </c>
      <c r="K3060" s="153"/>
      <c r="L3060" s="153"/>
      <c r="M3060" s="153"/>
      <c r="N3060" s="153"/>
      <c r="O3060" s="153"/>
      <c r="P3060" s="152"/>
      <c r="Q3060" s="152"/>
      <c r="R3060" s="153"/>
      <c r="S3060" s="154"/>
      <c r="T3060" s="115"/>
    </row>
    <row r="3061" spans="1:20">
      <c r="A3061" t="s">
        <v>1230</v>
      </c>
      <c r="B3061" t="s">
        <v>965</v>
      </c>
      <c r="C3061" t="s">
        <v>44</v>
      </c>
      <c r="D3061" t="s">
        <v>7450</v>
      </c>
      <c r="E3061" t="s">
        <v>7451</v>
      </c>
      <c r="F3061" s="121">
        <v>543000</v>
      </c>
      <c r="G3061" s="121">
        <v>543000</v>
      </c>
      <c r="H3061" t="s">
        <v>7452</v>
      </c>
      <c r="I3061" s="156">
        <v>42004</v>
      </c>
      <c r="K3061" s="153"/>
      <c r="L3061" s="153"/>
      <c r="M3061" s="153"/>
      <c r="N3061" s="153"/>
      <c r="O3061" s="153"/>
      <c r="P3061" s="152"/>
      <c r="Q3061" s="152"/>
      <c r="R3061" s="153"/>
      <c r="S3061" s="154"/>
      <c r="T3061" s="115"/>
    </row>
    <row r="3062" spans="1:20">
      <c r="A3062" t="s">
        <v>1230</v>
      </c>
      <c r="B3062" t="s">
        <v>72</v>
      </c>
      <c r="C3062" t="s">
        <v>34</v>
      </c>
      <c r="D3062" t="s">
        <v>7453</v>
      </c>
      <c r="E3062" t="s">
        <v>7454</v>
      </c>
      <c r="F3062" s="121">
        <v>365000</v>
      </c>
      <c r="G3062" s="121">
        <v>365000</v>
      </c>
      <c r="H3062" t="s">
        <v>7455</v>
      </c>
      <c r="I3062" s="156">
        <v>42004</v>
      </c>
      <c r="K3062" s="153"/>
      <c r="L3062" s="153"/>
      <c r="M3062" s="153"/>
      <c r="N3062" s="153"/>
      <c r="O3062" s="153"/>
      <c r="P3062" s="152"/>
      <c r="Q3062" s="152"/>
      <c r="R3062" s="153"/>
      <c r="S3062" s="154"/>
      <c r="T3062" s="115"/>
    </row>
    <row r="3063" spans="1:20">
      <c r="A3063" t="s">
        <v>1230</v>
      </c>
      <c r="B3063" t="s">
        <v>72</v>
      </c>
      <c r="C3063" t="s">
        <v>34</v>
      </c>
      <c r="D3063" t="s">
        <v>7456</v>
      </c>
      <c r="E3063" t="s">
        <v>7457</v>
      </c>
      <c r="F3063" s="121">
        <v>125000</v>
      </c>
      <c r="G3063" s="121">
        <v>125000</v>
      </c>
      <c r="H3063" t="s">
        <v>7458</v>
      </c>
      <c r="I3063" s="156">
        <v>42004</v>
      </c>
      <c r="K3063" s="153"/>
      <c r="L3063" s="153"/>
      <c r="M3063" s="153"/>
      <c r="N3063" s="153"/>
      <c r="O3063" s="153"/>
      <c r="P3063" s="152"/>
      <c r="Q3063" s="152"/>
      <c r="R3063" s="153"/>
      <c r="S3063" s="154"/>
      <c r="T3063" s="115"/>
    </row>
    <row r="3064" spans="1:20">
      <c r="A3064" t="s">
        <v>1230</v>
      </c>
      <c r="B3064" t="s">
        <v>72</v>
      </c>
      <c r="C3064" t="s">
        <v>34</v>
      </c>
      <c r="D3064" t="s">
        <v>7459</v>
      </c>
      <c r="E3064" t="s">
        <v>7460</v>
      </c>
      <c r="F3064" s="121">
        <v>105000</v>
      </c>
      <c r="G3064" s="121">
        <v>105000</v>
      </c>
      <c r="H3064" t="s">
        <v>7458</v>
      </c>
      <c r="I3064" s="156">
        <v>42004</v>
      </c>
      <c r="K3064" s="153"/>
      <c r="L3064" s="153"/>
      <c r="M3064" s="153"/>
      <c r="N3064" s="153"/>
      <c r="O3064" s="153"/>
      <c r="P3064" s="152"/>
      <c r="Q3064" s="152"/>
      <c r="R3064" s="153"/>
      <c r="S3064" s="154"/>
      <c r="T3064" s="115"/>
    </row>
    <row r="3065" spans="1:20">
      <c r="A3065" t="s">
        <v>1230</v>
      </c>
      <c r="B3065" t="s">
        <v>72</v>
      </c>
      <c r="C3065" t="s">
        <v>36</v>
      </c>
      <c r="D3065" t="s">
        <v>7461</v>
      </c>
      <c r="E3065" t="s">
        <v>7462</v>
      </c>
      <c r="F3065" s="121">
        <v>100000</v>
      </c>
      <c r="G3065" s="121">
        <v>100000</v>
      </c>
      <c r="H3065" t="s">
        <v>7463</v>
      </c>
      <c r="I3065" s="156">
        <v>42004</v>
      </c>
      <c r="K3065" s="153"/>
      <c r="L3065" s="153"/>
      <c r="M3065" s="153"/>
      <c r="N3065" s="153"/>
      <c r="O3065" s="153"/>
      <c r="P3065" s="152"/>
      <c r="Q3065" s="152"/>
      <c r="R3065" s="153"/>
      <c r="S3065" s="154"/>
      <c r="T3065" s="115"/>
    </row>
    <row r="3066" spans="1:20">
      <c r="A3066" t="s">
        <v>1230</v>
      </c>
      <c r="B3066" t="s">
        <v>72</v>
      </c>
      <c r="C3066" t="s">
        <v>36</v>
      </c>
      <c r="D3066" t="s">
        <v>7464</v>
      </c>
      <c r="E3066" t="s">
        <v>7465</v>
      </c>
      <c r="F3066" s="121">
        <v>65000</v>
      </c>
      <c r="G3066" s="121">
        <v>65000</v>
      </c>
      <c r="H3066" t="s">
        <v>7466</v>
      </c>
      <c r="I3066" s="156">
        <v>42004</v>
      </c>
      <c r="K3066" s="153"/>
      <c r="L3066" s="153"/>
      <c r="M3066" s="153"/>
      <c r="N3066" s="153"/>
      <c r="O3066" s="153"/>
      <c r="P3066" s="152"/>
      <c r="Q3066" s="152"/>
      <c r="R3066" s="153"/>
      <c r="S3066" s="154"/>
      <c r="T3066" s="151"/>
    </row>
    <row r="3067" spans="1:20">
      <c r="A3067" t="s">
        <v>1230</v>
      </c>
      <c r="B3067" t="s">
        <v>72</v>
      </c>
      <c r="C3067" t="s">
        <v>44</v>
      </c>
      <c r="D3067" t="s">
        <v>7467</v>
      </c>
      <c r="E3067" t="s">
        <v>7468</v>
      </c>
      <c r="F3067" s="121">
        <v>140000</v>
      </c>
      <c r="G3067" s="121">
        <v>140000</v>
      </c>
      <c r="H3067" t="s">
        <v>7469</v>
      </c>
      <c r="I3067" s="156">
        <v>42004</v>
      </c>
      <c r="K3067" s="153"/>
      <c r="L3067" s="153"/>
      <c r="M3067" s="153"/>
      <c r="N3067" s="153"/>
      <c r="O3067" s="153"/>
      <c r="P3067" s="152"/>
      <c r="Q3067" s="152"/>
      <c r="R3067" s="153"/>
      <c r="S3067" s="154"/>
      <c r="T3067" s="151"/>
    </row>
    <row r="3068" spans="1:20">
      <c r="A3068" t="s">
        <v>1230</v>
      </c>
      <c r="B3068" t="s">
        <v>968</v>
      </c>
      <c r="C3068" t="s">
        <v>44</v>
      </c>
      <c r="D3068" t="s">
        <v>7470</v>
      </c>
      <c r="E3068" t="s">
        <v>7471</v>
      </c>
      <c r="F3068" s="121">
        <v>30000</v>
      </c>
      <c r="G3068" s="121">
        <v>30000</v>
      </c>
      <c r="H3068" t="s">
        <v>7472</v>
      </c>
      <c r="I3068" s="156">
        <v>42004</v>
      </c>
      <c r="K3068" s="153"/>
      <c r="L3068" s="153"/>
      <c r="M3068" s="153"/>
      <c r="N3068" s="153"/>
      <c r="O3068" s="153"/>
      <c r="P3068" s="152"/>
      <c r="Q3068" s="152"/>
      <c r="R3068" s="153"/>
      <c r="S3068" s="154"/>
      <c r="T3068" s="151"/>
    </row>
    <row r="3069" spans="1:20">
      <c r="A3069" t="s">
        <v>1230</v>
      </c>
      <c r="B3069" t="s">
        <v>968</v>
      </c>
      <c r="C3069" t="s">
        <v>44</v>
      </c>
      <c r="D3069" t="s">
        <v>7473</v>
      </c>
      <c r="E3069" t="s">
        <v>7474</v>
      </c>
      <c r="F3069" s="121">
        <v>30000</v>
      </c>
      <c r="G3069" s="121">
        <v>30000</v>
      </c>
      <c r="H3069" t="s">
        <v>7185</v>
      </c>
      <c r="I3069" s="156">
        <v>42004</v>
      </c>
      <c r="K3069" s="153"/>
      <c r="L3069" s="153"/>
      <c r="M3069" s="153"/>
      <c r="N3069" s="153"/>
      <c r="O3069" s="153"/>
      <c r="P3069" s="152"/>
      <c r="Q3069" s="152"/>
      <c r="R3069" s="153"/>
      <c r="S3069" s="154"/>
      <c r="T3069" s="151"/>
    </row>
    <row r="3070" spans="1:20">
      <c r="A3070" t="s">
        <v>1230</v>
      </c>
      <c r="B3070" t="s">
        <v>72</v>
      </c>
      <c r="C3070" t="s">
        <v>40</v>
      </c>
      <c r="D3070" t="s">
        <v>7475</v>
      </c>
      <c r="E3070" t="s">
        <v>7476</v>
      </c>
      <c r="F3070" s="121">
        <v>99522.53</v>
      </c>
      <c r="G3070" s="121">
        <v>99522.53</v>
      </c>
      <c r="H3070" t="s">
        <v>7477</v>
      </c>
      <c r="I3070" s="156">
        <v>42004</v>
      </c>
      <c r="K3070" s="153"/>
      <c r="L3070" s="153"/>
      <c r="M3070" s="153"/>
      <c r="N3070" s="153"/>
      <c r="O3070" s="153"/>
      <c r="P3070" s="152"/>
      <c r="Q3070" s="152"/>
      <c r="R3070" s="153"/>
      <c r="S3070" s="154"/>
      <c r="T3070" s="151"/>
    </row>
    <row r="3071" spans="1:20">
      <c r="A3071" t="s">
        <v>1230</v>
      </c>
      <c r="B3071" t="s">
        <v>1012</v>
      </c>
      <c r="C3071" t="s">
        <v>33</v>
      </c>
      <c r="D3071" t="s">
        <v>7478</v>
      </c>
      <c r="E3071" t="s">
        <v>7479</v>
      </c>
      <c r="F3071" s="121">
        <v>335000</v>
      </c>
      <c r="G3071" s="121">
        <v>335000</v>
      </c>
      <c r="H3071" t="s">
        <v>7109</v>
      </c>
      <c r="I3071" s="156">
        <v>42004</v>
      </c>
      <c r="K3071" s="153"/>
      <c r="L3071" s="153"/>
      <c r="M3071" s="153"/>
      <c r="N3071" s="153"/>
      <c r="O3071" s="153"/>
      <c r="P3071" s="152"/>
      <c r="Q3071" s="152"/>
      <c r="R3071" s="153"/>
      <c r="S3071" s="154"/>
      <c r="T3071" s="151"/>
    </row>
    <row r="3072" spans="1:20">
      <c r="A3072" t="s">
        <v>1230</v>
      </c>
      <c r="B3072" t="s">
        <v>74</v>
      </c>
      <c r="C3072" t="s">
        <v>33</v>
      </c>
      <c r="D3072" t="s">
        <v>7480</v>
      </c>
      <c r="E3072" t="s">
        <v>7481</v>
      </c>
      <c r="F3072" s="121">
        <v>35020</v>
      </c>
      <c r="G3072" s="121">
        <v>35020</v>
      </c>
      <c r="H3072" t="s">
        <v>7482</v>
      </c>
      <c r="I3072" s="156">
        <v>42004</v>
      </c>
      <c r="K3072" s="153"/>
      <c r="L3072" s="153"/>
      <c r="M3072" s="153"/>
      <c r="N3072" s="153"/>
      <c r="O3072" s="153"/>
      <c r="P3072" s="152"/>
      <c r="Q3072" s="152"/>
      <c r="R3072" s="153"/>
      <c r="S3072" s="154"/>
      <c r="T3072" s="151"/>
    </row>
    <row r="3073" spans="1:20">
      <c r="A3073" t="s">
        <v>1230</v>
      </c>
      <c r="B3073" t="s">
        <v>73</v>
      </c>
      <c r="C3073" t="s">
        <v>1267</v>
      </c>
      <c r="D3073" t="s">
        <v>7483</v>
      </c>
      <c r="E3073" t="s">
        <v>7484</v>
      </c>
      <c r="F3073" s="121">
        <v>225676.26</v>
      </c>
      <c r="G3073" s="121">
        <v>225676.26</v>
      </c>
      <c r="H3073" t="s">
        <v>7485</v>
      </c>
      <c r="I3073" s="156">
        <v>42004</v>
      </c>
      <c r="K3073" s="153"/>
      <c r="L3073" s="153"/>
      <c r="M3073" s="153"/>
      <c r="N3073" s="153"/>
      <c r="O3073" s="153"/>
      <c r="P3073" s="152"/>
      <c r="Q3073" s="152"/>
      <c r="R3073" s="153"/>
      <c r="S3073" s="154"/>
      <c r="T3073" s="151"/>
    </row>
    <row r="3074" spans="1:20">
      <c r="A3074" t="s">
        <v>1230</v>
      </c>
      <c r="B3074" t="s">
        <v>72</v>
      </c>
      <c r="C3074" t="s">
        <v>47</v>
      </c>
      <c r="D3074" t="s">
        <v>7486</v>
      </c>
      <c r="E3074" t="s">
        <v>7487</v>
      </c>
      <c r="F3074" s="121">
        <v>25116285.32</v>
      </c>
      <c r="G3074" s="121">
        <v>131018912</v>
      </c>
      <c r="H3074" t="s">
        <v>7487</v>
      </c>
      <c r="I3074" s="156">
        <v>40908</v>
      </c>
      <c r="J3074">
        <v>6028.57</v>
      </c>
      <c r="K3074" s="153"/>
      <c r="L3074" s="153"/>
      <c r="M3074" s="153"/>
      <c r="N3074" s="153"/>
      <c r="O3074" s="153"/>
      <c r="P3074" s="152"/>
      <c r="Q3074" s="152"/>
      <c r="R3074" s="153"/>
      <c r="S3074" s="154"/>
      <c r="T3074" s="151"/>
    </row>
    <row r="3075" spans="1:20">
      <c r="A3075" t="s">
        <v>1230</v>
      </c>
      <c r="B3075" t="s">
        <v>72</v>
      </c>
      <c r="C3075" t="s">
        <v>47</v>
      </c>
      <c r="D3075" t="s">
        <v>7488</v>
      </c>
      <c r="E3075" t="s">
        <v>7489</v>
      </c>
      <c r="F3075" s="121">
        <v>38069397.640000001</v>
      </c>
      <c r="G3075" s="121">
        <v>86468663</v>
      </c>
      <c r="H3075" t="s">
        <v>7489</v>
      </c>
      <c r="I3075" s="156">
        <v>40908</v>
      </c>
      <c r="J3075">
        <v>5231.58</v>
      </c>
      <c r="K3075" s="153"/>
      <c r="L3075" s="153"/>
      <c r="M3075" s="153"/>
      <c r="N3075" s="153"/>
      <c r="O3075" s="153"/>
      <c r="P3075" s="152"/>
      <c r="Q3075" s="152"/>
      <c r="R3075" s="153"/>
      <c r="S3075" s="154"/>
      <c r="T3075" s="151"/>
    </row>
    <row r="3076" spans="1:20">
      <c r="A3076" t="s">
        <v>1231</v>
      </c>
      <c r="B3076" t="s">
        <v>72</v>
      </c>
      <c r="C3076" t="s">
        <v>47</v>
      </c>
      <c r="D3076" t="s">
        <v>7490</v>
      </c>
      <c r="E3076" t="s">
        <v>7491</v>
      </c>
      <c r="F3076" s="121">
        <v>3432968.99</v>
      </c>
      <c r="G3076" s="121">
        <v>8007863</v>
      </c>
      <c r="H3076" t="s">
        <v>7491</v>
      </c>
      <c r="I3076" s="156">
        <v>40908</v>
      </c>
      <c r="J3076">
        <v>441.57</v>
      </c>
      <c r="K3076" s="153"/>
      <c r="L3076" s="153"/>
      <c r="M3076" s="153"/>
      <c r="N3076" s="153"/>
      <c r="O3076" s="153"/>
      <c r="P3076" s="152"/>
      <c r="Q3076" s="152"/>
      <c r="R3076" s="153"/>
      <c r="S3076" s="154"/>
      <c r="T3076" s="151"/>
    </row>
    <row r="3077" spans="1:20">
      <c r="A3077" t="s">
        <v>1230</v>
      </c>
      <c r="B3077" t="s">
        <v>72</v>
      </c>
      <c r="C3077" t="s">
        <v>47</v>
      </c>
      <c r="D3077" t="s">
        <v>7492</v>
      </c>
      <c r="E3077" t="s">
        <v>7493</v>
      </c>
      <c r="F3077" s="121">
        <v>5469321.7800000003</v>
      </c>
      <c r="G3077" s="121">
        <v>18341760</v>
      </c>
      <c r="H3077" t="s">
        <v>7493</v>
      </c>
      <c r="I3077" s="156">
        <v>40908</v>
      </c>
      <c r="J3077">
        <v>970</v>
      </c>
      <c r="K3077" s="153"/>
      <c r="L3077" s="153"/>
      <c r="M3077" s="153"/>
      <c r="N3077" s="153"/>
      <c r="O3077" s="153"/>
      <c r="P3077" s="152"/>
      <c r="Q3077" s="152"/>
      <c r="R3077" s="153"/>
      <c r="S3077" s="154"/>
      <c r="T3077" s="151"/>
    </row>
    <row r="3078" spans="1:20">
      <c r="A3078" t="s">
        <v>1230</v>
      </c>
      <c r="B3078" t="s">
        <v>72</v>
      </c>
      <c r="C3078" t="s">
        <v>47</v>
      </c>
      <c r="D3078" t="s">
        <v>7494</v>
      </c>
      <c r="E3078" t="s">
        <v>7495</v>
      </c>
      <c r="F3078" s="121">
        <v>5076534.55</v>
      </c>
      <c r="G3078" s="121">
        <v>10204034</v>
      </c>
      <c r="H3078" t="s">
        <v>7495</v>
      </c>
      <c r="I3078" s="156">
        <v>40908</v>
      </c>
      <c r="J3078">
        <v>563.92999999999995</v>
      </c>
      <c r="K3078" s="153"/>
      <c r="L3078" s="153"/>
      <c r="M3078" s="153"/>
      <c r="N3078" s="153"/>
      <c r="O3078" s="153"/>
      <c r="P3078" s="152"/>
      <c r="Q3078" s="152"/>
      <c r="R3078" s="153"/>
      <c r="S3078" s="154"/>
      <c r="T3078" s="151"/>
    </row>
    <row r="3079" spans="1:20">
      <c r="A3079" t="s">
        <v>1230</v>
      </c>
      <c r="B3079" t="s">
        <v>72</v>
      </c>
      <c r="C3079" t="s">
        <v>47</v>
      </c>
      <c r="D3079" t="s">
        <v>7496</v>
      </c>
      <c r="E3079" t="s">
        <v>7497</v>
      </c>
      <c r="F3079" s="121">
        <v>18499076.41</v>
      </c>
      <c r="G3079" s="121">
        <v>38437485</v>
      </c>
      <c r="H3079" t="s">
        <v>7497</v>
      </c>
      <c r="I3079" s="156">
        <v>40908</v>
      </c>
      <c r="J3079">
        <v>2055</v>
      </c>
      <c r="K3079" s="153"/>
      <c r="L3079" s="153"/>
      <c r="M3079" s="153"/>
      <c r="N3079" s="153"/>
      <c r="O3079" s="153"/>
      <c r="P3079" s="152"/>
      <c r="Q3079" s="152"/>
      <c r="R3079" s="153"/>
      <c r="S3079" s="154"/>
      <c r="T3079" s="151"/>
    </row>
    <row r="3080" spans="1:20">
      <c r="A3080" t="s">
        <v>1231</v>
      </c>
      <c r="B3080" t="s">
        <v>72</v>
      </c>
      <c r="C3080" t="s">
        <v>47</v>
      </c>
      <c r="D3080" t="s">
        <v>7498</v>
      </c>
      <c r="E3080" t="s">
        <v>7499</v>
      </c>
      <c r="F3080" s="121">
        <v>3254018.47</v>
      </c>
      <c r="G3080" s="121">
        <v>7583707</v>
      </c>
      <c r="H3080" t="s">
        <v>7499</v>
      </c>
      <c r="I3080" s="156">
        <v>40908</v>
      </c>
      <c r="J3080">
        <v>418.55</v>
      </c>
      <c r="K3080" s="153"/>
      <c r="L3080" s="153"/>
      <c r="M3080" s="153"/>
      <c r="N3080" s="153"/>
      <c r="O3080" s="153"/>
      <c r="P3080" s="152"/>
      <c r="Q3080" s="152"/>
      <c r="R3080" s="153"/>
      <c r="S3080" s="154"/>
      <c r="T3080" s="151"/>
    </row>
    <row r="3081" spans="1:20">
      <c r="A3081" t="s">
        <v>1231</v>
      </c>
      <c r="B3081" t="s">
        <v>72</v>
      </c>
      <c r="C3081" t="s">
        <v>47</v>
      </c>
      <c r="D3081" t="s">
        <v>7500</v>
      </c>
      <c r="E3081" t="s">
        <v>7501</v>
      </c>
      <c r="F3081" s="121">
        <v>13456273.029999999</v>
      </c>
      <c r="G3081" s="121">
        <v>22136051</v>
      </c>
      <c r="H3081" t="s">
        <v>7501</v>
      </c>
      <c r="I3081" s="156">
        <v>40908</v>
      </c>
      <c r="J3081">
        <v>1420.07</v>
      </c>
      <c r="K3081" s="153"/>
      <c r="L3081" s="153"/>
      <c r="M3081" s="153"/>
      <c r="N3081" s="153"/>
      <c r="O3081" s="153"/>
      <c r="P3081" s="152"/>
      <c r="Q3081" s="152"/>
      <c r="R3081" s="153"/>
      <c r="S3081" s="154"/>
      <c r="T3081" s="151"/>
    </row>
    <row r="3082" spans="1:20">
      <c r="A3082" t="s">
        <v>1231</v>
      </c>
      <c r="B3082" t="s">
        <v>72</v>
      </c>
      <c r="C3082" t="s">
        <v>47</v>
      </c>
      <c r="D3082" t="s">
        <v>7502</v>
      </c>
      <c r="E3082" t="s">
        <v>7503</v>
      </c>
      <c r="F3082" s="121">
        <v>22706246.329999998</v>
      </c>
      <c r="G3082" s="121">
        <v>31558481</v>
      </c>
      <c r="H3082" t="s">
        <v>7503</v>
      </c>
      <c r="I3082" s="156">
        <v>40908</v>
      </c>
      <c r="J3082">
        <v>2396.2399999999998</v>
      </c>
      <c r="K3082" s="153"/>
      <c r="L3082" s="153"/>
      <c r="M3082" s="153"/>
      <c r="N3082" s="153"/>
      <c r="O3082" s="153"/>
      <c r="P3082" s="152"/>
      <c r="Q3082" s="152"/>
      <c r="R3082" s="153"/>
      <c r="S3082" s="154"/>
      <c r="T3082" s="151"/>
    </row>
    <row r="3083" spans="1:20">
      <c r="A3083" t="s">
        <v>1231</v>
      </c>
      <c r="B3083" t="s">
        <v>72</v>
      </c>
      <c r="C3083" t="s">
        <v>47</v>
      </c>
      <c r="D3083" t="s">
        <v>7504</v>
      </c>
      <c r="E3083" t="s">
        <v>7505</v>
      </c>
      <c r="F3083" s="121">
        <v>11666597.449999999</v>
      </c>
      <c r="G3083" s="121">
        <v>30227426</v>
      </c>
      <c r="H3083" t="s">
        <v>7505</v>
      </c>
      <c r="I3083" s="156">
        <v>40908</v>
      </c>
      <c r="J3083">
        <v>1903.85</v>
      </c>
      <c r="K3083" s="153"/>
      <c r="L3083" s="153"/>
      <c r="M3083" s="153"/>
      <c r="N3083" s="153"/>
      <c r="O3083" s="153"/>
      <c r="P3083" s="152"/>
      <c r="Q3083" s="152"/>
      <c r="R3083" s="153"/>
      <c r="S3083" s="154"/>
      <c r="T3083" s="151"/>
    </row>
    <row r="3084" spans="1:20">
      <c r="A3084" t="s">
        <v>1230</v>
      </c>
      <c r="B3084" t="s">
        <v>72</v>
      </c>
      <c r="C3084" t="s">
        <v>47</v>
      </c>
      <c r="D3084" t="s">
        <v>7506</v>
      </c>
      <c r="E3084" t="s">
        <v>7507</v>
      </c>
      <c r="F3084" s="121">
        <v>8285916.7699999996</v>
      </c>
      <c r="G3084" s="121">
        <v>21158581</v>
      </c>
      <c r="H3084" t="s">
        <v>7507</v>
      </c>
      <c r="I3084" s="156">
        <v>40908</v>
      </c>
      <c r="J3084">
        <v>1125</v>
      </c>
      <c r="K3084" s="153"/>
      <c r="L3084" s="153"/>
      <c r="M3084" s="153"/>
      <c r="N3084" s="153"/>
      <c r="O3084" s="153"/>
      <c r="P3084" s="152"/>
      <c r="Q3084" s="152"/>
      <c r="R3084" s="153"/>
      <c r="S3084" s="154"/>
      <c r="T3084" s="151"/>
    </row>
    <row r="3085" spans="1:20">
      <c r="A3085" t="s">
        <v>1230</v>
      </c>
      <c r="B3085" t="s">
        <v>72</v>
      </c>
      <c r="C3085" t="s">
        <v>47</v>
      </c>
      <c r="D3085" t="s">
        <v>7508</v>
      </c>
      <c r="E3085" t="s">
        <v>7509</v>
      </c>
      <c r="F3085" s="121">
        <v>7494560.5700000003</v>
      </c>
      <c r="G3085" s="121">
        <v>18195476</v>
      </c>
      <c r="H3085" t="s">
        <v>7509</v>
      </c>
      <c r="I3085" s="156">
        <v>40908</v>
      </c>
      <c r="J3085">
        <v>964</v>
      </c>
      <c r="K3085" s="153"/>
      <c r="L3085" s="153"/>
      <c r="M3085" s="153"/>
      <c r="N3085" s="153"/>
      <c r="O3085" s="153"/>
      <c r="P3085" s="152"/>
      <c r="Q3085" s="152"/>
      <c r="R3085" s="153"/>
      <c r="S3085" s="154"/>
      <c r="T3085" s="151"/>
    </row>
    <row r="3086" spans="1:20">
      <c r="A3086" t="s">
        <v>1230</v>
      </c>
      <c r="B3086" t="s">
        <v>72</v>
      </c>
      <c r="C3086" t="s">
        <v>47</v>
      </c>
      <c r="D3086" t="s">
        <v>7510</v>
      </c>
      <c r="E3086" t="s">
        <v>7511</v>
      </c>
      <c r="F3086" s="121">
        <v>19444284.690000001</v>
      </c>
      <c r="G3086" s="121">
        <v>38123968</v>
      </c>
      <c r="H3086" t="s">
        <v>7511</v>
      </c>
      <c r="I3086" s="156">
        <v>40908</v>
      </c>
      <c r="J3086">
        <v>2160</v>
      </c>
      <c r="K3086" s="153"/>
      <c r="L3086" s="153"/>
      <c r="M3086" s="153"/>
      <c r="N3086" s="153"/>
      <c r="O3086" s="153"/>
      <c r="P3086" s="152"/>
      <c r="Q3086" s="152"/>
      <c r="R3086" s="153"/>
      <c r="S3086" s="154"/>
      <c r="T3086" s="151"/>
    </row>
    <row r="3087" spans="1:20">
      <c r="A3087" t="s">
        <v>1231</v>
      </c>
      <c r="B3087" t="s">
        <v>72</v>
      </c>
      <c r="C3087" t="s">
        <v>47</v>
      </c>
      <c r="D3087" t="s">
        <v>7512</v>
      </c>
      <c r="E3087" t="s">
        <v>7513</v>
      </c>
      <c r="F3087" s="121">
        <v>4284119.87</v>
      </c>
      <c r="G3087" s="121">
        <v>10096222</v>
      </c>
      <c r="H3087" t="s">
        <v>7513</v>
      </c>
      <c r="I3087" s="156">
        <v>40908</v>
      </c>
      <c r="J3087">
        <v>461.33</v>
      </c>
      <c r="K3087" s="153"/>
      <c r="L3087" s="153"/>
      <c r="M3087" s="153"/>
      <c r="N3087" s="153"/>
      <c r="O3087" s="153"/>
      <c r="P3087" s="152"/>
      <c r="Q3087" s="152"/>
      <c r="R3087" s="153"/>
      <c r="S3087" s="154"/>
      <c r="T3087" s="151"/>
    </row>
    <row r="3088" spans="1:20">
      <c r="A3088" t="s">
        <v>1231</v>
      </c>
      <c r="B3088" t="s">
        <v>72</v>
      </c>
      <c r="C3088" t="s">
        <v>47</v>
      </c>
      <c r="D3088" t="s">
        <v>7514</v>
      </c>
      <c r="E3088" t="s">
        <v>7515</v>
      </c>
      <c r="F3088" s="121">
        <v>8524925.4299999997</v>
      </c>
      <c r="G3088" s="121">
        <v>31845051</v>
      </c>
      <c r="H3088" t="s">
        <v>7515</v>
      </c>
      <c r="I3088" s="156">
        <v>40908</v>
      </c>
      <c r="J3088">
        <v>2667.76</v>
      </c>
      <c r="K3088" s="153"/>
      <c r="L3088" s="153"/>
      <c r="M3088" s="153"/>
      <c r="N3088" s="153"/>
      <c r="O3088" s="153"/>
      <c r="P3088" s="152"/>
      <c r="Q3088" s="152"/>
      <c r="R3088" s="153"/>
      <c r="S3088" s="154"/>
      <c r="T3088" s="151"/>
    </row>
    <row r="3089" spans="1:20">
      <c r="A3089" t="s">
        <v>1231</v>
      </c>
      <c r="B3089" t="s">
        <v>72</v>
      </c>
      <c r="C3089" t="s">
        <v>47</v>
      </c>
      <c r="D3089" t="s">
        <v>7516</v>
      </c>
      <c r="E3089" t="s">
        <v>7517</v>
      </c>
      <c r="F3089" s="121">
        <v>3019412.18</v>
      </c>
      <c r="G3089" s="121">
        <v>8199027</v>
      </c>
      <c r="H3089" t="s">
        <v>7517</v>
      </c>
      <c r="I3089" s="156">
        <v>40908</v>
      </c>
      <c r="J3089">
        <v>492.73</v>
      </c>
      <c r="K3089" s="153"/>
      <c r="L3089" s="153"/>
      <c r="M3089" s="153"/>
      <c r="N3089" s="153"/>
      <c r="O3089" s="153"/>
      <c r="P3089" s="152"/>
      <c r="Q3089" s="152"/>
      <c r="R3089" s="153"/>
      <c r="S3089" s="154"/>
      <c r="T3089" s="151"/>
    </row>
    <row r="3090" spans="1:20">
      <c r="A3090" t="s">
        <v>1231</v>
      </c>
      <c r="B3090" t="s">
        <v>72</v>
      </c>
      <c r="C3090" t="s">
        <v>47</v>
      </c>
      <c r="D3090" t="s">
        <v>7518</v>
      </c>
      <c r="E3090" t="s">
        <v>7519</v>
      </c>
      <c r="F3090" s="121">
        <v>4109779.85</v>
      </c>
      <c r="G3090" s="121">
        <v>9281318</v>
      </c>
      <c r="H3090" t="s">
        <v>7519</v>
      </c>
      <c r="I3090" s="156">
        <v>40908</v>
      </c>
      <c r="J3090">
        <v>486.82</v>
      </c>
      <c r="K3090" s="153"/>
      <c r="L3090" s="153"/>
      <c r="M3090" s="153"/>
      <c r="N3090" s="153"/>
      <c r="O3090" s="153"/>
      <c r="P3090" s="152"/>
      <c r="Q3090" s="152"/>
      <c r="R3090" s="153"/>
      <c r="S3090" s="154"/>
      <c r="T3090" s="151"/>
    </row>
    <row r="3091" spans="1:20">
      <c r="A3091" t="s">
        <v>1231</v>
      </c>
      <c r="B3091" t="s">
        <v>72</v>
      </c>
      <c r="C3091" t="s">
        <v>47</v>
      </c>
      <c r="D3091" t="s">
        <v>7520</v>
      </c>
      <c r="E3091" t="s">
        <v>7521</v>
      </c>
      <c r="F3091" s="121">
        <v>4567055.4000000004</v>
      </c>
      <c r="G3091" s="121">
        <v>11086825</v>
      </c>
      <c r="H3091" t="s">
        <v>7521</v>
      </c>
      <c r="I3091" s="156">
        <v>40908</v>
      </c>
      <c r="J3091">
        <v>491.8</v>
      </c>
      <c r="K3091" s="153"/>
      <c r="L3091" s="153"/>
      <c r="M3091" s="153"/>
      <c r="N3091" s="153"/>
      <c r="O3091" s="153"/>
      <c r="P3091" s="152"/>
      <c r="Q3091" s="152"/>
      <c r="R3091" s="153"/>
      <c r="S3091" s="154"/>
      <c r="T3091" s="151"/>
    </row>
    <row r="3092" spans="1:20">
      <c r="A3092" t="s">
        <v>1231</v>
      </c>
      <c r="B3092" t="s">
        <v>72</v>
      </c>
      <c r="C3092" t="s">
        <v>47</v>
      </c>
      <c r="D3092" t="s">
        <v>7504</v>
      </c>
      <c r="E3092" t="s">
        <v>7522</v>
      </c>
      <c r="F3092" s="121">
        <v>3379908.77</v>
      </c>
      <c r="G3092" s="121">
        <v>8619718</v>
      </c>
      <c r="H3092" t="s">
        <v>7522</v>
      </c>
      <c r="I3092" s="156">
        <v>40908</v>
      </c>
      <c r="J3092">
        <v>400.36</v>
      </c>
      <c r="K3092" s="153"/>
      <c r="L3092" s="153"/>
      <c r="M3092" s="153"/>
      <c r="N3092" s="153"/>
      <c r="O3092" s="153"/>
      <c r="P3092" s="152"/>
      <c r="Q3092" s="152"/>
      <c r="R3092" s="153"/>
      <c r="S3092" s="154"/>
      <c r="T3092" s="151"/>
    </row>
    <row r="3093" spans="1:20">
      <c r="A3093" t="s">
        <v>1231</v>
      </c>
      <c r="B3093" t="s">
        <v>72</v>
      </c>
      <c r="C3093" t="s">
        <v>47</v>
      </c>
      <c r="D3093" t="s">
        <v>7523</v>
      </c>
      <c r="E3093" t="s">
        <v>7524</v>
      </c>
      <c r="F3093" s="121">
        <v>3642330.07</v>
      </c>
      <c r="G3093" s="121">
        <v>9987868</v>
      </c>
      <c r="H3093" t="s">
        <v>7524</v>
      </c>
      <c r="I3093" s="156">
        <v>40908</v>
      </c>
      <c r="J3093">
        <v>492.79</v>
      </c>
      <c r="K3093" s="153"/>
      <c r="L3093" s="153"/>
      <c r="M3093" s="153"/>
      <c r="N3093" s="153"/>
      <c r="O3093" s="153"/>
      <c r="P3093" s="152"/>
      <c r="Q3093" s="152"/>
      <c r="R3093" s="153"/>
      <c r="S3093" s="154"/>
      <c r="T3093" s="151"/>
    </row>
    <row r="3094" spans="1:20">
      <c r="A3094" t="s">
        <v>1231</v>
      </c>
      <c r="B3094" t="s">
        <v>72</v>
      </c>
      <c r="C3094" t="s">
        <v>47</v>
      </c>
      <c r="D3094" t="s">
        <v>7525</v>
      </c>
      <c r="E3094" t="s">
        <v>7526</v>
      </c>
      <c r="F3094" s="121">
        <v>4368139.13</v>
      </c>
      <c r="G3094" s="121">
        <v>11022122</v>
      </c>
      <c r="H3094" t="s">
        <v>7526</v>
      </c>
      <c r="I3094" s="156">
        <v>40908</v>
      </c>
      <c r="J3094">
        <v>470.38</v>
      </c>
      <c r="K3094" s="153"/>
      <c r="L3094" s="153"/>
      <c r="M3094" s="153"/>
      <c r="N3094" s="153"/>
      <c r="O3094" s="153"/>
      <c r="P3094" s="152"/>
      <c r="Q3094" s="152"/>
      <c r="R3094" s="153"/>
      <c r="S3094" s="154"/>
      <c r="T3094" s="151"/>
    </row>
    <row r="3095" spans="1:20">
      <c r="A3095" t="s">
        <v>1231</v>
      </c>
      <c r="B3095" t="s">
        <v>72</v>
      </c>
      <c r="C3095" t="s">
        <v>47</v>
      </c>
      <c r="D3095" t="s">
        <v>7527</v>
      </c>
      <c r="E3095" t="s">
        <v>7528</v>
      </c>
      <c r="F3095" s="121">
        <v>4647538.4400000004</v>
      </c>
      <c r="G3095" s="121">
        <v>10650184</v>
      </c>
      <c r="H3095" t="s">
        <v>7528</v>
      </c>
      <c r="I3095" s="156">
        <v>40908</v>
      </c>
      <c r="J3095">
        <v>490.46</v>
      </c>
      <c r="K3095" s="153"/>
      <c r="L3095" s="153"/>
      <c r="M3095" s="153"/>
      <c r="N3095" s="153"/>
      <c r="O3095" s="153"/>
      <c r="P3095" s="152"/>
      <c r="Q3095" s="152"/>
      <c r="R3095" s="153"/>
      <c r="S3095" s="154"/>
      <c r="T3095" s="151"/>
    </row>
    <row r="3096" spans="1:20">
      <c r="A3096" t="s">
        <v>1231</v>
      </c>
      <c r="B3096" t="s">
        <v>72</v>
      </c>
      <c r="C3096" t="s">
        <v>47</v>
      </c>
      <c r="D3096" t="s">
        <v>7529</v>
      </c>
      <c r="E3096" t="s">
        <v>7530</v>
      </c>
      <c r="F3096" s="121">
        <v>4621858.24</v>
      </c>
      <c r="G3096" s="121">
        <v>10896644</v>
      </c>
      <c r="H3096" t="s">
        <v>7530</v>
      </c>
      <c r="I3096" s="156">
        <v>40908</v>
      </c>
      <c r="J3096">
        <v>497.7</v>
      </c>
      <c r="K3096" s="153"/>
      <c r="L3096" s="153"/>
      <c r="M3096" s="153"/>
      <c r="N3096" s="153"/>
      <c r="O3096" s="153"/>
      <c r="P3096" s="152"/>
      <c r="Q3096" s="152"/>
      <c r="R3096" s="153"/>
      <c r="S3096" s="154"/>
      <c r="T3096" s="151"/>
    </row>
    <row r="3097" spans="1:20">
      <c r="A3097" t="s">
        <v>1231</v>
      </c>
      <c r="B3097" t="s">
        <v>72</v>
      </c>
      <c r="C3097" t="s">
        <v>47</v>
      </c>
      <c r="D3097" t="s">
        <v>7531</v>
      </c>
      <c r="E3097" t="s">
        <v>7532</v>
      </c>
      <c r="F3097" s="121">
        <v>3097635.61</v>
      </c>
      <c r="G3097" s="121">
        <v>6838433</v>
      </c>
      <c r="H3097" t="s">
        <v>7532</v>
      </c>
      <c r="I3097" s="156">
        <v>40908</v>
      </c>
      <c r="J3097">
        <v>492.86</v>
      </c>
      <c r="K3097" s="153"/>
      <c r="L3097" s="153"/>
      <c r="M3097" s="153"/>
      <c r="N3097" s="153"/>
      <c r="O3097" s="153"/>
      <c r="P3097" s="152"/>
      <c r="Q3097" s="152"/>
      <c r="R3097" s="153"/>
      <c r="S3097" s="154"/>
      <c r="T3097" s="151"/>
    </row>
    <row r="3098" spans="1:20">
      <c r="A3098" t="s">
        <v>1231</v>
      </c>
      <c r="B3098" t="s">
        <v>72</v>
      </c>
      <c r="C3098" t="s">
        <v>47</v>
      </c>
      <c r="D3098" t="s">
        <v>7533</v>
      </c>
      <c r="E3098" t="s">
        <v>7534</v>
      </c>
      <c r="F3098" s="121">
        <v>4655680.0199999996</v>
      </c>
      <c r="G3098" s="121">
        <v>10247131</v>
      </c>
      <c r="H3098" t="s">
        <v>7534</v>
      </c>
      <c r="I3098" s="156">
        <v>40908</v>
      </c>
      <c r="J3098">
        <v>491.32</v>
      </c>
      <c r="K3098" s="153"/>
      <c r="L3098" s="153"/>
      <c r="M3098" s="153"/>
      <c r="N3098" s="153"/>
      <c r="O3098" s="153"/>
      <c r="P3098" s="152"/>
      <c r="Q3098" s="152"/>
      <c r="R3098" s="153"/>
      <c r="S3098" s="154"/>
      <c r="T3098" s="151"/>
    </row>
    <row r="3099" spans="1:20">
      <c r="A3099" t="s">
        <v>1230</v>
      </c>
      <c r="B3099" t="s">
        <v>72</v>
      </c>
      <c r="C3099" t="s">
        <v>47</v>
      </c>
      <c r="D3099" t="s">
        <v>7535</v>
      </c>
      <c r="E3099" t="s">
        <v>7536</v>
      </c>
      <c r="F3099" s="121">
        <v>2301823.58</v>
      </c>
      <c r="G3099" s="121">
        <v>2835553</v>
      </c>
      <c r="H3099" t="s">
        <v>7536</v>
      </c>
      <c r="I3099" s="156">
        <v>40908</v>
      </c>
      <c r="J3099">
        <v>720.41</v>
      </c>
      <c r="K3099" s="153"/>
      <c r="L3099" s="153"/>
      <c r="M3099" s="153"/>
      <c r="N3099" s="153"/>
      <c r="O3099" s="153"/>
      <c r="P3099" s="152"/>
      <c r="Q3099" s="152"/>
      <c r="R3099" s="153"/>
      <c r="S3099" s="154"/>
      <c r="T3099" s="151"/>
    </row>
    <row r="3100" spans="1:20">
      <c r="A3100" t="s">
        <v>1231</v>
      </c>
      <c r="B3100" t="s">
        <v>72</v>
      </c>
      <c r="C3100" t="s">
        <v>47</v>
      </c>
      <c r="D3100" t="s">
        <v>7537</v>
      </c>
      <c r="E3100" t="s">
        <v>7538</v>
      </c>
      <c r="F3100" s="121">
        <v>11889247.92</v>
      </c>
      <c r="G3100" s="121">
        <v>25908638.539999999</v>
      </c>
      <c r="H3100" t="s">
        <v>7538</v>
      </c>
      <c r="I3100" s="156">
        <v>40908</v>
      </c>
      <c r="J3100">
        <v>1275</v>
      </c>
      <c r="K3100" s="153"/>
      <c r="L3100" s="153"/>
      <c r="M3100" s="153"/>
      <c r="N3100" s="153"/>
      <c r="O3100" s="153"/>
      <c r="P3100" s="152"/>
      <c r="Q3100" s="152"/>
      <c r="R3100" s="153"/>
      <c r="S3100" s="154"/>
      <c r="T3100" s="151"/>
    </row>
    <row r="3101" spans="1:20">
      <c r="A3101" t="s">
        <v>1230</v>
      </c>
      <c r="B3101" t="s">
        <v>72</v>
      </c>
      <c r="C3101" t="s">
        <v>47</v>
      </c>
      <c r="D3101" t="s">
        <v>7539</v>
      </c>
      <c r="E3101" t="s">
        <v>7540</v>
      </c>
      <c r="F3101" s="121">
        <v>3896744.11</v>
      </c>
      <c r="G3101" s="121">
        <v>3668410</v>
      </c>
      <c r="H3101" t="s">
        <v>7540</v>
      </c>
      <c r="I3101" s="156">
        <v>40908</v>
      </c>
      <c r="J3101">
        <v>983.75</v>
      </c>
      <c r="K3101" s="153"/>
      <c r="L3101" s="153"/>
      <c r="M3101" s="153"/>
      <c r="N3101" s="153"/>
      <c r="O3101" s="153"/>
      <c r="P3101" s="152"/>
      <c r="Q3101" s="152"/>
      <c r="R3101" s="153"/>
      <c r="S3101" s="154"/>
      <c r="T3101" s="151"/>
    </row>
    <row r="3102" spans="1:20">
      <c r="A3102" t="s">
        <v>1231</v>
      </c>
      <c r="B3102" t="s">
        <v>72</v>
      </c>
      <c r="C3102" t="s">
        <v>47</v>
      </c>
      <c r="D3102" t="s">
        <v>7541</v>
      </c>
      <c r="E3102" t="s">
        <v>7542</v>
      </c>
      <c r="F3102" s="121">
        <v>240000</v>
      </c>
      <c r="G3102" s="121">
        <v>10852006.960000001</v>
      </c>
      <c r="H3102" t="s">
        <v>7542</v>
      </c>
      <c r="I3102" s="156">
        <v>40908</v>
      </c>
      <c r="J3102">
        <v>499.54</v>
      </c>
      <c r="K3102" s="153"/>
      <c r="L3102" s="153"/>
      <c r="M3102" s="153"/>
      <c r="N3102" s="153"/>
      <c r="O3102" s="153"/>
      <c r="P3102" s="152"/>
      <c r="Q3102" s="152"/>
      <c r="R3102" s="153"/>
      <c r="S3102" s="154"/>
      <c r="T3102" s="151"/>
    </row>
    <row r="3103" spans="1:20">
      <c r="A3103" t="s">
        <v>1231</v>
      </c>
      <c r="B3103" t="s">
        <v>72</v>
      </c>
      <c r="C3103" t="s">
        <v>47</v>
      </c>
      <c r="D3103" t="s">
        <v>7543</v>
      </c>
      <c r="E3103" t="s">
        <v>7544</v>
      </c>
      <c r="F3103" s="121">
        <v>225000</v>
      </c>
      <c r="G3103" s="121">
        <v>10243491</v>
      </c>
      <c r="H3103" t="s">
        <v>7544</v>
      </c>
      <c r="I3103" s="156">
        <v>40908</v>
      </c>
      <c r="J3103">
        <v>474.78</v>
      </c>
      <c r="K3103" s="153"/>
      <c r="L3103" s="153"/>
      <c r="M3103" s="153"/>
      <c r="N3103" s="153"/>
      <c r="O3103" s="153"/>
      <c r="P3103" s="152"/>
      <c r="Q3103" s="152"/>
      <c r="R3103" s="153"/>
      <c r="S3103" s="154"/>
      <c r="T3103" s="151"/>
    </row>
    <row r="3104" spans="1:20">
      <c r="A3104" t="s">
        <v>1231</v>
      </c>
      <c r="B3104" t="s">
        <v>72</v>
      </c>
      <c r="C3104" t="s">
        <v>47</v>
      </c>
      <c r="D3104" t="s">
        <v>7545</v>
      </c>
      <c r="E3104" t="s">
        <v>7546</v>
      </c>
      <c r="F3104" s="121">
        <v>225000</v>
      </c>
      <c r="G3104" s="121">
        <v>10500189</v>
      </c>
      <c r="H3104" t="s">
        <v>7546</v>
      </c>
      <c r="I3104" s="156">
        <v>40908</v>
      </c>
      <c r="J3104">
        <v>489.19</v>
      </c>
      <c r="K3104" s="153"/>
      <c r="L3104" s="153"/>
      <c r="M3104" s="153"/>
      <c r="N3104" s="153"/>
      <c r="O3104" s="153"/>
      <c r="P3104" s="152"/>
      <c r="Q3104" s="152"/>
      <c r="R3104" s="153"/>
      <c r="S3104" s="154"/>
      <c r="T3104" s="151"/>
    </row>
    <row r="3105" spans="1:20">
      <c r="A3105" t="s">
        <v>1231</v>
      </c>
      <c r="B3105" t="s">
        <v>72</v>
      </c>
      <c r="C3105" t="s">
        <v>47</v>
      </c>
      <c r="D3105" t="s">
        <v>7547</v>
      </c>
      <c r="E3105" t="s">
        <v>7548</v>
      </c>
      <c r="F3105" s="121">
        <v>225000</v>
      </c>
      <c r="G3105" s="121">
        <v>9297529</v>
      </c>
      <c r="H3105" t="s">
        <v>7548</v>
      </c>
      <c r="I3105" s="156">
        <v>40908</v>
      </c>
      <c r="J3105">
        <v>470.06</v>
      </c>
      <c r="K3105" s="153"/>
      <c r="L3105" s="153"/>
      <c r="M3105" s="153"/>
      <c r="N3105" s="153"/>
      <c r="O3105" s="153"/>
      <c r="P3105" s="152"/>
      <c r="Q3105" s="152"/>
      <c r="R3105" s="153"/>
      <c r="S3105" s="154"/>
      <c r="T3105" s="151"/>
    </row>
    <row r="3106" spans="1:20">
      <c r="A3106" t="s">
        <v>1231</v>
      </c>
      <c r="B3106" t="s">
        <v>72</v>
      </c>
      <c r="C3106" t="s">
        <v>47</v>
      </c>
      <c r="D3106" t="s">
        <v>7549</v>
      </c>
      <c r="E3106" t="s">
        <v>7550</v>
      </c>
      <c r="F3106" s="121">
        <v>240000</v>
      </c>
      <c r="G3106" s="121">
        <v>10989521</v>
      </c>
      <c r="H3106" t="s">
        <v>7550</v>
      </c>
      <c r="I3106" s="156">
        <v>40908</v>
      </c>
      <c r="J3106">
        <v>485.21</v>
      </c>
      <c r="K3106" s="153"/>
      <c r="L3106" s="153"/>
      <c r="M3106" s="153"/>
      <c r="N3106" s="153"/>
      <c r="O3106" s="153"/>
      <c r="P3106" s="152"/>
      <c r="Q3106" s="152"/>
      <c r="R3106" s="153"/>
      <c r="S3106" s="154"/>
      <c r="T3106" s="151"/>
    </row>
    <row r="3107" spans="1:20">
      <c r="A3107" t="s">
        <v>1231</v>
      </c>
      <c r="B3107" t="s">
        <v>72</v>
      </c>
      <c r="C3107" t="s">
        <v>47</v>
      </c>
      <c r="D3107" t="s">
        <v>7551</v>
      </c>
      <c r="E3107" t="s">
        <v>7552</v>
      </c>
      <c r="F3107" s="121">
        <v>240000</v>
      </c>
      <c r="G3107" s="121">
        <v>10247908</v>
      </c>
      <c r="H3107" t="s">
        <v>7552</v>
      </c>
      <c r="I3107" s="156">
        <v>40908</v>
      </c>
      <c r="J3107">
        <v>482.41</v>
      </c>
      <c r="K3107" s="153"/>
      <c r="L3107" s="153"/>
      <c r="M3107" s="153"/>
      <c r="N3107" s="153"/>
      <c r="O3107" s="153"/>
      <c r="P3107" s="152"/>
      <c r="Q3107" s="152"/>
      <c r="R3107" s="153"/>
      <c r="S3107" s="154"/>
      <c r="T3107" s="151"/>
    </row>
    <row r="3108" spans="1:20">
      <c r="A3108" t="s">
        <v>1231</v>
      </c>
      <c r="B3108" t="s">
        <v>72</v>
      </c>
      <c r="C3108" t="s">
        <v>47</v>
      </c>
      <c r="D3108" t="s">
        <v>7553</v>
      </c>
      <c r="E3108" t="s">
        <v>7554</v>
      </c>
      <c r="F3108" s="121">
        <v>4358597.3499999996</v>
      </c>
      <c r="G3108" s="121">
        <v>8825728</v>
      </c>
      <c r="H3108" t="s">
        <v>7554</v>
      </c>
      <c r="I3108" s="156">
        <v>40908</v>
      </c>
      <c r="J3108">
        <v>467.41</v>
      </c>
      <c r="K3108" s="153"/>
      <c r="L3108" s="153"/>
      <c r="M3108" s="153"/>
      <c r="N3108" s="153"/>
      <c r="O3108" s="153"/>
      <c r="P3108" s="152"/>
      <c r="Q3108" s="152"/>
      <c r="R3108" s="153"/>
      <c r="S3108" s="154"/>
      <c r="T3108" s="151"/>
    </row>
    <row r="3109" spans="1:20">
      <c r="A3109" t="s">
        <v>1231</v>
      </c>
      <c r="B3109" t="s">
        <v>72</v>
      </c>
      <c r="C3109" t="s">
        <v>47</v>
      </c>
      <c r="D3109" t="s">
        <v>7555</v>
      </c>
      <c r="E3109" t="s">
        <v>7556</v>
      </c>
      <c r="F3109" s="121">
        <v>3618988.22</v>
      </c>
      <c r="G3109" s="121">
        <v>5832367</v>
      </c>
      <c r="H3109" t="s">
        <v>7556</v>
      </c>
      <c r="I3109" s="156">
        <v>40908</v>
      </c>
      <c r="J3109">
        <v>388.09</v>
      </c>
      <c r="K3109" s="153"/>
      <c r="L3109" s="153"/>
      <c r="M3109" s="153"/>
      <c r="N3109" s="153"/>
      <c r="O3109" s="153"/>
      <c r="P3109" s="152"/>
      <c r="Q3109" s="152"/>
      <c r="R3109" s="153"/>
      <c r="S3109" s="154"/>
      <c r="T3109" s="151"/>
    </row>
    <row r="3110" spans="1:20">
      <c r="A3110" t="s">
        <v>1231</v>
      </c>
      <c r="B3110" t="s">
        <v>74</v>
      </c>
      <c r="C3110" t="s">
        <v>47</v>
      </c>
      <c r="D3110" t="s">
        <v>7557</v>
      </c>
      <c r="E3110" t="s">
        <v>7558</v>
      </c>
      <c r="F3110" s="121">
        <v>456521.74</v>
      </c>
      <c r="G3110" s="121">
        <v>956061</v>
      </c>
      <c r="H3110" t="s">
        <v>7558</v>
      </c>
      <c r="I3110" s="156">
        <v>40908</v>
      </c>
      <c r="J3110">
        <v>72.599999999999994</v>
      </c>
      <c r="K3110" s="153"/>
      <c r="L3110" s="153"/>
      <c r="M3110" s="153"/>
      <c r="N3110" s="153"/>
      <c r="O3110" s="153"/>
      <c r="P3110" s="152"/>
      <c r="Q3110" s="152"/>
      <c r="R3110" s="153"/>
      <c r="S3110" s="154"/>
      <c r="T3110" s="151"/>
    </row>
    <row r="3111" spans="1:20">
      <c r="A3111" t="s">
        <v>1231</v>
      </c>
      <c r="B3111" t="s">
        <v>74</v>
      </c>
      <c r="C3111" t="s">
        <v>47</v>
      </c>
      <c r="D3111" t="s">
        <v>7559</v>
      </c>
      <c r="E3111" t="s">
        <v>7560</v>
      </c>
      <c r="F3111" s="121">
        <v>304347.83</v>
      </c>
      <c r="G3111" s="121">
        <v>482171</v>
      </c>
      <c r="H3111" t="s">
        <v>7560</v>
      </c>
      <c r="I3111" s="156">
        <v>40908</v>
      </c>
      <c r="J3111">
        <v>48.4</v>
      </c>
      <c r="K3111" s="153"/>
      <c r="L3111" s="153"/>
      <c r="M3111" s="153"/>
      <c r="N3111" s="153"/>
      <c r="O3111" s="153"/>
      <c r="P3111" s="152"/>
      <c r="Q3111" s="152"/>
      <c r="R3111" s="153"/>
      <c r="S3111" s="154"/>
      <c r="T3111" s="151"/>
    </row>
    <row r="3112" spans="1:20">
      <c r="A3112" t="s">
        <v>1231</v>
      </c>
      <c r="B3112" t="s">
        <v>74</v>
      </c>
      <c r="C3112" t="s">
        <v>47</v>
      </c>
      <c r="D3112" t="s">
        <v>7561</v>
      </c>
      <c r="E3112" t="s">
        <v>7562</v>
      </c>
      <c r="F3112" s="121">
        <v>289130.43</v>
      </c>
      <c r="G3112" s="121">
        <v>303875</v>
      </c>
      <c r="H3112" t="s">
        <v>7562</v>
      </c>
      <c r="I3112" s="156">
        <v>40908</v>
      </c>
      <c r="J3112">
        <v>45.98</v>
      </c>
      <c r="K3112" s="153"/>
      <c r="L3112" s="153"/>
      <c r="M3112" s="153"/>
      <c r="N3112" s="153"/>
      <c r="O3112" s="153"/>
      <c r="P3112" s="152"/>
      <c r="Q3112" s="152"/>
      <c r="R3112" s="153"/>
      <c r="S3112" s="154"/>
      <c r="T3112" s="151"/>
    </row>
    <row r="3113" spans="1:20">
      <c r="A3113" t="s">
        <v>1231</v>
      </c>
      <c r="B3113" t="s">
        <v>72</v>
      </c>
      <c r="C3113" t="s">
        <v>47</v>
      </c>
      <c r="D3113" t="s">
        <v>7563</v>
      </c>
      <c r="E3113" t="s">
        <v>7564</v>
      </c>
      <c r="F3113" s="121">
        <v>4292809.66</v>
      </c>
      <c r="G3113" s="121">
        <v>11039345</v>
      </c>
      <c r="H3113" t="s">
        <v>7564</v>
      </c>
      <c r="I3113" s="156">
        <v>40908</v>
      </c>
      <c r="J3113">
        <v>495.27</v>
      </c>
      <c r="K3113" s="153"/>
      <c r="L3113" s="153"/>
      <c r="M3113" s="153"/>
      <c r="N3113" s="153"/>
      <c r="O3113" s="153"/>
      <c r="P3113" s="152"/>
      <c r="Q3113" s="152"/>
      <c r="R3113" s="153"/>
      <c r="S3113" s="154"/>
      <c r="T3113" s="151"/>
    </row>
    <row r="3114" spans="1:20">
      <c r="A3114" t="s">
        <v>1231</v>
      </c>
      <c r="B3114" t="s">
        <v>74</v>
      </c>
      <c r="C3114" t="s">
        <v>47</v>
      </c>
      <c r="D3114" t="s">
        <v>7565</v>
      </c>
      <c r="E3114" t="s">
        <v>7566</v>
      </c>
      <c r="F3114" s="121">
        <v>1511719.69</v>
      </c>
      <c r="G3114" s="121">
        <v>1806883</v>
      </c>
      <c r="H3114" t="s">
        <v>7566</v>
      </c>
      <c r="I3114" s="156">
        <v>40908</v>
      </c>
      <c r="J3114">
        <v>473.13</v>
      </c>
      <c r="K3114" s="153"/>
      <c r="L3114" s="153"/>
      <c r="M3114" s="153"/>
      <c r="N3114" s="153"/>
      <c r="O3114" s="153"/>
      <c r="P3114" s="152"/>
      <c r="Q3114" s="152"/>
      <c r="R3114" s="153"/>
      <c r="S3114" s="154"/>
      <c r="T3114" s="151"/>
    </row>
    <row r="3115" spans="1:20">
      <c r="A3115" t="s">
        <v>1230</v>
      </c>
      <c r="B3115" t="s">
        <v>72</v>
      </c>
      <c r="C3115" t="s">
        <v>47</v>
      </c>
      <c r="D3115" t="s">
        <v>7567</v>
      </c>
      <c r="E3115" t="s">
        <v>7568</v>
      </c>
      <c r="F3115" s="121">
        <v>8285916.7699999996</v>
      </c>
      <c r="G3115" s="121">
        <v>19804769</v>
      </c>
      <c r="H3115" t="s">
        <v>7568</v>
      </c>
      <c r="I3115" s="156">
        <v>40908</v>
      </c>
      <c r="J3115">
        <v>1125</v>
      </c>
      <c r="K3115" s="153"/>
      <c r="L3115" s="153"/>
      <c r="M3115" s="153"/>
      <c r="N3115" s="153"/>
      <c r="O3115" s="153"/>
      <c r="P3115" s="152"/>
      <c r="Q3115" s="152"/>
      <c r="R3115" s="153"/>
      <c r="S3115" s="154"/>
      <c r="T3115" s="151"/>
    </row>
    <row r="3116" spans="1:20">
      <c r="A3116" t="s">
        <v>1231</v>
      </c>
      <c r="B3116" t="s">
        <v>74</v>
      </c>
      <c r="C3116" t="s">
        <v>47</v>
      </c>
      <c r="D3116" t="s">
        <v>7569</v>
      </c>
      <c r="E3116" t="s">
        <v>7570</v>
      </c>
      <c r="F3116" s="121">
        <v>1312439.03</v>
      </c>
      <c r="G3116" s="121">
        <v>1568692</v>
      </c>
      <c r="H3116" t="s">
        <v>7570</v>
      </c>
      <c r="I3116" s="156">
        <v>40908</v>
      </c>
      <c r="J3116">
        <v>410.76</v>
      </c>
      <c r="K3116" s="153"/>
      <c r="L3116" s="153"/>
      <c r="M3116" s="153"/>
      <c r="N3116" s="153"/>
      <c r="O3116" s="153"/>
      <c r="P3116" s="152"/>
      <c r="Q3116" s="152"/>
      <c r="R3116" s="153"/>
      <c r="S3116" s="154"/>
      <c r="T3116" s="151"/>
    </row>
    <row r="3117" spans="1:20">
      <c r="A3117" t="s">
        <v>1231</v>
      </c>
      <c r="B3117" t="s">
        <v>74</v>
      </c>
      <c r="C3117" t="s">
        <v>47</v>
      </c>
      <c r="D3117" t="s">
        <v>7571</v>
      </c>
      <c r="E3117" t="s">
        <v>7572</v>
      </c>
      <c r="F3117" s="121">
        <v>1379611.67</v>
      </c>
      <c r="G3117" s="121">
        <v>1648968</v>
      </c>
      <c r="H3117" t="s">
        <v>7572</v>
      </c>
      <c r="I3117" s="156">
        <v>40908</v>
      </c>
      <c r="J3117">
        <v>431.78</v>
      </c>
      <c r="K3117" s="153"/>
      <c r="L3117" s="153"/>
      <c r="M3117" s="153"/>
      <c r="N3117" s="153"/>
      <c r="O3117" s="153"/>
      <c r="P3117" s="152"/>
      <c r="Q3117" s="152"/>
      <c r="R3117" s="153"/>
      <c r="S3117" s="154"/>
      <c r="T3117" s="151"/>
    </row>
    <row r="3118" spans="1:20">
      <c r="A3118" t="s">
        <v>1231</v>
      </c>
      <c r="B3118" t="s">
        <v>74</v>
      </c>
      <c r="C3118" t="s">
        <v>47</v>
      </c>
      <c r="D3118" t="s">
        <v>7573</v>
      </c>
      <c r="E3118" t="s">
        <v>7574</v>
      </c>
      <c r="F3118" s="121">
        <v>1521597.14</v>
      </c>
      <c r="G3118" s="121">
        <v>1818684</v>
      </c>
      <c r="H3118" t="s">
        <v>7574</v>
      </c>
      <c r="I3118" s="156">
        <v>40908</v>
      </c>
      <c r="J3118">
        <v>476.22</v>
      </c>
      <c r="K3118" s="153"/>
      <c r="L3118" s="153"/>
      <c r="M3118" s="153"/>
      <c r="N3118" s="153"/>
      <c r="O3118" s="153"/>
      <c r="P3118" s="152"/>
      <c r="Q3118" s="152"/>
      <c r="R3118" s="153"/>
      <c r="S3118" s="154"/>
      <c r="T3118" s="151"/>
    </row>
    <row r="3119" spans="1:20">
      <c r="A3119" t="s">
        <v>1231</v>
      </c>
      <c r="B3119" t="s">
        <v>74</v>
      </c>
      <c r="C3119" t="s">
        <v>47</v>
      </c>
      <c r="D3119" t="s">
        <v>7575</v>
      </c>
      <c r="E3119" t="s">
        <v>7576</v>
      </c>
      <c r="F3119" s="121">
        <v>1346623.8</v>
      </c>
      <c r="G3119" s="121">
        <v>1609556</v>
      </c>
      <c r="H3119" t="s">
        <v>7576</v>
      </c>
      <c r="I3119" s="156">
        <v>40908</v>
      </c>
      <c r="J3119">
        <v>421.46</v>
      </c>
      <c r="K3119" s="153"/>
      <c r="L3119" s="153"/>
      <c r="M3119" s="153"/>
      <c r="N3119" s="153"/>
      <c r="O3119" s="153"/>
      <c r="P3119" s="152"/>
      <c r="Q3119" s="152"/>
      <c r="R3119" s="153"/>
      <c r="S3119" s="154"/>
      <c r="T3119" s="151"/>
    </row>
    <row r="3120" spans="1:20">
      <c r="A3120" t="s">
        <v>1231</v>
      </c>
      <c r="B3120" t="s">
        <v>74</v>
      </c>
      <c r="C3120" t="s">
        <v>47</v>
      </c>
      <c r="D3120" t="s">
        <v>7577</v>
      </c>
      <c r="E3120" t="s">
        <v>7578</v>
      </c>
      <c r="F3120" s="121">
        <v>1568263.38</v>
      </c>
      <c r="G3120" s="121">
        <v>1874480</v>
      </c>
      <c r="H3120" t="s">
        <v>7578</v>
      </c>
      <c r="I3120" s="156">
        <v>40908</v>
      </c>
      <c r="J3120">
        <v>490.82</v>
      </c>
      <c r="K3120" s="153"/>
      <c r="L3120" s="153"/>
      <c r="M3120" s="153"/>
      <c r="N3120" s="153"/>
      <c r="O3120" s="153"/>
      <c r="P3120" s="152"/>
      <c r="Q3120" s="152"/>
      <c r="R3120" s="153"/>
      <c r="S3120" s="154"/>
      <c r="T3120" s="151"/>
    </row>
    <row r="3121" spans="1:20">
      <c r="A3121" t="s">
        <v>1231</v>
      </c>
      <c r="B3121" t="s">
        <v>74</v>
      </c>
      <c r="C3121" t="s">
        <v>47</v>
      </c>
      <c r="D3121" t="s">
        <v>7579</v>
      </c>
      <c r="E3121" t="s">
        <v>7580</v>
      </c>
      <c r="F3121" s="121">
        <v>1541974.76</v>
      </c>
      <c r="G3121" s="121">
        <v>1843049</v>
      </c>
      <c r="H3121" t="s">
        <v>7580</v>
      </c>
      <c r="I3121" s="156">
        <v>40908</v>
      </c>
      <c r="J3121">
        <v>482.6</v>
      </c>
      <c r="K3121" s="153"/>
      <c r="L3121" s="153"/>
      <c r="M3121" s="153"/>
      <c r="N3121" s="153"/>
      <c r="O3121" s="153"/>
      <c r="P3121" s="152"/>
      <c r="Q3121" s="152"/>
      <c r="R3121" s="153"/>
      <c r="S3121" s="154"/>
      <c r="T3121" s="151"/>
    </row>
    <row r="3122" spans="1:20">
      <c r="A3122" t="s">
        <v>1231</v>
      </c>
      <c r="B3122" t="s">
        <v>74</v>
      </c>
      <c r="C3122" t="s">
        <v>47</v>
      </c>
      <c r="D3122" t="s">
        <v>7581</v>
      </c>
      <c r="E3122" t="s">
        <v>7582</v>
      </c>
      <c r="F3122" s="121">
        <v>994228.05</v>
      </c>
      <c r="G3122" s="121">
        <v>1188358</v>
      </c>
      <c r="H3122" t="s">
        <v>7582</v>
      </c>
      <c r="I3122" s="156">
        <v>40908</v>
      </c>
      <c r="J3122">
        <v>311.16000000000003</v>
      </c>
      <c r="K3122" s="153"/>
      <c r="L3122" s="153"/>
      <c r="M3122" s="153"/>
      <c r="N3122" s="153"/>
      <c r="O3122" s="153"/>
      <c r="P3122" s="152"/>
      <c r="Q3122" s="152"/>
      <c r="R3122" s="153"/>
      <c r="S3122" s="154"/>
      <c r="T3122" s="151"/>
    </row>
    <row r="3123" spans="1:20">
      <c r="A3123" t="s">
        <v>1230</v>
      </c>
      <c r="B3123" t="s">
        <v>73</v>
      </c>
      <c r="C3123" t="s">
        <v>47</v>
      </c>
      <c r="D3123" t="s">
        <v>7583</v>
      </c>
      <c r="E3123" t="s">
        <v>7584</v>
      </c>
      <c r="F3123" s="121">
        <v>7399928.1100000003</v>
      </c>
      <c r="G3123" s="121">
        <v>17763556</v>
      </c>
      <c r="H3123" t="s">
        <v>7584</v>
      </c>
      <c r="I3123" s="156">
        <v>40908</v>
      </c>
      <c r="J3123">
        <v>1350</v>
      </c>
      <c r="K3123" s="153"/>
      <c r="L3123" s="153"/>
      <c r="M3123" s="153"/>
      <c r="N3123" s="153"/>
      <c r="O3123" s="153"/>
      <c r="P3123" s="152"/>
      <c r="Q3123" s="152"/>
      <c r="R3123" s="153"/>
      <c r="S3123" s="154"/>
      <c r="T3123" s="151"/>
    </row>
    <row r="3124" spans="1:20">
      <c r="A3124" t="s">
        <v>1231</v>
      </c>
      <c r="B3124" t="s">
        <v>72</v>
      </c>
      <c r="C3124" t="s">
        <v>47</v>
      </c>
      <c r="D3124" t="s">
        <v>7585</v>
      </c>
      <c r="E3124" t="s">
        <v>7586</v>
      </c>
      <c r="F3124" s="121">
        <v>175000</v>
      </c>
      <c r="G3124" s="121">
        <v>1302166</v>
      </c>
      <c r="H3124" t="s">
        <v>7586</v>
      </c>
      <c r="I3124" s="156">
        <v>40908</v>
      </c>
      <c r="J3124">
        <v>349.19</v>
      </c>
      <c r="K3124" s="153"/>
      <c r="L3124" s="153"/>
      <c r="M3124" s="153"/>
      <c r="N3124" s="153"/>
      <c r="O3124" s="153"/>
      <c r="P3124" s="152"/>
      <c r="Q3124" s="152"/>
      <c r="R3124" s="153"/>
      <c r="S3124" s="154"/>
      <c r="T3124" s="151"/>
    </row>
    <row r="3125" spans="1:20">
      <c r="A3125" t="s">
        <v>1231</v>
      </c>
      <c r="B3125" t="s">
        <v>74</v>
      </c>
      <c r="C3125" t="s">
        <v>47</v>
      </c>
      <c r="D3125" t="s">
        <v>7587</v>
      </c>
      <c r="E3125" t="s">
        <v>7588</v>
      </c>
      <c r="F3125" s="121">
        <v>1528410.13</v>
      </c>
      <c r="G3125" s="121">
        <v>5067267</v>
      </c>
      <c r="H3125" t="s">
        <v>7588</v>
      </c>
      <c r="I3125" s="156">
        <v>40908</v>
      </c>
      <c r="J3125">
        <v>478.35</v>
      </c>
      <c r="K3125" s="153"/>
      <c r="L3125" s="153"/>
      <c r="M3125" s="153"/>
      <c r="N3125" s="153"/>
      <c r="O3125" s="153"/>
      <c r="P3125" s="152"/>
      <c r="Q3125" s="152"/>
      <c r="R3125" s="153"/>
      <c r="S3125" s="154"/>
      <c r="T3125" s="151"/>
    </row>
    <row r="3126" spans="1:20">
      <c r="A3126" t="s">
        <v>1231</v>
      </c>
      <c r="B3126" t="s">
        <v>74</v>
      </c>
      <c r="C3126" t="s">
        <v>47</v>
      </c>
      <c r="D3126" t="s">
        <v>7589</v>
      </c>
      <c r="E3126" t="s">
        <v>7590</v>
      </c>
      <c r="F3126" s="121">
        <v>1078737.02</v>
      </c>
      <c r="G3126" s="121">
        <v>7539857</v>
      </c>
      <c r="H3126" t="s">
        <v>7590</v>
      </c>
      <c r="I3126" s="156">
        <v>40908</v>
      </c>
      <c r="J3126">
        <v>491.42</v>
      </c>
      <c r="K3126" s="153"/>
      <c r="L3126" s="153"/>
      <c r="M3126" s="153"/>
      <c r="N3126" s="153"/>
      <c r="O3126" s="153"/>
      <c r="P3126" s="152"/>
      <c r="Q3126" s="152"/>
      <c r="R3126" s="153"/>
      <c r="S3126" s="154"/>
      <c r="T3126" s="151"/>
    </row>
    <row r="3127" spans="1:20">
      <c r="A3127" t="s">
        <v>1231</v>
      </c>
      <c r="B3127" t="s">
        <v>74</v>
      </c>
      <c r="C3127" t="s">
        <v>47</v>
      </c>
      <c r="D3127" t="s">
        <v>7591</v>
      </c>
      <c r="E3127" t="s">
        <v>7592</v>
      </c>
      <c r="F3127" s="121">
        <v>1135248.27</v>
      </c>
      <c r="G3127" s="121">
        <v>7383582</v>
      </c>
      <c r="H3127" t="s">
        <v>7592</v>
      </c>
      <c r="I3127" s="156">
        <v>40908</v>
      </c>
      <c r="J3127">
        <v>369.98</v>
      </c>
      <c r="K3127" s="153"/>
      <c r="L3127" s="153"/>
      <c r="M3127" s="153"/>
      <c r="N3127" s="153"/>
      <c r="O3127" s="153"/>
      <c r="P3127" s="152"/>
      <c r="Q3127" s="152"/>
      <c r="R3127" s="153"/>
      <c r="S3127" s="154"/>
      <c r="T3127" s="151"/>
    </row>
    <row r="3128" spans="1:20">
      <c r="A3128" t="s">
        <v>1231</v>
      </c>
      <c r="B3128" t="s">
        <v>72</v>
      </c>
      <c r="C3128" t="s">
        <v>47</v>
      </c>
      <c r="D3128" t="s">
        <v>7593</v>
      </c>
      <c r="E3128" t="s">
        <v>7594</v>
      </c>
      <c r="F3128" s="121">
        <v>2888690.07</v>
      </c>
      <c r="G3128" s="121">
        <v>3731308</v>
      </c>
      <c r="H3128" t="s">
        <v>7594</v>
      </c>
      <c r="I3128" s="156">
        <v>40908</v>
      </c>
      <c r="J3128">
        <v>471.42</v>
      </c>
      <c r="K3128" s="153"/>
      <c r="L3128" s="153"/>
      <c r="M3128" s="153"/>
      <c r="N3128" s="153"/>
      <c r="O3128" s="153"/>
      <c r="P3128" s="152"/>
      <c r="Q3128" s="152"/>
      <c r="R3128" s="153"/>
      <c r="S3128" s="154"/>
      <c r="T3128" s="151"/>
    </row>
    <row r="3129" spans="1:20">
      <c r="A3129" t="s">
        <v>1231</v>
      </c>
      <c r="B3129" t="s">
        <v>72</v>
      </c>
      <c r="C3129" t="s">
        <v>47</v>
      </c>
      <c r="D3129" t="s">
        <v>7595</v>
      </c>
      <c r="E3129" t="s">
        <v>7596</v>
      </c>
      <c r="F3129" s="121">
        <v>50000</v>
      </c>
      <c r="G3129" s="121">
        <v>372904</v>
      </c>
      <c r="H3129" t="s">
        <v>7596</v>
      </c>
      <c r="I3129" s="156">
        <v>40908</v>
      </c>
      <c r="J3129">
        <v>100</v>
      </c>
      <c r="K3129" s="153"/>
      <c r="L3129" s="153"/>
      <c r="M3129" s="153"/>
      <c r="N3129" s="153"/>
      <c r="O3129" s="153"/>
      <c r="P3129" s="152"/>
      <c r="Q3129" s="152"/>
      <c r="R3129" s="153"/>
      <c r="S3129" s="154"/>
      <c r="T3129" s="151"/>
    </row>
    <row r="3130" spans="1:20">
      <c r="A3130" t="s">
        <v>1231</v>
      </c>
      <c r="B3130" t="s">
        <v>72</v>
      </c>
      <c r="C3130" t="s">
        <v>47</v>
      </c>
      <c r="D3130" t="s">
        <v>7597</v>
      </c>
      <c r="E3130" t="s">
        <v>7598</v>
      </c>
      <c r="F3130" s="121">
        <v>130000</v>
      </c>
      <c r="G3130" s="121">
        <v>4065823</v>
      </c>
      <c r="H3130" t="s">
        <v>7598</v>
      </c>
      <c r="I3130" s="156">
        <v>40908</v>
      </c>
      <c r="J3130">
        <v>256.29000000000002</v>
      </c>
      <c r="K3130" s="153"/>
      <c r="L3130" s="153"/>
      <c r="M3130" s="153"/>
      <c r="N3130" s="153"/>
      <c r="O3130" s="153"/>
      <c r="P3130" s="152"/>
      <c r="Q3130" s="152"/>
      <c r="R3130" s="153"/>
      <c r="S3130" s="154"/>
      <c r="T3130" s="151"/>
    </row>
    <row r="3131" spans="1:20">
      <c r="A3131" t="s">
        <v>1230</v>
      </c>
      <c r="B3131" t="s">
        <v>74</v>
      </c>
      <c r="C3131" t="s">
        <v>47</v>
      </c>
      <c r="D3131" t="s">
        <v>7599</v>
      </c>
      <c r="E3131" t="s">
        <v>7600</v>
      </c>
      <c r="F3131" s="121">
        <v>39459701.68</v>
      </c>
      <c r="G3131" s="121">
        <v>135548994</v>
      </c>
      <c r="H3131" t="s">
        <v>7600</v>
      </c>
      <c r="I3131" s="156">
        <v>40908</v>
      </c>
      <c r="J3131">
        <v>7952.6</v>
      </c>
      <c r="K3131" s="153"/>
      <c r="L3131" s="153"/>
      <c r="M3131" s="153"/>
      <c r="N3131" s="153"/>
      <c r="O3131" s="153"/>
      <c r="P3131" s="152"/>
      <c r="Q3131" s="152"/>
      <c r="R3131" s="153"/>
      <c r="S3131" s="154"/>
      <c r="T3131" s="151"/>
    </row>
    <row r="3132" spans="1:20">
      <c r="A3132" t="s">
        <v>1230</v>
      </c>
      <c r="B3132" t="s">
        <v>74</v>
      </c>
      <c r="C3132" t="s">
        <v>47</v>
      </c>
      <c r="D3132" t="s">
        <v>7539</v>
      </c>
      <c r="E3132" t="s">
        <v>7601</v>
      </c>
      <c r="F3132" s="121">
        <v>3182383.85</v>
      </c>
      <c r="G3132" s="121">
        <v>8484874</v>
      </c>
      <c r="H3132" t="s">
        <v>7601</v>
      </c>
      <c r="I3132" s="156">
        <v>40908</v>
      </c>
      <c r="J3132">
        <v>905.46</v>
      </c>
      <c r="K3132" s="153"/>
      <c r="L3132" s="153"/>
      <c r="M3132" s="153"/>
      <c r="N3132" s="153"/>
      <c r="O3132" s="153"/>
      <c r="P3132" s="152"/>
      <c r="Q3132" s="152"/>
      <c r="R3132" s="153"/>
      <c r="S3132" s="154"/>
      <c r="T3132" s="151"/>
    </row>
    <row r="3133" spans="1:20">
      <c r="A3133" t="s">
        <v>1231</v>
      </c>
      <c r="B3133" t="s">
        <v>74</v>
      </c>
      <c r="C3133" t="s">
        <v>47</v>
      </c>
      <c r="D3133" t="s">
        <v>7602</v>
      </c>
      <c r="E3133" t="s">
        <v>7603</v>
      </c>
      <c r="F3133" s="121">
        <v>1561819.75</v>
      </c>
      <c r="G3133" s="121">
        <v>1866765</v>
      </c>
      <c r="H3133" t="s">
        <v>7603</v>
      </c>
      <c r="I3133" s="156">
        <v>40908</v>
      </c>
      <c r="J3133">
        <v>488.81</v>
      </c>
      <c r="K3133" s="153"/>
      <c r="L3133" s="153"/>
      <c r="M3133" s="153"/>
      <c r="N3133" s="153"/>
      <c r="O3133" s="153"/>
      <c r="P3133" s="152"/>
      <c r="Q3133" s="152"/>
      <c r="R3133" s="153"/>
      <c r="S3133" s="154"/>
      <c r="T3133" s="123"/>
    </row>
    <row r="3134" spans="1:20">
      <c r="A3134" t="s">
        <v>1231</v>
      </c>
      <c r="B3134" t="s">
        <v>74</v>
      </c>
      <c r="C3134" t="s">
        <v>47</v>
      </c>
      <c r="D3134" t="s">
        <v>7604</v>
      </c>
      <c r="E3134" t="s">
        <v>7605</v>
      </c>
      <c r="F3134" s="121">
        <v>4792385.1399999997</v>
      </c>
      <c r="G3134" s="121">
        <v>5728118</v>
      </c>
      <c r="H3134" t="s">
        <v>7605</v>
      </c>
      <c r="I3134" s="156">
        <v>40908</v>
      </c>
      <c r="J3134">
        <v>1499.9</v>
      </c>
      <c r="K3134" s="153"/>
      <c r="L3134" s="153"/>
      <c r="M3134" s="153"/>
      <c r="N3134" s="153"/>
      <c r="O3134" s="153"/>
      <c r="P3134" s="152"/>
      <c r="Q3134" s="152"/>
      <c r="R3134" s="153"/>
      <c r="S3134" s="154"/>
      <c r="T3134" s="123"/>
    </row>
    <row r="3135" spans="1:20">
      <c r="A3135" t="s">
        <v>1231</v>
      </c>
      <c r="B3135" t="s">
        <v>72</v>
      </c>
      <c r="C3135" t="s">
        <v>47</v>
      </c>
      <c r="D3135" t="s">
        <v>7606</v>
      </c>
      <c r="E3135" t="s">
        <v>7607</v>
      </c>
      <c r="F3135" s="121">
        <v>36000</v>
      </c>
      <c r="G3135" s="121">
        <v>303060</v>
      </c>
      <c r="H3135" t="s">
        <v>7607</v>
      </c>
      <c r="I3135" s="156">
        <v>40908</v>
      </c>
      <c r="J3135">
        <v>73.14</v>
      </c>
      <c r="K3135" s="153"/>
      <c r="L3135" s="153"/>
      <c r="M3135" s="153"/>
      <c r="N3135" s="153"/>
      <c r="O3135" s="153"/>
      <c r="P3135" s="152"/>
      <c r="Q3135" s="152"/>
      <c r="R3135" s="153"/>
      <c r="S3135" s="154"/>
      <c r="T3135" s="123"/>
    </row>
    <row r="3136" spans="1:20">
      <c r="A3136" t="s">
        <v>1231</v>
      </c>
      <c r="B3136" t="s">
        <v>72</v>
      </c>
      <c r="C3136" t="s">
        <v>47</v>
      </c>
      <c r="D3136" t="s">
        <v>7608</v>
      </c>
      <c r="E3136" t="s">
        <v>7609</v>
      </c>
      <c r="F3136" s="121">
        <v>150000</v>
      </c>
      <c r="G3136" s="121">
        <v>1937626</v>
      </c>
      <c r="H3136" t="s">
        <v>7609</v>
      </c>
      <c r="I3136" s="156">
        <v>40908</v>
      </c>
      <c r="J3136">
        <v>308.49</v>
      </c>
      <c r="K3136" s="153"/>
      <c r="L3136" s="153"/>
      <c r="M3136" s="153"/>
      <c r="N3136" s="153"/>
      <c r="O3136" s="153"/>
      <c r="P3136" s="152"/>
      <c r="Q3136" s="152"/>
      <c r="R3136" s="153"/>
      <c r="S3136" s="154"/>
      <c r="T3136" s="123"/>
    </row>
    <row r="3137" spans="1:20">
      <c r="A3137" t="s">
        <v>1405</v>
      </c>
      <c r="B3137" t="s">
        <v>72</v>
      </c>
      <c r="C3137" t="s">
        <v>47</v>
      </c>
      <c r="D3137" t="s">
        <v>7610</v>
      </c>
      <c r="E3137" t="s">
        <v>7611</v>
      </c>
      <c r="F3137" s="121">
        <v>269000</v>
      </c>
      <c r="G3137" s="121">
        <v>7213429</v>
      </c>
      <c r="H3137" t="s">
        <v>7611</v>
      </c>
      <c r="I3137" s="156">
        <v>40908</v>
      </c>
      <c r="J3137">
        <v>336.92</v>
      </c>
      <c r="K3137" s="153"/>
      <c r="L3137" s="153"/>
      <c r="M3137" s="153"/>
      <c r="N3137" s="153"/>
      <c r="O3137" s="153"/>
      <c r="P3137" s="152"/>
      <c r="Q3137" s="152"/>
      <c r="R3137" s="153"/>
      <c r="S3137" s="154"/>
      <c r="T3137" s="123"/>
    </row>
    <row r="3138" spans="1:20">
      <c r="A3138" t="s">
        <v>1405</v>
      </c>
      <c r="B3138" t="s">
        <v>72</v>
      </c>
      <c r="C3138" t="s">
        <v>47</v>
      </c>
      <c r="D3138" t="s">
        <v>7612</v>
      </c>
      <c r="E3138" t="s">
        <v>7613</v>
      </c>
      <c r="F3138" s="121">
        <v>270000</v>
      </c>
      <c r="G3138" s="121">
        <v>7087446</v>
      </c>
      <c r="H3138" t="s">
        <v>7613</v>
      </c>
      <c r="I3138" s="156">
        <v>40908</v>
      </c>
      <c r="J3138">
        <v>337.51</v>
      </c>
      <c r="K3138" s="153"/>
      <c r="L3138" s="153"/>
      <c r="M3138" s="153"/>
      <c r="N3138" s="153"/>
      <c r="O3138" s="153"/>
      <c r="P3138" s="152"/>
      <c r="Q3138" s="152"/>
      <c r="R3138" s="153"/>
      <c r="S3138" s="154"/>
      <c r="T3138" s="123"/>
    </row>
    <row r="3139" spans="1:20">
      <c r="A3139" t="s">
        <v>1405</v>
      </c>
      <c r="B3139" t="s">
        <v>72</v>
      </c>
      <c r="C3139" t="s">
        <v>47</v>
      </c>
      <c r="D3139" t="s">
        <v>7614</v>
      </c>
      <c r="E3139" t="s">
        <v>7615</v>
      </c>
      <c r="F3139" s="121">
        <v>250000</v>
      </c>
      <c r="G3139" s="121">
        <v>7398850</v>
      </c>
      <c r="H3139" t="s">
        <v>7615</v>
      </c>
      <c r="I3139" s="156">
        <v>40908</v>
      </c>
      <c r="J3139">
        <v>313.70999999999998</v>
      </c>
      <c r="K3139" s="153"/>
      <c r="L3139" s="153"/>
      <c r="M3139" s="153"/>
      <c r="N3139" s="153"/>
      <c r="O3139" s="153"/>
      <c r="P3139" s="152"/>
      <c r="Q3139" s="152"/>
      <c r="R3139" s="153"/>
      <c r="S3139" s="154"/>
      <c r="T3139" s="123"/>
    </row>
    <row r="3140" spans="1:20">
      <c r="A3140" t="s">
        <v>1405</v>
      </c>
      <c r="B3140" t="s">
        <v>72</v>
      </c>
      <c r="C3140" t="s">
        <v>47</v>
      </c>
      <c r="D3140" t="s">
        <v>7616</v>
      </c>
      <c r="E3140" t="s">
        <v>7617</v>
      </c>
      <c r="F3140" s="121">
        <v>268000</v>
      </c>
      <c r="G3140" s="121">
        <v>6990355</v>
      </c>
      <c r="H3140" t="s">
        <v>7617</v>
      </c>
      <c r="I3140" s="156">
        <v>40908</v>
      </c>
      <c r="J3140">
        <v>335.94</v>
      </c>
      <c r="K3140" s="153"/>
      <c r="L3140" s="153"/>
      <c r="M3140" s="153"/>
      <c r="N3140" s="153"/>
      <c r="O3140" s="153"/>
      <c r="P3140" s="152"/>
      <c r="Q3140" s="152"/>
      <c r="R3140" s="153"/>
      <c r="S3140" s="154"/>
      <c r="T3140" s="123"/>
    </row>
    <row r="3141" spans="1:20">
      <c r="A3141" t="s">
        <v>1231</v>
      </c>
      <c r="B3141" t="s">
        <v>72</v>
      </c>
      <c r="C3141" t="s">
        <v>47</v>
      </c>
      <c r="D3141" t="s">
        <v>7618</v>
      </c>
      <c r="E3141" t="s">
        <v>7619</v>
      </c>
      <c r="F3141" s="121">
        <v>40000</v>
      </c>
      <c r="G3141" s="121">
        <v>153753</v>
      </c>
      <c r="H3141" t="s">
        <v>7619</v>
      </c>
      <c r="I3141" s="156">
        <v>40908</v>
      </c>
      <c r="J3141">
        <v>60.5</v>
      </c>
      <c r="K3141" s="153"/>
      <c r="L3141" s="153"/>
      <c r="M3141" s="153"/>
      <c r="N3141" s="153"/>
      <c r="O3141" s="153"/>
      <c r="P3141" s="152"/>
      <c r="Q3141" s="152"/>
      <c r="R3141" s="153"/>
      <c r="S3141" s="154"/>
      <c r="T3141" s="123"/>
    </row>
    <row r="3142" spans="1:20">
      <c r="A3142" t="s">
        <v>1405</v>
      </c>
      <c r="B3142" t="s">
        <v>72</v>
      </c>
      <c r="C3142" t="s">
        <v>47</v>
      </c>
      <c r="D3142" t="s">
        <v>7620</v>
      </c>
      <c r="E3142" t="s">
        <v>7621</v>
      </c>
      <c r="F3142" s="121">
        <v>271000</v>
      </c>
      <c r="G3142" s="121">
        <v>7498315</v>
      </c>
      <c r="H3142" t="s">
        <v>7621</v>
      </c>
      <c r="I3142" s="156">
        <v>40908</v>
      </c>
      <c r="J3142">
        <v>337.9</v>
      </c>
      <c r="K3142" s="153"/>
      <c r="L3142" s="153"/>
      <c r="M3142" s="153"/>
      <c r="N3142" s="153"/>
      <c r="O3142" s="153"/>
      <c r="P3142" s="150"/>
      <c r="Q3142" s="150"/>
      <c r="R3142" s="153"/>
      <c r="S3142" s="154"/>
      <c r="T3142" s="123"/>
    </row>
    <row r="3143" spans="1:20">
      <c r="A3143" t="s">
        <v>1231</v>
      </c>
      <c r="B3143" t="s">
        <v>74</v>
      </c>
      <c r="C3143" t="s">
        <v>47</v>
      </c>
      <c r="D3143" t="s">
        <v>7622</v>
      </c>
      <c r="E3143" t="s">
        <v>7623</v>
      </c>
      <c r="F3143" s="121">
        <v>244000</v>
      </c>
      <c r="G3143" s="121">
        <v>2065086</v>
      </c>
      <c r="H3143" t="s">
        <v>7623</v>
      </c>
      <c r="I3143" s="156">
        <v>40908</v>
      </c>
      <c r="J3143">
        <v>492.34</v>
      </c>
      <c r="K3143" s="153"/>
      <c r="L3143" s="153"/>
      <c r="M3143" s="153"/>
      <c r="N3143" s="153"/>
      <c r="O3143" s="153"/>
      <c r="P3143" s="152"/>
      <c r="Q3143" s="152"/>
      <c r="R3143" s="153"/>
      <c r="S3143" s="154"/>
      <c r="T3143" s="123"/>
    </row>
    <row r="3144" spans="1:20">
      <c r="A3144" t="s">
        <v>1231</v>
      </c>
      <c r="B3144" t="s">
        <v>72</v>
      </c>
      <c r="C3144" t="s">
        <v>47</v>
      </c>
      <c r="D3144" t="s">
        <v>7624</v>
      </c>
      <c r="E3144" t="s">
        <v>7625</v>
      </c>
      <c r="F3144" s="121">
        <v>196000</v>
      </c>
      <c r="G3144" s="121">
        <v>922341</v>
      </c>
      <c r="H3144" t="s">
        <v>7625</v>
      </c>
      <c r="I3144" s="156">
        <v>40908</v>
      </c>
      <c r="J3144">
        <v>302.5</v>
      </c>
      <c r="K3144" s="153"/>
      <c r="L3144" s="153"/>
      <c r="M3144" s="153"/>
      <c r="N3144" s="153"/>
      <c r="O3144" s="153"/>
      <c r="P3144" s="152"/>
      <c r="Q3144" s="152"/>
      <c r="R3144" s="153"/>
      <c r="S3144" s="154"/>
      <c r="T3144" s="123"/>
    </row>
    <row r="3145" spans="1:20">
      <c r="A3145" t="s">
        <v>1231</v>
      </c>
      <c r="B3145" t="s">
        <v>72</v>
      </c>
      <c r="C3145" t="s">
        <v>47</v>
      </c>
      <c r="D3145" t="s">
        <v>7626</v>
      </c>
      <c r="E3145" t="s">
        <v>7627</v>
      </c>
      <c r="F3145" s="121">
        <v>3681274.84</v>
      </c>
      <c r="G3145" s="121">
        <v>7090246.71</v>
      </c>
      <c r="H3145" t="s">
        <v>7627</v>
      </c>
      <c r="I3145" s="156">
        <v>40908</v>
      </c>
      <c r="J3145">
        <v>1152.1400000000001</v>
      </c>
      <c r="K3145" s="153"/>
      <c r="L3145" s="153"/>
      <c r="M3145" s="153"/>
      <c r="N3145" s="153"/>
      <c r="O3145" s="153"/>
      <c r="P3145" s="152"/>
      <c r="Q3145" s="152"/>
      <c r="R3145" s="153"/>
      <c r="S3145" s="154"/>
      <c r="T3145" s="123"/>
    </row>
    <row r="3146" spans="1:20">
      <c r="A3146" t="s">
        <v>1231</v>
      </c>
      <c r="B3146" t="s">
        <v>72</v>
      </c>
      <c r="C3146" t="s">
        <v>47</v>
      </c>
      <c r="D3146" t="s">
        <v>7628</v>
      </c>
      <c r="E3146" t="s">
        <v>7629</v>
      </c>
      <c r="F3146" s="121">
        <v>33000</v>
      </c>
      <c r="G3146" s="121">
        <v>264250</v>
      </c>
      <c r="H3146" t="s">
        <v>7629</v>
      </c>
      <c r="I3146" s="156">
        <v>40908</v>
      </c>
      <c r="J3146">
        <v>67.13</v>
      </c>
      <c r="K3146" s="153"/>
      <c r="L3146" s="153"/>
      <c r="M3146" s="153"/>
      <c r="N3146" s="153"/>
      <c r="O3146" s="153"/>
      <c r="P3146" s="152"/>
      <c r="Q3146" s="152"/>
      <c r="R3146" s="153"/>
      <c r="S3146" s="154"/>
      <c r="T3146" s="123"/>
    </row>
    <row r="3147" spans="1:20">
      <c r="A3147" t="s">
        <v>1231</v>
      </c>
      <c r="B3147" t="s">
        <v>72</v>
      </c>
      <c r="C3147" t="s">
        <v>47</v>
      </c>
      <c r="D3147" t="s">
        <v>7630</v>
      </c>
      <c r="E3147" t="s">
        <v>7631</v>
      </c>
      <c r="F3147" s="121">
        <v>522287.91</v>
      </c>
      <c r="G3147" s="121">
        <v>1386316</v>
      </c>
      <c r="H3147" t="s">
        <v>7631</v>
      </c>
      <c r="I3147" s="156">
        <v>40908</v>
      </c>
      <c r="J3147">
        <v>85.23</v>
      </c>
      <c r="K3147" s="153"/>
      <c r="L3147" s="153"/>
      <c r="M3147" s="153"/>
      <c r="N3147" s="153"/>
      <c r="O3147" s="153"/>
      <c r="P3147" s="152"/>
      <c r="Q3147" s="152"/>
      <c r="R3147" s="153"/>
      <c r="S3147" s="154"/>
      <c r="T3147" s="123"/>
    </row>
    <row r="3148" spans="1:20">
      <c r="A3148" t="s">
        <v>1231</v>
      </c>
      <c r="B3148" t="s">
        <v>72</v>
      </c>
      <c r="C3148" t="s">
        <v>47</v>
      </c>
      <c r="D3148" t="s">
        <v>7632</v>
      </c>
      <c r="E3148" t="s">
        <v>7633</v>
      </c>
      <c r="F3148" s="121">
        <v>220000</v>
      </c>
      <c r="G3148" s="121">
        <v>9953717</v>
      </c>
      <c r="H3148" t="s">
        <v>7633</v>
      </c>
      <c r="I3148" s="156">
        <v>40908</v>
      </c>
      <c r="J3148">
        <v>487.34</v>
      </c>
      <c r="K3148" s="153"/>
      <c r="L3148" s="153"/>
      <c r="M3148" s="153"/>
      <c r="N3148" s="153"/>
      <c r="O3148" s="153"/>
      <c r="P3148" s="152"/>
      <c r="Q3148" s="152"/>
      <c r="R3148" s="153"/>
      <c r="S3148" s="154"/>
      <c r="T3148" s="123"/>
    </row>
    <row r="3149" spans="1:20">
      <c r="A3149" t="s">
        <v>1231</v>
      </c>
      <c r="B3149" t="s">
        <v>72</v>
      </c>
      <c r="C3149" t="s">
        <v>47</v>
      </c>
      <c r="D3149" t="s">
        <v>7634</v>
      </c>
      <c r="E3149" t="s">
        <v>7635</v>
      </c>
      <c r="F3149" s="121">
        <v>236000</v>
      </c>
      <c r="G3149" s="121">
        <v>9651331</v>
      </c>
      <c r="H3149" t="s">
        <v>7635</v>
      </c>
      <c r="I3149" s="156">
        <v>40908</v>
      </c>
      <c r="J3149">
        <v>472.53</v>
      </c>
      <c r="K3149" s="153"/>
      <c r="L3149" s="153"/>
      <c r="M3149" s="153"/>
      <c r="N3149" s="153"/>
      <c r="O3149" s="153"/>
      <c r="P3149" s="152"/>
      <c r="Q3149" s="152"/>
      <c r="R3149" s="153"/>
      <c r="S3149" s="154"/>
      <c r="T3149" s="123"/>
    </row>
    <row r="3150" spans="1:20">
      <c r="A3150" t="s">
        <v>1231</v>
      </c>
      <c r="B3150" t="s">
        <v>73</v>
      </c>
      <c r="C3150" t="s">
        <v>47</v>
      </c>
      <c r="D3150" t="s">
        <v>7636</v>
      </c>
      <c r="E3150" t="s">
        <v>7637</v>
      </c>
      <c r="F3150" s="121">
        <v>200000</v>
      </c>
      <c r="G3150" s="121">
        <v>4602718</v>
      </c>
      <c r="H3150" t="s">
        <v>7637</v>
      </c>
      <c r="I3150" s="156">
        <v>40908</v>
      </c>
      <c r="J3150">
        <v>400</v>
      </c>
      <c r="K3150" s="153"/>
      <c r="L3150" s="153"/>
      <c r="M3150" s="153"/>
      <c r="N3150" s="153"/>
      <c r="O3150" s="153"/>
      <c r="P3150" s="152"/>
      <c r="Q3150" s="152"/>
      <c r="R3150" s="153"/>
      <c r="S3150" s="154"/>
      <c r="T3150" s="153"/>
    </row>
    <row r="3151" spans="1:20">
      <c r="A3151" t="s">
        <v>1231</v>
      </c>
      <c r="B3151" t="s">
        <v>72</v>
      </c>
      <c r="C3151" t="s">
        <v>47</v>
      </c>
      <c r="D3151" t="s">
        <v>7638</v>
      </c>
      <c r="E3151" t="s">
        <v>7639</v>
      </c>
      <c r="F3151" s="121">
        <v>19171.02</v>
      </c>
      <c r="G3151" s="121">
        <v>175270</v>
      </c>
      <c r="H3151" t="s">
        <v>7639</v>
      </c>
      <c r="I3151" s="156">
        <v>40908</v>
      </c>
      <c r="J3151">
        <v>6</v>
      </c>
      <c r="K3151" s="153"/>
      <c r="L3151" s="153"/>
      <c r="M3151" s="153"/>
      <c r="N3151" s="153"/>
      <c r="O3151" s="153"/>
      <c r="P3151" s="152"/>
      <c r="Q3151" s="152"/>
      <c r="R3151" s="153"/>
      <c r="S3151" s="154"/>
      <c r="T3151" s="153"/>
    </row>
    <row r="3152" spans="1:20">
      <c r="A3152" t="s">
        <v>1231</v>
      </c>
      <c r="B3152" t="s">
        <v>72</v>
      </c>
      <c r="C3152" t="s">
        <v>47</v>
      </c>
      <c r="D3152" t="s">
        <v>7640</v>
      </c>
      <c r="E3152" t="s">
        <v>7641</v>
      </c>
      <c r="F3152" s="121">
        <v>2303211.91</v>
      </c>
      <c r="G3152" s="121">
        <v>1401570</v>
      </c>
      <c r="H3152" t="s">
        <v>7641</v>
      </c>
      <c r="I3152" s="156">
        <v>40908</v>
      </c>
      <c r="J3152">
        <v>375.85</v>
      </c>
      <c r="K3152" s="153"/>
      <c r="L3152" s="153"/>
      <c r="M3152" s="153"/>
      <c r="N3152" s="153"/>
      <c r="O3152" s="153"/>
      <c r="P3152" s="152"/>
      <c r="Q3152" s="152"/>
      <c r="R3152" s="153"/>
      <c r="S3152" s="154"/>
      <c r="T3152" s="153"/>
    </row>
    <row r="3153" spans="1:20">
      <c r="A3153" t="s">
        <v>1231</v>
      </c>
      <c r="B3153" t="s">
        <v>72</v>
      </c>
      <c r="C3153" t="s">
        <v>47</v>
      </c>
      <c r="D3153" t="s">
        <v>7642</v>
      </c>
      <c r="E3153" t="s">
        <v>7643</v>
      </c>
      <c r="F3153" s="121">
        <v>2088777.67</v>
      </c>
      <c r="G3153" s="121">
        <v>4544669</v>
      </c>
      <c r="H3153" t="s">
        <v>7643</v>
      </c>
      <c r="I3153" s="156">
        <v>40908</v>
      </c>
      <c r="J3153">
        <v>224</v>
      </c>
      <c r="K3153" s="153"/>
      <c r="L3153" s="153"/>
      <c r="M3153" s="153"/>
      <c r="N3153" s="153"/>
      <c r="O3153" s="153"/>
      <c r="P3153" s="152"/>
      <c r="Q3153" s="152"/>
      <c r="R3153" s="153"/>
      <c r="S3153" s="154"/>
      <c r="T3153" s="153"/>
    </row>
    <row r="3154" spans="1:20">
      <c r="A3154" t="s">
        <v>1230</v>
      </c>
      <c r="B3154" t="s">
        <v>73</v>
      </c>
      <c r="C3154" t="s">
        <v>34</v>
      </c>
      <c r="D3154" t="s">
        <v>7644</v>
      </c>
      <c r="E3154" t="s">
        <v>7645</v>
      </c>
      <c r="F3154" s="121">
        <v>6000</v>
      </c>
      <c r="G3154" s="121">
        <v>6000</v>
      </c>
      <c r="H3154" t="s">
        <v>7645</v>
      </c>
      <c r="I3154" s="156">
        <v>41089</v>
      </c>
      <c r="K3154" s="153"/>
      <c r="L3154" s="153"/>
      <c r="M3154" s="153"/>
      <c r="N3154" s="153"/>
      <c r="O3154" s="153"/>
      <c r="P3154" s="152"/>
      <c r="Q3154" s="152"/>
      <c r="R3154" s="153"/>
      <c r="S3154" s="154"/>
      <c r="T3154" s="153"/>
    </row>
    <row r="3155" spans="1:20">
      <c r="A3155" t="s">
        <v>1230</v>
      </c>
      <c r="B3155" t="s">
        <v>73</v>
      </c>
      <c r="C3155" t="s">
        <v>36</v>
      </c>
      <c r="D3155" t="s">
        <v>7646</v>
      </c>
      <c r="E3155" t="s">
        <v>7647</v>
      </c>
      <c r="F3155" s="121">
        <v>10500</v>
      </c>
      <c r="G3155" s="121">
        <v>10500</v>
      </c>
      <c r="H3155" t="s">
        <v>7647</v>
      </c>
      <c r="I3155" s="156">
        <v>41089</v>
      </c>
      <c r="K3155" s="153"/>
      <c r="L3155" s="153"/>
      <c r="M3155" s="153"/>
      <c r="N3155" s="153"/>
      <c r="O3155" s="153"/>
      <c r="P3155" s="150"/>
      <c r="Q3155" s="152"/>
      <c r="R3155" s="153"/>
      <c r="S3155" s="154"/>
      <c r="T3155" s="153"/>
    </row>
    <row r="3156" spans="1:20">
      <c r="A3156" t="s">
        <v>1230</v>
      </c>
      <c r="B3156" t="s">
        <v>73</v>
      </c>
      <c r="C3156" t="s">
        <v>34</v>
      </c>
      <c r="D3156" t="s">
        <v>7648</v>
      </c>
      <c r="E3156" t="s">
        <v>7649</v>
      </c>
      <c r="F3156" s="121">
        <v>268000</v>
      </c>
      <c r="G3156" s="121">
        <v>268000</v>
      </c>
      <c r="H3156" t="s">
        <v>7649</v>
      </c>
      <c r="I3156" s="156">
        <v>41089</v>
      </c>
      <c r="K3156" s="153"/>
      <c r="L3156" s="153"/>
      <c r="M3156" s="153"/>
      <c r="N3156" s="153"/>
      <c r="O3156" s="153"/>
      <c r="P3156" s="152"/>
      <c r="Q3156" s="152"/>
      <c r="R3156" s="153"/>
      <c r="S3156" s="154"/>
      <c r="T3156" s="153"/>
    </row>
    <row r="3157" spans="1:20">
      <c r="A3157" t="s">
        <v>1230</v>
      </c>
      <c r="B3157" t="s">
        <v>73</v>
      </c>
      <c r="C3157" t="s">
        <v>33</v>
      </c>
      <c r="D3157" t="s">
        <v>7650</v>
      </c>
      <c r="E3157" t="s">
        <v>7651</v>
      </c>
      <c r="F3157" s="121">
        <v>2036100</v>
      </c>
      <c r="G3157" s="121">
        <v>2036100</v>
      </c>
      <c r="H3157" t="s">
        <v>7651</v>
      </c>
      <c r="I3157" s="156">
        <v>41089</v>
      </c>
      <c r="K3157" s="153"/>
      <c r="L3157" s="153"/>
      <c r="M3157" s="153"/>
      <c r="N3157" s="153"/>
      <c r="O3157" s="153"/>
      <c r="P3157" s="152"/>
      <c r="Q3157" s="152"/>
      <c r="R3157" s="153"/>
      <c r="S3157" s="154"/>
      <c r="T3157" s="153"/>
    </row>
    <row r="3158" spans="1:20">
      <c r="A3158" t="s">
        <v>1230</v>
      </c>
      <c r="B3158" t="s">
        <v>73</v>
      </c>
      <c r="C3158" t="s">
        <v>34</v>
      </c>
      <c r="D3158" t="s">
        <v>7652</v>
      </c>
      <c r="E3158" t="s">
        <v>7653</v>
      </c>
      <c r="F3158" s="121">
        <v>96500</v>
      </c>
      <c r="G3158" s="121">
        <v>170921</v>
      </c>
      <c r="H3158" t="s">
        <v>7653</v>
      </c>
      <c r="I3158" s="156">
        <v>41089</v>
      </c>
      <c r="K3158" s="153"/>
      <c r="L3158" s="153"/>
      <c r="M3158" s="153"/>
      <c r="N3158" s="153"/>
      <c r="O3158" s="153"/>
      <c r="P3158" s="152"/>
      <c r="Q3158" s="152"/>
      <c r="R3158" s="153"/>
      <c r="S3158" s="154"/>
      <c r="T3158" s="153"/>
    </row>
    <row r="3159" spans="1:20">
      <c r="A3159" t="s">
        <v>1230</v>
      </c>
      <c r="B3159" t="s">
        <v>73</v>
      </c>
      <c r="C3159" t="s">
        <v>34</v>
      </c>
      <c r="D3159" t="s">
        <v>7654</v>
      </c>
      <c r="E3159" t="s">
        <v>7655</v>
      </c>
      <c r="F3159" s="121">
        <v>211300</v>
      </c>
      <c r="G3159" s="121">
        <v>354312</v>
      </c>
      <c r="H3159" t="s">
        <v>7655</v>
      </c>
      <c r="I3159" s="156">
        <v>41089</v>
      </c>
      <c r="K3159" s="153"/>
      <c r="L3159" s="153"/>
      <c r="M3159" s="153"/>
      <c r="N3159" s="153"/>
      <c r="O3159" s="153"/>
      <c r="P3159" s="152"/>
      <c r="Q3159" s="152"/>
      <c r="R3159" s="153"/>
      <c r="S3159" s="154"/>
      <c r="T3159" s="153"/>
    </row>
    <row r="3160" spans="1:20">
      <c r="A3160" t="s">
        <v>1230</v>
      </c>
      <c r="B3160" t="s">
        <v>73</v>
      </c>
      <c r="C3160" t="s">
        <v>36</v>
      </c>
      <c r="D3160" t="s">
        <v>7656</v>
      </c>
      <c r="E3160" t="s">
        <v>7657</v>
      </c>
      <c r="F3160" s="121">
        <v>5800</v>
      </c>
      <c r="G3160" s="121">
        <v>5800</v>
      </c>
      <c r="H3160" t="s">
        <v>7657</v>
      </c>
      <c r="I3160" s="156">
        <v>41089</v>
      </c>
      <c r="K3160" s="153"/>
      <c r="L3160" s="153"/>
      <c r="M3160" s="153"/>
      <c r="N3160" s="153"/>
      <c r="O3160" s="153"/>
      <c r="P3160" s="152"/>
      <c r="Q3160" s="152"/>
      <c r="R3160" s="153"/>
      <c r="S3160" s="154"/>
      <c r="T3160" s="153"/>
    </row>
    <row r="3161" spans="1:20">
      <c r="A3161" t="s">
        <v>1230</v>
      </c>
      <c r="B3161" t="s">
        <v>73</v>
      </c>
      <c r="C3161" t="s">
        <v>38</v>
      </c>
      <c r="D3161" t="s">
        <v>804</v>
      </c>
      <c r="E3161" t="s">
        <v>7658</v>
      </c>
      <c r="F3161" s="121">
        <v>129100</v>
      </c>
      <c r="G3161" s="121">
        <v>173361</v>
      </c>
      <c r="H3161" t="s">
        <v>7658</v>
      </c>
      <c r="I3161" s="156">
        <v>41089</v>
      </c>
      <c r="K3161" s="153"/>
      <c r="L3161" s="153"/>
      <c r="M3161" s="153"/>
      <c r="N3161" s="153"/>
      <c r="O3161" s="153"/>
      <c r="P3161" s="152"/>
      <c r="Q3161" s="152"/>
      <c r="R3161" s="153"/>
      <c r="S3161" s="154"/>
      <c r="T3161" s="153"/>
    </row>
    <row r="3162" spans="1:20">
      <c r="A3162" t="s">
        <v>1230</v>
      </c>
      <c r="B3162" t="s">
        <v>73</v>
      </c>
      <c r="C3162" t="s">
        <v>34</v>
      </c>
      <c r="D3162" t="s">
        <v>7659</v>
      </c>
      <c r="E3162" t="s">
        <v>7660</v>
      </c>
      <c r="F3162" s="121">
        <v>1700</v>
      </c>
      <c r="G3162" s="121">
        <v>1700</v>
      </c>
      <c r="H3162" t="s">
        <v>7660</v>
      </c>
      <c r="I3162" s="156">
        <v>41089</v>
      </c>
      <c r="K3162" s="153"/>
      <c r="L3162" s="153"/>
      <c r="M3162" s="153"/>
      <c r="N3162" s="153"/>
      <c r="O3162" s="153"/>
      <c r="P3162" s="152"/>
      <c r="Q3162" s="152"/>
      <c r="R3162" s="153"/>
      <c r="S3162" s="154"/>
      <c r="T3162" s="153"/>
    </row>
    <row r="3163" spans="1:20">
      <c r="A3163" t="s">
        <v>1230</v>
      </c>
      <c r="B3163" t="s">
        <v>73</v>
      </c>
      <c r="C3163" t="s">
        <v>32</v>
      </c>
      <c r="D3163" t="s">
        <v>7661</v>
      </c>
      <c r="E3163" t="s">
        <v>7662</v>
      </c>
      <c r="F3163" s="121">
        <v>51600</v>
      </c>
      <c r="G3163" s="121">
        <v>124957</v>
      </c>
      <c r="H3163" t="s">
        <v>7662</v>
      </c>
      <c r="I3163" s="156">
        <v>41089</v>
      </c>
      <c r="K3163" s="153"/>
      <c r="L3163" s="153"/>
      <c r="M3163" s="153"/>
      <c r="N3163" s="153"/>
      <c r="O3163" s="153"/>
      <c r="P3163" s="152"/>
      <c r="Q3163" s="152"/>
      <c r="R3163" s="153"/>
      <c r="S3163" s="154"/>
      <c r="T3163" s="153"/>
    </row>
    <row r="3164" spans="1:20">
      <c r="A3164" t="s">
        <v>1230</v>
      </c>
      <c r="B3164" t="s">
        <v>73</v>
      </c>
      <c r="C3164" t="s">
        <v>40</v>
      </c>
      <c r="D3164" t="s">
        <v>7663</v>
      </c>
      <c r="E3164" t="s">
        <v>7664</v>
      </c>
      <c r="F3164" s="121">
        <v>82500</v>
      </c>
      <c r="G3164" s="121">
        <v>82500</v>
      </c>
      <c r="H3164" t="s">
        <v>7664</v>
      </c>
      <c r="I3164" s="156">
        <v>41089</v>
      </c>
      <c r="K3164" s="153"/>
      <c r="L3164" s="153"/>
      <c r="M3164" s="153"/>
      <c r="N3164" s="153"/>
      <c r="O3164" s="153"/>
      <c r="P3164" s="152"/>
      <c r="Q3164" s="152"/>
      <c r="R3164" s="153"/>
      <c r="S3164" s="154"/>
      <c r="T3164" s="153"/>
    </row>
    <row r="3165" spans="1:20">
      <c r="A3165" t="s">
        <v>1230</v>
      </c>
      <c r="B3165" t="s">
        <v>73</v>
      </c>
      <c r="C3165" t="s">
        <v>40</v>
      </c>
      <c r="D3165" t="s">
        <v>7665</v>
      </c>
      <c r="E3165" t="s">
        <v>7666</v>
      </c>
      <c r="F3165" s="121">
        <v>215300</v>
      </c>
      <c r="G3165" s="121">
        <v>215300</v>
      </c>
      <c r="H3165" t="s">
        <v>7666</v>
      </c>
      <c r="I3165" s="156">
        <v>41089</v>
      </c>
      <c r="K3165" s="153"/>
      <c r="L3165" s="153"/>
      <c r="M3165" s="153"/>
      <c r="N3165" s="153"/>
      <c r="O3165" s="153"/>
      <c r="P3165" s="152"/>
      <c r="Q3165" s="152"/>
      <c r="R3165" s="153"/>
      <c r="S3165" s="154"/>
      <c r="T3165" s="153"/>
    </row>
    <row r="3166" spans="1:20">
      <c r="A3166" t="s">
        <v>1230</v>
      </c>
      <c r="B3166" t="s">
        <v>73</v>
      </c>
      <c r="C3166" t="s">
        <v>40</v>
      </c>
      <c r="D3166" t="s">
        <v>7667</v>
      </c>
      <c r="E3166" t="s">
        <v>7668</v>
      </c>
      <c r="F3166" s="121">
        <v>5100</v>
      </c>
      <c r="G3166" s="121">
        <v>5100</v>
      </c>
      <c r="H3166" t="s">
        <v>7668</v>
      </c>
      <c r="I3166" s="156">
        <v>41089</v>
      </c>
      <c r="K3166" s="153"/>
      <c r="L3166" s="153"/>
      <c r="M3166" s="153"/>
      <c r="N3166" s="153"/>
      <c r="O3166" s="153"/>
      <c r="P3166" s="152"/>
      <c r="Q3166" s="152"/>
      <c r="R3166" s="153"/>
      <c r="S3166" s="154"/>
      <c r="T3166" s="153"/>
    </row>
    <row r="3167" spans="1:20">
      <c r="A3167" t="s">
        <v>1230</v>
      </c>
      <c r="B3167" t="s">
        <v>73</v>
      </c>
      <c r="C3167" t="s">
        <v>36</v>
      </c>
      <c r="D3167" t="s">
        <v>7669</v>
      </c>
      <c r="E3167" t="s">
        <v>7670</v>
      </c>
      <c r="F3167" s="121">
        <v>16000</v>
      </c>
      <c r="G3167" s="121">
        <v>16000</v>
      </c>
      <c r="H3167" t="s">
        <v>7670</v>
      </c>
      <c r="I3167" s="156">
        <v>41089</v>
      </c>
      <c r="K3167" s="153"/>
      <c r="L3167" s="153"/>
      <c r="M3167" s="153"/>
      <c r="N3167" s="153"/>
      <c r="O3167" s="153"/>
      <c r="P3167" s="152"/>
      <c r="Q3167" s="152"/>
      <c r="R3167" s="153"/>
      <c r="S3167" s="154"/>
      <c r="T3167" s="153"/>
    </row>
    <row r="3168" spans="1:20">
      <c r="A3168" t="s">
        <v>1230</v>
      </c>
      <c r="B3168" t="s">
        <v>73</v>
      </c>
      <c r="C3168" t="s">
        <v>34</v>
      </c>
      <c r="D3168" t="s">
        <v>7671</v>
      </c>
      <c r="E3168" t="s">
        <v>7672</v>
      </c>
      <c r="F3168" s="121">
        <v>73000</v>
      </c>
      <c r="G3168" s="121">
        <v>73000</v>
      </c>
      <c r="H3168" t="s">
        <v>7672</v>
      </c>
      <c r="I3168" s="156">
        <v>41089</v>
      </c>
      <c r="K3168" s="153"/>
      <c r="L3168" s="153"/>
      <c r="M3168" s="153"/>
      <c r="N3168" s="153"/>
      <c r="O3168" s="153"/>
      <c r="P3168" s="152"/>
      <c r="Q3168" s="152"/>
      <c r="R3168" s="153"/>
      <c r="S3168" s="154"/>
      <c r="T3168" s="153"/>
    </row>
    <row r="3169" spans="1:20">
      <c r="A3169" t="s">
        <v>1230</v>
      </c>
      <c r="B3169" t="s">
        <v>73</v>
      </c>
      <c r="C3169" t="s">
        <v>36</v>
      </c>
      <c r="D3169" t="s">
        <v>7673</v>
      </c>
      <c r="E3169" t="s">
        <v>7674</v>
      </c>
      <c r="F3169" s="121">
        <v>22700</v>
      </c>
      <c r="G3169" s="121">
        <v>22700</v>
      </c>
      <c r="H3169" t="s">
        <v>7674</v>
      </c>
      <c r="I3169" s="156">
        <v>41089</v>
      </c>
      <c r="K3169" s="153"/>
      <c r="L3169" s="153"/>
      <c r="M3169" s="153"/>
      <c r="N3169" s="153"/>
      <c r="O3169" s="153"/>
      <c r="P3169" s="152"/>
      <c r="Q3169" s="152"/>
      <c r="R3169" s="153"/>
      <c r="S3169" s="154"/>
      <c r="T3169" s="153"/>
    </row>
    <row r="3170" spans="1:20">
      <c r="A3170" t="s">
        <v>1230</v>
      </c>
      <c r="B3170" t="s">
        <v>73</v>
      </c>
      <c r="C3170" t="s">
        <v>36</v>
      </c>
      <c r="D3170" t="s">
        <v>7675</v>
      </c>
      <c r="E3170" t="s">
        <v>7676</v>
      </c>
      <c r="F3170" s="121">
        <v>624600</v>
      </c>
      <c r="G3170" s="121">
        <v>624600</v>
      </c>
      <c r="H3170" t="s">
        <v>7676</v>
      </c>
      <c r="I3170" s="156">
        <v>41089</v>
      </c>
      <c r="K3170" s="153"/>
      <c r="L3170" s="153"/>
      <c r="M3170" s="153"/>
      <c r="N3170" s="153"/>
      <c r="O3170" s="153"/>
      <c r="P3170" s="152"/>
      <c r="Q3170" s="152"/>
      <c r="R3170" s="153"/>
      <c r="S3170" s="154"/>
      <c r="T3170" s="153"/>
    </row>
    <row r="3171" spans="1:20">
      <c r="A3171" t="s">
        <v>1230</v>
      </c>
      <c r="B3171" t="s">
        <v>73</v>
      </c>
      <c r="C3171" t="s">
        <v>36</v>
      </c>
      <c r="D3171" t="s">
        <v>7677</v>
      </c>
      <c r="E3171" t="s">
        <v>7678</v>
      </c>
      <c r="F3171" s="121">
        <v>5400</v>
      </c>
      <c r="G3171" s="121">
        <v>5400</v>
      </c>
      <c r="H3171" t="s">
        <v>7678</v>
      </c>
      <c r="I3171" s="156">
        <v>41089</v>
      </c>
      <c r="K3171" s="153"/>
      <c r="L3171" s="153"/>
      <c r="M3171" s="153"/>
      <c r="N3171" s="153"/>
      <c r="O3171" s="153"/>
      <c r="P3171" s="152"/>
      <c r="Q3171" s="152"/>
      <c r="R3171" s="153"/>
      <c r="S3171" s="154"/>
      <c r="T3171" s="153"/>
    </row>
    <row r="3172" spans="1:20">
      <c r="A3172" t="s">
        <v>1230</v>
      </c>
      <c r="B3172" t="s">
        <v>73</v>
      </c>
      <c r="C3172" t="s">
        <v>36</v>
      </c>
      <c r="D3172" t="s">
        <v>7679</v>
      </c>
      <c r="E3172" t="s">
        <v>7680</v>
      </c>
      <c r="F3172" s="121">
        <v>30900</v>
      </c>
      <c r="G3172" s="121">
        <v>30900</v>
      </c>
      <c r="H3172" t="s">
        <v>7680</v>
      </c>
      <c r="I3172" s="156">
        <v>41089</v>
      </c>
      <c r="K3172" s="153"/>
      <c r="L3172" s="153"/>
      <c r="M3172" s="153"/>
      <c r="N3172" s="153"/>
      <c r="O3172" s="153"/>
      <c r="P3172" s="152"/>
      <c r="Q3172" s="152"/>
      <c r="R3172" s="153"/>
      <c r="S3172" s="154"/>
      <c r="T3172" s="153"/>
    </row>
    <row r="3173" spans="1:20">
      <c r="A3173" t="s">
        <v>1230</v>
      </c>
      <c r="B3173" t="s">
        <v>73</v>
      </c>
      <c r="C3173" t="s">
        <v>36</v>
      </c>
      <c r="D3173" t="s">
        <v>7681</v>
      </c>
      <c r="E3173" t="s">
        <v>7682</v>
      </c>
      <c r="F3173" s="121">
        <v>47900</v>
      </c>
      <c r="G3173" s="121">
        <v>47900</v>
      </c>
      <c r="H3173" t="s">
        <v>7682</v>
      </c>
      <c r="I3173" s="156">
        <v>41089</v>
      </c>
      <c r="K3173" s="153"/>
      <c r="L3173" s="153"/>
      <c r="M3173" s="153"/>
      <c r="N3173" s="153"/>
      <c r="O3173" s="153"/>
      <c r="P3173" s="152"/>
      <c r="Q3173" s="152"/>
      <c r="R3173" s="153"/>
      <c r="S3173" s="154"/>
      <c r="T3173" s="153"/>
    </row>
    <row r="3174" spans="1:20">
      <c r="A3174" t="s">
        <v>1230</v>
      </c>
      <c r="B3174" t="s">
        <v>73</v>
      </c>
      <c r="C3174" t="s">
        <v>60</v>
      </c>
      <c r="D3174" t="s">
        <v>7683</v>
      </c>
      <c r="E3174" t="s">
        <v>7684</v>
      </c>
      <c r="F3174" s="121">
        <v>21700</v>
      </c>
      <c r="G3174" s="121">
        <v>21700</v>
      </c>
      <c r="H3174" t="s">
        <v>7684</v>
      </c>
      <c r="I3174" s="156">
        <v>41089</v>
      </c>
      <c r="K3174" s="153"/>
      <c r="L3174" s="153"/>
      <c r="M3174" s="153"/>
      <c r="N3174" s="153"/>
      <c r="O3174" s="153"/>
      <c r="P3174" s="152"/>
      <c r="Q3174" s="152"/>
      <c r="R3174" s="153"/>
      <c r="S3174" s="154"/>
      <c r="T3174" s="153"/>
    </row>
    <row r="3175" spans="1:20">
      <c r="A3175" t="s">
        <v>1230</v>
      </c>
      <c r="B3175" t="s">
        <v>73</v>
      </c>
      <c r="C3175" t="s">
        <v>36</v>
      </c>
      <c r="D3175" t="s">
        <v>7685</v>
      </c>
      <c r="E3175" t="s">
        <v>7686</v>
      </c>
      <c r="F3175" s="121">
        <v>16700</v>
      </c>
      <c r="G3175" s="121">
        <v>16700</v>
      </c>
      <c r="H3175" t="s">
        <v>7686</v>
      </c>
      <c r="I3175" s="156">
        <v>41089</v>
      </c>
      <c r="K3175" s="153"/>
      <c r="L3175" s="153"/>
      <c r="M3175" s="153"/>
      <c r="N3175" s="153"/>
      <c r="O3175" s="153"/>
      <c r="P3175" s="152"/>
      <c r="Q3175" s="152"/>
      <c r="R3175" s="153"/>
      <c r="S3175" s="154"/>
      <c r="T3175" s="153"/>
    </row>
    <row r="3176" spans="1:20">
      <c r="A3176" t="s">
        <v>1230</v>
      </c>
      <c r="B3176" t="s">
        <v>73</v>
      </c>
      <c r="C3176" t="s">
        <v>36</v>
      </c>
      <c r="D3176" t="s">
        <v>7687</v>
      </c>
      <c r="E3176" t="s">
        <v>7688</v>
      </c>
      <c r="F3176" s="121">
        <v>416300</v>
      </c>
      <c r="G3176" s="121">
        <v>416300</v>
      </c>
      <c r="H3176" t="s">
        <v>7688</v>
      </c>
      <c r="I3176" s="156">
        <v>41089</v>
      </c>
      <c r="K3176" s="153"/>
      <c r="L3176" s="153"/>
      <c r="M3176" s="153"/>
      <c r="N3176" s="153"/>
      <c r="O3176" s="153"/>
      <c r="P3176" s="152"/>
      <c r="Q3176" s="152"/>
      <c r="R3176" s="153"/>
      <c r="S3176" s="154"/>
      <c r="T3176" s="153"/>
    </row>
    <row r="3177" spans="1:20">
      <c r="A3177" t="s">
        <v>1230</v>
      </c>
      <c r="B3177" t="s">
        <v>73</v>
      </c>
      <c r="C3177" t="s">
        <v>36</v>
      </c>
      <c r="D3177" t="s">
        <v>7689</v>
      </c>
      <c r="E3177" t="s">
        <v>7690</v>
      </c>
      <c r="F3177" s="121">
        <v>4800</v>
      </c>
      <c r="G3177" s="121">
        <v>4800</v>
      </c>
      <c r="H3177" t="s">
        <v>7690</v>
      </c>
      <c r="I3177" s="156">
        <v>41089</v>
      </c>
      <c r="K3177" s="153"/>
      <c r="L3177" s="153"/>
      <c r="M3177" s="153"/>
      <c r="N3177" s="153"/>
      <c r="O3177" s="153"/>
      <c r="P3177" s="152"/>
      <c r="Q3177" s="152"/>
      <c r="R3177" s="153"/>
      <c r="S3177" s="154"/>
      <c r="T3177" s="153"/>
    </row>
    <row r="3178" spans="1:20">
      <c r="A3178" t="s">
        <v>1230</v>
      </c>
      <c r="B3178" t="s">
        <v>73</v>
      </c>
      <c r="C3178" t="s">
        <v>36</v>
      </c>
      <c r="D3178" t="s">
        <v>7691</v>
      </c>
      <c r="E3178" t="s">
        <v>7692</v>
      </c>
      <c r="F3178" s="121">
        <v>5400</v>
      </c>
      <c r="G3178" s="121">
        <v>5400</v>
      </c>
      <c r="H3178" t="s">
        <v>7692</v>
      </c>
      <c r="I3178" s="156">
        <v>41089</v>
      </c>
      <c r="K3178" s="153"/>
      <c r="L3178" s="153"/>
      <c r="M3178" s="153"/>
      <c r="N3178" s="153"/>
      <c r="O3178" s="153"/>
      <c r="P3178" s="152"/>
      <c r="Q3178" s="152"/>
      <c r="R3178" s="153"/>
      <c r="S3178" s="154"/>
      <c r="T3178" s="153"/>
    </row>
    <row r="3179" spans="1:20">
      <c r="A3179" t="s">
        <v>1230</v>
      </c>
      <c r="B3179" t="s">
        <v>73</v>
      </c>
      <c r="C3179" t="s">
        <v>36</v>
      </c>
      <c r="D3179" t="s">
        <v>7693</v>
      </c>
      <c r="E3179" t="s">
        <v>7694</v>
      </c>
      <c r="F3179" s="121">
        <v>53700</v>
      </c>
      <c r="G3179" s="121">
        <v>53700</v>
      </c>
      <c r="H3179" t="s">
        <v>7694</v>
      </c>
      <c r="I3179" s="156">
        <v>41089</v>
      </c>
      <c r="K3179" s="153"/>
      <c r="L3179" s="153"/>
      <c r="M3179" s="153"/>
      <c r="N3179" s="153"/>
      <c r="O3179" s="153"/>
      <c r="P3179" s="152"/>
      <c r="Q3179" s="152"/>
      <c r="R3179" s="153"/>
      <c r="S3179" s="154"/>
      <c r="T3179" s="153"/>
    </row>
    <row r="3180" spans="1:20">
      <c r="A3180" t="s">
        <v>1230</v>
      </c>
      <c r="B3180" t="s">
        <v>73</v>
      </c>
      <c r="C3180" t="s">
        <v>34</v>
      </c>
      <c r="D3180" t="s">
        <v>7695</v>
      </c>
      <c r="E3180" t="s">
        <v>7696</v>
      </c>
      <c r="F3180" s="121">
        <v>21000</v>
      </c>
      <c r="G3180" s="121">
        <v>21000</v>
      </c>
      <c r="H3180" t="s">
        <v>7696</v>
      </c>
      <c r="I3180" s="156">
        <v>41089</v>
      </c>
      <c r="K3180" s="153"/>
      <c r="L3180" s="153"/>
      <c r="M3180" s="153"/>
      <c r="N3180" s="153"/>
      <c r="O3180" s="153"/>
      <c r="P3180" s="152"/>
      <c r="Q3180" s="152"/>
      <c r="R3180" s="153"/>
      <c r="S3180" s="154"/>
      <c r="T3180" s="153"/>
    </row>
    <row r="3181" spans="1:20">
      <c r="A3181" t="s">
        <v>1230</v>
      </c>
      <c r="B3181" t="s">
        <v>73</v>
      </c>
      <c r="C3181" t="s">
        <v>36</v>
      </c>
      <c r="D3181" t="s">
        <v>7697</v>
      </c>
      <c r="E3181" t="s">
        <v>7698</v>
      </c>
      <c r="F3181" s="121">
        <v>10600</v>
      </c>
      <c r="G3181" s="121">
        <v>10600</v>
      </c>
      <c r="H3181" t="s">
        <v>7698</v>
      </c>
      <c r="I3181" s="156">
        <v>41089</v>
      </c>
      <c r="K3181" s="153"/>
      <c r="L3181" s="153"/>
      <c r="M3181" s="153"/>
      <c r="N3181" s="153"/>
      <c r="O3181" s="153"/>
      <c r="P3181" s="152"/>
      <c r="Q3181" s="152"/>
      <c r="R3181" s="153"/>
      <c r="S3181" s="154"/>
      <c r="T3181" s="153"/>
    </row>
    <row r="3182" spans="1:20">
      <c r="A3182" t="s">
        <v>1230</v>
      </c>
      <c r="B3182" t="s">
        <v>73</v>
      </c>
      <c r="C3182" t="s">
        <v>36</v>
      </c>
      <c r="D3182" t="s">
        <v>1406</v>
      </c>
      <c r="E3182" t="s">
        <v>7698</v>
      </c>
      <c r="F3182" s="121">
        <v>90000</v>
      </c>
      <c r="G3182" s="121">
        <v>90000</v>
      </c>
      <c r="H3182" t="s">
        <v>7698</v>
      </c>
      <c r="I3182" s="156">
        <v>41912</v>
      </c>
      <c r="K3182" s="153"/>
      <c r="L3182" s="153"/>
      <c r="M3182" s="153"/>
      <c r="N3182" s="153"/>
      <c r="O3182" s="153"/>
      <c r="P3182" s="152"/>
      <c r="Q3182" s="152"/>
      <c r="R3182" s="153"/>
      <c r="S3182" s="154"/>
      <c r="T3182" s="153"/>
    </row>
    <row r="3183" spans="1:20">
      <c r="A3183" t="s">
        <v>1230</v>
      </c>
      <c r="B3183" t="s">
        <v>74</v>
      </c>
      <c r="C3183" t="s">
        <v>36</v>
      </c>
      <c r="D3183" t="s">
        <v>7699</v>
      </c>
      <c r="E3183" t="s">
        <v>7700</v>
      </c>
      <c r="F3183" s="121">
        <v>22600</v>
      </c>
      <c r="G3183" s="121">
        <v>22600</v>
      </c>
      <c r="H3183" t="s">
        <v>7700</v>
      </c>
      <c r="I3183" s="156">
        <v>41089</v>
      </c>
      <c r="K3183" s="153"/>
      <c r="L3183" s="153"/>
      <c r="M3183" s="153"/>
      <c r="N3183" s="153"/>
      <c r="O3183" s="153"/>
      <c r="P3183" s="152"/>
      <c r="Q3183" s="152"/>
      <c r="R3183" s="153"/>
      <c r="S3183" s="154"/>
      <c r="T3183" s="153"/>
    </row>
    <row r="3184" spans="1:20">
      <c r="A3184" t="s">
        <v>1230</v>
      </c>
      <c r="B3184" t="s">
        <v>74</v>
      </c>
      <c r="C3184" t="s">
        <v>36</v>
      </c>
      <c r="D3184" t="s">
        <v>7701</v>
      </c>
      <c r="E3184" t="s">
        <v>7702</v>
      </c>
      <c r="F3184" s="121">
        <v>32400</v>
      </c>
      <c r="G3184" s="121">
        <v>32400</v>
      </c>
      <c r="H3184" t="s">
        <v>7702</v>
      </c>
      <c r="I3184" s="156">
        <v>41089</v>
      </c>
      <c r="K3184" s="153"/>
      <c r="L3184" s="153"/>
      <c r="M3184" s="153"/>
      <c r="N3184" s="153"/>
      <c r="O3184" s="153"/>
      <c r="P3184" s="152"/>
      <c r="Q3184" s="152"/>
      <c r="R3184" s="153"/>
      <c r="S3184" s="154"/>
      <c r="T3184" s="153"/>
    </row>
    <row r="3185" spans="1:20">
      <c r="A3185" t="s">
        <v>1230</v>
      </c>
      <c r="B3185" t="s">
        <v>74</v>
      </c>
      <c r="C3185" t="s">
        <v>36</v>
      </c>
      <c r="D3185" t="s">
        <v>7703</v>
      </c>
      <c r="E3185" t="s">
        <v>7704</v>
      </c>
      <c r="F3185" s="121">
        <v>36800</v>
      </c>
      <c r="G3185" s="121">
        <v>36800</v>
      </c>
      <c r="H3185" t="s">
        <v>7704</v>
      </c>
      <c r="I3185" s="156">
        <v>41089</v>
      </c>
      <c r="K3185" s="153"/>
      <c r="L3185" s="153"/>
      <c r="M3185" s="153"/>
      <c r="N3185" s="153"/>
      <c r="O3185" s="153"/>
      <c r="P3185" s="152"/>
      <c r="Q3185" s="152"/>
      <c r="R3185" s="153"/>
      <c r="S3185" s="154"/>
      <c r="T3185" s="153"/>
    </row>
    <row r="3186" spans="1:20">
      <c r="A3186" t="s">
        <v>1230</v>
      </c>
      <c r="B3186" t="s">
        <v>74</v>
      </c>
      <c r="C3186" t="s">
        <v>32</v>
      </c>
      <c r="D3186" t="s">
        <v>7705</v>
      </c>
      <c r="E3186" t="s">
        <v>7706</v>
      </c>
      <c r="F3186" s="121">
        <v>126400</v>
      </c>
      <c r="G3186" s="121">
        <v>126400</v>
      </c>
      <c r="H3186" t="s">
        <v>7706</v>
      </c>
      <c r="I3186" s="156">
        <v>41089</v>
      </c>
      <c r="K3186" s="153"/>
      <c r="L3186" s="153"/>
      <c r="M3186" s="153"/>
      <c r="N3186" s="153"/>
      <c r="O3186" s="153"/>
      <c r="P3186" s="152"/>
      <c r="Q3186" s="152"/>
      <c r="R3186" s="153"/>
      <c r="S3186" s="154"/>
      <c r="T3186" s="153"/>
    </row>
    <row r="3187" spans="1:20">
      <c r="A3187" t="s">
        <v>1230</v>
      </c>
      <c r="B3187" t="s">
        <v>74</v>
      </c>
      <c r="C3187" t="s">
        <v>32</v>
      </c>
      <c r="D3187" t="s">
        <v>7705</v>
      </c>
      <c r="E3187" t="s">
        <v>7707</v>
      </c>
      <c r="F3187" s="121">
        <v>104600</v>
      </c>
      <c r="G3187" s="121">
        <v>104600</v>
      </c>
      <c r="H3187" t="s">
        <v>7707</v>
      </c>
      <c r="I3187" s="156">
        <v>41089</v>
      </c>
      <c r="K3187" s="153"/>
      <c r="L3187" s="153"/>
      <c r="M3187" s="153"/>
      <c r="N3187" s="153"/>
      <c r="O3187" s="153"/>
      <c r="P3187" s="152"/>
      <c r="Q3187" s="152"/>
      <c r="R3187" s="153"/>
      <c r="S3187" s="154"/>
      <c r="T3187" s="153"/>
    </row>
    <row r="3188" spans="1:20">
      <c r="A3188" t="s">
        <v>1230</v>
      </c>
      <c r="B3188" t="s">
        <v>74</v>
      </c>
      <c r="C3188" t="s">
        <v>32</v>
      </c>
      <c r="D3188" t="s">
        <v>7705</v>
      </c>
      <c r="E3188" t="s">
        <v>7446</v>
      </c>
      <c r="F3188" s="121">
        <v>71600</v>
      </c>
      <c r="G3188" s="121">
        <v>71600</v>
      </c>
      <c r="H3188" t="s">
        <v>7446</v>
      </c>
      <c r="I3188" s="156">
        <v>41089</v>
      </c>
      <c r="K3188" s="153"/>
      <c r="L3188" s="153"/>
      <c r="M3188" s="153"/>
      <c r="N3188" s="153"/>
      <c r="O3188" s="153"/>
      <c r="P3188" s="152"/>
      <c r="Q3188" s="152"/>
      <c r="R3188" s="153"/>
      <c r="S3188" s="154"/>
      <c r="T3188" s="153"/>
    </row>
    <row r="3189" spans="1:20">
      <c r="A3189" t="s">
        <v>1230</v>
      </c>
      <c r="B3189" t="s">
        <v>74</v>
      </c>
      <c r="C3189" t="s">
        <v>32</v>
      </c>
      <c r="D3189" t="s">
        <v>1408</v>
      </c>
      <c r="E3189" t="s">
        <v>7446</v>
      </c>
      <c r="F3189" s="121">
        <v>5175.4399999999996</v>
      </c>
      <c r="G3189" s="121">
        <v>5175.4399999999996</v>
      </c>
      <c r="H3189" t="s">
        <v>7446</v>
      </c>
      <c r="I3189" s="156">
        <v>41912</v>
      </c>
      <c r="K3189" s="153"/>
      <c r="L3189" s="153"/>
      <c r="M3189" s="153"/>
      <c r="N3189" s="153"/>
      <c r="O3189" s="153"/>
      <c r="P3189" s="152"/>
      <c r="Q3189" s="152"/>
      <c r="R3189" s="153"/>
      <c r="S3189" s="154"/>
      <c r="T3189" s="153"/>
    </row>
    <row r="3190" spans="1:20">
      <c r="A3190" t="s">
        <v>1230</v>
      </c>
      <c r="B3190" t="s">
        <v>74</v>
      </c>
      <c r="C3190" t="s">
        <v>33</v>
      </c>
      <c r="D3190" t="s">
        <v>7708</v>
      </c>
      <c r="E3190" t="s">
        <v>7709</v>
      </c>
      <c r="F3190" s="121">
        <v>4466000</v>
      </c>
      <c r="G3190" s="121">
        <v>4466000</v>
      </c>
      <c r="H3190" t="s">
        <v>7709</v>
      </c>
      <c r="I3190" s="156">
        <v>41089</v>
      </c>
      <c r="K3190" s="153"/>
      <c r="L3190" s="153"/>
      <c r="M3190" s="153"/>
      <c r="N3190" s="153"/>
      <c r="O3190" s="153"/>
      <c r="P3190" s="152"/>
      <c r="Q3190" s="152"/>
      <c r="R3190" s="153"/>
      <c r="S3190" s="154"/>
      <c r="T3190" s="153"/>
    </row>
    <row r="3191" spans="1:20">
      <c r="A3191" t="s">
        <v>1230</v>
      </c>
      <c r="B3191" t="s">
        <v>74</v>
      </c>
      <c r="C3191" t="s">
        <v>36</v>
      </c>
      <c r="D3191" t="s">
        <v>7710</v>
      </c>
      <c r="E3191" t="s">
        <v>7711</v>
      </c>
      <c r="F3191" s="121">
        <v>31400</v>
      </c>
      <c r="G3191" s="121">
        <v>31400</v>
      </c>
      <c r="H3191" t="s">
        <v>7711</v>
      </c>
      <c r="I3191" s="156">
        <v>41089</v>
      </c>
      <c r="K3191" s="153"/>
      <c r="L3191" s="153"/>
      <c r="M3191" s="153"/>
      <c r="N3191" s="153"/>
      <c r="O3191" s="153"/>
      <c r="P3191" s="152"/>
      <c r="Q3191" s="152"/>
      <c r="R3191" s="153"/>
      <c r="S3191" s="154"/>
      <c r="T3191" s="153"/>
    </row>
    <row r="3192" spans="1:20">
      <c r="A3192" t="s">
        <v>1230</v>
      </c>
      <c r="B3192" t="s">
        <v>74</v>
      </c>
      <c r="C3192" t="s">
        <v>34</v>
      </c>
      <c r="D3192" t="s">
        <v>7712</v>
      </c>
      <c r="E3192" t="s">
        <v>7449</v>
      </c>
      <c r="F3192" s="121">
        <v>526400</v>
      </c>
      <c r="G3192" s="121">
        <v>526400</v>
      </c>
      <c r="H3192" t="s">
        <v>7449</v>
      </c>
      <c r="I3192" s="156">
        <v>41089</v>
      </c>
      <c r="K3192" s="153"/>
      <c r="L3192" s="153"/>
      <c r="M3192" s="153"/>
      <c r="N3192" s="153"/>
      <c r="O3192" s="153"/>
      <c r="P3192" s="152"/>
      <c r="Q3192" s="152"/>
      <c r="R3192" s="153"/>
      <c r="S3192" s="154"/>
      <c r="T3192" s="153"/>
    </row>
    <row r="3193" spans="1:20">
      <c r="A3193" t="s">
        <v>1230</v>
      </c>
      <c r="B3193" t="s">
        <v>74</v>
      </c>
      <c r="C3193" t="s">
        <v>34</v>
      </c>
      <c r="D3193" t="s">
        <v>7713</v>
      </c>
      <c r="E3193" t="s">
        <v>7449</v>
      </c>
      <c r="F3193" s="121">
        <v>77385.06</v>
      </c>
      <c r="G3193" s="121">
        <v>91399.46</v>
      </c>
      <c r="H3193" t="s">
        <v>7449</v>
      </c>
      <c r="I3193" s="156">
        <v>41912</v>
      </c>
      <c r="K3193" s="153"/>
      <c r="L3193" s="153"/>
      <c r="M3193" s="153"/>
      <c r="N3193" s="153"/>
      <c r="O3193" s="153"/>
      <c r="P3193" s="152"/>
      <c r="Q3193" s="152"/>
      <c r="R3193" s="153"/>
      <c r="S3193" s="154"/>
      <c r="T3193" s="153"/>
    </row>
    <row r="3194" spans="1:20">
      <c r="A3194" t="s">
        <v>1230</v>
      </c>
      <c r="B3194" t="s">
        <v>74</v>
      </c>
      <c r="C3194" t="s">
        <v>34</v>
      </c>
      <c r="D3194" t="s">
        <v>7654</v>
      </c>
      <c r="E3194" t="s">
        <v>7714</v>
      </c>
      <c r="F3194" s="121">
        <v>480100</v>
      </c>
      <c r="G3194" s="121">
        <v>480100</v>
      </c>
      <c r="H3194" t="s">
        <v>7714</v>
      </c>
      <c r="I3194" s="156">
        <v>41089</v>
      </c>
      <c r="K3194" s="153"/>
      <c r="L3194" s="153"/>
      <c r="M3194" s="153"/>
      <c r="N3194" s="153"/>
      <c r="O3194" s="153"/>
      <c r="P3194" s="152"/>
      <c r="Q3194" s="152"/>
      <c r="R3194" s="153"/>
      <c r="S3194" s="154"/>
      <c r="T3194" s="153"/>
    </row>
    <row r="3195" spans="1:20">
      <c r="A3195" t="s">
        <v>1230</v>
      </c>
      <c r="B3195" t="s">
        <v>74</v>
      </c>
      <c r="C3195" t="s">
        <v>34</v>
      </c>
      <c r="D3195" t="s">
        <v>7715</v>
      </c>
      <c r="E3195" t="s">
        <v>7716</v>
      </c>
      <c r="F3195" s="121">
        <v>223300</v>
      </c>
      <c r="G3195" s="121">
        <v>232070.83</v>
      </c>
      <c r="H3195" t="s">
        <v>7716</v>
      </c>
      <c r="I3195" s="156">
        <v>41089</v>
      </c>
      <c r="K3195" s="153"/>
      <c r="L3195" s="153"/>
      <c r="M3195" s="153"/>
      <c r="N3195" s="153"/>
      <c r="O3195" s="153"/>
      <c r="P3195" s="152"/>
      <c r="Q3195" s="152"/>
      <c r="R3195" s="153"/>
      <c r="S3195" s="154"/>
      <c r="T3195" s="153"/>
    </row>
    <row r="3196" spans="1:20">
      <c r="A3196" t="s">
        <v>1230</v>
      </c>
      <c r="B3196" t="s">
        <v>74</v>
      </c>
      <c r="C3196" t="s">
        <v>36</v>
      </c>
      <c r="D3196" t="s">
        <v>7717</v>
      </c>
      <c r="E3196" t="s">
        <v>7718</v>
      </c>
      <c r="F3196" s="121">
        <v>6400</v>
      </c>
      <c r="G3196" s="121">
        <v>6400</v>
      </c>
      <c r="H3196" t="s">
        <v>7718</v>
      </c>
      <c r="I3196" s="156">
        <v>41089</v>
      </c>
      <c r="K3196" s="153"/>
      <c r="L3196" s="153"/>
      <c r="M3196" s="153"/>
      <c r="N3196" s="153"/>
      <c r="O3196" s="153"/>
      <c r="P3196" s="152"/>
      <c r="Q3196" s="152"/>
      <c r="R3196" s="153"/>
      <c r="S3196" s="154"/>
      <c r="T3196" s="153"/>
    </row>
    <row r="3197" spans="1:20">
      <c r="A3197" t="s">
        <v>1230</v>
      </c>
      <c r="B3197" t="s">
        <v>74</v>
      </c>
      <c r="C3197" t="s">
        <v>36</v>
      </c>
      <c r="D3197" t="s">
        <v>7719</v>
      </c>
      <c r="E3197" t="s">
        <v>7720</v>
      </c>
      <c r="F3197" s="121">
        <v>26200</v>
      </c>
      <c r="G3197" s="121">
        <v>26200</v>
      </c>
      <c r="H3197" t="s">
        <v>7720</v>
      </c>
      <c r="I3197" s="156">
        <v>41089</v>
      </c>
      <c r="K3197" s="153"/>
      <c r="L3197" s="153"/>
      <c r="M3197" s="153"/>
      <c r="N3197" s="153"/>
      <c r="O3197" s="153"/>
      <c r="P3197" s="152"/>
      <c r="Q3197" s="152"/>
      <c r="R3197" s="153"/>
      <c r="S3197" s="154"/>
      <c r="T3197" s="153"/>
    </row>
    <row r="3198" spans="1:20">
      <c r="A3198" t="s">
        <v>1230</v>
      </c>
      <c r="B3198" t="s">
        <v>74</v>
      </c>
      <c r="C3198" t="s">
        <v>38</v>
      </c>
      <c r="D3198" t="s">
        <v>7721</v>
      </c>
      <c r="E3198" t="s">
        <v>7722</v>
      </c>
      <c r="F3198" s="121">
        <v>232100</v>
      </c>
      <c r="G3198" s="121">
        <v>232100</v>
      </c>
      <c r="H3198" t="s">
        <v>7722</v>
      </c>
      <c r="I3198" s="156">
        <v>41912</v>
      </c>
      <c r="K3198" s="153"/>
      <c r="L3198" s="153"/>
      <c r="M3198" s="153"/>
      <c r="N3198" s="153"/>
      <c r="O3198" s="153"/>
      <c r="P3198" s="152"/>
      <c r="Q3198" s="152"/>
      <c r="R3198" s="153"/>
      <c r="S3198" s="154"/>
      <c r="T3198" s="153"/>
    </row>
    <row r="3199" spans="1:20">
      <c r="A3199" t="s">
        <v>1230</v>
      </c>
      <c r="B3199" t="s">
        <v>74</v>
      </c>
      <c r="C3199" t="s">
        <v>38</v>
      </c>
      <c r="D3199" t="s">
        <v>804</v>
      </c>
      <c r="E3199" t="s">
        <v>7722</v>
      </c>
      <c r="F3199" s="121">
        <v>179800</v>
      </c>
      <c r="G3199" s="121">
        <v>179800</v>
      </c>
      <c r="H3199" t="s">
        <v>7722</v>
      </c>
      <c r="I3199" s="156">
        <v>41089</v>
      </c>
      <c r="K3199" s="153"/>
      <c r="L3199" s="153"/>
      <c r="M3199" s="153"/>
      <c r="N3199" s="153"/>
      <c r="O3199" s="153"/>
      <c r="P3199" s="152"/>
      <c r="Q3199" s="152"/>
      <c r="R3199" s="153"/>
      <c r="S3199" s="154"/>
      <c r="T3199" s="153"/>
    </row>
    <row r="3200" spans="1:20">
      <c r="A3200" t="s">
        <v>1230</v>
      </c>
      <c r="B3200" t="s">
        <v>74</v>
      </c>
      <c r="C3200" t="s">
        <v>36</v>
      </c>
      <c r="D3200" t="s">
        <v>7723</v>
      </c>
      <c r="E3200" t="s">
        <v>7724</v>
      </c>
      <c r="F3200" s="121">
        <v>6600</v>
      </c>
      <c r="G3200" s="121">
        <v>6600</v>
      </c>
      <c r="H3200" t="s">
        <v>7724</v>
      </c>
      <c r="I3200" s="156">
        <v>41089</v>
      </c>
      <c r="K3200" s="153"/>
      <c r="L3200" s="153"/>
      <c r="M3200" s="153"/>
      <c r="N3200" s="153"/>
      <c r="O3200" s="153"/>
      <c r="P3200" s="152"/>
      <c r="Q3200" s="152"/>
      <c r="R3200" s="153"/>
      <c r="S3200" s="154"/>
      <c r="T3200" s="153"/>
    </row>
    <row r="3201" spans="1:20">
      <c r="A3201" t="s">
        <v>1230</v>
      </c>
      <c r="B3201" t="s">
        <v>74</v>
      </c>
      <c r="C3201" t="s">
        <v>36</v>
      </c>
      <c r="D3201" t="s">
        <v>7725</v>
      </c>
      <c r="E3201" t="s">
        <v>7726</v>
      </c>
      <c r="F3201" s="121">
        <v>3300</v>
      </c>
      <c r="G3201" s="121">
        <v>7086.42</v>
      </c>
      <c r="H3201" t="s">
        <v>7726</v>
      </c>
      <c r="I3201" s="156">
        <v>41089</v>
      </c>
      <c r="K3201" s="153"/>
      <c r="L3201" s="153"/>
      <c r="M3201" s="153"/>
      <c r="N3201" s="153"/>
      <c r="O3201" s="153"/>
      <c r="P3201" s="152"/>
      <c r="Q3201" s="152"/>
      <c r="R3201" s="153"/>
      <c r="S3201" s="154"/>
      <c r="T3201" s="153"/>
    </row>
    <row r="3202" spans="1:20">
      <c r="A3202" t="s">
        <v>1230</v>
      </c>
      <c r="B3202" t="s">
        <v>74</v>
      </c>
      <c r="C3202" t="s">
        <v>40</v>
      </c>
      <c r="D3202" t="s">
        <v>7727</v>
      </c>
      <c r="E3202" t="s">
        <v>7728</v>
      </c>
      <c r="F3202" s="121">
        <v>70400</v>
      </c>
      <c r="G3202" s="121">
        <v>70400</v>
      </c>
      <c r="H3202" t="s">
        <v>7728</v>
      </c>
      <c r="I3202" s="156">
        <v>41089</v>
      </c>
      <c r="K3202" s="153"/>
      <c r="L3202" s="153"/>
      <c r="M3202" s="153"/>
      <c r="N3202" s="153"/>
      <c r="O3202" s="153"/>
      <c r="P3202" s="152"/>
      <c r="Q3202" s="152"/>
      <c r="R3202" s="153"/>
      <c r="S3202" s="154"/>
      <c r="T3202" s="153"/>
    </row>
    <row r="3203" spans="1:20">
      <c r="A3203" t="s">
        <v>1230</v>
      </c>
      <c r="B3203" t="s">
        <v>74</v>
      </c>
      <c r="C3203" t="s">
        <v>40</v>
      </c>
      <c r="D3203" t="s">
        <v>7729</v>
      </c>
      <c r="E3203" t="s">
        <v>7730</v>
      </c>
      <c r="F3203" s="121">
        <v>336000</v>
      </c>
      <c r="G3203" s="121">
        <v>336000</v>
      </c>
      <c r="H3203" t="s">
        <v>7730</v>
      </c>
      <c r="I3203" s="156">
        <v>41089</v>
      </c>
      <c r="K3203" s="153"/>
      <c r="L3203" s="153"/>
      <c r="M3203" s="153"/>
      <c r="N3203" s="153"/>
      <c r="O3203" s="153"/>
      <c r="P3203" s="152"/>
      <c r="Q3203" s="152"/>
      <c r="R3203" s="153"/>
      <c r="S3203" s="154"/>
      <c r="T3203" s="153"/>
    </row>
    <row r="3204" spans="1:20">
      <c r="A3204" t="s">
        <v>1230</v>
      </c>
      <c r="B3204" t="s">
        <v>74</v>
      </c>
      <c r="C3204" t="s">
        <v>34</v>
      </c>
      <c r="D3204" t="s">
        <v>7731</v>
      </c>
      <c r="E3204" t="s">
        <v>7732</v>
      </c>
      <c r="F3204" s="121">
        <v>25800</v>
      </c>
      <c r="G3204" s="121">
        <v>25800</v>
      </c>
      <c r="H3204" t="s">
        <v>7732</v>
      </c>
      <c r="I3204" s="156">
        <v>41089</v>
      </c>
      <c r="K3204" s="153"/>
      <c r="L3204" s="153"/>
      <c r="M3204" s="153"/>
      <c r="N3204" s="153"/>
      <c r="O3204" s="153"/>
      <c r="P3204" s="152"/>
      <c r="Q3204" s="152"/>
      <c r="R3204" s="153"/>
      <c r="S3204" s="154"/>
      <c r="T3204" s="153"/>
    </row>
    <row r="3205" spans="1:20">
      <c r="A3205" t="s">
        <v>1230</v>
      </c>
      <c r="B3205" t="s">
        <v>74</v>
      </c>
      <c r="C3205" t="s">
        <v>34</v>
      </c>
      <c r="D3205" t="s">
        <v>7733</v>
      </c>
      <c r="E3205" t="s">
        <v>7734</v>
      </c>
      <c r="F3205" s="121">
        <v>256100</v>
      </c>
      <c r="G3205" s="121">
        <v>256100</v>
      </c>
      <c r="H3205" t="s">
        <v>7734</v>
      </c>
      <c r="I3205" s="156">
        <v>41089</v>
      </c>
      <c r="K3205" s="153"/>
      <c r="L3205" s="153"/>
      <c r="M3205" s="153"/>
      <c r="N3205" s="153"/>
      <c r="O3205" s="153"/>
      <c r="P3205" s="152"/>
      <c r="Q3205" s="152"/>
      <c r="R3205" s="153"/>
      <c r="S3205" s="154"/>
      <c r="T3205" s="153"/>
    </row>
    <row r="3206" spans="1:20">
      <c r="A3206" t="s">
        <v>1230</v>
      </c>
      <c r="B3206" t="s">
        <v>74</v>
      </c>
      <c r="C3206" t="s">
        <v>36</v>
      </c>
      <c r="D3206" t="s">
        <v>7735</v>
      </c>
      <c r="E3206" t="s">
        <v>7736</v>
      </c>
      <c r="F3206" s="121">
        <v>14900</v>
      </c>
      <c r="G3206" s="121">
        <v>14900</v>
      </c>
      <c r="H3206" t="s">
        <v>7736</v>
      </c>
      <c r="I3206" s="156">
        <v>41089</v>
      </c>
      <c r="K3206" s="153"/>
      <c r="L3206" s="153"/>
      <c r="M3206" s="153"/>
      <c r="N3206" s="153"/>
      <c r="O3206" s="153"/>
      <c r="P3206" s="152"/>
      <c r="Q3206" s="152"/>
      <c r="R3206" s="153"/>
      <c r="S3206" s="154"/>
      <c r="T3206" s="153"/>
    </row>
    <row r="3207" spans="1:20">
      <c r="A3207" t="s">
        <v>1230</v>
      </c>
      <c r="B3207" t="s">
        <v>74</v>
      </c>
      <c r="C3207" t="s">
        <v>36</v>
      </c>
      <c r="D3207" t="s">
        <v>7737</v>
      </c>
      <c r="E3207" t="s">
        <v>7738</v>
      </c>
      <c r="F3207" s="121">
        <v>5700</v>
      </c>
      <c r="G3207" s="121">
        <v>5700</v>
      </c>
      <c r="H3207" t="s">
        <v>7738</v>
      </c>
      <c r="I3207" s="156">
        <v>41089</v>
      </c>
      <c r="K3207" s="153"/>
      <c r="L3207" s="153"/>
      <c r="M3207" s="153"/>
      <c r="N3207" s="153"/>
      <c r="O3207" s="153"/>
      <c r="P3207" s="152"/>
      <c r="Q3207" s="152"/>
      <c r="R3207" s="153"/>
      <c r="S3207" s="154"/>
      <c r="T3207" s="153"/>
    </row>
    <row r="3208" spans="1:20">
      <c r="A3208" t="s">
        <v>1230</v>
      </c>
      <c r="B3208" t="s">
        <v>74</v>
      </c>
      <c r="C3208" t="s">
        <v>36</v>
      </c>
      <c r="D3208" t="s">
        <v>7681</v>
      </c>
      <c r="E3208" t="s">
        <v>7739</v>
      </c>
      <c r="F3208" s="121">
        <v>58600</v>
      </c>
      <c r="G3208" s="121">
        <v>58600</v>
      </c>
      <c r="H3208" t="s">
        <v>7739</v>
      </c>
      <c r="I3208" s="156">
        <v>41089</v>
      </c>
      <c r="K3208" s="153"/>
      <c r="L3208" s="153"/>
      <c r="M3208" s="153"/>
      <c r="N3208" s="153"/>
      <c r="O3208" s="153"/>
      <c r="P3208" s="152"/>
      <c r="Q3208" s="152"/>
      <c r="R3208" s="153"/>
      <c r="S3208" s="154"/>
      <c r="T3208" s="153"/>
    </row>
    <row r="3209" spans="1:20">
      <c r="A3209" t="s">
        <v>1230</v>
      </c>
      <c r="B3209" t="s">
        <v>74</v>
      </c>
      <c r="C3209" t="s">
        <v>60</v>
      </c>
      <c r="D3209" t="s">
        <v>7683</v>
      </c>
      <c r="E3209" t="s">
        <v>7740</v>
      </c>
      <c r="F3209" s="121">
        <v>25500</v>
      </c>
      <c r="G3209" s="121">
        <v>25500</v>
      </c>
      <c r="H3209" t="s">
        <v>7740</v>
      </c>
      <c r="I3209" s="156">
        <v>41089</v>
      </c>
      <c r="K3209" s="153"/>
      <c r="L3209" s="153"/>
      <c r="M3209" s="153"/>
      <c r="N3209" s="153"/>
      <c r="O3209" s="153"/>
      <c r="P3209" s="152"/>
      <c r="Q3209" s="152"/>
      <c r="R3209" s="153"/>
      <c r="S3209" s="154"/>
      <c r="T3209" s="153"/>
    </row>
    <row r="3210" spans="1:20">
      <c r="A3210" t="s">
        <v>1230</v>
      </c>
      <c r="B3210" t="s">
        <v>74</v>
      </c>
      <c r="C3210" t="s">
        <v>36</v>
      </c>
      <c r="D3210" t="s">
        <v>7741</v>
      </c>
      <c r="E3210" t="s">
        <v>7742</v>
      </c>
      <c r="F3210" s="121">
        <v>6100</v>
      </c>
      <c r="G3210" s="121">
        <v>6100</v>
      </c>
      <c r="H3210" t="s">
        <v>7742</v>
      </c>
      <c r="I3210" s="156">
        <v>41089</v>
      </c>
      <c r="K3210" s="153"/>
      <c r="L3210" s="153"/>
      <c r="M3210" s="153"/>
      <c r="N3210" s="153"/>
      <c r="O3210" s="153"/>
      <c r="P3210" s="152"/>
      <c r="Q3210" s="152"/>
      <c r="R3210" s="153"/>
      <c r="S3210" s="154"/>
      <c r="T3210" s="153"/>
    </row>
    <row r="3211" spans="1:20">
      <c r="A3211" t="s">
        <v>1230</v>
      </c>
      <c r="B3211" t="s">
        <v>74</v>
      </c>
      <c r="C3211" t="s">
        <v>36</v>
      </c>
      <c r="D3211" t="s">
        <v>7743</v>
      </c>
      <c r="E3211" t="s">
        <v>7744</v>
      </c>
      <c r="F3211" s="121">
        <v>4200</v>
      </c>
      <c r="G3211" s="121">
        <v>4200</v>
      </c>
      <c r="H3211" t="s">
        <v>7744</v>
      </c>
      <c r="I3211" s="156">
        <v>41089</v>
      </c>
      <c r="K3211" s="153"/>
      <c r="L3211" s="153"/>
      <c r="M3211" s="153"/>
      <c r="N3211" s="153"/>
      <c r="O3211" s="153"/>
      <c r="P3211" s="150"/>
      <c r="Q3211" s="152"/>
      <c r="R3211" s="153"/>
      <c r="S3211" s="154"/>
      <c r="T3211" s="153"/>
    </row>
    <row r="3212" spans="1:20">
      <c r="A3212" t="s">
        <v>1230</v>
      </c>
      <c r="B3212" t="s">
        <v>74</v>
      </c>
      <c r="C3212" t="s">
        <v>36</v>
      </c>
      <c r="D3212" t="s">
        <v>7745</v>
      </c>
      <c r="E3212" t="s">
        <v>7746</v>
      </c>
      <c r="F3212" s="121">
        <v>42500</v>
      </c>
      <c r="G3212" s="121">
        <v>42500</v>
      </c>
      <c r="H3212" t="s">
        <v>7746</v>
      </c>
      <c r="I3212" s="156">
        <v>41089</v>
      </c>
      <c r="K3212" s="153"/>
      <c r="L3212" s="153"/>
      <c r="M3212" s="153"/>
      <c r="N3212" s="153"/>
      <c r="O3212" s="153"/>
      <c r="P3212" s="150"/>
      <c r="Q3212" s="152"/>
      <c r="R3212" s="153"/>
      <c r="S3212" s="154"/>
      <c r="T3212" s="153"/>
    </row>
    <row r="3213" spans="1:20">
      <c r="A3213" t="s">
        <v>1230</v>
      </c>
      <c r="B3213" t="s">
        <v>74</v>
      </c>
      <c r="C3213" t="s">
        <v>36</v>
      </c>
      <c r="D3213" t="s">
        <v>7747</v>
      </c>
      <c r="E3213" t="s">
        <v>7748</v>
      </c>
      <c r="F3213" s="121">
        <v>12800</v>
      </c>
      <c r="G3213" s="121">
        <v>12800</v>
      </c>
      <c r="H3213" t="s">
        <v>7748</v>
      </c>
      <c r="I3213" s="156">
        <v>41089</v>
      </c>
      <c r="K3213" s="153"/>
      <c r="L3213" s="153"/>
      <c r="M3213" s="153"/>
      <c r="N3213" s="153"/>
      <c r="O3213" s="153"/>
      <c r="P3213" s="150"/>
      <c r="Q3213" s="152"/>
      <c r="R3213" s="153"/>
      <c r="S3213" s="154"/>
      <c r="T3213" s="153"/>
    </row>
    <row r="3214" spans="1:20">
      <c r="A3214" t="s">
        <v>1230</v>
      </c>
      <c r="B3214" t="s">
        <v>75</v>
      </c>
      <c r="C3214" t="s">
        <v>40</v>
      </c>
      <c r="D3214" t="s">
        <v>7749</v>
      </c>
      <c r="E3214" t="s">
        <v>7750</v>
      </c>
      <c r="F3214" s="121">
        <v>51700</v>
      </c>
      <c r="G3214" s="121">
        <v>51700</v>
      </c>
      <c r="H3214" t="s">
        <v>7750</v>
      </c>
      <c r="I3214" s="156">
        <v>41089</v>
      </c>
      <c r="K3214" s="153"/>
      <c r="L3214" s="153"/>
      <c r="M3214" s="153"/>
      <c r="N3214" s="153"/>
      <c r="O3214" s="153"/>
      <c r="P3214" s="150"/>
      <c r="Q3214" s="152"/>
      <c r="R3214" s="153"/>
      <c r="S3214" s="154"/>
      <c r="T3214" s="153"/>
    </row>
    <row r="3215" spans="1:20">
      <c r="A3215" t="s">
        <v>1230</v>
      </c>
      <c r="B3215" t="s">
        <v>75</v>
      </c>
      <c r="C3215" t="s">
        <v>36</v>
      </c>
      <c r="D3215" t="s">
        <v>7751</v>
      </c>
      <c r="E3215" t="s">
        <v>7752</v>
      </c>
      <c r="F3215" s="121">
        <v>9700</v>
      </c>
      <c r="G3215" s="121">
        <v>9700</v>
      </c>
      <c r="H3215" t="s">
        <v>7752</v>
      </c>
      <c r="I3215" s="156">
        <v>41089</v>
      </c>
      <c r="K3215" s="153"/>
      <c r="L3215" s="153"/>
      <c r="M3215" s="153"/>
      <c r="N3215" s="153"/>
      <c r="O3215" s="153"/>
      <c r="P3215" s="152"/>
      <c r="Q3215" s="152"/>
      <c r="R3215" s="153"/>
      <c r="S3215" s="154"/>
      <c r="T3215" s="153"/>
    </row>
    <row r="3216" spans="1:20">
      <c r="A3216" t="s">
        <v>1230</v>
      </c>
      <c r="B3216" t="s">
        <v>75</v>
      </c>
      <c r="C3216" t="s">
        <v>36</v>
      </c>
      <c r="D3216" t="s">
        <v>7753</v>
      </c>
      <c r="E3216" t="s">
        <v>7754</v>
      </c>
      <c r="F3216" s="121">
        <v>13900</v>
      </c>
      <c r="G3216" s="121">
        <v>13900</v>
      </c>
      <c r="H3216" t="s">
        <v>7754</v>
      </c>
      <c r="I3216" s="156">
        <v>41089</v>
      </c>
      <c r="K3216" s="153"/>
      <c r="L3216" s="153"/>
      <c r="M3216" s="153"/>
      <c r="N3216" s="153"/>
      <c r="O3216" s="153"/>
      <c r="P3216" s="152"/>
      <c r="Q3216" s="152"/>
      <c r="R3216" s="153"/>
      <c r="S3216" s="154"/>
      <c r="T3216" s="153"/>
    </row>
    <row r="3217" spans="1:20">
      <c r="A3217" t="s">
        <v>1230</v>
      </c>
      <c r="B3217" t="s">
        <v>75</v>
      </c>
      <c r="C3217" t="s">
        <v>40</v>
      </c>
      <c r="D3217" t="s">
        <v>7755</v>
      </c>
      <c r="E3217" t="s">
        <v>7756</v>
      </c>
      <c r="F3217" s="121">
        <v>17500</v>
      </c>
      <c r="G3217" s="121">
        <v>17500</v>
      </c>
      <c r="H3217" t="s">
        <v>7756</v>
      </c>
      <c r="I3217" s="156">
        <v>41089</v>
      </c>
      <c r="K3217" s="153"/>
      <c r="L3217" s="153"/>
      <c r="M3217" s="153"/>
      <c r="N3217" s="153"/>
      <c r="O3217" s="153"/>
      <c r="P3217" s="150"/>
      <c r="Q3217" s="152"/>
      <c r="R3217" s="153"/>
      <c r="S3217" s="154"/>
      <c r="T3217" s="153"/>
    </row>
    <row r="3218" spans="1:20">
      <c r="A3218" t="s">
        <v>1230</v>
      </c>
      <c r="B3218" t="s">
        <v>75</v>
      </c>
      <c r="C3218" t="s">
        <v>32</v>
      </c>
      <c r="D3218" t="s">
        <v>7705</v>
      </c>
      <c r="E3218" t="s">
        <v>7757</v>
      </c>
      <c r="F3218" s="121">
        <v>96400</v>
      </c>
      <c r="G3218" s="121">
        <v>96400</v>
      </c>
      <c r="H3218" t="s">
        <v>7757</v>
      </c>
      <c r="I3218" s="156">
        <v>41089</v>
      </c>
      <c r="K3218" s="153"/>
      <c r="L3218" s="153"/>
      <c r="M3218" s="153"/>
      <c r="N3218" s="153"/>
      <c r="O3218" s="153"/>
      <c r="P3218" s="152"/>
      <c r="Q3218" s="152"/>
      <c r="R3218" s="153"/>
      <c r="S3218" s="154"/>
      <c r="T3218" s="153"/>
    </row>
    <row r="3219" spans="1:20">
      <c r="A3219" t="s">
        <v>1230</v>
      </c>
      <c r="B3219" t="s">
        <v>75</v>
      </c>
      <c r="C3219" t="s">
        <v>36</v>
      </c>
      <c r="D3219" t="s">
        <v>7758</v>
      </c>
      <c r="E3219" t="s">
        <v>7759</v>
      </c>
      <c r="F3219" s="121">
        <v>14900</v>
      </c>
      <c r="G3219" s="121">
        <v>14900</v>
      </c>
      <c r="H3219" t="s">
        <v>7759</v>
      </c>
      <c r="I3219" s="156">
        <v>41089</v>
      </c>
      <c r="K3219" s="153"/>
      <c r="L3219" s="153"/>
      <c r="M3219" s="153"/>
      <c r="N3219" s="153"/>
      <c r="O3219" s="153"/>
      <c r="P3219" s="152"/>
      <c r="Q3219" s="152"/>
      <c r="R3219" s="153"/>
      <c r="S3219" s="154"/>
      <c r="T3219" s="153"/>
    </row>
    <row r="3220" spans="1:20">
      <c r="A3220" t="s">
        <v>1230</v>
      </c>
      <c r="B3220" t="s">
        <v>75</v>
      </c>
      <c r="C3220" t="s">
        <v>36</v>
      </c>
      <c r="D3220" t="s">
        <v>7723</v>
      </c>
      <c r="E3220" t="s">
        <v>7760</v>
      </c>
      <c r="F3220" s="121">
        <v>1600</v>
      </c>
      <c r="G3220" s="121">
        <v>1600</v>
      </c>
      <c r="H3220" t="s">
        <v>7760</v>
      </c>
      <c r="I3220" s="156">
        <v>41089</v>
      </c>
      <c r="K3220" s="153"/>
      <c r="L3220" s="153"/>
      <c r="M3220" s="153"/>
      <c r="N3220" s="153"/>
      <c r="O3220" s="153"/>
      <c r="P3220" s="152"/>
      <c r="Q3220" s="152"/>
      <c r="R3220" s="153"/>
      <c r="S3220" s="154"/>
      <c r="T3220" s="153"/>
    </row>
    <row r="3221" spans="1:20">
      <c r="A3221" t="s">
        <v>1230</v>
      </c>
      <c r="B3221" t="s">
        <v>75</v>
      </c>
      <c r="C3221" t="s">
        <v>36</v>
      </c>
      <c r="D3221" t="s">
        <v>7761</v>
      </c>
      <c r="E3221" t="s">
        <v>7762</v>
      </c>
      <c r="F3221" s="121">
        <v>25700</v>
      </c>
      <c r="G3221" s="121">
        <v>25700</v>
      </c>
      <c r="H3221" t="s">
        <v>7762</v>
      </c>
      <c r="I3221" s="156">
        <v>41089</v>
      </c>
      <c r="K3221" s="153"/>
      <c r="L3221" s="153"/>
      <c r="M3221" s="153"/>
      <c r="N3221" s="153"/>
      <c r="O3221" s="153"/>
      <c r="P3221" s="152"/>
      <c r="Q3221" s="152"/>
      <c r="R3221" s="153"/>
      <c r="S3221" s="154"/>
      <c r="T3221" s="153"/>
    </row>
    <row r="3222" spans="1:20">
      <c r="A3222" t="s">
        <v>1230</v>
      </c>
      <c r="B3222" t="s">
        <v>75</v>
      </c>
      <c r="C3222" t="s">
        <v>65</v>
      </c>
      <c r="D3222" t="s">
        <v>7763</v>
      </c>
      <c r="E3222" t="s">
        <v>7764</v>
      </c>
      <c r="F3222" s="121">
        <v>1900</v>
      </c>
      <c r="G3222" s="121">
        <v>1900</v>
      </c>
      <c r="H3222" t="s">
        <v>7764</v>
      </c>
      <c r="I3222" s="156">
        <v>41089</v>
      </c>
      <c r="K3222" s="153"/>
      <c r="L3222" s="153"/>
      <c r="M3222" s="153"/>
      <c r="N3222" s="153"/>
      <c r="O3222" s="153"/>
      <c r="P3222" s="152"/>
      <c r="Q3222" s="152"/>
      <c r="R3222" s="153"/>
      <c r="S3222" s="154"/>
      <c r="T3222" s="153"/>
    </row>
    <row r="3223" spans="1:20">
      <c r="A3223" t="s">
        <v>1230</v>
      </c>
      <c r="B3223" t="s">
        <v>75</v>
      </c>
      <c r="C3223" t="s">
        <v>40</v>
      </c>
      <c r="D3223" t="s">
        <v>7755</v>
      </c>
      <c r="E3223" t="s">
        <v>7765</v>
      </c>
      <c r="F3223" s="121">
        <v>18100</v>
      </c>
      <c r="G3223" s="121">
        <v>18100</v>
      </c>
      <c r="H3223" t="s">
        <v>7765</v>
      </c>
      <c r="I3223" s="156">
        <v>41089</v>
      </c>
      <c r="K3223" s="153"/>
      <c r="L3223" s="153"/>
      <c r="M3223" s="153"/>
      <c r="N3223" s="153"/>
      <c r="O3223" s="153"/>
      <c r="P3223" s="152"/>
      <c r="Q3223" s="152"/>
      <c r="R3223" s="153"/>
      <c r="S3223" s="154"/>
      <c r="T3223" s="153"/>
    </row>
    <row r="3224" spans="1:20">
      <c r="A3224" t="s">
        <v>1230</v>
      </c>
      <c r="B3224" t="s">
        <v>75</v>
      </c>
      <c r="C3224" t="s">
        <v>38</v>
      </c>
      <c r="D3224" t="s">
        <v>7766</v>
      </c>
      <c r="E3224" t="s">
        <v>7767</v>
      </c>
      <c r="F3224" s="121">
        <v>5200</v>
      </c>
      <c r="G3224" s="121">
        <v>5200</v>
      </c>
      <c r="H3224" t="s">
        <v>7767</v>
      </c>
      <c r="I3224" s="156">
        <v>41089</v>
      </c>
      <c r="K3224" s="153"/>
      <c r="L3224" s="153"/>
      <c r="M3224" s="153"/>
      <c r="N3224" s="153"/>
      <c r="O3224" s="153"/>
      <c r="P3224" s="152"/>
      <c r="Q3224" s="152"/>
      <c r="R3224" s="153"/>
      <c r="S3224" s="154"/>
      <c r="T3224" s="153"/>
    </row>
    <row r="3225" spans="1:20">
      <c r="A3225" t="s">
        <v>1230</v>
      </c>
      <c r="B3225" t="s">
        <v>75</v>
      </c>
      <c r="C3225" t="s">
        <v>36</v>
      </c>
      <c r="D3225" t="s">
        <v>7723</v>
      </c>
      <c r="E3225" t="s">
        <v>7768</v>
      </c>
      <c r="F3225" s="121">
        <v>2100</v>
      </c>
      <c r="G3225" s="121">
        <v>2100</v>
      </c>
      <c r="H3225" t="s">
        <v>7768</v>
      </c>
      <c r="I3225" s="156">
        <v>41089</v>
      </c>
      <c r="K3225" s="153"/>
      <c r="L3225" s="153"/>
      <c r="M3225" s="153"/>
      <c r="N3225" s="153"/>
      <c r="O3225" s="153"/>
      <c r="P3225" s="152"/>
      <c r="Q3225" s="152"/>
      <c r="R3225" s="153"/>
      <c r="S3225" s="154"/>
      <c r="T3225" s="153"/>
    </row>
    <row r="3226" spans="1:20">
      <c r="A3226" t="s">
        <v>1230</v>
      </c>
      <c r="B3226" t="s">
        <v>75</v>
      </c>
      <c r="C3226" t="s">
        <v>34</v>
      </c>
      <c r="D3226" t="s">
        <v>7769</v>
      </c>
      <c r="E3226" t="s">
        <v>7770</v>
      </c>
      <c r="F3226" s="121">
        <v>240800</v>
      </c>
      <c r="G3226" s="121">
        <v>240800</v>
      </c>
      <c r="H3226" t="s">
        <v>7770</v>
      </c>
      <c r="I3226" s="156">
        <v>41089</v>
      </c>
      <c r="K3226" s="153"/>
      <c r="L3226" s="153"/>
      <c r="M3226" s="153"/>
      <c r="N3226" s="153"/>
      <c r="O3226" s="153"/>
      <c r="P3226" s="152"/>
      <c r="Q3226" s="152"/>
      <c r="R3226" s="153"/>
      <c r="S3226" s="154"/>
      <c r="T3226" s="153"/>
    </row>
    <row r="3227" spans="1:20">
      <c r="A3227" t="s">
        <v>1230</v>
      </c>
      <c r="B3227" t="s">
        <v>75</v>
      </c>
      <c r="C3227" t="s">
        <v>36</v>
      </c>
      <c r="D3227" t="s">
        <v>7771</v>
      </c>
      <c r="E3227" t="s">
        <v>7772</v>
      </c>
      <c r="F3227" s="121">
        <v>3000</v>
      </c>
      <c r="G3227" s="121">
        <v>3000</v>
      </c>
      <c r="H3227" t="s">
        <v>7772</v>
      </c>
      <c r="I3227" s="156">
        <v>41089</v>
      </c>
      <c r="K3227" s="153"/>
      <c r="L3227" s="153"/>
      <c r="M3227" s="153"/>
      <c r="N3227" s="153"/>
      <c r="O3227" s="153"/>
      <c r="P3227" s="152"/>
      <c r="Q3227" s="152"/>
      <c r="R3227" s="153"/>
      <c r="S3227" s="154"/>
      <c r="T3227" s="153"/>
    </row>
    <row r="3228" spans="1:20">
      <c r="A3228" t="s">
        <v>1230</v>
      </c>
      <c r="B3228" t="s">
        <v>75</v>
      </c>
      <c r="C3228" t="s">
        <v>34</v>
      </c>
      <c r="D3228" t="s">
        <v>7773</v>
      </c>
      <c r="E3228" t="s">
        <v>7774</v>
      </c>
      <c r="F3228" s="121">
        <v>15700</v>
      </c>
      <c r="G3228" s="121">
        <v>15700</v>
      </c>
      <c r="H3228" t="s">
        <v>7774</v>
      </c>
      <c r="I3228" s="156">
        <v>41089</v>
      </c>
      <c r="K3228" s="153"/>
      <c r="L3228" s="153"/>
      <c r="M3228" s="153"/>
      <c r="N3228" s="153"/>
      <c r="O3228" s="153"/>
      <c r="P3228" s="152"/>
      <c r="Q3228" s="152"/>
      <c r="R3228" s="153"/>
      <c r="S3228" s="154"/>
      <c r="T3228" s="153"/>
    </row>
    <row r="3229" spans="1:20">
      <c r="A3229" t="s">
        <v>1230</v>
      </c>
      <c r="B3229" t="s">
        <v>75</v>
      </c>
      <c r="C3229" t="s">
        <v>36</v>
      </c>
      <c r="D3229" t="s">
        <v>7775</v>
      </c>
      <c r="E3229" t="s">
        <v>7776</v>
      </c>
      <c r="F3229" s="121">
        <v>1800</v>
      </c>
      <c r="G3229" s="121">
        <v>1800</v>
      </c>
      <c r="H3229" t="s">
        <v>7776</v>
      </c>
      <c r="I3229" s="156">
        <v>41089</v>
      </c>
      <c r="K3229" s="153"/>
      <c r="L3229" s="153"/>
      <c r="M3229" s="153"/>
      <c r="N3229" s="153"/>
      <c r="O3229" s="153"/>
      <c r="P3229" s="152"/>
      <c r="Q3229" s="152"/>
      <c r="R3229" s="153"/>
      <c r="S3229" s="154"/>
      <c r="T3229" s="153"/>
    </row>
    <row r="3230" spans="1:20">
      <c r="A3230" t="s">
        <v>1230</v>
      </c>
      <c r="B3230" t="s">
        <v>75</v>
      </c>
      <c r="C3230" t="s">
        <v>34</v>
      </c>
      <c r="D3230" t="s">
        <v>7777</v>
      </c>
      <c r="E3230" t="s">
        <v>7778</v>
      </c>
      <c r="F3230" s="121">
        <v>1800</v>
      </c>
      <c r="G3230" s="121">
        <v>1800</v>
      </c>
      <c r="H3230" t="s">
        <v>7778</v>
      </c>
      <c r="I3230" s="156">
        <v>41089</v>
      </c>
      <c r="K3230" s="153"/>
      <c r="L3230" s="153"/>
      <c r="M3230" s="153"/>
      <c r="N3230" s="153"/>
      <c r="O3230" s="153"/>
      <c r="P3230" s="152"/>
      <c r="Q3230" s="152"/>
      <c r="R3230" s="153"/>
      <c r="S3230" s="154"/>
      <c r="T3230" s="153"/>
    </row>
    <row r="3231" spans="1:20">
      <c r="A3231" t="s">
        <v>1230</v>
      </c>
      <c r="B3231" t="s">
        <v>75</v>
      </c>
      <c r="C3231" t="s">
        <v>36</v>
      </c>
      <c r="D3231" t="s">
        <v>7779</v>
      </c>
      <c r="E3231" t="s">
        <v>7780</v>
      </c>
      <c r="F3231" s="121">
        <v>1900</v>
      </c>
      <c r="G3231" s="121">
        <v>1900</v>
      </c>
      <c r="H3231" t="s">
        <v>7780</v>
      </c>
      <c r="I3231" s="156">
        <v>41089</v>
      </c>
      <c r="K3231" s="153"/>
      <c r="L3231" s="153"/>
      <c r="M3231" s="153"/>
      <c r="N3231" s="153"/>
      <c r="O3231" s="153"/>
      <c r="P3231" s="152"/>
      <c r="Q3231" s="153"/>
      <c r="R3231" s="153"/>
      <c r="S3231" s="154"/>
      <c r="T3231" s="153"/>
    </row>
    <row r="3232" spans="1:20">
      <c r="A3232" t="s">
        <v>1230</v>
      </c>
      <c r="B3232" t="s">
        <v>75</v>
      </c>
      <c r="C3232" t="s">
        <v>36</v>
      </c>
      <c r="D3232" t="s">
        <v>7781</v>
      </c>
      <c r="E3232" t="s">
        <v>7782</v>
      </c>
      <c r="F3232" s="121">
        <v>21900</v>
      </c>
      <c r="G3232" s="121">
        <v>21900</v>
      </c>
      <c r="H3232" t="s">
        <v>7782</v>
      </c>
      <c r="I3232" s="156">
        <v>41089</v>
      </c>
      <c r="K3232" s="153"/>
      <c r="L3232" s="153"/>
      <c r="M3232" s="153"/>
      <c r="N3232" s="153"/>
      <c r="O3232" s="153"/>
      <c r="P3232" s="152"/>
      <c r="Q3232" s="152"/>
      <c r="R3232" s="153"/>
      <c r="S3232" s="154"/>
      <c r="T3232" s="153"/>
    </row>
    <row r="3233" spans="1:20">
      <c r="A3233" t="s">
        <v>1230</v>
      </c>
      <c r="B3233" t="s">
        <v>75</v>
      </c>
      <c r="C3233" t="s">
        <v>34</v>
      </c>
      <c r="D3233" t="s">
        <v>7783</v>
      </c>
      <c r="E3233" t="s">
        <v>7784</v>
      </c>
      <c r="F3233" s="121">
        <v>8800</v>
      </c>
      <c r="G3233" s="121">
        <v>8800</v>
      </c>
      <c r="H3233" t="s">
        <v>7784</v>
      </c>
      <c r="I3233" s="156">
        <v>41089</v>
      </c>
      <c r="K3233" s="153"/>
      <c r="L3233" s="153"/>
      <c r="M3233" s="153"/>
      <c r="N3233" s="153"/>
      <c r="O3233" s="153"/>
      <c r="P3233" s="152"/>
      <c r="Q3233" s="152"/>
      <c r="R3233" s="153"/>
      <c r="S3233" s="154"/>
      <c r="T3233" s="153"/>
    </row>
    <row r="3234" spans="1:20">
      <c r="A3234" t="s">
        <v>1230</v>
      </c>
      <c r="B3234" t="s">
        <v>75</v>
      </c>
      <c r="C3234" t="s">
        <v>36</v>
      </c>
      <c r="D3234" t="s">
        <v>7785</v>
      </c>
      <c r="E3234" t="s">
        <v>7786</v>
      </c>
      <c r="F3234" s="121">
        <v>5000</v>
      </c>
      <c r="G3234" s="121">
        <v>5000</v>
      </c>
      <c r="H3234" t="s">
        <v>7786</v>
      </c>
      <c r="I3234" s="156">
        <v>41089</v>
      </c>
      <c r="K3234" s="153"/>
      <c r="L3234" s="153"/>
      <c r="M3234" s="153"/>
      <c r="N3234" s="153"/>
      <c r="O3234" s="153"/>
      <c r="P3234" s="152"/>
      <c r="Q3234" s="152"/>
      <c r="R3234" s="153"/>
      <c r="S3234" s="154"/>
      <c r="T3234" s="153"/>
    </row>
    <row r="3235" spans="1:20">
      <c r="A3235" t="s">
        <v>1230</v>
      </c>
      <c r="B3235" t="s">
        <v>75</v>
      </c>
      <c r="C3235" t="s">
        <v>60</v>
      </c>
      <c r="D3235" t="s">
        <v>7683</v>
      </c>
      <c r="E3235" t="s">
        <v>7787</v>
      </c>
      <c r="F3235" s="121">
        <v>30200</v>
      </c>
      <c r="G3235" s="121">
        <v>30200</v>
      </c>
      <c r="H3235" t="s">
        <v>7787</v>
      </c>
      <c r="I3235" s="156">
        <v>41089</v>
      </c>
      <c r="K3235" s="153"/>
      <c r="L3235" s="153"/>
      <c r="M3235" s="153"/>
      <c r="N3235" s="153"/>
      <c r="O3235" s="153"/>
      <c r="P3235" s="152"/>
      <c r="Q3235" s="152"/>
      <c r="R3235" s="153"/>
      <c r="S3235" s="154"/>
      <c r="T3235" s="153"/>
    </row>
    <row r="3236" spans="1:20">
      <c r="A3236" t="s">
        <v>1230</v>
      </c>
      <c r="B3236" t="s">
        <v>75</v>
      </c>
      <c r="C3236" t="s">
        <v>36</v>
      </c>
      <c r="D3236" t="s">
        <v>7788</v>
      </c>
      <c r="E3236" t="s">
        <v>7789</v>
      </c>
      <c r="F3236" s="121">
        <v>3900</v>
      </c>
      <c r="G3236" s="121">
        <v>3900</v>
      </c>
      <c r="H3236" t="s">
        <v>7789</v>
      </c>
      <c r="I3236" s="156">
        <v>41089</v>
      </c>
    </row>
    <row r="3237" spans="1:20">
      <c r="A3237" t="s">
        <v>1230</v>
      </c>
      <c r="B3237" t="s">
        <v>75</v>
      </c>
      <c r="C3237" t="s">
        <v>36</v>
      </c>
      <c r="D3237" t="s">
        <v>7790</v>
      </c>
      <c r="E3237" t="s">
        <v>7791</v>
      </c>
      <c r="F3237" s="121">
        <v>7500</v>
      </c>
      <c r="G3237" s="121">
        <v>7500</v>
      </c>
      <c r="H3237" t="s">
        <v>7791</v>
      </c>
      <c r="I3237" s="156">
        <v>41089</v>
      </c>
    </row>
    <row r="3238" spans="1:20">
      <c r="A3238" t="s">
        <v>1230</v>
      </c>
      <c r="B3238" t="s">
        <v>75</v>
      </c>
      <c r="C3238" t="s">
        <v>36</v>
      </c>
      <c r="D3238" t="s">
        <v>7723</v>
      </c>
      <c r="E3238" t="s">
        <v>7792</v>
      </c>
      <c r="F3238" s="121">
        <v>4000</v>
      </c>
      <c r="G3238" s="121">
        <v>4000</v>
      </c>
      <c r="H3238" t="s">
        <v>7792</v>
      </c>
      <c r="I3238" s="156">
        <v>41089</v>
      </c>
    </row>
    <row r="3239" spans="1:20">
      <c r="A3239" t="s">
        <v>1230</v>
      </c>
      <c r="B3239" t="s">
        <v>75</v>
      </c>
      <c r="C3239" t="s">
        <v>40</v>
      </c>
      <c r="D3239" t="s">
        <v>7793</v>
      </c>
      <c r="E3239" t="s">
        <v>7794</v>
      </c>
      <c r="F3239" s="121">
        <v>31900</v>
      </c>
      <c r="G3239" s="121">
        <v>31900</v>
      </c>
      <c r="H3239" t="s">
        <v>7794</v>
      </c>
      <c r="I3239" s="156">
        <v>41089</v>
      </c>
    </row>
    <row r="3240" spans="1:20">
      <c r="A3240" t="s">
        <v>1230</v>
      </c>
      <c r="B3240" t="s">
        <v>75</v>
      </c>
      <c r="C3240" t="s">
        <v>38</v>
      </c>
      <c r="D3240" t="s">
        <v>7795</v>
      </c>
      <c r="E3240" t="s">
        <v>7796</v>
      </c>
      <c r="F3240" s="121">
        <v>3900</v>
      </c>
      <c r="G3240" s="121">
        <v>3900</v>
      </c>
      <c r="H3240" t="s">
        <v>7796</v>
      </c>
      <c r="I3240" s="156">
        <v>41089</v>
      </c>
    </row>
    <row r="3241" spans="1:20">
      <c r="A3241" t="s">
        <v>1230</v>
      </c>
      <c r="B3241" t="s">
        <v>75</v>
      </c>
      <c r="C3241" t="s">
        <v>36</v>
      </c>
      <c r="D3241" t="s">
        <v>7797</v>
      </c>
      <c r="E3241" t="s">
        <v>7798</v>
      </c>
      <c r="F3241" s="121">
        <v>900</v>
      </c>
      <c r="G3241" s="121">
        <v>900</v>
      </c>
      <c r="H3241" t="s">
        <v>7798</v>
      </c>
      <c r="I3241" s="156">
        <v>41089</v>
      </c>
    </row>
    <row r="3242" spans="1:20">
      <c r="A3242" t="s">
        <v>1230</v>
      </c>
      <c r="B3242" t="s">
        <v>75</v>
      </c>
      <c r="C3242" t="s">
        <v>40</v>
      </c>
      <c r="D3242" t="s">
        <v>7799</v>
      </c>
      <c r="E3242" t="s">
        <v>7800</v>
      </c>
      <c r="F3242" s="121">
        <v>214700</v>
      </c>
      <c r="G3242" s="121">
        <v>214700</v>
      </c>
      <c r="H3242" t="s">
        <v>7800</v>
      </c>
      <c r="I3242" s="156">
        <v>41089</v>
      </c>
    </row>
    <row r="3243" spans="1:20">
      <c r="A3243" t="s">
        <v>1231</v>
      </c>
      <c r="B3243" t="s">
        <v>73</v>
      </c>
      <c r="C3243" t="s">
        <v>47</v>
      </c>
      <c r="D3243" t="s">
        <v>7801</v>
      </c>
      <c r="E3243" t="s">
        <v>7802</v>
      </c>
      <c r="F3243" s="121">
        <v>2515080</v>
      </c>
      <c r="G3243" s="121">
        <v>3265614</v>
      </c>
      <c r="H3243" t="s">
        <v>7802</v>
      </c>
      <c r="I3243" s="156">
        <v>40908</v>
      </c>
      <c r="J3243">
        <v>250</v>
      </c>
    </row>
    <row r="3244" spans="1:20">
      <c r="A3244" t="s">
        <v>1231</v>
      </c>
      <c r="B3244" t="s">
        <v>72</v>
      </c>
      <c r="C3244" t="s">
        <v>47</v>
      </c>
      <c r="D3244" t="s">
        <v>7502</v>
      </c>
      <c r="E3244" t="s">
        <v>7803</v>
      </c>
      <c r="F3244" s="121">
        <v>4083368.57</v>
      </c>
      <c r="G3244" s="121">
        <v>9050666</v>
      </c>
      <c r="H3244" t="s">
        <v>7803</v>
      </c>
      <c r="I3244" s="156">
        <v>40908</v>
      </c>
      <c r="J3244">
        <v>481.77</v>
      </c>
    </row>
    <row r="3245" spans="1:20">
      <c r="A3245" t="s">
        <v>1231</v>
      </c>
      <c r="B3245" t="s">
        <v>72</v>
      </c>
      <c r="C3245" t="s">
        <v>47</v>
      </c>
      <c r="D3245" t="s">
        <v>7804</v>
      </c>
      <c r="E3245" t="s">
        <v>7805</v>
      </c>
      <c r="F3245" s="121">
        <v>518929.37</v>
      </c>
      <c r="G3245" s="121">
        <v>881536</v>
      </c>
      <c r="H3245" t="s">
        <v>7805</v>
      </c>
      <c r="I3245" s="156">
        <v>40908</v>
      </c>
      <c r="J3245">
        <v>236.4</v>
      </c>
    </row>
    <row r="3246" spans="1:20">
      <c r="A3246" t="s">
        <v>1231</v>
      </c>
      <c r="B3246" t="s">
        <v>72</v>
      </c>
      <c r="C3246" t="s">
        <v>47</v>
      </c>
      <c r="D3246" t="s">
        <v>7806</v>
      </c>
      <c r="E3246" t="s">
        <v>7807</v>
      </c>
      <c r="F3246" s="121">
        <v>1305725.73</v>
      </c>
      <c r="G3246" s="121">
        <v>3353873</v>
      </c>
      <c r="H3246" t="s">
        <v>7807</v>
      </c>
      <c r="I3246" s="156">
        <v>40908</v>
      </c>
      <c r="J3246">
        <v>408.66</v>
      </c>
    </row>
    <row r="3247" spans="1:20">
      <c r="A3247" t="s">
        <v>1231</v>
      </c>
      <c r="B3247" t="s">
        <v>72</v>
      </c>
      <c r="C3247" t="s">
        <v>47</v>
      </c>
      <c r="D3247" t="s">
        <v>7808</v>
      </c>
      <c r="E3247" t="s">
        <v>7809</v>
      </c>
      <c r="F3247" s="121">
        <v>1044388.84</v>
      </c>
      <c r="G3247" s="121">
        <v>2415135</v>
      </c>
      <c r="H3247" t="s">
        <v>7809</v>
      </c>
      <c r="I3247" s="156">
        <v>40908</v>
      </c>
      <c r="J3247">
        <v>112</v>
      </c>
    </row>
    <row r="3248" spans="1:20">
      <c r="A3248" t="s">
        <v>1405</v>
      </c>
      <c r="B3248" t="s">
        <v>72</v>
      </c>
      <c r="C3248" t="s">
        <v>47</v>
      </c>
      <c r="D3248" t="s">
        <v>7810</v>
      </c>
      <c r="E3248" t="s">
        <v>7811</v>
      </c>
      <c r="F3248" s="121">
        <v>270000</v>
      </c>
      <c r="G3248" s="121">
        <v>6415832</v>
      </c>
      <c r="H3248" t="s">
        <v>7811</v>
      </c>
      <c r="I3248" s="156">
        <v>40908</v>
      </c>
      <c r="J3248">
        <v>337.99400000000003</v>
      </c>
    </row>
    <row r="3249" spans="1:10">
      <c r="A3249" t="s">
        <v>1405</v>
      </c>
      <c r="B3249" t="s">
        <v>72</v>
      </c>
      <c r="C3249" t="s">
        <v>47</v>
      </c>
      <c r="D3249" t="s">
        <v>7812</v>
      </c>
      <c r="E3249" t="s">
        <v>7813</v>
      </c>
      <c r="F3249" s="121">
        <v>197000</v>
      </c>
      <c r="G3249" s="121">
        <v>617282</v>
      </c>
      <c r="H3249" t="s">
        <v>7813</v>
      </c>
      <c r="I3249" s="156">
        <v>40908</v>
      </c>
      <c r="J3249">
        <v>494.74</v>
      </c>
    </row>
    <row r="3250" spans="1:10">
      <c r="A3250" t="s">
        <v>1405</v>
      </c>
      <c r="B3250" t="s">
        <v>72</v>
      </c>
      <c r="C3250" t="s">
        <v>47</v>
      </c>
      <c r="D3250" t="s">
        <v>7814</v>
      </c>
      <c r="E3250" t="s">
        <v>7815</v>
      </c>
      <c r="F3250" s="121">
        <v>213000</v>
      </c>
      <c r="G3250" s="121">
        <v>1958816</v>
      </c>
      <c r="H3250" t="s">
        <v>7815</v>
      </c>
      <c r="I3250" s="156">
        <v>40908</v>
      </c>
      <c r="J3250">
        <v>497.66699999999997</v>
      </c>
    </row>
    <row r="3251" spans="1:10">
      <c r="A3251" t="s">
        <v>1405</v>
      </c>
      <c r="B3251" t="s">
        <v>72</v>
      </c>
      <c r="C3251" t="s">
        <v>47</v>
      </c>
      <c r="D3251" t="s">
        <v>7816</v>
      </c>
      <c r="E3251" t="s">
        <v>7817</v>
      </c>
      <c r="F3251" s="121">
        <v>552000</v>
      </c>
      <c r="G3251" s="121">
        <v>2164526</v>
      </c>
      <c r="H3251" t="s">
        <v>7817</v>
      </c>
      <c r="I3251" s="156">
        <v>40908</v>
      </c>
      <c r="J3251">
        <v>441.73899999999998</v>
      </c>
    </row>
    <row r="3252" spans="1:10">
      <c r="A3252" t="s">
        <v>1231</v>
      </c>
      <c r="B3252" t="s">
        <v>1012</v>
      </c>
      <c r="C3252" t="s">
        <v>47</v>
      </c>
      <c r="D3252" t="s">
        <v>7818</v>
      </c>
      <c r="E3252" t="s">
        <v>7819</v>
      </c>
      <c r="F3252" s="121">
        <v>3107497.95</v>
      </c>
      <c r="G3252" s="121">
        <v>3722027</v>
      </c>
      <c r="H3252" t="s">
        <v>7819</v>
      </c>
      <c r="I3252" s="156">
        <v>41017</v>
      </c>
      <c r="J3252">
        <v>410.42</v>
      </c>
    </row>
    <row r="3253" spans="1:10">
      <c r="A3253" t="s">
        <v>1231</v>
      </c>
      <c r="B3253" t="s">
        <v>1012</v>
      </c>
      <c r="C3253" t="s">
        <v>47</v>
      </c>
      <c r="D3253" t="s">
        <v>7820</v>
      </c>
      <c r="E3253" t="s">
        <v>7821</v>
      </c>
      <c r="F3253" s="121">
        <v>3108077.93</v>
      </c>
      <c r="G3253" s="121">
        <v>3722520</v>
      </c>
      <c r="H3253" t="s">
        <v>7821</v>
      </c>
      <c r="I3253" s="156">
        <v>41017</v>
      </c>
      <c r="J3253">
        <v>410.5</v>
      </c>
    </row>
    <row r="3254" spans="1:10">
      <c r="A3254" t="s">
        <v>1231</v>
      </c>
      <c r="B3254" t="s">
        <v>1012</v>
      </c>
      <c r="C3254" t="s">
        <v>47</v>
      </c>
      <c r="D3254" t="s">
        <v>7822</v>
      </c>
      <c r="E3254" t="s">
        <v>7823</v>
      </c>
      <c r="F3254" s="121">
        <v>3784424.12</v>
      </c>
      <c r="G3254" s="121">
        <v>3997089</v>
      </c>
      <c r="H3254" t="s">
        <v>7823</v>
      </c>
      <c r="I3254" s="156">
        <v>41017</v>
      </c>
      <c r="J3254">
        <v>499.82</v>
      </c>
    </row>
    <row r="3255" spans="1:10">
      <c r="A3255" t="s">
        <v>1231</v>
      </c>
      <c r="B3255" t="s">
        <v>71</v>
      </c>
      <c r="C3255" t="s">
        <v>48</v>
      </c>
      <c r="D3255" t="s">
        <v>7824</v>
      </c>
      <c r="E3255" t="s">
        <v>7825</v>
      </c>
      <c r="F3255" s="121">
        <v>102.17</v>
      </c>
      <c r="G3255" s="121">
        <v>102.17</v>
      </c>
      <c r="H3255" t="s">
        <v>7825</v>
      </c>
      <c r="I3255" s="156">
        <v>40908</v>
      </c>
    </row>
    <row r="3256" spans="1:10">
      <c r="A3256" t="s">
        <v>1231</v>
      </c>
      <c r="B3256" t="s">
        <v>71</v>
      </c>
      <c r="C3256" t="s">
        <v>48</v>
      </c>
      <c r="D3256" t="s">
        <v>7826</v>
      </c>
      <c r="E3256" t="s">
        <v>7827</v>
      </c>
      <c r="F3256" s="121">
        <v>87.15</v>
      </c>
      <c r="G3256" s="121">
        <v>87.15</v>
      </c>
      <c r="H3256" t="s">
        <v>7827</v>
      </c>
      <c r="I3256" s="156">
        <v>40908</v>
      </c>
    </row>
    <row r="3257" spans="1:10">
      <c r="A3257" t="s">
        <v>1231</v>
      </c>
      <c r="B3257" t="s">
        <v>71</v>
      </c>
      <c r="C3257" t="s">
        <v>48</v>
      </c>
      <c r="D3257" t="s">
        <v>7828</v>
      </c>
      <c r="E3257" t="s">
        <v>7829</v>
      </c>
      <c r="F3257" s="121">
        <v>102.17</v>
      </c>
      <c r="G3257" s="121">
        <v>102.17</v>
      </c>
      <c r="H3257" t="s">
        <v>7829</v>
      </c>
      <c r="I3257" s="156">
        <v>40908</v>
      </c>
    </row>
    <row r="3258" spans="1:10">
      <c r="A3258" t="s">
        <v>1231</v>
      </c>
      <c r="B3258" t="s">
        <v>71</v>
      </c>
      <c r="C3258" t="s">
        <v>48</v>
      </c>
      <c r="D3258" t="s">
        <v>7830</v>
      </c>
      <c r="E3258" t="s">
        <v>7831</v>
      </c>
      <c r="F3258" s="121">
        <v>87.15</v>
      </c>
      <c r="G3258" s="121">
        <v>87.15</v>
      </c>
      <c r="H3258" t="s">
        <v>7831</v>
      </c>
      <c r="I3258" s="156">
        <v>40908</v>
      </c>
    </row>
    <row r="3259" spans="1:10">
      <c r="A3259" t="s">
        <v>1231</v>
      </c>
      <c r="B3259" t="s">
        <v>71</v>
      </c>
      <c r="C3259" t="s">
        <v>48</v>
      </c>
      <c r="D3259" t="s">
        <v>7832</v>
      </c>
      <c r="E3259" t="s">
        <v>7833</v>
      </c>
      <c r="F3259" s="121">
        <v>102.17</v>
      </c>
      <c r="G3259" s="121">
        <v>102.17</v>
      </c>
      <c r="H3259" t="s">
        <v>7833</v>
      </c>
      <c r="I3259" s="156">
        <v>40908</v>
      </c>
    </row>
    <row r="3260" spans="1:10">
      <c r="A3260" t="s">
        <v>1231</v>
      </c>
      <c r="B3260" t="s">
        <v>71</v>
      </c>
      <c r="C3260" t="s">
        <v>48</v>
      </c>
      <c r="D3260" t="s">
        <v>7834</v>
      </c>
      <c r="E3260" t="s">
        <v>7835</v>
      </c>
      <c r="F3260" s="121">
        <v>102.17</v>
      </c>
      <c r="G3260" s="121">
        <v>102.17</v>
      </c>
      <c r="H3260" t="s">
        <v>7835</v>
      </c>
      <c r="I3260" s="156">
        <v>40908</v>
      </c>
    </row>
    <row r="3261" spans="1:10">
      <c r="A3261" t="s">
        <v>1231</v>
      </c>
      <c r="B3261" t="s">
        <v>71</v>
      </c>
      <c r="C3261" t="s">
        <v>48</v>
      </c>
      <c r="D3261" t="s">
        <v>7836</v>
      </c>
      <c r="E3261" t="s">
        <v>7837</v>
      </c>
      <c r="F3261" s="121">
        <v>102.17</v>
      </c>
      <c r="G3261" s="121">
        <v>102.17</v>
      </c>
      <c r="H3261" t="s">
        <v>7837</v>
      </c>
      <c r="I3261" s="156">
        <v>40908</v>
      </c>
    </row>
    <row r="3262" spans="1:10">
      <c r="A3262" t="s">
        <v>1231</v>
      </c>
      <c r="B3262" t="s">
        <v>71</v>
      </c>
      <c r="C3262" t="s">
        <v>48</v>
      </c>
      <c r="D3262" t="s">
        <v>7838</v>
      </c>
      <c r="E3262" t="s">
        <v>7839</v>
      </c>
      <c r="F3262" s="121">
        <v>102.17</v>
      </c>
      <c r="G3262" s="121">
        <v>102.17</v>
      </c>
      <c r="H3262" t="s">
        <v>7839</v>
      </c>
      <c r="I3262" s="156">
        <v>40908</v>
      </c>
    </row>
    <row r="3263" spans="1:10">
      <c r="A3263" t="s">
        <v>1231</v>
      </c>
      <c r="B3263" t="s">
        <v>71</v>
      </c>
      <c r="C3263" t="s">
        <v>48</v>
      </c>
      <c r="D3263" t="s">
        <v>7840</v>
      </c>
      <c r="E3263" t="s">
        <v>7841</v>
      </c>
      <c r="F3263" s="121">
        <v>26500</v>
      </c>
      <c r="G3263" s="121">
        <v>26500</v>
      </c>
      <c r="H3263" t="s">
        <v>7841</v>
      </c>
      <c r="I3263" s="156">
        <v>40908</v>
      </c>
    </row>
    <row r="3264" spans="1:10">
      <c r="A3264" t="s">
        <v>1231</v>
      </c>
      <c r="B3264" t="s">
        <v>71</v>
      </c>
      <c r="C3264" t="s">
        <v>48</v>
      </c>
      <c r="D3264" t="s">
        <v>7842</v>
      </c>
      <c r="E3264" t="s">
        <v>7843</v>
      </c>
      <c r="F3264" s="121">
        <v>102.17</v>
      </c>
      <c r="G3264" s="121">
        <v>102.17</v>
      </c>
      <c r="H3264" t="s">
        <v>7843</v>
      </c>
      <c r="I3264" s="156">
        <v>40908</v>
      </c>
    </row>
    <row r="3265" spans="1:9">
      <c r="A3265" t="s">
        <v>1231</v>
      </c>
      <c r="B3265" t="s">
        <v>71</v>
      </c>
      <c r="C3265" t="s">
        <v>48</v>
      </c>
      <c r="D3265" t="s">
        <v>7844</v>
      </c>
      <c r="E3265" t="s">
        <v>7845</v>
      </c>
      <c r="F3265" s="121">
        <v>26500</v>
      </c>
      <c r="G3265" s="121">
        <v>26500</v>
      </c>
      <c r="H3265" t="s">
        <v>7845</v>
      </c>
      <c r="I3265" s="156">
        <v>40908</v>
      </c>
    </row>
    <row r="3266" spans="1:9">
      <c r="A3266" t="s">
        <v>1231</v>
      </c>
      <c r="B3266" t="s">
        <v>71</v>
      </c>
      <c r="C3266" t="s">
        <v>48</v>
      </c>
      <c r="D3266" t="s">
        <v>7846</v>
      </c>
      <c r="E3266" t="s">
        <v>7847</v>
      </c>
      <c r="F3266" s="121">
        <v>102.17</v>
      </c>
      <c r="G3266" s="121">
        <v>102.17</v>
      </c>
      <c r="H3266" t="s">
        <v>7847</v>
      </c>
      <c r="I3266" s="156">
        <v>40908</v>
      </c>
    </row>
    <row r="3267" spans="1:9">
      <c r="A3267" t="s">
        <v>1231</v>
      </c>
      <c r="B3267" t="s">
        <v>71</v>
      </c>
      <c r="C3267" t="s">
        <v>48</v>
      </c>
      <c r="D3267" t="s">
        <v>7848</v>
      </c>
      <c r="E3267" t="s">
        <v>7849</v>
      </c>
      <c r="F3267" s="121">
        <v>79.680000000000007</v>
      </c>
      <c r="G3267" s="121">
        <v>79.680000000000007</v>
      </c>
      <c r="H3267" t="s">
        <v>7849</v>
      </c>
      <c r="I3267" s="156">
        <v>40908</v>
      </c>
    </row>
    <row r="3268" spans="1:9">
      <c r="A3268" t="s">
        <v>1231</v>
      </c>
      <c r="B3268" t="s">
        <v>71</v>
      </c>
      <c r="C3268" t="s">
        <v>48</v>
      </c>
      <c r="D3268" t="s">
        <v>7850</v>
      </c>
      <c r="E3268" t="s">
        <v>7851</v>
      </c>
      <c r="F3268" s="121">
        <v>87.15</v>
      </c>
      <c r="G3268" s="121">
        <v>87.15</v>
      </c>
      <c r="H3268" t="s">
        <v>7851</v>
      </c>
      <c r="I3268" s="156">
        <v>40908</v>
      </c>
    </row>
    <row r="3269" spans="1:9">
      <c r="A3269" t="s">
        <v>1231</v>
      </c>
      <c r="B3269" t="s">
        <v>71</v>
      </c>
      <c r="C3269" t="s">
        <v>48</v>
      </c>
      <c r="D3269" t="s">
        <v>7852</v>
      </c>
      <c r="E3269" t="s">
        <v>7853</v>
      </c>
      <c r="F3269" s="121">
        <v>306.27</v>
      </c>
      <c r="G3269" s="121">
        <v>306.27</v>
      </c>
      <c r="H3269" t="s">
        <v>7853</v>
      </c>
      <c r="I3269" s="156">
        <v>40908</v>
      </c>
    </row>
    <row r="3270" spans="1:9">
      <c r="A3270" t="s">
        <v>1231</v>
      </c>
      <c r="B3270" t="s">
        <v>71</v>
      </c>
      <c r="C3270" t="s">
        <v>48</v>
      </c>
      <c r="D3270" t="s">
        <v>7854</v>
      </c>
      <c r="E3270" t="s">
        <v>7855</v>
      </c>
      <c r="F3270" s="121">
        <v>87.15</v>
      </c>
      <c r="G3270" s="121">
        <v>87.15</v>
      </c>
      <c r="H3270" t="s">
        <v>7855</v>
      </c>
      <c r="I3270" s="156">
        <v>40908</v>
      </c>
    </row>
    <row r="3271" spans="1:9">
      <c r="A3271" t="s">
        <v>1231</v>
      </c>
      <c r="B3271" t="s">
        <v>71</v>
      </c>
      <c r="C3271" t="s">
        <v>48</v>
      </c>
      <c r="D3271" t="s">
        <v>7856</v>
      </c>
      <c r="E3271" t="s">
        <v>7857</v>
      </c>
      <c r="F3271" s="121">
        <v>102.17</v>
      </c>
      <c r="G3271" s="121">
        <v>102.17</v>
      </c>
      <c r="H3271" t="s">
        <v>7857</v>
      </c>
      <c r="I3271" s="156">
        <v>40908</v>
      </c>
    </row>
    <row r="3272" spans="1:9">
      <c r="A3272" t="s">
        <v>1231</v>
      </c>
      <c r="B3272" t="s">
        <v>71</v>
      </c>
      <c r="C3272" t="s">
        <v>48</v>
      </c>
      <c r="D3272" t="s">
        <v>7858</v>
      </c>
      <c r="E3272" t="s">
        <v>7859</v>
      </c>
      <c r="F3272" s="121">
        <v>102.17</v>
      </c>
      <c r="G3272" s="121">
        <v>102.17</v>
      </c>
      <c r="H3272" t="s">
        <v>7859</v>
      </c>
      <c r="I3272" s="156">
        <v>40908</v>
      </c>
    </row>
    <row r="3273" spans="1:9">
      <c r="A3273" t="s">
        <v>1231</v>
      </c>
      <c r="B3273" t="s">
        <v>71</v>
      </c>
      <c r="C3273" t="s">
        <v>48</v>
      </c>
      <c r="D3273" t="s">
        <v>7860</v>
      </c>
      <c r="E3273" t="s">
        <v>7861</v>
      </c>
      <c r="F3273" s="121">
        <v>87.15</v>
      </c>
      <c r="G3273" s="121">
        <v>87.15</v>
      </c>
      <c r="H3273" t="s">
        <v>7861</v>
      </c>
      <c r="I3273" s="156">
        <v>40908</v>
      </c>
    </row>
    <row r="3274" spans="1:9">
      <c r="A3274" t="s">
        <v>1231</v>
      </c>
      <c r="B3274" t="s">
        <v>71</v>
      </c>
      <c r="C3274" t="s">
        <v>48</v>
      </c>
      <c r="D3274" t="s">
        <v>7862</v>
      </c>
      <c r="E3274" t="s">
        <v>7863</v>
      </c>
      <c r="F3274" s="121">
        <v>87.15</v>
      </c>
      <c r="G3274" s="121">
        <v>87.15</v>
      </c>
      <c r="H3274" t="s">
        <v>7863</v>
      </c>
      <c r="I3274" s="156">
        <v>40908</v>
      </c>
    </row>
    <row r="3275" spans="1:9">
      <c r="A3275" t="s">
        <v>1231</v>
      </c>
      <c r="B3275" t="s">
        <v>71</v>
      </c>
      <c r="C3275" t="s">
        <v>48</v>
      </c>
      <c r="D3275" t="s">
        <v>7864</v>
      </c>
      <c r="E3275" t="s">
        <v>7865</v>
      </c>
      <c r="F3275" s="121">
        <v>87.15</v>
      </c>
      <c r="G3275" s="121">
        <v>87.15</v>
      </c>
      <c r="H3275" t="s">
        <v>7865</v>
      </c>
      <c r="I3275" s="156">
        <v>40908</v>
      </c>
    </row>
    <row r="3276" spans="1:9">
      <c r="A3276" t="s">
        <v>1231</v>
      </c>
      <c r="B3276" t="s">
        <v>71</v>
      </c>
      <c r="C3276" t="s">
        <v>48</v>
      </c>
      <c r="D3276" t="s">
        <v>7866</v>
      </c>
      <c r="E3276" t="s">
        <v>7867</v>
      </c>
      <c r="F3276" s="121">
        <v>87.15</v>
      </c>
      <c r="G3276" s="121">
        <v>87.15</v>
      </c>
      <c r="H3276" t="s">
        <v>7867</v>
      </c>
      <c r="I3276" s="156">
        <v>40908</v>
      </c>
    </row>
    <row r="3277" spans="1:9">
      <c r="A3277" t="s">
        <v>1231</v>
      </c>
      <c r="B3277" t="s">
        <v>71</v>
      </c>
      <c r="C3277" t="s">
        <v>48</v>
      </c>
      <c r="D3277" t="s">
        <v>7868</v>
      </c>
      <c r="E3277" t="s">
        <v>7869</v>
      </c>
      <c r="F3277" s="121">
        <v>87.15</v>
      </c>
      <c r="G3277" s="121">
        <v>87.15</v>
      </c>
      <c r="H3277" t="s">
        <v>7869</v>
      </c>
      <c r="I3277" s="156">
        <v>40908</v>
      </c>
    </row>
    <row r="3278" spans="1:9">
      <c r="A3278" t="s">
        <v>1231</v>
      </c>
      <c r="B3278" t="s">
        <v>71</v>
      </c>
      <c r="C3278" t="s">
        <v>48</v>
      </c>
      <c r="D3278" t="s">
        <v>7870</v>
      </c>
      <c r="E3278" t="s">
        <v>7871</v>
      </c>
      <c r="F3278" s="121">
        <v>87.15</v>
      </c>
      <c r="G3278" s="121">
        <v>87.15</v>
      </c>
      <c r="H3278" t="s">
        <v>7871</v>
      </c>
      <c r="I3278" s="156">
        <v>40908</v>
      </c>
    </row>
    <row r="3279" spans="1:9">
      <c r="A3279" t="s">
        <v>1231</v>
      </c>
      <c r="B3279" t="s">
        <v>71</v>
      </c>
      <c r="C3279" t="s">
        <v>48</v>
      </c>
      <c r="D3279" t="s">
        <v>7872</v>
      </c>
      <c r="E3279" t="s">
        <v>7873</v>
      </c>
      <c r="F3279" s="121">
        <v>87.15</v>
      </c>
      <c r="G3279" s="121">
        <v>87.15</v>
      </c>
      <c r="H3279" t="s">
        <v>7873</v>
      </c>
      <c r="I3279" s="156">
        <v>40908</v>
      </c>
    </row>
    <row r="3280" spans="1:9">
      <c r="A3280" t="s">
        <v>1231</v>
      </c>
      <c r="B3280" t="s">
        <v>71</v>
      </c>
      <c r="C3280" t="s">
        <v>48</v>
      </c>
      <c r="D3280" t="s">
        <v>7874</v>
      </c>
      <c r="E3280" t="s">
        <v>7875</v>
      </c>
      <c r="F3280" s="121">
        <v>87.15</v>
      </c>
      <c r="G3280" s="121">
        <v>87.15</v>
      </c>
      <c r="H3280" t="s">
        <v>7875</v>
      </c>
      <c r="I3280" s="156">
        <v>40908</v>
      </c>
    </row>
    <row r="3281" spans="1:10">
      <c r="A3281" t="s">
        <v>1231</v>
      </c>
      <c r="B3281" t="s">
        <v>71</v>
      </c>
      <c r="C3281" t="s">
        <v>48</v>
      </c>
      <c r="D3281" t="s">
        <v>7876</v>
      </c>
      <c r="E3281" t="s">
        <v>7877</v>
      </c>
      <c r="F3281" s="121">
        <v>87.15</v>
      </c>
      <c r="G3281" s="121">
        <v>87.15</v>
      </c>
      <c r="H3281" t="s">
        <v>7877</v>
      </c>
      <c r="I3281" s="156">
        <v>40908</v>
      </c>
    </row>
    <row r="3282" spans="1:10">
      <c r="A3282" t="s">
        <v>1230</v>
      </c>
      <c r="B3282" t="s">
        <v>71</v>
      </c>
      <c r="C3282" t="s">
        <v>47</v>
      </c>
      <c r="D3282" t="s">
        <v>7878</v>
      </c>
      <c r="E3282" t="s">
        <v>7879</v>
      </c>
      <c r="F3282" s="121">
        <v>620000</v>
      </c>
      <c r="G3282" s="121">
        <v>620000</v>
      </c>
      <c r="H3282" t="s">
        <v>7879</v>
      </c>
      <c r="I3282" s="156">
        <v>40908</v>
      </c>
      <c r="J3282">
        <v>1445</v>
      </c>
    </row>
    <row r="3283" spans="1:10">
      <c r="A3283" t="s">
        <v>1230</v>
      </c>
      <c r="B3283" t="s">
        <v>72</v>
      </c>
      <c r="C3283" t="s">
        <v>32</v>
      </c>
      <c r="D3283" t="s">
        <v>7705</v>
      </c>
      <c r="E3283" t="s">
        <v>7880</v>
      </c>
      <c r="F3283" s="121">
        <v>42700</v>
      </c>
      <c r="G3283" s="121">
        <v>138704</v>
      </c>
      <c r="H3283" t="s">
        <v>7880</v>
      </c>
      <c r="I3283" s="156">
        <v>41089</v>
      </c>
    </row>
    <row r="3284" spans="1:10">
      <c r="A3284" t="s">
        <v>1230</v>
      </c>
      <c r="B3284" t="s">
        <v>72</v>
      </c>
      <c r="C3284" t="s">
        <v>32</v>
      </c>
      <c r="D3284" t="s">
        <v>7705</v>
      </c>
      <c r="E3284" t="s">
        <v>7880</v>
      </c>
      <c r="F3284" s="121">
        <v>23000</v>
      </c>
      <c r="G3284" s="121">
        <v>23000</v>
      </c>
      <c r="H3284" t="s">
        <v>7880</v>
      </c>
      <c r="I3284" s="156">
        <v>41639</v>
      </c>
    </row>
    <row r="3285" spans="1:10">
      <c r="A3285" t="s">
        <v>1230</v>
      </c>
      <c r="B3285" t="s">
        <v>72</v>
      </c>
      <c r="C3285" t="s">
        <v>40</v>
      </c>
      <c r="D3285" t="s">
        <v>7755</v>
      </c>
      <c r="E3285" t="s">
        <v>7881</v>
      </c>
      <c r="F3285" s="121">
        <v>72500</v>
      </c>
      <c r="G3285" s="121">
        <v>108616</v>
      </c>
      <c r="H3285" t="s">
        <v>7881</v>
      </c>
      <c r="I3285" s="156">
        <v>41089</v>
      </c>
    </row>
    <row r="3286" spans="1:10">
      <c r="A3286" t="s">
        <v>1230</v>
      </c>
      <c r="B3286" t="s">
        <v>72</v>
      </c>
      <c r="C3286" t="s">
        <v>40</v>
      </c>
      <c r="D3286" t="s">
        <v>7755</v>
      </c>
      <c r="E3286" t="s">
        <v>7882</v>
      </c>
      <c r="F3286" s="121">
        <v>45000</v>
      </c>
      <c r="G3286" s="121">
        <v>51030</v>
      </c>
      <c r="H3286" t="s">
        <v>7882</v>
      </c>
      <c r="I3286" s="156">
        <v>41089</v>
      </c>
    </row>
    <row r="3287" spans="1:10">
      <c r="A3287" t="s">
        <v>1230</v>
      </c>
      <c r="B3287" t="s">
        <v>72</v>
      </c>
      <c r="C3287" t="s">
        <v>40</v>
      </c>
      <c r="D3287" t="s">
        <v>7755</v>
      </c>
      <c r="E3287" t="s">
        <v>7883</v>
      </c>
      <c r="F3287" s="121">
        <v>35300</v>
      </c>
      <c r="G3287" s="121">
        <v>53088</v>
      </c>
      <c r="H3287" t="s">
        <v>7883</v>
      </c>
      <c r="I3287" s="156">
        <v>41089</v>
      </c>
    </row>
    <row r="3288" spans="1:10">
      <c r="A3288" t="s">
        <v>1230</v>
      </c>
      <c r="B3288" t="s">
        <v>72</v>
      </c>
      <c r="C3288" t="s">
        <v>36</v>
      </c>
      <c r="D3288" t="s">
        <v>7723</v>
      </c>
      <c r="E3288" t="s">
        <v>7884</v>
      </c>
      <c r="F3288" s="121">
        <v>1600</v>
      </c>
      <c r="G3288" s="121">
        <v>1600</v>
      </c>
      <c r="H3288" t="s">
        <v>7884</v>
      </c>
      <c r="I3288" s="156">
        <v>41089</v>
      </c>
    </row>
    <row r="3289" spans="1:10">
      <c r="A3289" t="s">
        <v>1230</v>
      </c>
      <c r="B3289" t="s">
        <v>72</v>
      </c>
      <c r="C3289" t="s">
        <v>36</v>
      </c>
      <c r="D3289" t="s">
        <v>7790</v>
      </c>
      <c r="E3289" t="s">
        <v>7885</v>
      </c>
      <c r="F3289" s="121">
        <v>4700</v>
      </c>
      <c r="G3289" s="121">
        <v>4700</v>
      </c>
      <c r="H3289" t="s">
        <v>7885</v>
      </c>
      <c r="I3289" s="156">
        <v>41089</v>
      </c>
    </row>
    <row r="3290" spans="1:10">
      <c r="A3290" t="s">
        <v>1230</v>
      </c>
      <c r="B3290" t="s">
        <v>72</v>
      </c>
      <c r="C3290" t="s">
        <v>40</v>
      </c>
      <c r="D3290" t="s">
        <v>7799</v>
      </c>
      <c r="E3290" t="s">
        <v>7886</v>
      </c>
      <c r="F3290" s="121">
        <v>409700</v>
      </c>
      <c r="G3290" s="121">
        <v>1572840</v>
      </c>
      <c r="H3290" t="s">
        <v>7886</v>
      </c>
      <c r="I3290" s="156">
        <v>41089</v>
      </c>
    </row>
    <row r="3291" spans="1:10">
      <c r="A3291" t="s">
        <v>1230</v>
      </c>
      <c r="B3291" t="s">
        <v>72</v>
      </c>
      <c r="C3291" t="s">
        <v>36</v>
      </c>
      <c r="D3291" t="s">
        <v>7701</v>
      </c>
      <c r="E3291" t="s">
        <v>7887</v>
      </c>
      <c r="F3291" s="121">
        <v>498200</v>
      </c>
      <c r="G3291" s="121">
        <v>498200</v>
      </c>
      <c r="H3291" t="s">
        <v>7887</v>
      </c>
      <c r="I3291" s="156">
        <v>41089</v>
      </c>
    </row>
    <row r="3292" spans="1:10">
      <c r="A3292" t="s">
        <v>1230</v>
      </c>
      <c r="B3292" t="s">
        <v>965</v>
      </c>
      <c r="C3292" t="s">
        <v>44</v>
      </c>
      <c r="D3292" t="s">
        <v>7888</v>
      </c>
      <c r="E3292" t="s">
        <v>7452</v>
      </c>
      <c r="F3292" s="121">
        <v>1264200</v>
      </c>
      <c r="G3292" s="121">
        <v>1264200</v>
      </c>
      <c r="H3292" t="s">
        <v>7452</v>
      </c>
      <c r="I3292" s="156">
        <v>41089</v>
      </c>
    </row>
    <row r="3293" spans="1:10">
      <c r="A3293" t="s">
        <v>1230</v>
      </c>
      <c r="B3293" t="s">
        <v>72</v>
      </c>
      <c r="C3293" t="s">
        <v>36</v>
      </c>
      <c r="D3293" t="s">
        <v>7889</v>
      </c>
      <c r="E3293" t="s">
        <v>7890</v>
      </c>
      <c r="F3293" s="121">
        <v>29300</v>
      </c>
      <c r="G3293" s="121">
        <v>29300</v>
      </c>
      <c r="H3293" t="s">
        <v>7890</v>
      </c>
      <c r="I3293" s="156">
        <v>41089</v>
      </c>
    </row>
    <row r="3294" spans="1:10">
      <c r="A3294" t="s">
        <v>1230</v>
      </c>
      <c r="B3294" t="s">
        <v>72</v>
      </c>
      <c r="C3294" t="s">
        <v>36</v>
      </c>
      <c r="D3294" t="s">
        <v>7669</v>
      </c>
      <c r="E3294" t="s">
        <v>7891</v>
      </c>
      <c r="F3294" s="121">
        <v>9200</v>
      </c>
      <c r="G3294" s="121">
        <v>9200</v>
      </c>
      <c r="H3294" t="s">
        <v>7891</v>
      </c>
      <c r="I3294" s="156">
        <v>41089</v>
      </c>
    </row>
    <row r="3295" spans="1:10">
      <c r="A3295" t="s">
        <v>1230</v>
      </c>
      <c r="B3295" t="s">
        <v>72</v>
      </c>
      <c r="C3295" t="s">
        <v>60</v>
      </c>
      <c r="D3295" t="s">
        <v>7892</v>
      </c>
      <c r="E3295" t="s">
        <v>7893</v>
      </c>
      <c r="F3295" s="121">
        <v>25500</v>
      </c>
      <c r="G3295" s="121">
        <v>25500</v>
      </c>
      <c r="H3295" t="s">
        <v>7893</v>
      </c>
      <c r="I3295" s="156">
        <v>41089</v>
      </c>
    </row>
    <row r="3296" spans="1:10">
      <c r="A3296" t="s">
        <v>1230</v>
      </c>
      <c r="B3296" t="s">
        <v>72</v>
      </c>
      <c r="C3296" t="s">
        <v>36</v>
      </c>
      <c r="D3296" t="s">
        <v>7894</v>
      </c>
      <c r="E3296" t="s">
        <v>7895</v>
      </c>
      <c r="F3296" s="121">
        <v>68600</v>
      </c>
      <c r="G3296" s="121">
        <v>68600</v>
      </c>
      <c r="H3296" t="s">
        <v>7895</v>
      </c>
      <c r="I3296" s="156">
        <v>41089</v>
      </c>
    </row>
    <row r="3297" spans="1:9">
      <c r="A3297" t="s">
        <v>1230</v>
      </c>
      <c r="B3297" t="s">
        <v>72</v>
      </c>
      <c r="C3297" t="s">
        <v>60</v>
      </c>
      <c r="D3297" t="s">
        <v>7892</v>
      </c>
      <c r="E3297" t="s">
        <v>7896</v>
      </c>
      <c r="F3297" s="121">
        <v>25500</v>
      </c>
      <c r="G3297" s="121">
        <v>25500</v>
      </c>
      <c r="H3297" t="s">
        <v>7896</v>
      </c>
      <c r="I3297" s="156">
        <v>41089</v>
      </c>
    </row>
    <row r="3298" spans="1:9">
      <c r="A3298" t="s">
        <v>1230</v>
      </c>
      <c r="B3298" t="s">
        <v>72</v>
      </c>
      <c r="C3298" t="s">
        <v>36</v>
      </c>
      <c r="D3298" t="s">
        <v>7894</v>
      </c>
      <c r="E3298" t="s">
        <v>7897</v>
      </c>
      <c r="F3298" s="121">
        <v>14700</v>
      </c>
      <c r="G3298" s="121">
        <v>14700</v>
      </c>
      <c r="H3298" t="s">
        <v>7897</v>
      </c>
      <c r="I3298" s="156">
        <v>41089</v>
      </c>
    </row>
    <row r="3299" spans="1:9">
      <c r="A3299" t="s">
        <v>1230</v>
      </c>
      <c r="B3299" t="s">
        <v>72</v>
      </c>
      <c r="C3299" t="s">
        <v>36</v>
      </c>
      <c r="D3299" t="s">
        <v>7898</v>
      </c>
      <c r="E3299" t="s">
        <v>7899</v>
      </c>
      <c r="F3299" s="121">
        <v>192000</v>
      </c>
      <c r="G3299" s="121">
        <v>192000</v>
      </c>
      <c r="H3299" t="s">
        <v>7899</v>
      </c>
      <c r="I3299" s="156">
        <v>41089</v>
      </c>
    </row>
    <row r="3300" spans="1:9">
      <c r="A3300" t="s">
        <v>1230</v>
      </c>
      <c r="B3300" t="s">
        <v>72</v>
      </c>
      <c r="C3300" t="s">
        <v>36</v>
      </c>
      <c r="D3300" t="s">
        <v>7900</v>
      </c>
      <c r="E3300" t="s">
        <v>7901</v>
      </c>
      <c r="F3300" s="121">
        <v>47900</v>
      </c>
      <c r="G3300" s="121">
        <v>47900</v>
      </c>
      <c r="H3300" t="s">
        <v>7901</v>
      </c>
      <c r="I3300" s="156">
        <v>41089</v>
      </c>
    </row>
    <row r="3301" spans="1:9">
      <c r="A3301" t="s">
        <v>1230</v>
      </c>
      <c r="B3301" t="s">
        <v>72</v>
      </c>
      <c r="C3301" t="s">
        <v>34</v>
      </c>
      <c r="D3301" t="s">
        <v>7902</v>
      </c>
      <c r="E3301" t="s">
        <v>7903</v>
      </c>
      <c r="F3301" s="121">
        <v>168000</v>
      </c>
      <c r="G3301" s="121">
        <v>168000</v>
      </c>
      <c r="H3301" t="s">
        <v>7903</v>
      </c>
      <c r="I3301" s="156">
        <v>41089</v>
      </c>
    </row>
    <row r="3302" spans="1:9">
      <c r="A3302" t="s">
        <v>1230</v>
      </c>
      <c r="B3302" t="s">
        <v>72</v>
      </c>
      <c r="C3302" t="s">
        <v>36</v>
      </c>
      <c r="D3302" t="s">
        <v>7904</v>
      </c>
      <c r="E3302" t="s">
        <v>7905</v>
      </c>
      <c r="F3302" s="121">
        <v>14200</v>
      </c>
      <c r="G3302" s="121">
        <v>14200</v>
      </c>
      <c r="H3302" t="s">
        <v>7905</v>
      </c>
      <c r="I3302" s="156">
        <v>41089</v>
      </c>
    </row>
    <row r="3303" spans="1:9">
      <c r="A3303" t="s">
        <v>1230</v>
      </c>
      <c r="B3303" t="s">
        <v>72</v>
      </c>
      <c r="C3303" t="s">
        <v>36</v>
      </c>
      <c r="D3303" t="s">
        <v>7906</v>
      </c>
      <c r="E3303" t="s">
        <v>7907</v>
      </c>
      <c r="F3303" s="121">
        <v>61100</v>
      </c>
      <c r="G3303" s="121">
        <v>64722</v>
      </c>
      <c r="H3303" t="s">
        <v>7907</v>
      </c>
      <c r="I3303" s="156">
        <v>41089</v>
      </c>
    </row>
    <row r="3304" spans="1:9">
      <c r="A3304" t="s">
        <v>1230</v>
      </c>
      <c r="B3304" t="s">
        <v>72</v>
      </c>
      <c r="C3304" t="s">
        <v>36</v>
      </c>
      <c r="D3304" t="s">
        <v>7906</v>
      </c>
      <c r="E3304" t="s">
        <v>7907</v>
      </c>
      <c r="F3304" s="121">
        <v>5000</v>
      </c>
      <c r="G3304" s="121">
        <v>5000</v>
      </c>
      <c r="H3304" t="s">
        <v>7907</v>
      </c>
      <c r="I3304" s="156">
        <v>41639</v>
      </c>
    </row>
    <row r="3305" spans="1:9">
      <c r="A3305" t="s">
        <v>1230</v>
      </c>
      <c r="B3305" t="s">
        <v>72</v>
      </c>
      <c r="C3305" t="s">
        <v>36</v>
      </c>
      <c r="D3305" t="s">
        <v>7908</v>
      </c>
      <c r="E3305" t="s">
        <v>7909</v>
      </c>
      <c r="F3305" s="121">
        <v>1300</v>
      </c>
      <c r="G3305" s="121">
        <v>1300</v>
      </c>
      <c r="H3305" t="s">
        <v>7909</v>
      </c>
      <c r="I3305" s="156">
        <v>41089</v>
      </c>
    </row>
    <row r="3306" spans="1:9">
      <c r="A3306" t="s">
        <v>1230</v>
      </c>
      <c r="B3306" t="s">
        <v>72</v>
      </c>
      <c r="C3306" t="s">
        <v>36</v>
      </c>
      <c r="D3306" t="s">
        <v>7701</v>
      </c>
      <c r="E3306" t="s">
        <v>7910</v>
      </c>
      <c r="F3306" s="121">
        <v>42800</v>
      </c>
      <c r="G3306" s="121">
        <v>42800</v>
      </c>
      <c r="H3306" t="s">
        <v>7910</v>
      </c>
      <c r="I3306" s="156">
        <v>41089</v>
      </c>
    </row>
    <row r="3307" spans="1:9">
      <c r="A3307" t="s">
        <v>1230</v>
      </c>
      <c r="B3307" t="s">
        <v>72</v>
      </c>
      <c r="C3307" t="s">
        <v>34</v>
      </c>
      <c r="D3307" t="s">
        <v>7911</v>
      </c>
      <c r="E3307" t="s">
        <v>7455</v>
      </c>
      <c r="F3307" s="121">
        <v>1779800</v>
      </c>
      <c r="G3307" s="121">
        <v>3635018</v>
      </c>
      <c r="H3307" t="s">
        <v>7455</v>
      </c>
      <c r="I3307" s="156">
        <v>41089</v>
      </c>
    </row>
    <row r="3308" spans="1:9">
      <c r="A3308" t="s">
        <v>1230</v>
      </c>
      <c r="B3308" t="s">
        <v>72</v>
      </c>
      <c r="C3308" t="s">
        <v>36</v>
      </c>
      <c r="D3308" t="s">
        <v>7703</v>
      </c>
      <c r="E3308" t="s">
        <v>7912</v>
      </c>
      <c r="F3308" s="121">
        <v>80300</v>
      </c>
      <c r="G3308" s="121">
        <v>80300</v>
      </c>
      <c r="H3308" t="s">
        <v>7912</v>
      </c>
      <c r="I3308" s="156">
        <v>41089</v>
      </c>
    </row>
    <row r="3309" spans="1:9">
      <c r="A3309" t="s">
        <v>1230</v>
      </c>
      <c r="B3309" t="s">
        <v>72</v>
      </c>
      <c r="C3309" t="s">
        <v>32</v>
      </c>
      <c r="D3309" t="s">
        <v>7705</v>
      </c>
      <c r="E3309" t="s">
        <v>7913</v>
      </c>
      <c r="F3309" s="121">
        <v>130200</v>
      </c>
      <c r="G3309" s="121">
        <v>130200</v>
      </c>
      <c r="H3309" t="s">
        <v>7913</v>
      </c>
      <c r="I3309" s="156">
        <v>41089</v>
      </c>
    </row>
    <row r="3310" spans="1:9">
      <c r="A3310" t="s">
        <v>1230</v>
      </c>
      <c r="B3310" t="s">
        <v>72</v>
      </c>
      <c r="C3310" t="s">
        <v>32</v>
      </c>
      <c r="D3310" t="s">
        <v>7705</v>
      </c>
      <c r="E3310" t="s">
        <v>7914</v>
      </c>
      <c r="F3310" s="121">
        <v>130200</v>
      </c>
      <c r="G3310" s="121">
        <v>130200</v>
      </c>
      <c r="H3310" t="s">
        <v>7914</v>
      </c>
      <c r="I3310" s="156">
        <v>41089</v>
      </c>
    </row>
    <row r="3311" spans="1:9">
      <c r="A3311" t="s">
        <v>1230</v>
      </c>
      <c r="B3311" t="s">
        <v>72</v>
      </c>
      <c r="C3311" t="s">
        <v>32</v>
      </c>
      <c r="D3311" t="s">
        <v>7705</v>
      </c>
      <c r="E3311" t="s">
        <v>7915</v>
      </c>
      <c r="F3311" s="121">
        <v>114500</v>
      </c>
      <c r="G3311" s="121">
        <v>114500</v>
      </c>
      <c r="H3311" t="s">
        <v>7915</v>
      </c>
      <c r="I3311" s="156">
        <v>41089</v>
      </c>
    </row>
    <row r="3312" spans="1:9">
      <c r="A3312" t="s">
        <v>1230</v>
      </c>
      <c r="B3312" t="s">
        <v>72</v>
      </c>
      <c r="C3312" t="s">
        <v>33</v>
      </c>
      <c r="D3312" t="s">
        <v>7916</v>
      </c>
      <c r="E3312" t="s">
        <v>7917</v>
      </c>
      <c r="F3312" s="121">
        <v>100000</v>
      </c>
      <c r="G3312" s="121">
        <v>100000</v>
      </c>
      <c r="H3312" t="s">
        <v>7917</v>
      </c>
      <c r="I3312" s="156">
        <v>41639</v>
      </c>
    </row>
    <row r="3313" spans="1:9">
      <c r="A3313" t="s">
        <v>1230</v>
      </c>
      <c r="B3313" t="s">
        <v>72</v>
      </c>
      <c r="C3313" t="s">
        <v>34</v>
      </c>
      <c r="D3313" t="s">
        <v>7916</v>
      </c>
      <c r="E3313" t="s">
        <v>7917</v>
      </c>
      <c r="F3313" s="121">
        <v>434500</v>
      </c>
      <c r="G3313" s="121">
        <v>434500</v>
      </c>
      <c r="H3313" t="s">
        <v>7917</v>
      </c>
      <c r="I3313" s="156">
        <v>41089</v>
      </c>
    </row>
    <row r="3314" spans="1:9">
      <c r="A3314" t="s">
        <v>1230</v>
      </c>
      <c r="B3314" t="s">
        <v>72</v>
      </c>
      <c r="C3314" t="s">
        <v>33</v>
      </c>
      <c r="D3314" t="s">
        <v>7650</v>
      </c>
      <c r="E3314" t="s">
        <v>7918</v>
      </c>
      <c r="F3314" s="121">
        <v>2636100</v>
      </c>
      <c r="G3314" s="121">
        <v>2636100</v>
      </c>
      <c r="H3314" t="s">
        <v>7918</v>
      </c>
      <c r="I3314" s="156">
        <v>41089</v>
      </c>
    </row>
    <row r="3315" spans="1:9">
      <c r="A3315" t="s">
        <v>1230</v>
      </c>
      <c r="B3315" t="s">
        <v>72</v>
      </c>
      <c r="C3315" t="s">
        <v>36</v>
      </c>
      <c r="D3315" t="s">
        <v>7710</v>
      </c>
      <c r="E3315" t="s">
        <v>7919</v>
      </c>
      <c r="F3315" s="121">
        <v>166800</v>
      </c>
      <c r="G3315" s="121">
        <v>166800</v>
      </c>
      <c r="H3315" t="s">
        <v>7919</v>
      </c>
      <c r="I3315" s="156">
        <v>41089</v>
      </c>
    </row>
    <row r="3316" spans="1:9">
      <c r="A3316" t="s">
        <v>1230</v>
      </c>
      <c r="B3316" t="s">
        <v>72</v>
      </c>
      <c r="C3316" t="s">
        <v>36</v>
      </c>
      <c r="D3316" t="s">
        <v>7920</v>
      </c>
      <c r="E3316" t="s">
        <v>7921</v>
      </c>
      <c r="F3316" s="121">
        <v>12300</v>
      </c>
      <c r="G3316" s="121">
        <v>12300</v>
      </c>
      <c r="H3316" t="s">
        <v>7921</v>
      </c>
      <c r="I3316" s="156">
        <v>41089</v>
      </c>
    </row>
    <row r="3317" spans="1:9">
      <c r="A3317" t="s">
        <v>1230</v>
      </c>
      <c r="B3317" t="s">
        <v>72</v>
      </c>
      <c r="C3317" t="s">
        <v>34</v>
      </c>
      <c r="D3317" t="s">
        <v>7922</v>
      </c>
      <c r="E3317" t="s">
        <v>7923</v>
      </c>
      <c r="F3317" s="121">
        <v>10000</v>
      </c>
      <c r="G3317" s="121">
        <v>10000</v>
      </c>
      <c r="H3317" t="s">
        <v>7923</v>
      </c>
      <c r="I3317" s="156">
        <v>41639</v>
      </c>
    </row>
    <row r="3318" spans="1:9">
      <c r="A3318" t="s">
        <v>1230</v>
      </c>
      <c r="B3318" t="s">
        <v>72</v>
      </c>
      <c r="C3318" t="s">
        <v>34</v>
      </c>
      <c r="D3318" t="s">
        <v>7922</v>
      </c>
      <c r="E3318" t="s">
        <v>7923</v>
      </c>
      <c r="F3318" s="121">
        <v>67600</v>
      </c>
      <c r="G3318" s="121">
        <v>92633</v>
      </c>
      <c r="H3318" t="s">
        <v>7923</v>
      </c>
      <c r="I3318" s="156">
        <v>41089</v>
      </c>
    </row>
    <row r="3319" spans="1:9">
      <c r="A3319" t="s">
        <v>1230</v>
      </c>
      <c r="B3319" t="s">
        <v>72</v>
      </c>
      <c r="C3319" t="s">
        <v>34</v>
      </c>
      <c r="D3319" t="s">
        <v>7924</v>
      </c>
      <c r="E3319" t="s">
        <v>7925</v>
      </c>
      <c r="F3319" s="121">
        <v>63400</v>
      </c>
      <c r="G3319" s="121">
        <v>84300</v>
      </c>
      <c r="H3319" t="s">
        <v>7925</v>
      </c>
      <c r="I3319" s="156">
        <v>41089</v>
      </c>
    </row>
    <row r="3320" spans="1:9">
      <c r="A3320" t="s">
        <v>1230</v>
      </c>
      <c r="B3320" t="s">
        <v>72</v>
      </c>
      <c r="C3320" t="s">
        <v>34</v>
      </c>
      <c r="D3320" t="s">
        <v>7926</v>
      </c>
      <c r="E3320" t="s">
        <v>7927</v>
      </c>
      <c r="F3320" s="121">
        <v>54300</v>
      </c>
      <c r="G3320" s="121">
        <v>74300</v>
      </c>
      <c r="H3320" t="s">
        <v>7927</v>
      </c>
      <c r="I3320" s="156">
        <v>41089</v>
      </c>
    </row>
    <row r="3321" spans="1:9">
      <c r="A3321" t="s">
        <v>1230</v>
      </c>
      <c r="B3321" t="s">
        <v>72</v>
      </c>
      <c r="C3321" t="s">
        <v>34</v>
      </c>
      <c r="D3321" t="s">
        <v>7654</v>
      </c>
      <c r="E3321" t="s">
        <v>7928</v>
      </c>
      <c r="F3321" s="121">
        <v>1247700</v>
      </c>
      <c r="G3321" s="121">
        <v>1247700</v>
      </c>
      <c r="H3321" t="s">
        <v>7928</v>
      </c>
      <c r="I3321" s="156">
        <v>41089</v>
      </c>
    </row>
    <row r="3322" spans="1:9">
      <c r="A3322" t="s">
        <v>1230</v>
      </c>
      <c r="B3322" t="s">
        <v>72</v>
      </c>
      <c r="C3322" t="s">
        <v>34</v>
      </c>
      <c r="D3322" t="s">
        <v>7929</v>
      </c>
      <c r="E3322" t="s">
        <v>7930</v>
      </c>
      <c r="F3322" s="121">
        <v>64300</v>
      </c>
      <c r="G3322" s="121">
        <v>64300</v>
      </c>
      <c r="H3322" t="s">
        <v>7930</v>
      </c>
      <c r="I3322" s="156">
        <v>41089</v>
      </c>
    </row>
    <row r="3323" spans="1:9">
      <c r="A3323" t="s">
        <v>1230</v>
      </c>
      <c r="B3323" t="s">
        <v>72</v>
      </c>
      <c r="C3323" t="s">
        <v>34</v>
      </c>
      <c r="D3323" t="s">
        <v>7931</v>
      </c>
      <c r="E3323" t="s">
        <v>7932</v>
      </c>
      <c r="F3323" s="121">
        <v>56200</v>
      </c>
      <c r="G3323" s="121">
        <v>56200</v>
      </c>
      <c r="H3323" t="s">
        <v>7932</v>
      </c>
      <c r="I3323" s="156">
        <v>41089</v>
      </c>
    </row>
    <row r="3324" spans="1:9">
      <c r="A3324" t="s">
        <v>1230</v>
      </c>
      <c r="B3324" t="s">
        <v>72</v>
      </c>
      <c r="C3324" t="s">
        <v>34</v>
      </c>
      <c r="D3324" t="s">
        <v>7933</v>
      </c>
      <c r="E3324" t="s">
        <v>7934</v>
      </c>
      <c r="F3324" s="121">
        <v>543000</v>
      </c>
      <c r="G3324" s="121">
        <v>543000</v>
      </c>
      <c r="H3324" t="s">
        <v>7934</v>
      </c>
      <c r="I3324" s="156">
        <v>41089</v>
      </c>
    </row>
    <row r="3325" spans="1:9">
      <c r="A3325" t="s">
        <v>1230</v>
      </c>
      <c r="B3325" t="s">
        <v>72</v>
      </c>
      <c r="C3325" t="s">
        <v>34</v>
      </c>
      <c r="D3325" t="s">
        <v>7935</v>
      </c>
      <c r="E3325" t="s">
        <v>7458</v>
      </c>
      <c r="F3325" s="121">
        <v>610800</v>
      </c>
      <c r="G3325" s="121">
        <v>932110</v>
      </c>
      <c r="H3325" t="s">
        <v>7458</v>
      </c>
      <c r="I3325" s="156">
        <v>41089</v>
      </c>
    </row>
    <row r="3326" spans="1:9">
      <c r="A3326" t="s">
        <v>1230</v>
      </c>
      <c r="B3326" t="s">
        <v>72</v>
      </c>
      <c r="C3326" t="s">
        <v>36</v>
      </c>
      <c r="D3326" t="s">
        <v>7790</v>
      </c>
      <c r="E3326" t="s">
        <v>7936</v>
      </c>
      <c r="F3326" s="121">
        <v>8600</v>
      </c>
      <c r="G3326" s="121">
        <v>8600</v>
      </c>
      <c r="H3326" t="s">
        <v>7936</v>
      </c>
      <c r="I3326" s="156">
        <v>41089</v>
      </c>
    </row>
    <row r="3327" spans="1:9">
      <c r="A3327" t="s">
        <v>1230</v>
      </c>
      <c r="B3327" t="s">
        <v>72</v>
      </c>
      <c r="C3327" t="s">
        <v>36</v>
      </c>
      <c r="D3327" t="s">
        <v>7790</v>
      </c>
      <c r="E3327" t="s">
        <v>7937</v>
      </c>
      <c r="F3327" s="121">
        <v>7700</v>
      </c>
      <c r="G3327" s="121">
        <v>7700</v>
      </c>
      <c r="H3327" t="s">
        <v>7937</v>
      </c>
      <c r="I3327" s="156">
        <v>41089</v>
      </c>
    </row>
    <row r="3328" spans="1:9">
      <c r="A3328" t="s">
        <v>1230</v>
      </c>
      <c r="B3328" t="s">
        <v>72</v>
      </c>
      <c r="C3328" t="s">
        <v>36</v>
      </c>
      <c r="D3328" t="s">
        <v>7790</v>
      </c>
      <c r="E3328" t="s">
        <v>7938</v>
      </c>
      <c r="F3328" s="121">
        <v>15000</v>
      </c>
      <c r="G3328" s="121">
        <v>15000</v>
      </c>
      <c r="H3328" t="s">
        <v>7938</v>
      </c>
      <c r="I3328" s="156">
        <v>41089</v>
      </c>
    </row>
    <row r="3329" spans="1:9">
      <c r="A3329" t="s">
        <v>1230</v>
      </c>
      <c r="B3329" t="s">
        <v>72</v>
      </c>
      <c r="C3329" t="s">
        <v>36</v>
      </c>
      <c r="D3329" t="s">
        <v>7939</v>
      </c>
      <c r="E3329" t="s">
        <v>7940</v>
      </c>
      <c r="F3329" s="121">
        <v>64800</v>
      </c>
      <c r="G3329" s="121">
        <v>64800</v>
      </c>
      <c r="H3329" t="s">
        <v>7940</v>
      </c>
      <c r="I3329" s="156">
        <v>41089</v>
      </c>
    </row>
    <row r="3330" spans="1:9">
      <c r="A3330" t="s">
        <v>1230</v>
      </c>
      <c r="B3330" t="s">
        <v>72</v>
      </c>
      <c r="C3330" t="s">
        <v>38</v>
      </c>
      <c r="D3330" t="s">
        <v>804</v>
      </c>
      <c r="E3330" t="s">
        <v>7941</v>
      </c>
      <c r="F3330" s="121">
        <v>178900</v>
      </c>
      <c r="G3330" s="121">
        <v>178900</v>
      </c>
      <c r="H3330" t="s">
        <v>7941</v>
      </c>
      <c r="I3330" s="156">
        <v>41089</v>
      </c>
    </row>
    <row r="3331" spans="1:9">
      <c r="A3331" t="s">
        <v>1230</v>
      </c>
      <c r="B3331" t="s">
        <v>72</v>
      </c>
      <c r="C3331" t="s">
        <v>40</v>
      </c>
      <c r="D3331" t="s">
        <v>7755</v>
      </c>
      <c r="E3331" t="s">
        <v>7942</v>
      </c>
      <c r="F3331" s="121">
        <v>315600</v>
      </c>
      <c r="G3331" s="121">
        <v>532429</v>
      </c>
      <c r="H3331" t="s">
        <v>7942</v>
      </c>
      <c r="I3331" s="156">
        <v>41089</v>
      </c>
    </row>
    <row r="3332" spans="1:9">
      <c r="A3332" t="s">
        <v>1230</v>
      </c>
      <c r="B3332" t="s">
        <v>72</v>
      </c>
      <c r="C3332" t="s">
        <v>36</v>
      </c>
      <c r="D3332" t="s">
        <v>7731</v>
      </c>
      <c r="E3332" t="s">
        <v>7943</v>
      </c>
      <c r="F3332" s="121">
        <v>25700</v>
      </c>
      <c r="G3332" s="121">
        <v>25700</v>
      </c>
      <c r="H3332" t="s">
        <v>7943</v>
      </c>
      <c r="I3332" s="156">
        <v>41089</v>
      </c>
    </row>
    <row r="3333" spans="1:9">
      <c r="A3333" t="s">
        <v>1230</v>
      </c>
      <c r="B3333" t="s">
        <v>72</v>
      </c>
      <c r="C3333" t="s">
        <v>36</v>
      </c>
      <c r="D3333" t="s">
        <v>442</v>
      </c>
      <c r="E3333" t="s">
        <v>7944</v>
      </c>
      <c r="F3333" s="121">
        <v>78800</v>
      </c>
      <c r="G3333" s="121">
        <v>205209</v>
      </c>
      <c r="H3333" t="s">
        <v>7944</v>
      </c>
      <c r="I3333" s="156">
        <v>41089</v>
      </c>
    </row>
    <row r="3334" spans="1:9">
      <c r="A3334" t="s">
        <v>1230</v>
      </c>
      <c r="B3334" t="s">
        <v>72</v>
      </c>
      <c r="C3334" t="s">
        <v>36</v>
      </c>
      <c r="D3334" t="s">
        <v>442</v>
      </c>
      <c r="E3334" t="s">
        <v>7944</v>
      </c>
      <c r="F3334" s="121">
        <v>70900</v>
      </c>
      <c r="G3334" s="121">
        <v>70900</v>
      </c>
      <c r="H3334" t="s">
        <v>7944</v>
      </c>
      <c r="I3334" s="156">
        <v>41089</v>
      </c>
    </row>
    <row r="3335" spans="1:9">
      <c r="A3335" t="s">
        <v>1230</v>
      </c>
      <c r="B3335" t="s">
        <v>72</v>
      </c>
      <c r="C3335" t="s">
        <v>36</v>
      </c>
      <c r="D3335" t="s">
        <v>7945</v>
      </c>
      <c r="E3335" t="s">
        <v>7946</v>
      </c>
      <c r="F3335" s="121">
        <v>16100</v>
      </c>
      <c r="G3335" s="121">
        <v>16100</v>
      </c>
      <c r="H3335" t="s">
        <v>7946</v>
      </c>
      <c r="I3335" s="156">
        <v>41089</v>
      </c>
    </row>
    <row r="3336" spans="1:9">
      <c r="A3336" t="s">
        <v>1230</v>
      </c>
      <c r="B3336" t="s">
        <v>72</v>
      </c>
      <c r="C3336" t="s">
        <v>34</v>
      </c>
      <c r="D3336" t="s">
        <v>7733</v>
      </c>
      <c r="E3336" t="s">
        <v>7947</v>
      </c>
      <c r="F3336" s="121">
        <v>337400</v>
      </c>
      <c r="G3336" s="121">
        <v>989703</v>
      </c>
      <c r="H3336" t="s">
        <v>7947</v>
      </c>
      <c r="I3336" s="156">
        <v>41089</v>
      </c>
    </row>
    <row r="3337" spans="1:9">
      <c r="A3337" t="s">
        <v>1230</v>
      </c>
      <c r="B3337" t="s">
        <v>72</v>
      </c>
      <c r="C3337" t="s">
        <v>36</v>
      </c>
      <c r="D3337" t="s">
        <v>7741</v>
      </c>
      <c r="E3337" t="s">
        <v>7948</v>
      </c>
      <c r="F3337" s="121">
        <v>14700</v>
      </c>
      <c r="G3337" s="121">
        <v>14700</v>
      </c>
      <c r="H3337" t="s">
        <v>7948</v>
      </c>
      <c r="I3337" s="156">
        <v>41089</v>
      </c>
    </row>
    <row r="3338" spans="1:9">
      <c r="A3338" t="s">
        <v>1230</v>
      </c>
      <c r="B3338" t="s">
        <v>72</v>
      </c>
      <c r="C3338" t="s">
        <v>36</v>
      </c>
      <c r="D3338" t="s">
        <v>7949</v>
      </c>
      <c r="E3338" t="s">
        <v>7950</v>
      </c>
      <c r="F3338" s="121">
        <v>3000</v>
      </c>
      <c r="G3338" s="121">
        <v>3000</v>
      </c>
      <c r="H3338" t="s">
        <v>7950</v>
      </c>
      <c r="I3338" s="156">
        <v>41639</v>
      </c>
    </row>
    <row r="3339" spans="1:9">
      <c r="A3339" t="s">
        <v>1230</v>
      </c>
      <c r="B3339" t="s">
        <v>72</v>
      </c>
      <c r="C3339" t="s">
        <v>36</v>
      </c>
      <c r="D3339" t="s">
        <v>7741</v>
      </c>
      <c r="E3339" t="s">
        <v>7950</v>
      </c>
      <c r="F3339" s="121">
        <v>3900</v>
      </c>
      <c r="G3339" s="121">
        <v>3900</v>
      </c>
      <c r="H3339" t="s">
        <v>7950</v>
      </c>
      <c r="I3339" s="156">
        <v>41089</v>
      </c>
    </row>
    <row r="3340" spans="1:9">
      <c r="A3340" t="s">
        <v>1230</v>
      </c>
      <c r="B3340" t="s">
        <v>72</v>
      </c>
      <c r="C3340" t="s">
        <v>36</v>
      </c>
      <c r="D3340" t="s">
        <v>834</v>
      </c>
      <c r="E3340" t="s">
        <v>7951</v>
      </c>
      <c r="F3340" s="121">
        <v>145100</v>
      </c>
      <c r="G3340" s="121">
        <v>145100</v>
      </c>
      <c r="H3340" t="s">
        <v>7951</v>
      </c>
      <c r="I3340" s="156">
        <v>41089</v>
      </c>
    </row>
    <row r="3341" spans="1:9">
      <c r="A3341" t="s">
        <v>1230</v>
      </c>
      <c r="B3341" t="s">
        <v>72</v>
      </c>
      <c r="C3341" t="s">
        <v>34</v>
      </c>
      <c r="D3341" t="s">
        <v>7952</v>
      </c>
      <c r="E3341" t="s">
        <v>7953</v>
      </c>
      <c r="F3341" s="121">
        <v>50700</v>
      </c>
      <c r="G3341" s="121">
        <v>228367</v>
      </c>
      <c r="H3341" t="s">
        <v>7953</v>
      </c>
      <c r="I3341" s="156">
        <v>41089</v>
      </c>
    </row>
    <row r="3342" spans="1:9">
      <c r="A3342" t="s">
        <v>1230</v>
      </c>
      <c r="B3342" t="s">
        <v>72</v>
      </c>
      <c r="C3342" t="s">
        <v>36</v>
      </c>
      <c r="D3342" t="s">
        <v>7954</v>
      </c>
      <c r="E3342" t="s">
        <v>7955</v>
      </c>
      <c r="F3342" s="121">
        <v>43500</v>
      </c>
      <c r="G3342" s="121">
        <v>43500</v>
      </c>
      <c r="H3342" t="s">
        <v>7955</v>
      </c>
      <c r="I3342" s="156">
        <v>41089</v>
      </c>
    </row>
    <row r="3343" spans="1:9">
      <c r="A3343" t="s">
        <v>1230</v>
      </c>
      <c r="B3343" t="s">
        <v>72</v>
      </c>
      <c r="C3343" t="s">
        <v>36</v>
      </c>
      <c r="D3343" t="s">
        <v>7737</v>
      </c>
      <c r="E3343" t="s">
        <v>7956</v>
      </c>
      <c r="F3343" s="121">
        <v>4300</v>
      </c>
      <c r="G3343" s="121">
        <v>4300</v>
      </c>
      <c r="H3343" t="s">
        <v>7956</v>
      </c>
      <c r="I3343" s="156">
        <v>41089</v>
      </c>
    </row>
    <row r="3344" spans="1:9">
      <c r="A3344" t="s">
        <v>1230</v>
      </c>
      <c r="B3344" t="s">
        <v>72</v>
      </c>
      <c r="C3344" t="s">
        <v>60</v>
      </c>
      <c r="D3344" t="s">
        <v>7683</v>
      </c>
      <c r="E3344" t="s">
        <v>7957</v>
      </c>
      <c r="F3344" s="121">
        <v>17100</v>
      </c>
      <c r="G3344" s="121">
        <v>17100</v>
      </c>
      <c r="H3344" t="s">
        <v>7957</v>
      </c>
      <c r="I3344" s="156">
        <v>41089</v>
      </c>
    </row>
    <row r="3345" spans="1:9">
      <c r="A3345" t="s">
        <v>1230</v>
      </c>
      <c r="B3345" t="s">
        <v>72</v>
      </c>
      <c r="C3345" t="s">
        <v>36</v>
      </c>
      <c r="D3345" t="s">
        <v>7743</v>
      </c>
      <c r="E3345" t="s">
        <v>7463</v>
      </c>
      <c r="F3345" s="121">
        <v>5100</v>
      </c>
      <c r="G3345" s="121">
        <v>5100</v>
      </c>
      <c r="H3345" t="s">
        <v>7463</v>
      </c>
      <c r="I3345" s="156">
        <v>41089</v>
      </c>
    </row>
    <row r="3346" spans="1:9">
      <c r="A3346" t="s">
        <v>1230</v>
      </c>
      <c r="B3346" t="s">
        <v>72</v>
      </c>
      <c r="C3346" t="s">
        <v>36</v>
      </c>
      <c r="D3346" t="s">
        <v>7958</v>
      </c>
      <c r="E3346" t="s">
        <v>7463</v>
      </c>
      <c r="F3346" s="121">
        <v>5000</v>
      </c>
      <c r="G3346" s="121">
        <v>5000</v>
      </c>
      <c r="H3346" t="s">
        <v>7463</v>
      </c>
      <c r="I3346" s="156">
        <v>41639</v>
      </c>
    </row>
    <row r="3347" spans="1:9">
      <c r="A3347" t="s">
        <v>1230</v>
      </c>
      <c r="B3347" t="s">
        <v>72</v>
      </c>
      <c r="C3347" t="s">
        <v>36</v>
      </c>
      <c r="D3347" t="s">
        <v>7959</v>
      </c>
      <c r="E3347" t="s">
        <v>7466</v>
      </c>
      <c r="F3347" s="121">
        <v>2700</v>
      </c>
      <c r="G3347" s="121">
        <v>2700</v>
      </c>
      <c r="H3347" t="s">
        <v>7466</v>
      </c>
      <c r="I3347" s="156">
        <v>41089</v>
      </c>
    </row>
    <row r="3348" spans="1:9">
      <c r="A3348" t="s">
        <v>1230</v>
      </c>
      <c r="B3348" t="s">
        <v>72</v>
      </c>
      <c r="C3348" t="s">
        <v>36</v>
      </c>
      <c r="D3348" t="s">
        <v>7959</v>
      </c>
      <c r="E3348" t="s">
        <v>7466</v>
      </c>
      <c r="F3348" s="121">
        <v>20000</v>
      </c>
      <c r="G3348" s="121">
        <v>20000</v>
      </c>
      <c r="H3348" t="s">
        <v>7466</v>
      </c>
      <c r="I3348" s="156">
        <v>41639</v>
      </c>
    </row>
    <row r="3349" spans="1:9">
      <c r="A3349" t="s">
        <v>1230</v>
      </c>
      <c r="B3349" t="s">
        <v>72</v>
      </c>
      <c r="C3349" t="s">
        <v>40</v>
      </c>
      <c r="D3349" t="s">
        <v>7960</v>
      </c>
      <c r="E3349" t="s">
        <v>7961</v>
      </c>
      <c r="F3349" s="121">
        <v>745600</v>
      </c>
      <c r="G3349" s="121">
        <v>1395454</v>
      </c>
      <c r="H3349" t="s">
        <v>7961</v>
      </c>
      <c r="I3349" s="156">
        <v>41089</v>
      </c>
    </row>
    <row r="3350" spans="1:9">
      <c r="A3350" t="s">
        <v>1230</v>
      </c>
      <c r="B3350" t="s">
        <v>72</v>
      </c>
      <c r="C3350" t="s">
        <v>40</v>
      </c>
      <c r="D3350" t="s">
        <v>7962</v>
      </c>
      <c r="E3350" t="s">
        <v>7961</v>
      </c>
      <c r="F3350" s="121">
        <v>102000</v>
      </c>
      <c r="G3350" s="121">
        <v>102000</v>
      </c>
      <c r="H3350" t="s">
        <v>7961</v>
      </c>
      <c r="I3350" s="156">
        <v>41639</v>
      </c>
    </row>
    <row r="3351" spans="1:9">
      <c r="A3351" t="s">
        <v>1230</v>
      </c>
      <c r="B3351" t="s">
        <v>72</v>
      </c>
      <c r="C3351" t="s">
        <v>36</v>
      </c>
      <c r="D3351" t="s">
        <v>7963</v>
      </c>
      <c r="E3351" t="s">
        <v>7964</v>
      </c>
      <c r="F3351" s="121">
        <v>54900</v>
      </c>
      <c r="G3351" s="121">
        <v>54900</v>
      </c>
      <c r="H3351" t="s">
        <v>7964</v>
      </c>
      <c r="I3351" s="156">
        <v>41089</v>
      </c>
    </row>
    <row r="3352" spans="1:9">
      <c r="A3352" t="s">
        <v>1230</v>
      </c>
      <c r="B3352" t="s">
        <v>72</v>
      </c>
      <c r="C3352" t="s">
        <v>36</v>
      </c>
      <c r="D3352" t="s">
        <v>7965</v>
      </c>
      <c r="E3352" t="s">
        <v>7966</v>
      </c>
      <c r="F3352" s="121">
        <v>10600</v>
      </c>
      <c r="G3352" s="121">
        <v>10600</v>
      </c>
      <c r="H3352" t="s">
        <v>7966</v>
      </c>
      <c r="I3352" s="156">
        <v>41089</v>
      </c>
    </row>
    <row r="3353" spans="1:9">
      <c r="A3353" t="s">
        <v>1230</v>
      </c>
      <c r="B3353" t="s">
        <v>72</v>
      </c>
      <c r="C3353" t="s">
        <v>36</v>
      </c>
      <c r="D3353" t="s">
        <v>7965</v>
      </c>
      <c r="E3353" t="s">
        <v>7967</v>
      </c>
      <c r="F3353" s="121">
        <v>3900</v>
      </c>
      <c r="G3353" s="121">
        <v>3900</v>
      </c>
      <c r="H3353" t="s">
        <v>7967</v>
      </c>
      <c r="I3353" s="156">
        <v>41089</v>
      </c>
    </row>
    <row r="3354" spans="1:9">
      <c r="A3354" t="s">
        <v>1230</v>
      </c>
      <c r="B3354" t="s">
        <v>72</v>
      </c>
      <c r="C3354" t="s">
        <v>36</v>
      </c>
      <c r="D3354" t="s">
        <v>7968</v>
      </c>
      <c r="E3354" t="s">
        <v>7969</v>
      </c>
      <c r="F3354" s="121">
        <v>58700</v>
      </c>
      <c r="G3354" s="121">
        <v>58700</v>
      </c>
      <c r="H3354" t="s">
        <v>7969</v>
      </c>
      <c r="I3354" s="156">
        <v>41089</v>
      </c>
    </row>
    <row r="3355" spans="1:9">
      <c r="A3355" t="s">
        <v>1230</v>
      </c>
      <c r="B3355" t="s">
        <v>72</v>
      </c>
      <c r="C3355" t="s">
        <v>34</v>
      </c>
      <c r="D3355" t="s">
        <v>7970</v>
      </c>
      <c r="E3355" t="s">
        <v>7971</v>
      </c>
      <c r="F3355" s="121">
        <v>200000</v>
      </c>
      <c r="G3355" s="121">
        <v>200000</v>
      </c>
      <c r="H3355" t="s">
        <v>7971</v>
      </c>
      <c r="I3355" s="156">
        <v>41639</v>
      </c>
    </row>
    <row r="3356" spans="1:9">
      <c r="A3356" t="s">
        <v>1230</v>
      </c>
      <c r="B3356" t="s">
        <v>72</v>
      </c>
      <c r="C3356" t="s">
        <v>34</v>
      </c>
      <c r="D3356" t="s">
        <v>7972</v>
      </c>
      <c r="E3356" t="s">
        <v>7971</v>
      </c>
      <c r="F3356" s="121">
        <v>1610000</v>
      </c>
      <c r="G3356" s="121">
        <v>1610000</v>
      </c>
      <c r="H3356" t="s">
        <v>7971</v>
      </c>
      <c r="I3356" s="156">
        <v>41089</v>
      </c>
    </row>
    <row r="3357" spans="1:9">
      <c r="A3357" t="s">
        <v>1230</v>
      </c>
      <c r="B3357" t="s">
        <v>72</v>
      </c>
      <c r="C3357" t="s">
        <v>60</v>
      </c>
      <c r="D3357" t="s">
        <v>7683</v>
      </c>
      <c r="E3357" t="s">
        <v>7973</v>
      </c>
      <c r="F3357" s="121">
        <v>32000</v>
      </c>
      <c r="G3357" s="121">
        <v>34857.379999999997</v>
      </c>
      <c r="H3357" t="s">
        <v>7973</v>
      </c>
      <c r="I3357" s="156">
        <v>41089</v>
      </c>
    </row>
    <row r="3358" spans="1:9">
      <c r="A3358" t="s">
        <v>1230</v>
      </c>
      <c r="B3358" t="s">
        <v>72</v>
      </c>
      <c r="C3358" t="s">
        <v>36</v>
      </c>
      <c r="D3358" t="s">
        <v>7974</v>
      </c>
      <c r="E3358" t="s">
        <v>7975</v>
      </c>
      <c r="F3358" s="121">
        <v>82400</v>
      </c>
      <c r="G3358" s="121">
        <v>82400</v>
      </c>
      <c r="H3358" t="s">
        <v>7975</v>
      </c>
      <c r="I3358" s="156">
        <v>41089</v>
      </c>
    </row>
    <row r="3359" spans="1:9">
      <c r="A3359" t="s">
        <v>1230</v>
      </c>
      <c r="B3359" t="s">
        <v>72</v>
      </c>
      <c r="C3359" t="s">
        <v>65</v>
      </c>
      <c r="D3359" t="s">
        <v>7976</v>
      </c>
      <c r="E3359" t="s">
        <v>7977</v>
      </c>
      <c r="F3359" s="121">
        <v>12000</v>
      </c>
      <c r="G3359" s="121">
        <v>12000</v>
      </c>
      <c r="H3359" t="s">
        <v>7977</v>
      </c>
      <c r="I3359" s="156">
        <v>41089</v>
      </c>
    </row>
    <row r="3360" spans="1:9">
      <c r="A3360" t="s">
        <v>1230</v>
      </c>
      <c r="B3360" t="s">
        <v>72</v>
      </c>
      <c r="C3360" t="s">
        <v>34</v>
      </c>
      <c r="D3360" t="s">
        <v>7978</v>
      </c>
      <c r="E3360" t="s">
        <v>7979</v>
      </c>
      <c r="F3360" s="121">
        <v>136200</v>
      </c>
      <c r="G3360" s="121">
        <v>136200</v>
      </c>
      <c r="H3360" t="s">
        <v>7979</v>
      </c>
      <c r="I3360" s="156">
        <v>41089</v>
      </c>
    </row>
    <row r="3361" spans="1:9">
      <c r="A3361" t="s">
        <v>1230</v>
      </c>
      <c r="B3361" t="s">
        <v>72</v>
      </c>
      <c r="C3361" t="s">
        <v>34</v>
      </c>
      <c r="D3361" t="s">
        <v>7654</v>
      </c>
      <c r="E3361" t="s">
        <v>7980</v>
      </c>
      <c r="F3361" s="121">
        <v>200500</v>
      </c>
      <c r="G3361" s="121">
        <v>200500</v>
      </c>
      <c r="H3361" t="s">
        <v>7980</v>
      </c>
      <c r="I3361" s="156">
        <v>41089</v>
      </c>
    </row>
    <row r="3362" spans="1:9">
      <c r="A3362" t="s">
        <v>1230</v>
      </c>
      <c r="B3362" t="s">
        <v>965</v>
      </c>
      <c r="C3362" t="s">
        <v>38</v>
      </c>
      <c r="D3362" t="s">
        <v>804</v>
      </c>
      <c r="E3362" t="s">
        <v>7981</v>
      </c>
      <c r="F3362" s="121">
        <v>44800</v>
      </c>
      <c r="G3362" s="121">
        <v>47766</v>
      </c>
      <c r="H3362" t="s">
        <v>7981</v>
      </c>
      <c r="I3362" s="156">
        <v>41089</v>
      </c>
    </row>
    <row r="3363" spans="1:9">
      <c r="A3363" t="s">
        <v>1230</v>
      </c>
      <c r="B3363" t="s">
        <v>965</v>
      </c>
      <c r="C3363" t="s">
        <v>38</v>
      </c>
      <c r="D3363" t="s">
        <v>804</v>
      </c>
      <c r="E3363" t="s">
        <v>7981</v>
      </c>
      <c r="F3363" s="121">
        <v>5000</v>
      </c>
      <c r="G3363" s="121">
        <v>5000</v>
      </c>
      <c r="H3363" t="s">
        <v>7981</v>
      </c>
      <c r="I3363" s="156">
        <v>41639</v>
      </c>
    </row>
    <row r="3364" spans="1:9">
      <c r="A3364" t="s">
        <v>1230</v>
      </c>
      <c r="B3364" t="s">
        <v>965</v>
      </c>
      <c r="C3364" t="s">
        <v>38</v>
      </c>
      <c r="D3364" t="s">
        <v>804</v>
      </c>
      <c r="E3364" t="s">
        <v>7981</v>
      </c>
      <c r="F3364" s="121">
        <v>20000</v>
      </c>
      <c r="G3364" s="121">
        <v>20000</v>
      </c>
      <c r="H3364" t="s">
        <v>7981</v>
      </c>
      <c r="I3364" s="156">
        <v>41639</v>
      </c>
    </row>
    <row r="3365" spans="1:9">
      <c r="A3365" t="s">
        <v>1230</v>
      </c>
      <c r="B3365" t="s">
        <v>72</v>
      </c>
      <c r="C3365" t="s">
        <v>40</v>
      </c>
      <c r="D3365" t="s">
        <v>7755</v>
      </c>
      <c r="E3365" t="s">
        <v>7982</v>
      </c>
      <c r="F3365" s="121">
        <v>44400</v>
      </c>
      <c r="G3365" s="121">
        <v>50095</v>
      </c>
      <c r="H3365" t="s">
        <v>7982</v>
      </c>
      <c r="I3365" s="156">
        <v>41089</v>
      </c>
    </row>
    <row r="3366" spans="1:9">
      <c r="A3366" t="s">
        <v>1230</v>
      </c>
      <c r="B3366" t="s">
        <v>72</v>
      </c>
      <c r="C3366" t="s">
        <v>40</v>
      </c>
      <c r="D3366" t="s">
        <v>7755</v>
      </c>
      <c r="E3366" t="s">
        <v>7983</v>
      </c>
      <c r="F3366" s="121">
        <v>41700</v>
      </c>
      <c r="G3366" s="121">
        <v>47060</v>
      </c>
      <c r="H3366" t="s">
        <v>7983</v>
      </c>
      <c r="I3366" s="156">
        <v>41089</v>
      </c>
    </row>
    <row r="3367" spans="1:9">
      <c r="A3367" t="s">
        <v>1230</v>
      </c>
      <c r="B3367" t="s">
        <v>72</v>
      </c>
      <c r="C3367" t="s">
        <v>32</v>
      </c>
      <c r="D3367" t="s">
        <v>7705</v>
      </c>
      <c r="E3367" t="s">
        <v>7984</v>
      </c>
      <c r="F3367" s="121">
        <v>66600</v>
      </c>
      <c r="G3367" s="121">
        <v>66600</v>
      </c>
      <c r="H3367" t="s">
        <v>7984</v>
      </c>
      <c r="I3367" s="156">
        <v>41089</v>
      </c>
    </row>
    <row r="3368" spans="1:9">
      <c r="A3368" t="s">
        <v>1230</v>
      </c>
      <c r="B3368" t="s">
        <v>72</v>
      </c>
      <c r="C3368" t="s">
        <v>40</v>
      </c>
      <c r="D3368" t="s">
        <v>7755</v>
      </c>
      <c r="E3368" t="s">
        <v>7985</v>
      </c>
      <c r="F3368" s="121">
        <v>58900</v>
      </c>
      <c r="G3368" s="121">
        <v>66270</v>
      </c>
      <c r="H3368" t="s">
        <v>7985</v>
      </c>
      <c r="I3368" s="156">
        <v>41089</v>
      </c>
    </row>
    <row r="3369" spans="1:9">
      <c r="A3369" t="s">
        <v>1230</v>
      </c>
      <c r="B3369" t="s">
        <v>72</v>
      </c>
      <c r="C3369" t="s">
        <v>40</v>
      </c>
      <c r="D3369" t="s">
        <v>7749</v>
      </c>
      <c r="E3369" t="s">
        <v>7986</v>
      </c>
      <c r="F3369" s="121">
        <v>82400</v>
      </c>
      <c r="G3369" s="121">
        <v>82400</v>
      </c>
      <c r="H3369" t="s">
        <v>7986</v>
      </c>
      <c r="I3369" s="156">
        <v>41089</v>
      </c>
    </row>
    <row r="3370" spans="1:9">
      <c r="A3370" t="s">
        <v>1230</v>
      </c>
      <c r="B3370" t="s">
        <v>72</v>
      </c>
      <c r="C3370" t="s">
        <v>44</v>
      </c>
      <c r="D3370" t="s">
        <v>7987</v>
      </c>
      <c r="E3370" t="s">
        <v>7469</v>
      </c>
      <c r="F3370" s="121">
        <v>15000</v>
      </c>
      <c r="G3370" s="121">
        <v>15000</v>
      </c>
      <c r="H3370" t="s">
        <v>7469</v>
      </c>
      <c r="I3370" s="156">
        <v>41639</v>
      </c>
    </row>
    <row r="3371" spans="1:9">
      <c r="A3371" t="s">
        <v>1230</v>
      </c>
      <c r="B3371" t="s">
        <v>72</v>
      </c>
      <c r="C3371" t="s">
        <v>44</v>
      </c>
      <c r="D3371" t="s">
        <v>7988</v>
      </c>
      <c r="E3371" t="s">
        <v>7469</v>
      </c>
      <c r="F3371" s="121">
        <v>5251.77</v>
      </c>
      <c r="G3371" s="121">
        <v>5251.77</v>
      </c>
      <c r="H3371" t="s">
        <v>7469</v>
      </c>
      <c r="I3371" s="156">
        <v>41274</v>
      </c>
    </row>
    <row r="3372" spans="1:9">
      <c r="A3372" t="s">
        <v>1230</v>
      </c>
      <c r="B3372" t="s">
        <v>72</v>
      </c>
      <c r="C3372" t="s">
        <v>44</v>
      </c>
      <c r="D3372" t="s">
        <v>474</v>
      </c>
      <c r="E3372" t="s">
        <v>7469</v>
      </c>
      <c r="F3372" s="121">
        <v>2528400</v>
      </c>
      <c r="G3372" s="121">
        <v>2528400</v>
      </c>
      <c r="H3372" t="s">
        <v>7469</v>
      </c>
      <c r="I3372" s="156">
        <v>41089</v>
      </c>
    </row>
    <row r="3373" spans="1:9">
      <c r="A3373" t="s">
        <v>1230</v>
      </c>
      <c r="B3373" t="s">
        <v>72</v>
      </c>
      <c r="C3373" t="s">
        <v>44</v>
      </c>
      <c r="D3373" t="s">
        <v>7705</v>
      </c>
      <c r="E3373" t="s">
        <v>7469</v>
      </c>
      <c r="F3373" s="121">
        <v>10000</v>
      </c>
      <c r="G3373" s="121">
        <v>10000</v>
      </c>
      <c r="H3373" t="s">
        <v>7469</v>
      </c>
      <c r="I3373" s="156">
        <v>41639</v>
      </c>
    </row>
    <row r="3374" spans="1:9">
      <c r="A3374" t="s">
        <v>1230</v>
      </c>
      <c r="B3374" t="s">
        <v>72</v>
      </c>
      <c r="C3374" t="s">
        <v>36</v>
      </c>
      <c r="D3374" t="s">
        <v>7889</v>
      </c>
      <c r="E3374" t="s">
        <v>7989</v>
      </c>
      <c r="F3374" s="121">
        <v>40100</v>
      </c>
      <c r="G3374" s="121">
        <v>40100</v>
      </c>
      <c r="H3374" t="s">
        <v>7989</v>
      </c>
      <c r="I3374" s="156">
        <v>41089</v>
      </c>
    </row>
    <row r="3375" spans="1:9">
      <c r="A3375" t="s">
        <v>1230</v>
      </c>
      <c r="B3375" t="s">
        <v>72</v>
      </c>
      <c r="C3375" t="s">
        <v>36</v>
      </c>
      <c r="D3375" t="s">
        <v>7889</v>
      </c>
      <c r="E3375" t="s">
        <v>7990</v>
      </c>
      <c r="F3375" s="121">
        <v>34000</v>
      </c>
      <c r="G3375" s="121">
        <v>34000</v>
      </c>
      <c r="H3375" t="s">
        <v>7990</v>
      </c>
      <c r="I3375" s="156">
        <v>41089</v>
      </c>
    </row>
    <row r="3376" spans="1:9">
      <c r="A3376" t="s">
        <v>1230</v>
      </c>
      <c r="B3376" t="s">
        <v>72</v>
      </c>
      <c r="C3376" t="s">
        <v>36</v>
      </c>
      <c r="D3376" t="s">
        <v>442</v>
      </c>
      <c r="E3376" t="s">
        <v>7991</v>
      </c>
      <c r="F3376" s="121">
        <v>31700</v>
      </c>
      <c r="G3376" s="121">
        <v>31700</v>
      </c>
      <c r="H3376" t="s">
        <v>7991</v>
      </c>
      <c r="I3376" s="156">
        <v>41089</v>
      </c>
    </row>
    <row r="3377" spans="1:9">
      <c r="A3377" t="s">
        <v>1230</v>
      </c>
      <c r="B3377" t="s">
        <v>72</v>
      </c>
      <c r="C3377" t="s">
        <v>36</v>
      </c>
      <c r="D3377" t="s">
        <v>7669</v>
      </c>
      <c r="E3377" t="s">
        <v>7992</v>
      </c>
      <c r="F3377" s="121">
        <v>21500</v>
      </c>
      <c r="G3377" s="121">
        <v>21500</v>
      </c>
      <c r="H3377" t="s">
        <v>7992</v>
      </c>
      <c r="I3377" s="156">
        <v>41089</v>
      </c>
    </row>
    <row r="3378" spans="1:9">
      <c r="A3378" t="s">
        <v>1230</v>
      </c>
      <c r="B3378" t="s">
        <v>72</v>
      </c>
      <c r="C3378" t="s">
        <v>34</v>
      </c>
      <c r="D3378" t="s">
        <v>7733</v>
      </c>
      <c r="E3378" t="s">
        <v>7993</v>
      </c>
      <c r="F3378" s="121">
        <v>257800</v>
      </c>
      <c r="G3378" s="121">
        <v>257800</v>
      </c>
      <c r="H3378" t="s">
        <v>7993</v>
      </c>
      <c r="I3378" s="156">
        <v>41089</v>
      </c>
    </row>
    <row r="3379" spans="1:9">
      <c r="A3379" t="s">
        <v>1230</v>
      </c>
      <c r="B3379" t="s">
        <v>72</v>
      </c>
      <c r="C3379" t="s">
        <v>36</v>
      </c>
      <c r="D3379" t="s">
        <v>7994</v>
      </c>
      <c r="E3379" t="s">
        <v>7995</v>
      </c>
      <c r="F3379" s="121">
        <v>7900</v>
      </c>
      <c r="G3379" s="121">
        <v>7900</v>
      </c>
      <c r="H3379" t="s">
        <v>7995</v>
      </c>
      <c r="I3379" s="156">
        <v>41089</v>
      </c>
    </row>
    <row r="3380" spans="1:9">
      <c r="A3380" t="s">
        <v>1230</v>
      </c>
      <c r="B3380" t="s">
        <v>72</v>
      </c>
      <c r="C3380" t="s">
        <v>36</v>
      </c>
      <c r="D3380" t="s">
        <v>7781</v>
      </c>
      <c r="E3380" t="s">
        <v>7996</v>
      </c>
      <c r="F3380" s="121">
        <v>61300</v>
      </c>
      <c r="G3380" s="121">
        <v>61300</v>
      </c>
      <c r="H3380" t="s">
        <v>7996</v>
      </c>
      <c r="I3380" s="156">
        <v>41089</v>
      </c>
    </row>
    <row r="3381" spans="1:9">
      <c r="A3381" t="s">
        <v>1230</v>
      </c>
      <c r="B3381" t="s">
        <v>72</v>
      </c>
      <c r="C3381" t="s">
        <v>36</v>
      </c>
      <c r="D3381" t="s">
        <v>7894</v>
      </c>
      <c r="E3381" t="s">
        <v>7997</v>
      </c>
      <c r="F3381" s="121">
        <v>63800</v>
      </c>
      <c r="G3381" s="121">
        <v>63800</v>
      </c>
      <c r="H3381" t="s">
        <v>7997</v>
      </c>
      <c r="I3381" s="156">
        <v>41089</v>
      </c>
    </row>
    <row r="3382" spans="1:9">
      <c r="A3382" t="s">
        <v>1230</v>
      </c>
      <c r="B3382" t="s">
        <v>72</v>
      </c>
      <c r="C3382" t="s">
        <v>36</v>
      </c>
      <c r="D3382" t="s">
        <v>7894</v>
      </c>
      <c r="E3382" t="s">
        <v>7998</v>
      </c>
      <c r="F3382" s="121">
        <v>63800</v>
      </c>
      <c r="G3382" s="121">
        <v>63800</v>
      </c>
      <c r="H3382" t="s">
        <v>7998</v>
      </c>
      <c r="I3382" s="156">
        <v>41089</v>
      </c>
    </row>
    <row r="3383" spans="1:9">
      <c r="A3383" t="s">
        <v>1230</v>
      </c>
      <c r="B3383" t="s">
        <v>72</v>
      </c>
      <c r="C3383" t="s">
        <v>40</v>
      </c>
      <c r="D3383" t="s">
        <v>7999</v>
      </c>
      <c r="E3383" t="s">
        <v>8000</v>
      </c>
      <c r="F3383" s="121">
        <v>68900</v>
      </c>
      <c r="G3383" s="121">
        <v>77945</v>
      </c>
      <c r="H3383" t="s">
        <v>8000</v>
      </c>
      <c r="I3383" s="156">
        <v>41089</v>
      </c>
    </row>
    <row r="3384" spans="1:9">
      <c r="A3384" t="s">
        <v>1230</v>
      </c>
      <c r="B3384" t="s">
        <v>72</v>
      </c>
      <c r="C3384" t="s">
        <v>36</v>
      </c>
      <c r="D3384" t="s">
        <v>8001</v>
      </c>
      <c r="E3384" t="s">
        <v>8002</v>
      </c>
      <c r="F3384" s="121">
        <v>1900</v>
      </c>
      <c r="G3384" s="121">
        <v>1900</v>
      </c>
      <c r="H3384" t="s">
        <v>8002</v>
      </c>
      <c r="I3384" s="156">
        <v>41089</v>
      </c>
    </row>
    <row r="3385" spans="1:9">
      <c r="A3385" t="s">
        <v>1230</v>
      </c>
      <c r="B3385" t="s">
        <v>72</v>
      </c>
      <c r="C3385" t="s">
        <v>36</v>
      </c>
      <c r="D3385" t="s">
        <v>8003</v>
      </c>
      <c r="E3385" t="s">
        <v>8004</v>
      </c>
      <c r="F3385" s="121">
        <v>58600</v>
      </c>
      <c r="G3385" s="121">
        <v>58600</v>
      </c>
      <c r="H3385" t="s">
        <v>8004</v>
      </c>
      <c r="I3385" s="156">
        <v>41089</v>
      </c>
    </row>
    <row r="3386" spans="1:9">
      <c r="A3386" t="s">
        <v>1230</v>
      </c>
      <c r="B3386" t="s">
        <v>1012</v>
      </c>
      <c r="C3386" t="s">
        <v>34</v>
      </c>
      <c r="D3386" t="s">
        <v>8005</v>
      </c>
      <c r="E3386" t="s">
        <v>8006</v>
      </c>
      <c r="F3386" s="121">
        <v>23800</v>
      </c>
      <c r="G3386" s="121">
        <v>23800</v>
      </c>
      <c r="H3386" t="s">
        <v>8006</v>
      </c>
      <c r="I3386" s="156">
        <v>41089</v>
      </c>
    </row>
    <row r="3387" spans="1:9">
      <c r="A3387" t="s">
        <v>1230</v>
      </c>
      <c r="B3387" t="s">
        <v>1012</v>
      </c>
      <c r="C3387" t="s">
        <v>34</v>
      </c>
      <c r="D3387" t="s">
        <v>8007</v>
      </c>
      <c r="E3387" t="s">
        <v>8008</v>
      </c>
      <c r="F3387" s="121">
        <v>31300</v>
      </c>
      <c r="G3387" s="121">
        <v>33740</v>
      </c>
      <c r="H3387" t="s">
        <v>8008</v>
      </c>
      <c r="I3387" s="156">
        <v>41089</v>
      </c>
    </row>
    <row r="3388" spans="1:9">
      <c r="A3388" t="s">
        <v>1230</v>
      </c>
      <c r="B3388" t="s">
        <v>1012</v>
      </c>
      <c r="C3388" t="s">
        <v>40</v>
      </c>
      <c r="D3388" t="s">
        <v>7755</v>
      </c>
      <c r="E3388" t="s">
        <v>8009</v>
      </c>
      <c r="F3388" s="121">
        <v>26100</v>
      </c>
      <c r="G3388" s="121">
        <v>74786</v>
      </c>
      <c r="H3388" t="s">
        <v>8009</v>
      </c>
      <c r="I3388" s="156">
        <v>41089</v>
      </c>
    </row>
    <row r="3389" spans="1:9">
      <c r="A3389" t="s">
        <v>1230</v>
      </c>
      <c r="B3389" t="s">
        <v>1012</v>
      </c>
      <c r="C3389" t="s">
        <v>36</v>
      </c>
      <c r="D3389" t="s">
        <v>7779</v>
      </c>
      <c r="E3389" t="s">
        <v>8010</v>
      </c>
      <c r="F3389" s="121">
        <v>135700</v>
      </c>
      <c r="G3389" s="121">
        <v>135700</v>
      </c>
      <c r="H3389" t="s">
        <v>8010</v>
      </c>
      <c r="I3389" s="156">
        <v>41089</v>
      </c>
    </row>
    <row r="3390" spans="1:9">
      <c r="A3390" t="s">
        <v>1230</v>
      </c>
      <c r="B3390" t="s">
        <v>1012</v>
      </c>
      <c r="C3390" t="s">
        <v>36</v>
      </c>
      <c r="D3390" t="s">
        <v>7781</v>
      </c>
      <c r="E3390" t="s">
        <v>8011</v>
      </c>
      <c r="F3390" s="121">
        <v>500</v>
      </c>
      <c r="G3390" s="121">
        <v>500</v>
      </c>
      <c r="H3390" t="s">
        <v>8011</v>
      </c>
      <c r="I3390" s="156">
        <v>41089</v>
      </c>
    </row>
    <row r="3391" spans="1:9">
      <c r="A3391" t="s">
        <v>1230</v>
      </c>
      <c r="B3391" t="s">
        <v>1012</v>
      </c>
      <c r="C3391" t="s">
        <v>36</v>
      </c>
      <c r="D3391" t="s">
        <v>8012</v>
      </c>
      <c r="E3391" t="s">
        <v>8013</v>
      </c>
      <c r="F3391" s="121">
        <v>9700</v>
      </c>
      <c r="G3391" s="121">
        <v>9700</v>
      </c>
      <c r="H3391" t="s">
        <v>8013</v>
      </c>
      <c r="I3391" s="156">
        <v>41089</v>
      </c>
    </row>
    <row r="3392" spans="1:9">
      <c r="A3392" t="s">
        <v>1230</v>
      </c>
      <c r="B3392" t="s">
        <v>1012</v>
      </c>
      <c r="C3392" t="s">
        <v>40</v>
      </c>
      <c r="D3392" t="s">
        <v>7799</v>
      </c>
      <c r="E3392" t="s">
        <v>8014</v>
      </c>
      <c r="F3392" s="121">
        <v>58000</v>
      </c>
      <c r="G3392" s="121">
        <v>84972</v>
      </c>
      <c r="H3392" t="s">
        <v>8014</v>
      </c>
      <c r="I3392" s="156">
        <v>41089</v>
      </c>
    </row>
    <row r="3393" spans="1:10">
      <c r="A3393" t="s">
        <v>1230</v>
      </c>
      <c r="B3393" t="s">
        <v>1012</v>
      </c>
      <c r="C3393" t="s">
        <v>38</v>
      </c>
      <c r="D3393" t="s">
        <v>804</v>
      </c>
      <c r="E3393" t="s">
        <v>8015</v>
      </c>
      <c r="F3393" s="121">
        <v>16200</v>
      </c>
      <c r="G3393" s="121">
        <v>35688</v>
      </c>
      <c r="H3393" t="s">
        <v>8015</v>
      </c>
      <c r="I3393" s="156">
        <v>41089</v>
      </c>
    </row>
    <row r="3394" spans="1:10">
      <c r="A3394" t="s">
        <v>1230</v>
      </c>
      <c r="B3394" t="s">
        <v>1012</v>
      </c>
      <c r="C3394" t="s">
        <v>36</v>
      </c>
      <c r="D3394" t="s">
        <v>7954</v>
      </c>
      <c r="E3394" t="s">
        <v>8016</v>
      </c>
      <c r="F3394" s="121">
        <v>16600</v>
      </c>
      <c r="G3394" s="121">
        <v>16600</v>
      </c>
      <c r="H3394" t="s">
        <v>8016</v>
      </c>
      <c r="I3394" s="156">
        <v>41089</v>
      </c>
    </row>
    <row r="3395" spans="1:10">
      <c r="A3395" t="s">
        <v>1230</v>
      </c>
      <c r="B3395" t="s">
        <v>1012</v>
      </c>
      <c r="C3395" t="s">
        <v>40</v>
      </c>
      <c r="D3395" t="s">
        <v>8017</v>
      </c>
      <c r="E3395" t="s">
        <v>8018</v>
      </c>
      <c r="F3395" s="121">
        <v>24800</v>
      </c>
      <c r="G3395" s="121">
        <v>57102</v>
      </c>
      <c r="H3395" t="s">
        <v>8018</v>
      </c>
      <c r="I3395" s="156">
        <v>41089</v>
      </c>
    </row>
    <row r="3396" spans="1:10">
      <c r="A3396" t="s">
        <v>1230</v>
      </c>
      <c r="B3396" t="s">
        <v>1012</v>
      </c>
      <c r="C3396" t="s">
        <v>36</v>
      </c>
      <c r="D3396" t="s">
        <v>7790</v>
      </c>
      <c r="E3396" t="s">
        <v>8019</v>
      </c>
      <c r="F3396" s="121">
        <v>47900</v>
      </c>
      <c r="G3396" s="121">
        <v>47900</v>
      </c>
      <c r="H3396" t="s">
        <v>8019</v>
      </c>
      <c r="I3396" s="156">
        <v>41089</v>
      </c>
    </row>
    <row r="3397" spans="1:10">
      <c r="A3397" t="s">
        <v>1230</v>
      </c>
      <c r="B3397" t="s">
        <v>1012</v>
      </c>
      <c r="C3397" t="s">
        <v>60</v>
      </c>
      <c r="D3397" t="s">
        <v>7683</v>
      </c>
      <c r="E3397" t="s">
        <v>8020</v>
      </c>
      <c r="F3397" s="121">
        <v>25500</v>
      </c>
      <c r="G3397" s="121">
        <v>25500</v>
      </c>
      <c r="H3397" t="s">
        <v>8020</v>
      </c>
      <c r="I3397" s="156">
        <v>41089</v>
      </c>
    </row>
    <row r="3398" spans="1:10">
      <c r="A3398" t="s">
        <v>1230</v>
      </c>
      <c r="B3398" t="s">
        <v>1012</v>
      </c>
      <c r="C3398" t="s">
        <v>36</v>
      </c>
      <c r="D3398" t="s">
        <v>7779</v>
      </c>
      <c r="E3398" t="s">
        <v>8021</v>
      </c>
      <c r="F3398" s="121">
        <v>23900</v>
      </c>
      <c r="G3398" s="121">
        <v>23900</v>
      </c>
      <c r="H3398" t="s">
        <v>8021</v>
      </c>
      <c r="I3398" s="156">
        <v>41089</v>
      </c>
    </row>
    <row r="3399" spans="1:10">
      <c r="A3399" t="s">
        <v>1230</v>
      </c>
      <c r="B3399" t="s">
        <v>1012</v>
      </c>
      <c r="C3399" t="s">
        <v>40</v>
      </c>
      <c r="D3399" t="s">
        <v>8022</v>
      </c>
      <c r="E3399" t="s">
        <v>8023</v>
      </c>
      <c r="F3399" s="121">
        <v>16800</v>
      </c>
      <c r="G3399" s="121">
        <v>47584</v>
      </c>
      <c r="H3399" t="s">
        <v>8023</v>
      </c>
      <c r="I3399" s="156">
        <v>41089</v>
      </c>
    </row>
    <row r="3400" spans="1:10">
      <c r="A3400" t="s">
        <v>1230</v>
      </c>
      <c r="B3400" t="s">
        <v>1012</v>
      </c>
      <c r="C3400" t="s">
        <v>36</v>
      </c>
      <c r="D3400" t="s">
        <v>7790</v>
      </c>
      <c r="E3400" t="s">
        <v>8024</v>
      </c>
      <c r="F3400" s="121">
        <v>6400</v>
      </c>
      <c r="G3400" s="121">
        <v>6400</v>
      </c>
      <c r="H3400" t="s">
        <v>8024</v>
      </c>
      <c r="I3400" s="156">
        <v>41089</v>
      </c>
    </row>
    <row r="3401" spans="1:10">
      <c r="A3401" t="s">
        <v>1230</v>
      </c>
      <c r="B3401" t="s">
        <v>1012</v>
      </c>
      <c r="C3401" t="s">
        <v>36</v>
      </c>
      <c r="D3401" t="s">
        <v>8025</v>
      </c>
      <c r="E3401" t="s">
        <v>8026</v>
      </c>
      <c r="F3401" s="121">
        <v>29300</v>
      </c>
      <c r="G3401" s="121">
        <v>29300</v>
      </c>
      <c r="H3401" t="s">
        <v>8026</v>
      </c>
      <c r="I3401" s="156">
        <v>41089</v>
      </c>
    </row>
    <row r="3402" spans="1:10">
      <c r="A3402" t="s">
        <v>1230</v>
      </c>
      <c r="B3402" t="s">
        <v>1012</v>
      </c>
      <c r="C3402" t="s">
        <v>36</v>
      </c>
      <c r="D3402" t="s">
        <v>8025</v>
      </c>
      <c r="E3402" t="s">
        <v>8027</v>
      </c>
      <c r="F3402" s="121">
        <v>22800</v>
      </c>
      <c r="G3402" s="121">
        <v>22800</v>
      </c>
      <c r="H3402" t="s">
        <v>8027</v>
      </c>
      <c r="I3402" s="156">
        <v>41089</v>
      </c>
    </row>
    <row r="3403" spans="1:10">
      <c r="A3403" t="s">
        <v>1230</v>
      </c>
      <c r="B3403" t="s">
        <v>75</v>
      </c>
      <c r="C3403" t="s">
        <v>47</v>
      </c>
      <c r="D3403" t="s">
        <v>8028</v>
      </c>
      <c r="E3403" t="s">
        <v>8029</v>
      </c>
      <c r="F3403" s="121">
        <v>0.01</v>
      </c>
      <c r="G3403" s="121">
        <v>26201280</v>
      </c>
      <c r="H3403" t="s">
        <v>8029</v>
      </c>
      <c r="I3403" s="156">
        <v>40908</v>
      </c>
      <c r="J3403">
        <v>12000</v>
      </c>
    </row>
    <row r="3404" spans="1:10">
      <c r="A3404" t="s">
        <v>1231</v>
      </c>
      <c r="B3404" t="s">
        <v>1012</v>
      </c>
      <c r="C3404" t="s">
        <v>47</v>
      </c>
      <c r="D3404" t="s">
        <v>8030</v>
      </c>
      <c r="E3404" t="s">
        <v>8031</v>
      </c>
      <c r="F3404" s="121">
        <v>650000</v>
      </c>
      <c r="G3404" s="121">
        <v>650000</v>
      </c>
      <c r="H3404" t="s">
        <v>8031</v>
      </c>
      <c r="I3404" s="156">
        <v>41253</v>
      </c>
      <c r="J3404">
        <v>244.57</v>
      </c>
    </row>
    <row r="3405" spans="1:10">
      <c r="A3405" t="s">
        <v>1231</v>
      </c>
      <c r="B3405" t="s">
        <v>970</v>
      </c>
      <c r="C3405" t="s">
        <v>47</v>
      </c>
      <c r="D3405" t="s">
        <v>8032</v>
      </c>
      <c r="E3405" t="s">
        <v>8033</v>
      </c>
      <c r="F3405" s="121">
        <v>975265.19</v>
      </c>
      <c r="G3405" s="121">
        <v>1648780</v>
      </c>
      <c r="H3405" t="s">
        <v>8033</v>
      </c>
      <c r="I3405" s="156">
        <v>41303</v>
      </c>
      <c r="J3405">
        <v>276.81</v>
      </c>
    </row>
    <row r="3406" spans="1:10">
      <c r="A3406" t="s">
        <v>1231</v>
      </c>
      <c r="B3406" t="s">
        <v>970</v>
      </c>
      <c r="C3406" t="s">
        <v>47</v>
      </c>
      <c r="D3406" t="s">
        <v>8034</v>
      </c>
      <c r="E3406" t="s">
        <v>8035</v>
      </c>
      <c r="F3406" s="121">
        <v>893681.88</v>
      </c>
      <c r="G3406" s="121">
        <v>1480765</v>
      </c>
      <c r="H3406" t="s">
        <v>8035</v>
      </c>
      <c r="I3406" s="156">
        <v>41303</v>
      </c>
      <c r="J3406">
        <v>253.66</v>
      </c>
    </row>
    <row r="3407" spans="1:10">
      <c r="A3407" t="s">
        <v>1231</v>
      </c>
      <c r="B3407" t="s">
        <v>970</v>
      </c>
      <c r="C3407" t="s">
        <v>47</v>
      </c>
      <c r="D3407" t="s">
        <v>8036</v>
      </c>
      <c r="E3407" t="s">
        <v>8037</v>
      </c>
      <c r="F3407" s="121">
        <v>888846.39</v>
      </c>
      <c r="G3407" s="121">
        <v>1547126</v>
      </c>
      <c r="H3407" t="s">
        <v>8037</v>
      </c>
      <c r="I3407" s="156">
        <v>41303</v>
      </c>
      <c r="J3407">
        <v>252.28</v>
      </c>
    </row>
    <row r="3408" spans="1:10">
      <c r="A3408" t="s">
        <v>1231</v>
      </c>
      <c r="B3408" t="s">
        <v>970</v>
      </c>
      <c r="C3408" t="s">
        <v>47</v>
      </c>
      <c r="D3408" t="s">
        <v>8038</v>
      </c>
      <c r="E3408" t="s">
        <v>8039</v>
      </c>
      <c r="F3408" s="121">
        <v>881827.61</v>
      </c>
      <c r="G3408" s="121">
        <v>1458650</v>
      </c>
      <c r="H3408" t="s">
        <v>8039</v>
      </c>
      <c r="I3408" s="156">
        <v>41303</v>
      </c>
      <c r="J3408">
        <v>250.29</v>
      </c>
    </row>
    <row r="3409" spans="1:10">
      <c r="A3409" t="s">
        <v>1231</v>
      </c>
      <c r="B3409" t="s">
        <v>970</v>
      </c>
      <c r="C3409" t="s">
        <v>47</v>
      </c>
      <c r="D3409" t="s">
        <v>8040</v>
      </c>
      <c r="E3409" t="s">
        <v>8041</v>
      </c>
      <c r="F3409" s="121">
        <v>903583.98</v>
      </c>
      <c r="G3409" s="121">
        <v>1468853</v>
      </c>
      <c r="H3409" t="s">
        <v>8041</v>
      </c>
      <c r="I3409" s="156">
        <v>41303</v>
      </c>
      <c r="J3409">
        <v>256.47000000000003</v>
      </c>
    </row>
    <row r="3410" spans="1:10">
      <c r="A3410" t="s">
        <v>1231</v>
      </c>
      <c r="B3410" t="s">
        <v>970</v>
      </c>
      <c r="C3410" t="s">
        <v>47</v>
      </c>
      <c r="D3410" t="s">
        <v>8042</v>
      </c>
      <c r="E3410" t="s">
        <v>8043</v>
      </c>
      <c r="F3410" s="121">
        <v>906794.96</v>
      </c>
      <c r="G3410" s="121">
        <v>1502853</v>
      </c>
      <c r="H3410" t="s">
        <v>8043</v>
      </c>
      <c r="I3410" s="156">
        <v>41303</v>
      </c>
      <c r="J3410">
        <v>257.38</v>
      </c>
    </row>
    <row r="3411" spans="1:10">
      <c r="A3411" t="s">
        <v>1231</v>
      </c>
      <c r="B3411" t="s">
        <v>72</v>
      </c>
      <c r="C3411" t="s">
        <v>47</v>
      </c>
      <c r="D3411" t="s">
        <v>8044</v>
      </c>
      <c r="E3411" t="s">
        <v>8045</v>
      </c>
      <c r="F3411" s="121">
        <v>339000</v>
      </c>
      <c r="G3411" s="121">
        <v>339000</v>
      </c>
      <c r="H3411" t="s">
        <v>8045</v>
      </c>
      <c r="I3411" s="156">
        <v>41353</v>
      </c>
      <c r="J3411">
        <v>339.15</v>
      </c>
    </row>
    <row r="3412" spans="1:10">
      <c r="A3412" t="s">
        <v>1405</v>
      </c>
      <c r="B3412" t="s">
        <v>72</v>
      </c>
      <c r="C3412" t="s">
        <v>47</v>
      </c>
      <c r="D3412" t="s">
        <v>8046</v>
      </c>
      <c r="E3412" t="s">
        <v>8047</v>
      </c>
      <c r="F3412" s="121">
        <v>1145513.6399999999</v>
      </c>
      <c r="G3412" s="121">
        <v>1925232</v>
      </c>
      <c r="H3412" t="s">
        <v>8048</v>
      </c>
      <c r="I3412" s="156">
        <v>41432</v>
      </c>
      <c r="J3412">
        <v>95.8</v>
      </c>
    </row>
    <row r="3413" spans="1:10">
      <c r="A3413" t="s">
        <v>1405</v>
      </c>
      <c r="B3413" t="s">
        <v>71</v>
      </c>
      <c r="C3413" t="s">
        <v>47</v>
      </c>
      <c r="D3413" t="s">
        <v>1069</v>
      </c>
      <c r="E3413" t="s">
        <v>8047</v>
      </c>
      <c r="F3413" s="121">
        <v>140000</v>
      </c>
      <c r="G3413" s="121">
        <v>140000</v>
      </c>
      <c r="H3413" t="s">
        <v>8047</v>
      </c>
      <c r="I3413" s="156">
        <v>41709</v>
      </c>
    </row>
    <row r="3414" spans="1:10">
      <c r="A3414" t="s">
        <v>1405</v>
      </c>
      <c r="B3414" t="s">
        <v>71</v>
      </c>
      <c r="C3414" t="s">
        <v>47</v>
      </c>
      <c r="D3414" t="s">
        <v>1070</v>
      </c>
      <c r="E3414" t="s">
        <v>8049</v>
      </c>
      <c r="F3414" s="121">
        <v>100000</v>
      </c>
      <c r="G3414" s="121">
        <v>100000</v>
      </c>
      <c r="H3414" t="s">
        <v>8049</v>
      </c>
      <c r="I3414" s="156">
        <v>41709</v>
      </c>
    </row>
    <row r="3415" spans="1:10">
      <c r="A3415" t="s">
        <v>1405</v>
      </c>
      <c r="B3415" t="s">
        <v>72</v>
      </c>
      <c r="C3415" t="s">
        <v>47</v>
      </c>
      <c r="D3415" t="s">
        <v>8050</v>
      </c>
      <c r="E3415" t="s">
        <v>8049</v>
      </c>
      <c r="F3415" s="121">
        <v>874743.7</v>
      </c>
      <c r="G3415" s="121">
        <v>1473044</v>
      </c>
      <c r="H3415" t="s">
        <v>8051</v>
      </c>
      <c r="I3415" s="156">
        <v>41432</v>
      </c>
      <c r="J3415">
        <v>73.16</v>
      </c>
    </row>
    <row r="3416" spans="1:10">
      <c r="A3416" t="s">
        <v>1405</v>
      </c>
      <c r="B3416" t="s">
        <v>71</v>
      </c>
      <c r="C3416" t="s">
        <v>47</v>
      </c>
      <c r="D3416" t="s">
        <v>1071</v>
      </c>
      <c r="E3416" t="s">
        <v>8052</v>
      </c>
      <c r="F3416" s="121">
        <v>100000</v>
      </c>
      <c r="G3416" s="121">
        <v>100000</v>
      </c>
      <c r="H3416" t="s">
        <v>8052</v>
      </c>
      <c r="I3416" s="156">
        <v>41709</v>
      </c>
    </row>
    <row r="3417" spans="1:10">
      <c r="A3417" t="s">
        <v>1405</v>
      </c>
      <c r="B3417" t="s">
        <v>72</v>
      </c>
      <c r="C3417" t="s">
        <v>47</v>
      </c>
      <c r="D3417" t="s">
        <v>8053</v>
      </c>
      <c r="E3417" t="s">
        <v>8052</v>
      </c>
      <c r="F3417" s="121">
        <v>992602.42</v>
      </c>
      <c r="G3417" s="121">
        <v>1688645</v>
      </c>
      <c r="H3417" t="s">
        <v>8054</v>
      </c>
      <c r="I3417" s="156">
        <v>41432</v>
      </c>
      <c r="J3417">
        <v>83.01</v>
      </c>
    </row>
    <row r="3418" spans="1:10">
      <c r="A3418" t="s">
        <v>1405</v>
      </c>
      <c r="B3418" t="s">
        <v>71</v>
      </c>
      <c r="C3418" t="s">
        <v>47</v>
      </c>
      <c r="D3418" t="s">
        <v>1072</v>
      </c>
      <c r="E3418" t="s">
        <v>8055</v>
      </c>
      <c r="F3418" s="121">
        <v>100000</v>
      </c>
      <c r="G3418" s="121">
        <v>100000</v>
      </c>
      <c r="H3418" t="s">
        <v>8055</v>
      </c>
      <c r="I3418" s="156">
        <v>41709</v>
      </c>
    </row>
    <row r="3419" spans="1:10">
      <c r="A3419" t="s">
        <v>1405</v>
      </c>
      <c r="B3419" t="s">
        <v>72</v>
      </c>
      <c r="C3419" t="s">
        <v>47</v>
      </c>
      <c r="D3419" t="s">
        <v>8056</v>
      </c>
      <c r="E3419" t="s">
        <v>8055</v>
      </c>
      <c r="F3419" s="121">
        <v>737140.24</v>
      </c>
      <c r="G3419" s="121">
        <v>1224811</v>
      </c>
      <c r="H3419" t="s">
        <v>8057</v>
      </c>
      <c r="I3419" s="156">
        <v>41432</v>
      </c>
      <c r="J3419">
        <v>61.65</v>
      </c>
    </row>
    <row r="3420" spans="1:10">
      <c r="A3420" t="s">
        <v>1230</v>
      </c>
      <c r="B3420" t="s">
        <v>76</v>
      </c>
      <c r="C3420" t="s">
        <v>47</v>
      </c>
      <c r="D3420" t="s">
        <v>8058</v>
      </c>
      <c r="E3420" t="s">
        <v>8059</v>
      </c>
      <c r="F3420" s="121">
        <v>3500000</v>
      </c>
      <c r="G3420" s="121">
        <v>3500000</v>
      </c>
      <c r="H3420" t="s">
        <v>8059</v>
      </c>
      <c r="I3420" s="156">
        <v>41352</v>
      </c>
      <c r="J3420">
        <v>1400</v>
      </c>
    </row>
    <row r="3421" spans="1:10">
      <c r="A3421" t="s">
        <v>1230</v>
      </c>
      <c r="B3421" t="s">
        <v>76</v>
      </c>
      <c r="C3421" t="s">
        <v>47</v>
      </c>
      <c r="D3421" t="s">
        <v>8060</v>
      </c>
      <c r="E3421" t="s">
        <v>8061</v>
      </c>
      <c r="F3421" s="121">
        <v>1500000</v>
      </c>
      <c r="G3421" s="121">
        <v>1500000</v>
      </c>
      <c r="H3421" t="s">
        <v>8061</v>
      </c>
      <c r="I3421" s="156">
        <v>41352</v>
      </c>
      <c r="J3421">
        <v>868.84</v>
      </c>
    </row>
    <row r="3422" spans="1:10">
      <c r="A3422" t="s">
        <v>1230</v>
      </c>
      <c r="B3422" t="s">
        <v>76</v>
      </c>
      <c r="C3422" t="s">
        <v>47</v>
      </c>
      <c r="D3422" t="s">
        <v>8062</v>
      </c>
      <c r="E3422" t="s">
        <v>8063</v>
      </c>
      <c r="F3422" s="121">
        <v>2060000</v>
      </c>
      <c r="G3422" s="121">
        <v>2060000</v>
      </c>
      <c r="H3422" t="s">
        <v>8063</v>
      </c>
      <c r="I3422" s="156">
        <v>41495</v>
      </c>
      <c r="J3422">
        <v>807</v>
      </c>
    </row>
    <row r="3423" spans="1:10">
      <c r="A3423" t="s">
        <v>1230</v>
      </c>
      <c r="B3423" t="s">
        <v>76</v>
      </c>
      <c r="C3423" t="s">
        <v>47</v>
      </c>
      <c r="D3423" t="s">
        <v>8064</v>
      </c>
      <c r="E3423" t="s">
        <v>8065</v>
      </c>
      <c r="F3423" s="121">
        <v>620000</v>
      </c>
      <c r="G3423" s="121">
        <v>620000</v>
      </c>
      <c r="H3423" t="s">
        <v>8065</v>
      </c>
      <c r="I3423" s="156">
        <v>41495</v>
      </c>
      <c r="J3423">
        <v>240</v>
      </c>
    </row>
    <row r="3424" spans="1:10">
      <c r="A3424" t="s">
        <v>1230</v>
      </c>
      <c r="B3424" t="s">
        <v>76</v>
      </c>
      <c r="C3424" t="s">
        <v>47</v>
      </c>
      <c r="D3424" t="s">
        <v>8066</v>
      </c>
      <c r="E3424" t="s">
        <v>8067</v>
      </c>
      <c r="F3424" s="121">
        <v>620000</v>
      </c>
      <c r="G3424" s="121">
        <v>620000</v>
      </c>
      <c r="H3424" t="s">
        <v>8067</v>
      </c>
      <c r="I3424" s="156">
        <v>41495</v>
      </c>
      <c r="J3424">
        <v>240</v>
      </c>
    </row>
    <row r="3425" spans="1:10">
      <c r="A3425" t="s">
        <v>1231</v>
      </c>
      <c r="B3425" t="s">
        <v>76</v>
      </c>
      <c r="C3425" t="s">
        <v>47</v>
      </c>
      <c r="D3425" t="s">
        <v>8068</v>
      </c>
      <c r="E3425" t="s">
        <v>8069</v>
      </c>
      <c r="F3425" s="121">
        <v>650000</v>
      </c>
      <c r="G3425" s="121">
        <v>650000</v>
      </c>
      <c r="H3425" t="s">
        <v>8069</v>
      </c>
      <c r="I3425" s="156">
        <v>41537</v>
      </c>
      <c r="J3425">
        <v>266</v>
      </c>
    </row>
    <row r="3426" spans="1:10">
      <c r="A3426" t="s">
        <v>1230</v>
      </c>
      <c r="B3426" t="s">
        <v>76</v>
      </c>
      <c r="C3426" t="s">
        <v>34</v>
      </c>
      <c r="D3426" t="s">
        <v>966</v>
      </c>
      <c r="E3426" t="s">
        <v>4455</v>
      </c>
      <c r="F3426" s="121">
        <v>10000</v>
      </c>
      <c r="G3426" s="121">
        <v>85000</v>
      </c>
      <c r="H3426" t="s">
        <v>875</v>
      </c>
      <c r="I3426" s="156">
        <v>41576</v>
      </c>
    </row>
    <row r="3427" spans="1:10">
      <c r="A3427" t="s">
        <v>1230</v>
      </c>
      <c r="B3427" t="s">
        <v>76</v>
      </c>
      <c r="C3427" t="s">
        <v>34</v>
      </c>
      <c r="D3427" t="s">
        <v>967</v>
      </c>
      <c r="E3427" t="s">
        <v>4456</v>
      </c>
      <c r="F3427" s="121">
        <v>25000</v>
      </c>
      <c r="G3427" s="121">
        <v>175000</v>
      </c>
      <c r="H3427" t="s">
        <v>875</v>
      </c>
      <c r="I3427" s="156">
        <v>41576</v>
      </c>
    </row>
    <row r="3428" spans="1:10">
      <c r="A3428" t="s">
        <v>1230</v>
      </c>
      <c r="B3428" t="s">
        <v>76</v>
      </c>
      <c r="C3428" t="s">
        <v>34</v>
      </c>
      <c r="D3428" t="s">
        <v>967</v>
      </c>
      <c r="E3428" t="s">
        <v>4456</v>
      </c>
      <c r="F3428" s="121">
        <v>81988.95</v>
      </c>
      <c r="G3428" s="121">
        <v>81988.95</v>
      </c>
      <c r="H3428" t="s">
        <v>4456</v>
      </c>
      <c r="I3428" s="156">
        <v>41912</v>
      </c>
    </row>
    <row r="3429" spans="1:10">
      <c r="A3429" t="s">
        <v>1230</v>
      </c>
      <c r="B3429" t="s">
        <v>968</v>
      </c>
      <c r="C3429" t="s">
        <v>44</v>
      </c>
      <c r="D3429" t="s">
        <v>8070</v>
      </c>
      <c r="E3429" t="s">
        <v>8071</v>
      </c>
      <c r="F3429" s="121">
        <v>2210.6</v>
      </c>
      <c r="G3429" s="121">
        <v>2210.6</v>
      </c>
      <c r="H3429" t="s">
        <v>969</v>
      </c>
      <c r="I3429" s="156">
        <v>41639</v>
      </c>
    </row>
    <row r="3430" spans="1:10">
      <c r="A3430" t="s">
        <v>1230</v>
      </c>
      <c r="B3430" t="s">
        <v>968</v>
      </c>
      <c r="C3430" t="s">
        <v>44</v>
      </c>
      <c r="D3430" t="s">
        <v>8072</v>
      </c>
      <c r="E3430" t="s">
        <v>8071</v>
      </c>
      <c r="F3430" s="121">
        <v>532916</v>
      </c>
      <c r="G3430" s="121">
        <v>532916</v>
      </c>
      <c r="H3430" t="s">
        <v>969</v>
      </c>
      <c r="I3430" s="156">
        <v>41639</v>
      </c>
    </row>
    <row r="3431" spans="1:10">
      <c r="A3431" t="s">
        <v>1230</v>
      </c>
      <c r="B3431" t="s">
        <v>968</v>
      </c>
      <c r="C3431" t="s">
        <v>44</v>
      </c>
      <c r="D3431" t="s">
        <v>7470</v>
      </c>
      <c r="E3431" t="s">
        <v>7472</v>
      </c>
      <c r="F3431" s="121">
        <v>220000</v>
      </c>
      <c r="G3431" s="121">
        <v>220000</v>
      </c>
      <c r="H3431" t="s">
        <v>8073</v>
      </c>
      <c r="I3431" s="156">
        <v>41639</v>
      </c>
    </row>
    <row r="3432" spans="1:10">
      <c r="A3432" t="s">
        <v>1230</v>
      </c>
      <c r="B3432" t="s">
        <v>968</v>
      </c>
      <c r="C3432" t="s">
        <v>44</v>
      </c>
      <c r="D3432" t="s">
        <v>8074</v>
      </c>
      <c r="E3432" t="s">
        <v>7185</v>
      </c>
      <c r="F3432" s="121">
        <v>230000</v>
      </c>
      <c r="G3432" s="121">
        <v>230000</v>
      </c>
      <c r="H3432" t="s">
        <v>8075</v>
      </c>
      <c r="I3432" s="156">
        <v>41639</v>
      </c>
    </row>
    <row r="3433" spans="1:10">
      <c r="A3433" t="s">
        <v>1230</v>
      </c>
      <c r="B3433" t="s">
        <v>72</v>
      </c>
      <c r="C3433" t="s">
        <v>40</v>
      </c>
      <c r="D3433" t="s">
        <v>8076</v>
      </c>
      <c r="E3433" t="s">
        <v>7477</v>
      </c>
      <c r="F3433" s="121">
        <v>120000</v>
      </c>
      <c r="G3433" s="121">
        <v>120000</v>
      </c>
      <c r="H3433" t="s">
        <v>7477</v>
      </c>
      <c r="I3433" s="156">
        <v>41639</v>
      </c>
    </row>
    <row r="3434" spans="1:10">
      <c r="A3434" t="s">
        <v>1230</v>
      </c>
      <c r="B3434" t="s">
        <v>72</v>
      </c>
      <c r="C3434" t="s">
        <v>34</v>
      </c>
      <c r="D3434" t="s">
        <v>8077</v>
      </c>
      <c r="E3434" t="s">
        <v>8078</v>
      </c>
      <c r="F3434" s="121">
        <v>12000</v>
      </c>
      <c r="G3434" s="121">
        <v>18400</v>
      </c>
      <c r="H3434" t="s">
        <v>8078</v>
      </c>
      <c r="I3434" s="156">
        <v>41639</v>
      </c>
    </row>
    <row r="3435" spans="1:10">
      <c r="A3435" t="s">
        <v>1230</v>
      </c>
      <c r="B3435" t="s">
        <v>72</v>
      </c>
      <c r="C3435" t="s">
        <v>36</v>
      </c>
      <c r="D3435" t="s">
        <v>913</v>
      </c>
      <c r="E3435" t="s">
        <v>8079</v>
      </c>
      <c r="F3435" s="121">
        <v>6000</v>
      </c>
      <c r="G3435" s="121">
        <v>6000</v>
      </c>
      <c r="H3435" t="s">
        <v>8079</v>
      </c>
      <c r="I3435" s="156">
        <v>41639</v>
      </c>
    </row>
    <row r="3436" spans="1:10">
      <c r="A3436" t="s">
        <v>1230</v>
      </c>
      <c r="B3436" t="s">
        <v>72</v>
      </c>
      <c r="C3436" t="s">
        <v>36</v>
      </c>
      <c r="D3436" t="s">
        <v>8080</v>
      </c>
      <c r="E3436" t="s">
        <v>8081</v>
      </c>
      <c r="F3436" s="121">
        <v>10000</v>
      </c>
      <c r="G3436" s="121">
        <v>10000</v>
      </c>
      <c r="H3436" t="s">
        <v>8081</v>
      </c>
      <c r="I3436" s="156">
        <v>41639</v>
      </c>
    </row>
    <row r="3437" spans="1:10">
      <c r="A3437" t="s">
        <v>1230</v>
      </c>
      <c r="B3437" t="s">
        <v>72</v>
      </c>
      <c r="C3437" t="s">
        <v>36</v>
      </c>
      <c r="D3437" t="s">
        <v>8082</v>
      </c>
      <c r="E3437" t="s">
        <v>8083</v>
      </c>
      <c r="F3437" s="121">
        <v>50000</v>
      </c>
      <c r="G3437" s="121">
        <v>50000</v>
      </c>
      <c r="H3437" t="s">
        <v>8083</v>
      </c>
      <c r="I3437" s="156">
        <v>41639</v>
      </c>
    </row>
    <row r="3438" spans="1:10">
      <c r="A3438" t="s">
        <v>1230</v>
      </c>
      <c r="B3438" t="s">
        <v>72</v>
      </c>
      <c r="C3438" t="s">
        <v>36</v>
      </c>
      <c r="D3438" t="s">
        <v>8084</v>
      </c>
      <c r="E3438" t="s">
        <v>8085</v>
      </c>
      <c r="F3438" s="121">
        <v>15000</v>
      </c>
      <c r="G3438" s="121">
        <v>15000</v>
      </c>
      <c r="H3438" t="s">
        <v>8085</v>
      </c>
      <c r="I3438" s="156">
        <v>41639</v>
      </c>
    </row>
    <row r="3439" spans="1:10">
      <c r="A3439" t="s">
        <v>1230</v>
      </c>
      <c r="B3439" t="s">
        <v>72</v>
      </c>
      <c r="C3439" t="s">
        <v>34</v>
      </c>
      <c r="D3439" t="s">
        <v>8086</v>
      </c>
      <c r="E3439" t="s">
        <v>8087</v>
      </c>
      <c r="F3439" s="121">
        <v>287000</v>
      </c>
      <c r="G3439" s="121">
        <v>1282948</v>
      </c>
      <c r="H3439" t="s">
        <v>8087</v>
      </c>
      <c r="I3439" s="156">
        <v>41639</v>
      </c>
    </row>
    <row r="3440" spans="1:10">
      <c r="A3440" t="s">
        <v>1230</v>
      </c>
      <c r="B3440" t="s">
        <v>73</v>
      </c>
      <c r="C3440" t="s">
        <v>33</v>
      </c>
      <c r="D3440" t="s">
        <v>8088</v>
      </c>
      <c r="E3440" t="s">
        <v>8089</v>
      </c>
      <c r="F3440" s="121">
        <v>189231</v>
      </c>
      <c r="G3440" s="121">
        <v>189231</v>
      </c>
      <c r="H3440" t="s">
        <v>8089</v>
      </c>
      <c r="I3440" s="156">
        <v>41639</v>
      </c>
    </row>
    <row r="3441" spans="1:10">
      <c r="A3441" t="s">
        <v>1230</v>
      </c>
      <c r="B3441" t="s">
        <v>1012</v>
      </c>
      <c r="C3441" t="s">
        <v>33</v>
      </c>
      <c r="D3441" t="s">
        <v>8088</v>
      </c>
      <c r="E3441" t="s">
        <v>7109</v>
      </c>
      <c r="F3441" s="121">
        <v>986183</v>
      </c>
      <c r="G3441" s="121">
        <v>986183</v>
      </c>
      <c r="H3441" t="s">
        <v>7109</v>
      </c>
      <c r="I3441" s="156">
        <v>41639</v>
      </c>
    </row>
    <row r="3442" spans="1:10">
      <c r="A3442" t="s">
        <v>1230</v>
      </c>
      <c r="B3442" t="s">
        <v>74</v>
      </c>
      <c r="C3442" t="s">
        <v>33</v>
      </c>
      <c r="D3442" t="s">
        <v>8088</v>
      </c>
      <c r="E3442" t="s">
        <v>7482</v>
      </c>
      <c r="F3442" s="121">
        <v>489586</v>
      </c>
      <c r="G3442" s="121">
        <v>489586</v>
      </c>
      <c r="H3442" t="s">
        <v>7482</v>
      </c>
      <c r="I3442" s="156">
        <v>41639</v>
      </c>
    </row>
    <row r="3443" spans="1:10">
      <c r="A3443" t="s">
        <v>1230</v>
      </c>
      <c r="B3443" t="s">
        <v>74</v>
      </c>
      <c r="C3443" t="s">
        <v>33</v>
      </c>
      <c r="D3443" t="s">
        <v>8090</v>
      </c>
      <c r="E3443" t="s">
        <v>7482</v>
      </c>
      <c r="F3443" s="121">
        <v>151591.59</v>
      </c>
      <c r="G3443" s="121">
        <v>151591.59</v>
      </c>
      <c r="H3443" t="s">
        <v>7482</v>
      </c>
      <c r="I3443" s="156">
        <v>41547</v>
      </c>
    </row>
    <row r="3444" spans="1:10">
      <c r="A3444" t="s">
        <v>1230</v>
      </c>
      <c r="B3444" t="s">
        <v>76</v>
      </c>
      <c r="C3444" t="s">
        <v>47</v>
      </c>
      <c r="D3444" t="s">
        <v>1159</v>
      </c>
      <c r="E3444" t="s">
        <v>8091</v>
      </c>
      <c r="F3444" s="121">
        <v>2760410</v>
      </c>
      <c r="G3444" s="121">
        <v>2760410</v>
      </c>
      <c r="H3444" t="s">
        <v>8091</v>
      </c>
      <c r="I3444" s="156">
        <v>41676</v>
      </c>
      <c r="J3444">
        <v>1172</v>
      </c>
    </row>
    <row r="3445" spans="1:10">
      <c r="A3445" t="s">
        <v>1230</v>
      </c>
      <c r="B3445" t="s">
        <v>968</v>
      </c>
      <c r="C3445" t="s">
        <v>1024</v>
      </c>
      <c r="D3445" t="s">
        <v>8092</v>
      </c>
      <c r="E3445" t="s">
        <v>8093</v>
      </c>
      <c r="F3445" s="121">
        <v>561089.06000000006</v>
      </c>
      <c r="G3445" s="121">
        <v>561089.06000000006</v>
      </c>
      <c r="H3445" t="s">
        <v>969</v>
      </c>
      <c r="I3445" s="156">
        <v>41639</v>
      </c>
    </row>
    <row r="3446" spans="1:10">
      <c r="A3446" t="s">
        <v>1230</v>
      </c>
      <c r="B3446" t="s">
        <v>968</v>
      </c>
      <c r="C3446" t="s">
        <v>1024</v>
      </c>
      <c r="D3446" t="s">
        <v>1413</v>
      </c>
      <c r="E3446" t="s">
        <v>8093</v>
      </c>
      <c r="F3446" s="121">
        <v>133904.26</v>
      </c>
      <c r="G3446" s="121">
        <v>133904.26</v>
      </c>
      <c r="H3446" t="s">
        <v>969</v>
      </c>
      <c r="I3446" s="156">
        <v>41820</v>
      </c>
    </row>
    <row r="3447" spans="1:10">
      <c r="A3447" t="s">
        <v>1230</v>
      </c>
      <c r="B3447" t="s">
        <v>968</v>
      </c>
      <c r="C3447" t="s">
        <v>1024</v>
      </c>
      <c r="D3447" t="s">
        <v>8094</v>
      </c>
      <c r="E3447" t="s">
        <v>8093</v>
      </c>
      <c r="F3447" s="121">
        <v>766385.69</v>
      </c>
      <c r="G3447" s="121">
        <v>766385.69</v>
      </c>
      <c r="H3447" t="s">
        <v>969</v>
      </c>
      <c r="I3447" s="156">
        <v>41639</v>
      </c>
    </row>
    <row r="3448" spans="1:10">
      <c r="A3448" t="s">
        <v>1231</v>
      </c>
      <c r="B3448" t="s">
        <v>76</v>
      </c>
      <c r="C3448" t="s">
        <v>47</v>
      </c>
      <c r="D3448" t="s">
        <v>1160</v>
      </c>
      <c r="E3448" t="s">
        <v>8095</v>
      </c>
      <c r="F3448" s="121">
        <v>350000</v>
      </c>
      <c r="G3448" s="121">
        <v>350000</v>
      </c>
      <c r="H3448" t="s">
        <v>8095</v>
      </c>
      <c r="I3448" s="156">
        <v>41662</v>
      </c>
    </row>
    <row r="3449" spans="1:10">
      <c r="A3449" t="s">
        <v>1231</v>
      </c>
      <c r="B3449" t="s">
        <v>76</v>
      </c>
      <c r="C3449" t="s">
        <v>47</v>
      </c>
      <c r="D3449" t="s">
        <v>1161</v>
      </c>
      <c r="E3449" t="s">
        <v>8095</v>
      </c>
      <c r="F3449" s="121">
        <v>550000</v>
      </c>
      <c r="G3449" s="121">
        <v>550000</v>
      </c>
      <c r="H3449" t="s">
        <v>8095</v>
      </c>
      <c r="I3449" s="156">
        <v>41662</v>
      </c>
      <c r="J3449">
        <v>132.59</v>
      </c>
    </row>
    <row r="3450" spans="1:10">
      <c r="A3450" t="s">
        <v>1231</v>
      </c>
      <c r="B3450" t="s">
        <v>76</v>
      </c>
      <c r="C3450" t="s">
        <v>47</v>
      </c>
      <c r="D3450" t="s">
        <v>1162</v>
      </c>
      <c r="E3450" t="s">
        <v>8096</v>
      </c>
      <c r="F3450" s="121">
        <v>550000</v>
      </c>
      <c r="G3450" s="121">
        <v>550000</v>
      </c>
      <c r="H3450" t="s">
        <v>8096</v>
      </c>
      <c r="I3450" s="156">
        <v>41662</v>
      </c>
      <c r="J3450">
        <v>133.36000000000001</v>
      </c>
    </row>
    <row r="3451" spans="1:10">
      <c r="A3451" t="s">
        <v>1230</v>
      </c>
      <c r="B3451" t="s">
        <v>76</v>
      </c>
      <c r="C3451" t="s">
        <v>47</v>
      </c>
      <c r="D3451" t="s">
        <v>1163</v>
      </c>
      <c r="E3451" t="s">
        <v>8097</v>
      </c>
      <c r="F3451" s="121">
        <v>900000</v>
      </c>
      <c r="G3451" s="121">
        <v>900000</v>
      </c>
      <c r="H3451" t="s">
        <v>8097</v>
      </c>
      <c r="I3451" s="156">
        <v>41686</v>
      </c>
      <c r="J3451">
        <v>495</v>
      </c>
    </row>
    <row r="3452" spans="1:10">
      <c r="A3452" t="s">
        <v>1230</v>
      </c>
      <c r="B3452" t="s">
        <v>76</v>
      </c>
      <c r="C3452" t="s">
        <v>47</v>
      </c>
      <c r="D3452" t="s">
        <v>1164</v>
      </c>
      <c r="E3452" t="s">
        <v>8098</v>
      </c>
      <c r="F3452" s="121">
        <v>990000</v>
      </c>
      <c r="G3452" s="121">
        <v>990000</v>
      </c>
      <c r="H3452" t="s">
        <v>8098</v>
      </c>
      <c r="I3452" s="156">
        <v>41697</v>
      </c>
      <c r="J3452">
        <v>320</v>
      </c>
    </row>
    <row r="3453" spans="1:10">
      <c r="A3453" t="s">
        <v>1230</v>
      </c>
      <c r="B3453" t="s">
        <v>76</v>
      </c>
      <c r="C3453" t="s">
        <v>47</v>
      </c>
      <c r="D3453" t="s">
        <v>1418</v>
      </c>
      <c r="E3453" t="s">
        <v>8099</v>
      </c>
      <c r="F3453" s="121">
        <v>1748000</v>
      </c>
      <c r="G3453" s="121">
        <v>1748000</v>
      </c>
      <c r="H3453" t="s">
        <v>8099</v>
      </c>
      <c r="I3453" s="156">
        <v>41641</v>
      </c>
      <c r="J3453">
        <v>620</v>
      </c>
    </row>
    <row r="3454" spans="1:10">
      <c r="A3454" t="s">
        <v>1230</v>
      </c>
      <c r="B3454" t="s">
        <v>76</v>
      </c>
      <c r="C3454" t="s">
        <v>47</v>
      </c>
      <c r="D3454" t="s">
        <v>1420</v>
      </c>
      <c r="E3454" t="s">
        <v>8100</v>
      </c>
      <c r="F3454" s="121">
        <v>1748000</v>
      </c>
      <c r="G3454" s="121">
        <v>1748000</v>
      </c>
      <c r="H3454" t="s">
        <v>8100</v>
      </c>
      <c r="I3454" s="156">
        <v>41641</v>
      </c>
      <c r="J3454">
        <v>620</v>
      </c>
    </row>
    <row r="3455" spans="1:10">
      <c r="A3455" t="s">
        <v>1230</v>
      </c>
      <c r="B3455" t="s">
        <v>76</v>
      </c>
      <c r="C3455" t="s">
        <v>47</v>
      </c>
      <c r="D3455" t="s">
        <v>1421</v>
      </c>
      <c r="E3455" t="s">
        <v>8101</v>
      </c>
      <c r="F3455" s="121">
        <v>1748000</v>
      </c>
      <c r="G3455" s="121">
        <v>1748000</v>
      </c>
      <c r="H3455" t="s">
        <v>8101</v>
      </c>
      <c r="I3455" s="156">
        <v>41641</v>
      </c>
      <c r="J3455">
        <v>620</v>
      </c>
    </row>
    <row r="3456" spans="1:10">
      <c r="A3456" t="s">
        <v>1230</v>
      </c>
      <c r="B3456" t="s">
        <v>76</v>
      </c>
      <c r="C3456" t="s">
        <v>47</v>
      </c>
      <c r="D3456" t="s">
        <v>1422</v>
      </c>
      <c r="E3456" t="s">
        <v>8102</v>
      </c>
      <c r="F3456" s="121">
        <v>1410000</v>
      </c>
      <c r="G3456" s="121">
        <v>1410000</v>
      </c>
      <c r="H3456" t="s">
        <v>8102</v>
      </c>
      <c r="I3456" s="156">
        <v>41641</v>
      </c>
      <c r="J3456">
        <v>500</v>
      </c>
    </row>
    <row r="3457" spans="1:10">
      <c r="A3457" t="s">
        <v>1230</v>
      </c>
      <c r="B3457" t="s">
        <v>76</v>
      </c>
      <c r="C3457" t="s">
        <v>47</v>
      </c>
      <c r="D3457" t="s">
        <v>1423</v>
      </c>
      <c r="E3457" t="s">
        <v>8103</v>
      </c>
      <c r="F3457" s="121">
        <v>346000</v>
      </c>
      <c r="G3457" s="121">
        <v>346000</v>
      </c>
      <c r="H3457" t="s">
        <v>8103</v>
      </c>
      <c r="I3457" s="156">
        <v>41641</v>
      </c>
      <c r="J3457">
        <v>122.54</v>
      </c>
    </row>
    <row r="3458" spans="1:10">
      <c r="A3458" t="s">
        <v>1230</v>
      </c>
      <c r="B3458" t="s">
        <v>73</v>
      </c>
      <c r="C3458" t="s">
        <v>34</v>
      </c>
      <c r="D3458" t="s">
        <v>1182</v>
      </c>
      <c r="E3458" t="s">
        <v>8104</v>
      </c>
      <c r="F3458" s="121">
        <v>10</v>
      </c>
      <c r="G3458" s="121">
        <v>330951</v>
      </c>
      <c r="H3458" t="s">
        <v>8104</v>
      </c>
      <c r="I3458" s="156">
        <v>41731</v>
      </c>
    </row>
    <row r="3459" spans="1:10">
      <c r="A3459" t="s">
        <v>1230</v>
      </c>
      <c r="B3459" t="s">
        <v>73</v>
      </c>
      <c r="C3459" t="s">
        <v>40</v>
      </c>
      <c r="D3459" t="s">
        <v>1183</v>
      </c>
      <c r="E3459" t="s">
        <v>8105</v>
      </c>
      <c r="F3459" s="121">
        <v>10</v>
      </c>
      <c r="G3459" s="121">
        <v>167703</v>
      </c>
      <c r="H3459" t="s">
        <v>8105</v>
      </c>
      <c r="I3459" s="156">
        <v>41731</v>
      </c>
    </row>
    <row r="3460" spans="1:10">
      <c r="A3460" t="s">
        <v>1230</v>
      </c>
      <c r="B3460" t="s">
        <v>1012</v>
      </c>
      <c r="C3460" t="s">
        <v>34</v>
      </c>
      <c r="D3460" t="s">
        <v>1184</v>
      </c>
      <c r="E3460" t="s">
        <v>8106</v>
      </c>
      <c r="F3460" s="121">
        <v>10</v>
      </c>
      <c r="G3460" s="121">
        <v>24370</v>
      </c>
      <c r="H3460" t="s">
        <v>8106</v>
      </c>
      <c r="I3460" s="156">
        <v>41731</v>
      </c>
    </row>
    <row r="3461" spans="1:10">
      <c r="A3461" t="s">
        <v>1230</v>
      </c>
      <c r="B3461" t="s">
        <v>1012</v>
      </c>
      <c r="C3461" t="s">
        <v>40</v>
      </c>
      <c r="D3461" t="s">
        <v>1185</v>
      </c>
      <c r="E3461" t="s">
        <v>8107</v>
      </c>
      <c r="F3461" s="121">
        <v>10</v>
      </c>
      <c r="G3461" s="121">
        <v>52002</v>
      </c>
      <c r="H3461" t="s">
        <v>8107</v>
      </c>
      <c r="I3461" s="156">
        <v>41731</v>
      </c>
    </row>
    <row r="3462" spans="1:10">
      <c r="A3462" t="s">
        <v>1230</v>
      </c>
      <c r="B3462" t="s">
        <v>970</v>
      </c>
      <c r="C3462" t="s">
        <v>38</v>
      </c>
      <c r="D3462" t="s">
        <v>1425</v>
      </c>
      <c r="E3462" t="s">
        <v>8108</v>
      </c>
      <c r="F3462" s="121">
        <v>38970.46</v>
      </c>
      <c r="G3462" s="121">
        <v>282691</v>
      </c>
      <c r="H3462" t="s">
        <v>8108</v>
      </c>
      <c r="I3462" s="156">
        <v>41820</v>
      </c>
    </row>
    <row r="3463" spans="1:10">
      <c r="A3463" t="s">
        <v>1230</v>
      </c>
      <c r="B3463" t="s">
        <v>970</v>
      </c>
      <c r="C3463" t="s">
        <v>38</v>
      </c>
      <c r="D3463" t="s">
        <v>1425</v>
      </c>
      <c r="E3463" t="s">
        <v>8108</v>
      </c>
      <c r="F3463" s="121">
        <v>43500</v>
      </c>
      <c r="G3463" s="121">
        <v>43500</v>
      </c>
      <c r="H3463" t="s">
        <v>8108</v>
      </c>
      <c r="I3463" s="156">
        <v>41912</v>
      </c>
    </row>
    <row r="3464" spans="1:10">
      <c r="A3464" t="s">
        <v>1230</v>
      </c>
      <c r="B3464" t="s">
        <v>970</v>
      </c>
      <c r="C3464" t="s">
        <v>40</v>
      </c>
      <c r="D3464" t="s">
        <v>1186</v>
      </c>
      <c r="E3464" t="s">
        <v>8109</v>
      </c>
      <c r="F3464" s="121">
        <v>10</v>
      </c>
      <c r="G3464" s="121">
        <v>70502</v>
      </c>
      <c r="H3464" t="s">
        <v>8109</v>
      </c>
      <c r="I3464" s="156">
        <v>41731</v>
      </c>
    </row>
    <row r="3465" spans="1:10">
      <c r="A3465" t="s">
        <v>1230</v>
      </c>
      <c r="B3465" t="s">
        <v>74</v>
      </c>
      <c r="C3465" t="s">
        <v>36</v>
      </c>
      <c r="D3465" t="s">
        <v>1426</v>
      </c>
      <c r="E3465" t="s">
        <v>8110</v>
      </c>
      <c r="F3465" s="121">
        <v>14500</v>
      </c>
      <c r="G3465" s="121">
        <v>14500</v>
      </c>
      <c r="H3465" t="s">
        <v>1116</v>
      </c>
      <c r="I3465" s="156">
        <v>41912</v>
      </c>
    </row>
    <row r="3466" spans="1:10">
      <c r="A3466" t="s">
        <v>1230</v>
      </c>
      <c r="B3466" t="s">
        <v>74</v>
      </c>
      <c r="C3466" t="s">
        <v>40</v>
      </c>
      <c r="D3466" t="s">
        <v>1427</v>
      </c>
      <c r="E3466" t="s">
        <v>8111</v>
      </c>
      <c r="F3466" s="121">
        <v>100000</v>
      </c>
      <c r="G3466" s="121">
        <v>100000</v>
      </c>
      <c r="H3466" t="s">
        <v>8111</v>
      </c>
      <c r="I3466" s="156">
        <v>41912</v>
      </c>
    </row>
    <row r="3467" spans="1:10">
      <c r="A3467" t="s">
        <v>1230</v>
      </c>
      <c r="B3467" t="s">
        <v>73</v>
      </c>
      <c r="C3467" t="s">
        <v>36</v>
      </c>
      <c r="D3467" t="s">
        <v>1428</v>
      </c>
      <c r="E3467" t="s">
        <v>8112</v>
      </c>
      <c r="F3467" s="121">
        <v>394130.99</v>
      </c>
      <c r="G3467" s="121">
        <v>394130.99</v>
      </c>
      <c r="H3467" t="s">
        <v>8112</v>
      </c>
      <c r="I3467" s="156">
        <v>41912</v>
      </c>
    </row>
    <row r="3468" spans="1:10">
      <c r="A3468" t="s">
        <v>1230</v>
      </c>
      <c r="B3468" t="s">
        <v>73</v>
      </c>
      <c r="C3468" t="s">
        <v>36</v>
      </c>
      <c r="D3468" t="s">
        <v>1429</v>
      </c>
      <c r="E3468" t="s">
        <v>8113</v>
      </c>
      <c r="F3468" s="121">
        <v>20000</v>
      </c>
      <c r="G3468" s="121">
        <v>20000</v>
      </c>
      <c r="H3468" t="s">
        <v>8113</v>
      </c>
      <c r="I3468" s="156">
        <v>41912</v>
      </c>
    </row>
    <row r="3469" spans="1:10">
      <c r="A3469" t="s">
        <v>1230</v>
      </c>
      <c r="B3469" t="s">
        <v>73</v>
      </c>
      <c r="C3469" t="s">
        <v>1430</v>
      </c>
      <c r="D3469" t="s">
        <v>1431</v>
      </c>
      <c r="E3469" t="s">
        <v>8114</v>
      </c>
      <c r="F3469" s="121">
        <v>25000</v>
      </c>
      <c r="G3469" s="121">
        <v>25000</v>
      </c>
      <c r="H3469" t="s">
        <v>8114</v>
      </c>
      <c r="I3469" s="156">
        <v>41759</v>
      </c>
    </row>
    <row r="3470" spans="1:10">
      <c r="A3470" t="s">
        <v>1230</v>
      </c>
      <c r="B3470" t="s">
        <v>73</v>
      </c>
      <c r="C3470" t="s">
        <v>1430</v>
      </c>
      <c r="D3470" t="s">
        <v>8115</v>
      </c>
      <c r="E3470" t="s">
        <v>8116</v>
      </c>
      <c r="F3470" s="121">
        <v>70308</v>
      </c>
      <c r="G3470" s="121">
        <v>70308</v>
      </c>
      <c r="H3470" t="s">
        <v>457</v>
      </c>
      <c r="I3470" s="156">
        <v>42004</v>
      </c>
    </row>
    <row r="3471" spans="1:10">
      <c r="A3471" t="s">
        <v>1230</v>
      </c>
      <c r="B3471" t="s">
        <v>970</v>
      </c>
      <c r="C3471" t="s">
        <v>36</v>
      </c>
      <c r="D3471" t="s">
        <v>1433</v>
      </c>
      <c r="E3471" t="s">
        <v>8117</v>
      </c>
      <c r="F3471" s="121">
        <v>20000</v>
      </c>
      <c r="G3471" s="121">
        <v>20000</v>
      </c>
      <c r="H3471" t="s">
        <v>8117</v>
      </c>
      <c r="I3471" s="156">
        <v>41912</v>
      </c>
    </row>
    <row r="3472" spans="1:10">
      <c r="A3472" t="s">
        <v>1230</v>
      </c>
      <c r="B3472" t="s">
        <v>970</v>
      </c>
      <c r="C3472" t="s">
        <v>32</v>
      </c>
      <c r="D3472" t="s">
        <v>1434</v>
      </c>
      <c r="E3472" t="s">
        <v>8118</v>
      </c>
      <c r="F3472" s="121">
        <v>203980.6</v>
      </c>
      <c r="G3472" s="121">
        <v>203980.6</v>
      </c>
      <c r="H3472" t="s">
        <v>8118</v>
      </c>
      <c r="I3472" s="156">
        <v>41912</v>
      </c>
    </row>
    <row r="3473" spans="1:10">
      <c r="A3473" t="s">
        <v>1230</v>
      </c>
      <c r="B3473" t="s">
        <v>76</v>
      </c>
      <c r="C3473" t="s">
        <v>32</v>
      </c>
      <c r="D3473" t="s">
        <v>1435</v>
      </c>
      <c r="E3473" t="s">
        <v>8119</v>
      </c>
      <c r="F3473" s="121">
        <v>103853.27</v>
      </c>
      <c r="G3473" s="121">
        <v>339550.07</v>
      </c>
      <c r="H3473" t="s">
        <v>8119</v>
      </c>
      <c r="I3473" s="156">
        <v>41912</v>
      </c>
    </row>
    <row r="3474" spans="1:10">
      <c r="A3474" t="s">
        <v>1230</v>
      </c>
      <c r="B3474" t="s">
        <v>76</v>
      </c>
      <c r="C3474" t="s">
        <v>36</v>
      </c>
      <c r="D3474" t="s">
        <v>1436</v>
      </c>
      <c r="E3474" t="s">
        <v>8120</v>
      </c>
      <c r="F3474" s="121">
        <v>15000</v>
      </c>
      <c r="G3474" s="121">
        <v>45000</v>
      </c>
      <c r="H3474" t="s">
        <v>8120</v>
      </c>
      <c r="I3474" s="156">
        <v>41912</v>
      </c>
    </row>
    <row r="3475" spans="1:10">
      <c r="A3475" t="s">
        <v>1230</v>
      </c>
      <c r="B3475" t="s">
        <v>73</v>
      </c>
      <c r="C3475" t="s">
        <v>1267</v>
      </c>
      <c r="D3475" t="s">
        <v>1437</v>
      </c>
      <c r="E3475" t="s">
        <v>7485</v>
      </c>
      <c r="F3475" s="121">
        <v>27342.42</v>
      </c>
      <c r="G3475" s="121">
        <v>27342.42</v>
      </c>
      <c r="H3475" t="s">
        <v>7485</v>
      </c>
      <c r="I3475" s="156">
        <v>41912</v>
      </c>
    </row>
    <row r="3476" spans="1:10">
      <c r="A3476" t="s">
        <v>1230</v>
      </c>
      <c r="B3476" t="s">
        <v>76</v>
      </c>
      <c r="C3476" t="s">
        <v>47</v>
      </c>
      <c r="D3476" t="s">
        <v>1438</v>
      </c>
      <c r="E3476" t="s">
        <v>8121</v>
      </c>
      <c r="F3476" s="121">
        <v>1834000</v>
      </c>
      <c r="G3476" s="121">
        <v>1834000</v>
      </c>
      <c r="H3476" t="s">
        <v>8121</v>
      </c>
      <c r="I3476" s="156">
        <v>41940</v>
      </c>
      <c r="J3476">
        <v>237</v>
      </c>
    </row>
    <row r="3477" spans="1:10">
      <c r="A3477" t="s">
        <v>1230</v>
      </c>
      <c r="B3477" t="s">
        <v>76</v>
      </c>
      <c r="C3477" t="s">
        <v>47</v>
      </c>
      <c r="D3477" t="s">
        <v>1440</v>
      </c>
      <c r="E3477" t="s">
        <v>8122</v>
      </c>
      <c r="F3477" s="121">
        <v>1833000</v>
      </c>
      <c r="G3477" s="121">
        <v>1833000</v>
      </c>
      <c r="H3477" t="s">
        <v>8122</v>
      </c>
      <c r="I3477" s="156">
        <v>41940</v>
      </c>
      <c r="J3477">
        <v>237</v>
      </c>
    </row>
    <row r="3478" spans="1:10">
      <c r="A3478" t="s">
        <v>1230</v>
      </c>
      <c r="B3478" t="s">
        <v>76</v>
      </c>
      <c r="C3478" t="s">
        <v>47</v>
      </c>
      <c r="D3478" t="s">
        <v>1441</v>
      </c>
      <c r="E3478" t="s">
        <v>8123</v>
      </c>
      <c r="F3478" s="121">
        <v>1833000</v>
      </c>
      <c r="G3478" s="121">
        <v>1833000</v>
      </c>
      <c r="H3478" t="s">
        <v>8123</v>
      </c>
      <c r="I3478" s="156">
        <v>41940</v>
      </c>
      <c r="J3478">
        <v>237</v>
      </c>
    </row>
    <row r="3479" spans="1:10">
      <c r="A3479" t="s">
        <v>1231</v>
      </c>
      <c r="B3479" t="s">
        <v>76</v>
      </c>
      <c r="C3479" t="s">
        <v>47</v>
      </c>
      <c r="D3479" t="s">
        <v>1442</v>
      </c>
      <c r="E3479" t="s">
        <v>8124</v>
      </c>
      <c r="F3479" s="121">
        <v>150000</v>
      </c>
      <c r="G3479" s="121">
        <v>150000</v>
      </c>
      <c r="H3479" t="s">
        <v>8124</v>
      </c>
      <c r="I3479" s="156">
        <v>41985</v>
      </c>
      <c r="J3479">
        <v>50</v>
      </c>
    </row>
    <row r="3480" spans="1:10">
      <c r="A3480" t="s">
        <v>1230</v>
      </c>
      <c r="B3480" t="s">
        <v>968</v>
      </c>
      <c r="C3480" t="s">
        <v>44</v>
      </c>
      <c r="D3480" t="s">
        <v>8125</v>
      </c>
      <c r="E3480" t="s">
        <v>8126</v>
      </c>
      <c r="F3480" s="121">
        <v>1100300</v>
      </c>
      <c r="G3480" s="121">
        <v>1100300</v>
      </c>
      <c r="H3480" t="s">
        <v>8127</v>
      </c>
      <c r="I3480" s="156">
        <v>42004</v>
      </c>
    </row>
    <row r="3481" spans="1:10">
      <c r="A3481" t="s">
        <v>1230</v>
      </c>
      <c r="B3481" t="s">
        <v>72</v>
      </c>
      <c r="C3481" t="s">
        <v>36</v>
      </c>
      <c r="D3481" t="s">
        <v>8128</v>
      </c>
      <c r="E3481" t="s">
        <v>8129</v>
      </c>
      <c r="F3481" s="121">
        <v>105000</v>
      </c>
      <c r="G3481" s="121">
        <v>105000</v>
      </c>
      <c r="H3481" t="s">
        <v>8129</v>
      </c>
      <c r="I3481" s="156">
        <v>42004</v>
      </c>
    </row>
    <row r="3482" spans="1:10">
      <c r="A3482" t="s">
        <v>1230</v>
      </c>
      <c r="B3482" t="s">
        <v>72</v>
      </c>
      <c r="C3482" t="s">
        <v>34</v>
      </c>
      <c r="D3482" t="s">
        <v>8130</v>
      </c>
      <c r="E3482" t="s">
        <v>8131</v>
      </c>
      <c r="F3482" s="121">
        <v>300000</v>
      </c>
      <c r="G3482" s="121">
        <v>300000</v>
      </c>
      <c r="H3482" t="s">
        <v>8131</v>
      </c>
      <c r="I3482" s="156">
        <v>42004</v>
      </c>
    </row>
    <row r="3483" spans="1:10">
      <c r="A3483" t="s">
        <v>1230</v>
      </c>
      <c r="B3483" t="s">
        <v>73</v>
      </c>
      <c r="C3483" t="s">
        <v>35</v>
      </c>
      <c r="D3483" t="s">
        <v>8132</v>
      </c>
      <c r="E3483" t="s">
        <v>8133</v>
      </c>
      <c r="F3483" s="121">
        <v>233251.31</v>
      </c>
      <c r="G3483" s="121">
        <v>233251.31</v>
      </c>
      <c r="H3483" t="s">
        <v>8133</v>
      </c>
      <c r="I3483" s="156">
        <v>42004</v>
      </c>
    </row>
    <row r="3484" spans="1:10">
      <c r="A3484" t="s">
        <v>1230</v>
      </c>
      <c r="B3484" t="s">
        <v>73</v>
      </c>
      <c r="C3484" t="s">
        <v>34</v>
      </c>
      <c r="D3484" t="s">
        <v>4457</v>
      </c>
      <c r="E3484" t="s">
        <v>4458</v>
      </c>
      <c r="F3484" s="121">
        <v>160000</v>
      </c>
      <c r="G3484" s="121">
        <v>160000</v>
      </c>
      <c r="H3484" t="s">
        <v>4459</v>
      </c>
      <c r="I3484" s="156">
        <v>42016</v>
      </c>
    </row>
    <row r="3485" spans="1:10">
      <c r="A3485" t="s">
        <v>1231</v>
      </c>
      <c r="B3485" t="s">
        <v>76</v>
      </c>
      <c r="C3485" t="s">
        <v>47</v>
      </c>
      <c r="D3485" t="s">
        <v>4460</v>
      </c>
      <c r="E3485" t="s">
        <v>4461</v>
      </c>
      <c r="F3485" s="121">
        <v>1500000</v>
      </c>
      <c r="G3485" s="121">
        <v>1500000</v>
      </c>
      <c r="H3485" t="s">
        <v>4461</v>
      </c>
      <c r="I3485" s="156">
        <v>42046</v>
      </c>
      <c r="J3485">
        <v>623.29</v>
      </c>
    </row>
    <row r="3486" spans="1:10">
      <c r="A3486" t="s">
        <v>1231</v>
      </c>
      <c r="B3486" t="s">
        <v>76</v>
      </c>
      <c r="C3486" t="s">
        <v>47</v>
      </c>
      <c r="D3486" t="s">
        <v>4462</v>
      </c>
      <c r="E3486" t="s">
        <v>4463</v>
      </c>
      <c r="F3486" s="121">
        <v>1500000</v>
      </c>
      <c r="G3486" s="121">
        <v>1500000</v>
      </c>
      <c r="H3486" t="s">
        <v>4463</v>
      </c>
      <c r="I3486" s="156">
        <v>42046</v>
      </c>
      <c r="J3486">
        <v>621.89</v>
      </c>
    </row>
    <row r="3487" spans="1:10">
      <c r="A3487" t="s">
        <v>1231</v>
      </c>
      <c r="B3487" t="s">
        <v>76</v>
      </c>
      <c r="C3487" t="s">
        <v>47</v>
      </c>
      <c r="D3487" t="s">
        <v>4464</v>
      </c>
      <c r="E3487" t="s">
        <v>4465</v>
      </c>
      <c r="F3487" s="121">
        <v>1430000</v>
      </c>
      <c r="G3487" s="121">
        <v>1430000</v>
      </c>
      <c r="H3487" t="s">
        <v>4465</v>
      </c>
      <c r="I3487" s="156">
        <v>42023</v>
      </c>
      <c r="J3487">
        <v>387.41</v>
      </c>
    </row>
    <row r="3488" spans="1:10">
      <c r="A3488" t="s">
        <v>1231</v>
      </c>
      <c r="B3488" t="s">
        <v>76</v>
      </c>
      <c r="C3488" t="s">
        <v>47</v>
      </c>
      <c r="D3488" t="s">
        <v>4466</v>
      </c>
      <c r="E3488" t="s">
        <v>4467</v>
      </c>
      <c r="F3488" s="121">
        <v>370000</v>
      </c>
      <c r="G3488" s="121">
        <v>370000</v>
      </c>
      <c r="H3488" t="s">
        <v>4467</v>
      </c>
      <c r="I3488" s="156">
        <v>42023</v>
      </c>
      <c r="J3488">
        <v>100</v>
      </c>
    </row>
    <row r="3489" spans="1:10">
      <c r="A3489" t="s">
        <v>1230</v>
      </c>
      <c r="B3489" t="s">
        <v>76</v>
      </c>
      <c r="C3489" t="s">
        <v>36</v>
      </c>
      <c r="D3489" t="s">
        <v>8134</v>
      </c>
      <c r="E3489" t="s">
        <v>8135</v>
      </c>
      <c r="F3489" s="121">
        <v>35000</v>
      </c>
      <c r="G3489" s="121">
        <v>35000</v>
      </c>
      <c r="H3489" t="s">
        <v>8135</v>
      </c>
      <c r="I3489" s="156">
        <v>42277</v>
      </c>
    </row>
    <row r="3490" spans="1:10">
      <c r="A3490" t="s">
        <v>1230</v>
      </c>
      <c r="B3490" t="s">
        <v>76</v>
      </c>
      <c r="C3490" t="s">
        <v>33</v>
      </c>
      <c r="D3490" t="s">
        <v>8136</v>
      </c>
      <c r="E3490" t="s">
        <v>8137</v>
      </c>
      <c r="F3490" s="121">
        <v>1800000</v>
      </c>
      <c r="G3490" s="121">
        <v>1800000</v>
      </c>
      <c r="H3490" t="s">
        <v>8137</v>
      </c>
      <c r="I3490" s="156">
        <v>42369</v>
      </c>
    </row>
    <row r="3491" spans="1:10">
      <c r="A3491" t="s">
        <v>1230</v>
      </c>
      <c r="B3491" t="s">
        <v>72</v>
      </c>
      <c r="C3491" t="s">
        <v>35</v>
      </c>
      <c r="D3491" t="s">
        <v>8138</v>
      </c>
      <c r="E3491" t="s">
        <v>8139</v>
      </c>
      <c r="F3491" s="121">
        <v>1200000</v>
      </c>
      <c r="G3491" s="121">
        <v>1200000</v>
      </c>
      <c r="H3491" t="s">
        <v>8139</v>
      </c>
      <c r="I3491" s="156">
        <v>42369</v>
      </c>
    </row>
    <row r="3492" spans="1:10">
      <c r="A3492" t="s">
        <v>1230</v>
      </c>
      <c r="B3492" t="s">
        <v>72</v>
      </c>
      <c r="C3492" t="s">
        <v>6918</v>
      </c>
      <c r="D3492" t="s">
        <v>6919</v>
      </c>
      <c r="E3492" t="s">
        <v>6920</v>
      </c>
      <c r="F3492" s="121">
        <v>144559.97</v>
      </c>
      <c r="G3492" s="121">
        <v>144559.97</v>
      </c>
      <c r="H3492" t="s">
        <v>6920</v>
      </c>
      <c r="I3492" s="156">
        <v>42369</v>
      </c>
    </row>
    <row r="3493" spans="1:10">
      <c r="A3493" t="s">
        <v>4823</v>
      </c>
      <c r="B3493" t="s">
        <v>8140</v>
      </c>
      <c r="C3493" t="s">
        <v>48</v>
      </c>
      <c r="D3493" t="s">
        <v>8141</v>
      </c>
      <c r="E3493" t="s">
        <v>8142</v>
      </c>
      <c r="F3493" s="121">
        <v>1337962.5</v>
      </c>
      <c r="G3493" s="121">
        <v>1337962.5</v>
      </c>
      <c r="H3493" t="s">
        <v>8142</v>
      </c>
      <c r="I3493" s="156">
        <v>42309</v>
      </c>
    </row>
    <row r="3494" spans="1:10">
      <c r="A3494" t="s">
        <v>4823</v>
      </c>
      <c r="B3494" t="s">
        <v>5736</v>
      </c>
      <c r="C3494" t="s">
        <v>48</v>
      </c>
      <c r="D3494" t="s">
        <v>8143</v>
      </c>
      <c r="E3494" t="s">
        <v>8144</v>
      </c>
      <c r="F3494" s="121">
        <v>126000</v>
      </c>
      <c r="G3494" s="121">
        <v>126000</v>
      </c>
      <c r="H3494" t="s">
        <v>8144</v>
      </c>
      <c r="I3494" s="156">
        <v>42278</v>
      </c>
      <c r="J3494">
        <v>0.12</v>
      </c>
    </row>
    <row r="3495" spans="1:10">
      <c r="A3495" t="s">
        <v>1230</v>
      </c>
      <c r="B3495" t="s">
        <v>76</v>
      </c>
      <c r="C3495" t="s">
        <v>47</v>
      </c>
      <c r="D3495" t="s">
        <v>8145</v>
      </c>
      <c r="E3495" t="s">
        <v>8146</v>
      </c>
      <c r="F3495" s="121">
        <v>550746</v>
      </c>
      <c r="G3495" s="121">
        <v>550746</v>
      </c>
      <c r="H3495" t="s">
        <v>8146</v>
      </c>
      <c r="I3495" s="156">
        <v>42369</v>
      </c>
      <c r="J3495">
        <v>868</v>
      </c>
    </row>
    <row r="3496" spans="1:10">
      <c r="A3496" t="s">
        <v>1230</v>
      </c>
      <c r="B3496" t="s">
        <v>76</v>
      </c>
      <c r="C3496" t="s">
        <v>47</v>
      </c>
      <c r="D3496" t="s">
        <v>8145</v>
      </c>
      <c r="E3496" t="s">
        <v>8147</v>
      </c>
      <c r="F3496" s="121">
        <v>512653.21</v>
      </c>
      <c r="G3496" s="121">
        <v>512653.21</v>
      </c>
      <c r="H3496" t="s">
        <v>8147</v>
      </c>
      <c r="I3496" s="156">
        <v>42369</v>
      </c>
      <c r="J3496">
        <v>807</v>
      </c>
    </row>
    <row r="3497" spans="1:10">
      <c r="A3497" t="s">
        <v>1230</v>
      </c>
      <c r="B3497" t="s">
        <v>76</v>
      </c>
      <c r="C3497" t="s">
        <v>47</v>
      </c>
      <c r="D3497" t="s">
        <v>8145</v>
      </c>
      <c r="E3497" t="s">
        <v>8148</v>
      </c>
      <c r="F3497" s="121">
        <v>152280</v>
      </c>
      <c r="G3497" s="121">
        <v>152280</v>
      </c>
      <c r="H3497" t="s">
        <v>8148</v>
      </c>
      <c r="I3497" s="156">
        <v>42369</v>
      </c>
      <c r="J3497">
        <v>240</v>
      </c>
    </row>
    <row r="3498" spans="1:10">
      <c r="A3498" t="s">
        <v>1230</v>
      </c>
      <c r="B3498" t="s">
        <v>76</v>
      </c>
      <c r="C3498" t="s">
        <v>47</v>
      </c>
      <c r="D3498" t="s">
        <v>8145</v>
      </c>
      <c r="E3498" t="s">
        <v>8149</v>
      </c>
      <c r="F3498" s="121">
        <v>152280</v>
      </c>
      <c r="G3498" s="121">
        <v>152280</v>
      </c>
      <c r="H3498" t="s">
        <v>8149</v>
      </c>
      <c r="I3498" s="156">
        <v>42369</v>
      </c>
      <c r="J3498">
        <v>240</v>
      </c>
    </row>
    <row r="3499" spans="1:10">
      <c r="A3499" t="s">
        <v>1230</v>
      </c>
      <c r="B3499" t="s">
        <v>76</v>
      </c>
      <c r="C3499" t="s">
        <v>47</v>
      </c>
      <c r="D3499" t="s">
        <v>8145</v>
      </c>
      <c r="E3499" t="s">
        <v>8150</v>
      </c>
      <c r="F3499" s="121">
        <v>253800</v>
      </c>
      <c r="G3499" s="121">
        <v>253800</v>
      </c>
      <c r="H3499" t="s">
        <v>8150</v>
      </c>
      <c r="I3499" s="156">
        <v>42369</v>
      </c>
      <c r="J3499">
        <v>400</v>
      </c>
    </row>
    <row r="3500" spans="1:10">
      <c r="A3500" t="s">
        <v>1230</v>
      </c>
      <c r="B3500" t="s">
        <v>76</v>
      </c>
      <c r="C3500" t="s">
        <v>47</v>
      </c>
      <c r="D3500" t="s">
        <v>8145</v>
      </c>
      <c r="E3500" t="s">
        <v>8151</v>
      </c>
      <c r="F3500" s="121">
        <v>472068</v>
      </c>
      <c r="G3500" s="121">
        <v>472068</v>
      </c>
      <c r="H3500" t="s">
        <v>8151</v>
      </c>
      <c r="I3500" s="156">
        <v>42369</v>
      </c>
      <c r="J3500">
        <v>744</v>
      </c>
    </row>
    <row r="3501" spans="1:10">
      <c r="A3501" t="s">
        <v>1231</v>
      </c>
      <c r="B3501" t="s">
        <v>970</v>
      </c>
      <c r="C3501" t="s">
        <v>47</v>
      </c>
      <c r="D3501" t="s">
        <v>8145</v>
      </c>
      <c r="E3501" t="s">
        <v>8152</v>
      </c>
      <c r="F3501" s="121">
        <v>263883.34999999998</v>
      </c>
      <c r="G3501" s="121">
        <v>263883.34999999998</v>
      </c>
      <c r="H3501" t="s">
        <v>8152</v>
      </c>
      <c r="I3501" s="156">
        <v>42369</v>
      </c>
      <c r="J3501">
        <v>650</v>
      </c>
    </row>
    <row r="3502" spans="1:10">
      <c r="A3502" t="s">
        <v>1231</v>
      </c>
      <c r="B3502" t="s">
        <v>1012</v>
      </c>
      <c r="C3502" t="s">
        <v>47</v>
      </c>
      <c r="D3502" t="s">
        <v>8145</v>
      </c>
      <c r="E3502" t="s">
        <v>8153</v>
      </c>
      <c r="F3502" s="121">
        <v>968203.79</v>
      </c>
      <c r="G3502" s="121">
        <v>968203.79</v>
      </c>
      <c r="H3502" t="s">
        <v>8153</v>
      </c>
      <c r="I3502" s="156">
        <v>42369</v>
      </c>
      <c r="J3502">
        <v>450</v>
      </c>
    </row>
    <row r="3503" spans="1:10">
      <c r="A3503" t="s">
        <v>1230</v>
      </c>
      <c r="B3503" t="s">
        <v>72</v>
      </c>
      <c r="C3503" t="s">
        <v>51</v>
      </c>
      <c r="D3503" t="s">
        <v>7095</v>
      </c>
      <c r="E3503" t="s">
        <v>7096</v>
      </c>
      <c r="F3503" s="121">
        <v>57000</v>
      </c>
      <c r="G3503" s="121">
        <v>57000</v>
      </c>
      <c r="H3503" t="s">
        <v>517</v>
      </c>
      <c r="I3503" s="156">
        <v>42550.417141203703</v>
      </c>
    </row>
  </sheetData>
  <sheetProtection selectLockedCells="1" selectUnlockedCells="1"/>
  <pageMargins left="0.51180555555555551" right="0.51180555555555551" top="0.78749999999999998" bottom="0.78749999999999998" header="0.51180555555555551" footer="0.51180555555555551"/>
  <pageSetup paperSize="9" firstPageNumber="0" orientation="portrait" horizontalDpi="300" verticalDpi="300" r:id="rId1"/>
  <headerFooter alignWithMargins="0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08"/>
  <sheetViews>
    <sheetView topLeftCell="A184" zoomScale="90" zoomScaleNormal="90" workbookViewId="0">
      <selection activeCell="B161" sqref="B161"/>
    </sheetView>
  </sheetViews>
  <sheetFormatPr defaultRowHeight="15"/>
  <cols>
    <col min="1" max="1" width="36" bestFit="1" customWidth="1"/>
    <col min="2" max="2" width="22.5703125" bestFit="1" customWidth="1"/>
    <col min="3" max="3" width="33.28515625" bestFit="1" customWidth="1"/>
    <col min="4" max="4" width="66.140625" bestFit="1" customWidth="1"/>
    <col min="5" max="5" width="17.28515625" bestFit="1" customWidth="1"/>
    <col min="6" max="6" width="21.85546875" bestFit="1" customWidth="1"/>
    <col min="7" max="7" width="18.85546875" bestFit="1" customWidth="1"/>
    <col min="8" max="8" width="19.140625" bestFit="1" customWidth="1"/>
    <col min="9" max="9" width="20.5703125" bestFit="1" customWidth="1"/>
    <col min="10" max="10" width="12.5703125" bestFit="1" customWidth="1"/>
  </cols>
  <sheetData>
    <row r="2" spans="1:10">
      <c r="A2" s="180" t="s">
        <v>1486</v>
      </c>
      <c r="B2" s="181" t="s">
        <v>1487</v>
      </c>
      <c r="C2" s="181" t="s">
        <v>1488</v>
      </c>
      <c r="D2" s="181" t="s">
        <v>1489</v>
      </c>
      <c r="E2" s="181" t="s">
        <v>1490</v>
      </c>
      <c r="F2" s="181" t="s">
        <v>1491</v>
      </c>
      <c r="G2" s="182" t="s">
        <v>1492</v>
      </c>
      <c r="H2" s="181" t="s">
        <v>1493</v>
      </c>
      <c r="I2" s="181" t="s">
        <v>1494</v>
      </c>
      <c r="J2" s="183" t="s">
        <v>1495</v>
      </c>
    </row>
    <row r="3" spans="1:10">
      <c r="A3" s="170" t="s">
        <v>1230</v>
      </c>
      <c r="B3" s="171" t="s">
        <v>76</v>
      </c>
      <c r="C3" s="171" t="s">
        <v>69</v>
      </c>
      <c r="D3" s="171" t="s">
        <v>322</v>
      </c>
      <c r="E3" s="171" t="s">
        <v>2868</v>
      </c>
      <c r="F3" s="172">
        <v>145000</v>
      </c>
      <c r="G3" s="172">
        <v>145000</v>
      </c>
      <c r="H3" s="171" t="s">
        <v>875</v>
      </c>
      <c r="I3" s="173">
        <v>42023</v>
      </c>
      <c r="J3" s="174"/>
    </row>
    <row r="4" spans="1:10">
      <c r="A4" s="175" t="s">
        <v>1230</v>
      </c>
      <c r="B4" s="176" t="s">
        <v>76</v>
      </c>
      <c r="C4" s="176" t="s">
        <v>69</v>
      </c>
      <c r="D4" s="176" t="s">
        <v>318</v>
      </c>
      <c r="E4" s="176" t="s">
        <v>2869</v>
      </c>
      <c r="F4" s="177">
        <v>125000</v>
      </c>
      <c r="G4" s="177">
        <v>125000</v>
      </c>
      <c r="H4" s="176" t="s">
        <v>875</v>
      </c>
      <c r="I4" s="178">
        <v>42045.662326388891</v>
      </c>
      <c r="J4" s="179"/>
    </row>
    <row r="5" spans="1:10">
      <c r="A5" s="170" t="s">
        <v>1230</v>
      </c>
      <c r="B5" s="171" t="s">
        <v>72</v>
      </c>
      <c r="C5" s="171" t="s">
        <v>51</v>
      </c>
      <c r="D5" s="171" t="s">
        <v>2870</v>
      </c>
      <c r="E5" s="171" t="s">
        <v>2871</v>
      </c>
      <c r="F5" s="172">
        <v>12800</v>
      </c>
      <c r="G5" s="172">
        <v>12800</v>
      </c>
      <c r="H5" s="171" t="s">
        <v>396</v>
      </c>
      <c r="I5" s="173">
        <v>42023</v>
      </c>
      <c r="J5" s="174"/>
    </row>
    <row r="6" spans="1:10">
      <c r="A6" s="175" t="s">
        <v>1230</v>
      </c>
      <c r="B6" s="176" t="s">
        <v>76</v>
      </c>
      <c r="C6" s="176" t="s">
        <v>51</v>
      </c>
      <c r="D6" s="176" t="s">
        <v>2872</v>
      </c>
      <c r="E6" s="176" t="s">
        <v>2873</v>
      </c>
      <c r="F6" s="177">
        <v>1450</v>
      </c>
      <c r="G6" s="177">
        <v>1450</v>
      </c>
      <c r="H6" s="176" t="s">
        <v>875</v>
      </c>
      <c r="I6" s="178">
        <v>42061.371562499997</v>
      </c>
      <c r="J6" s="179"/>
    </row>
    <row r="7" spans="1:10">
      <c r="A7" s="170" t="s">
        <v>1230</v>
      </c>
      <c r="B7" s="171" t="s">
        <v>1012</v>
      </c>
      <c r="C7" s="171" t="s">
        <v>51</v>
      </c>
      <c r="D7" s="171" t="s">
        <v>2874</v>
      </c>
      <c r="E7" s="171" t="s">
        <v>2875</v>
      </c>
      <c r="F7" s="172">
        <v>250000</v>
      </c>
      <c r="G7" s="172">
        <v>250000</v>
      </c>
      <c r="H7" s="171" t="s">
        <v>2876</v>
      </c>
      <c r="I7" s="173">
        <v>42065.488368055558</v>
      </c>
      <c r="J7" s="174"/>
    </row>
    <row r="8" spans="1:10">
      <c r="A8" s="175" t="s">
        <v>1230</v>
      </c>
      <c r="B8" s="176" t="s">
        <v>73</v>
      </c>
      <c r="C8" s="176" t="s">
        <v>66</v>
      </c>
      <c r="D8" s="176" t="s">
        <v>2877</v>
      </c>
      <c r="E8" s="176" t="s">
        <v>2878</v>
      </c>
      <c r="F8" s="177">
        <v>165000</v>
      </c>
      <c r="G8" s="177">
        <v>165000</v>
      </c>
      <c r="H8" s="176" t="s">
        <v>875</v>
      </c>
      <c r="I8" s="178">
        <v>42065.468402777777</v>
      </c>
      <c r="J8" s="179"/>
    </row>
    <row r="9" spans="1:10">
      <c r="A9" s="170" t="s">
        <v>1230</v>
      </c>
      <c r="B9" s="171" t="s">
        <v>73</v>
      </c>
      <c r="C9" s="171" t="s">
        <v>66</v>
      </c>
      <c r="D9" s="171" t="s">
        <v>2877</v>
      </c>
      <c r="E9" s="171" t="s">
        <v>2879</v>
      </c>
      <c r="F9" s="172">
        <v>165000</v>
      </c>
      <c r="G9" s="172">
        <v>165000</v>
      </c>
      <c r="H9" s="171" t="s">
        <v>875</v>
      </c>
      <c r="I9" s="173">
        <v>42065.453425925924</v>
      </c>
      <c r="J9" s="174"/>
    </row>
    <row r="10" spans="1:10">
      <c r="A10" s="175" t="s">
        <v>1230</v>
      </c>
      <c r="B10" s="176" t="s">
        <v>73</v>
      </c>
      <c r="C10" s="176" t="s">
        <v>69</v>
      </c>
      <c r="D10" s="176" t="s">
        <v>2880</v>
      </c>
      <c r="E10" s="176" t="s">
        <v>2881</v>
      </c>
      <c r="F10" s="177">
        <v>93000</v>
      </c>
      <c r="G10" s="177">
        <v>93000</v>
      </c>
      <c r="H10" s="176" t="s">
        <v>4471</v>
      </c>
      <c r="I10" s="178">
        <v>42041.623483796298</v>
      </c>
      <c r="J10" s="179"/>
    </row>
    <row r="11" spans="1:10">
      <c r="A11" s="170" t="s">
        <v>1230</v>
      </c>
      <c r="B11" s="171" t="s">
        <v>74</v>
      </c>
      <c r="C11" s="171" t="s">
        <v>51</v>
      </c>
      <c r="D11" s="171" t="s">
        <v>2870</v>
      </c>
      <c r="E11" s="171" t="s">
        <v>2882</v>
      </c>
      <c r="F11" s="172">
        <v>12800</v>
      </c>
      <c r="G11" s="172">
        <v>12800</v>
      </c>
      <c r="H11" s="171" t="s">
        <v>452</v>
      </c>
      <c r="I11" s="173">
        <v>42044.676030092596</v>
      </c>
      <c r="J11" s="174"/>
    </row>
    <row r="12" spans="1:10">
      <c r="A12" s="175" t="s">
        <v>1230</v>
      </c>
      <c r="B12" s="176" t="s">
        <v>73</v>
      </c>
      <c r="C12" s="176" t="s">
        <v>69</v>
      </c>
      <c r="D12" s="176" t="s">
        <v>4506</v>
      </c>
      <c r="E12" s="176" t="s">
        <v>4507</v>
      </c>
      <c r="F12" s="177">
        <v>62512.45</v>
      </c>
      <c r="G12" s="177">
        <v>62512.45</v>
      </c>
      <c r="H12" s="176" t="s">
        <v>5771</v>
      </c>
      <c r="I12" s="178">
        <v>42094.608622685184</v>
      </c>
      <c r="J12" s="179"/>
    </row>
    <row r="13" spans="1:10">
      <c r="A13" s="170" t="s">
        <v>1230</v>
      </c>
      <c r="B13" s="171" t="s">
        <v>73</v>
      </c>
      <c r="C13" s="171" t="s">
        <v>69</v>
      </c>
      <c r="D13" s="171" t="s">
        <v>4472</v>
      </c>
      <c r="E13" s="171" t="s">
        <v>4473</v>
      </c>
      <c r="F13" s="172">
        <v>70643.3</v>
      </c>
      <c r="G13" s="172">
        <v>70643.3</v>
      </c>
      <c r="H13" s="171" t="s">
        <v>5772</v>
      </c>
      <c r="I13" s="173">
        <v>42094.472256944442</v>
      </c>
      <c r="J13" s="174"/>
    </row>
    <row r="14" spans="1:10">
      <c r="A14" s="175" t="s">
        <v>1230</v>
      </c>
      <c r="B14" s="176" t="s">
        <v>1012</v>
      </c>
      <c r="C14" s="176" t="s">
        <v>51</v>
      </c>
      <c r="D14" s="176" t="s">
        <v>4474</v>
      </c>
      <c r="E14" s="176" t="s">
        <v>4475</v>
      </c>
      <c r="F14" s="177">
        <v>17000</v>
      </c>
      <c r="G14" s="177">
        <v>17000</v>
      </c>
      <c r="H14" s="176" t="s">
        <v>4476</v>
      </c>
      <c r="I14" s="178">
        <v>42067.592650462961</v>
      </c>
      <c r="J14" s="179"/>
    </row>
    <row r="15" spans="1:10">
      <c r="A15" s="170" t="s">
        <v>1230</v>
      </c>
      <c r="B15" s="171" t="s">
        <v>76</v>
      </c>
      <c r="C15" s="171" t="s">
        <v>39</v>
      </c>
      <c r="D15" s="171" t="s">
        <v>4477</v>
      </c>
      <c r="E15" s="171" t="s">
        <v>4478</v>
      </c>
      <c r="F15" s="172">
        <v>6500</v>
      </c>
      <c r="G15" s="172">
        <v>6500</v>
      </c>
      <c r="H15" s="171" t="s">
        <v>4479</v>
      </c>
      <c r="I15" s="173">
        <v>42068.441180555557</v>
      </c>
      <c r="J15" s="174"/>
    </row>
    <row r="16" spans="1:10">
      <c r="A16" s="175" t="s">
        <v>1230</v>
      </c>
      <c r="B16" s="176" t="s">
        <v>72</v>
      </c>
      <c r="C16" s="176" t="s">
        <v>51</v>
      </c>
      <c r="D16" s="176" t="s">
        <v>5039</v>
      </c>
      <c r="E16" s="176" t="s">
        <v>5040</v>
      </c>
      <c r="F16" s="177">
        <v>2400</v>
      </c>
      <c r="G16" s="177">
        <v>2400</v>
      </c>
      <c r="H16" s="176" t="s">
        <v>396</v>
      </c>
      <c r="I16" s="178">
        <v>42046.481574074074</v>
      </c>
      <c r="J16" s="179"/>
    </row>
    <row r="17" spans="1:10">
      <c r="A17" s="170" t="s">
        <v>1230</v>
      </c>
      <c r="B17" s="171" t="s">
        <v>74</v>
      </c>
      <c r="C17" s="171" t="s">
        <v>51</v>
      </c>
      <c r="D17" s="171" t="s">
        <v>468</v>
      </c>
      <c r="E17" s="171" t="s">
        <v>5041</v>
      </c>
      <c r="F17" s="172">
        <v>9000</v>
      </c>
      <c r="G17" s="172">
        <v>9000</v>
      </c>
      <c r="H17" s="171" t="s">
        <v>452</v>
      </c>
      <c r="I17" s="173">
        <v>42019</v>
      </c>
      <c r="J17" s="174"/>
    </row>
    <row r="18" spans="1:10">
      <c r="A18" s="175" t="s">
        <v>1230</v>
      </c>
      <c r="B18" s="176" t="s">
        <v>72</v>
      </c>
      <c r="C18" s="176" t="s">
        <v>58</v>
      </c>
      <c r="D18" s="176" t="s">
        <v>5342</v>
      </c>
      <c r="E18" s="176" t="s">
        <v>5343</v>
      </c>
      <c r="F18" s="177">
        <v>345000</v>
      </c>
      <c r="G18" s="177">
        <v>345000</v>
      </c>
      <c r="H18" s="176" t="s">
        <v>2791</v>
      </c>
      <c r="I18" s="178">
        <v>42152.595509259256</v>
      </c>
      <c r="J18" s="179"/>
    </row>
    <row r="19" spans="1:10">
      <c r="A19" s="170" t="s">
        <v>1230</v>
      </c>
      <c r="B19" s="171" t="s">
        <v>72</v>
      </c>
      <c r="C19" s="171" t="s">
        <v>42</v>
      </c>
      <c r="D19" s="171" t="s">
        <v>1278</v>
      </c>
      <c r="E19" s="171" t="s">
        <v>5344</v>
      </c>
      <c r="F19" s="172">
        <v>492386.46</v>
      </c>
      <c r="G19" s="172">
        <v>492386.46</v>
      </c>
      <c r="H19" s="171" t="s">
        <v>2783</v>
      </c>
      <c r="I19" s="173">
        <v>42152.593449074076</v>
      </c>
      <c r="J19" s="174"/>
    </row>
    <row r="20" spans="1:10">
      <c r="A20" s="175" t="s">
        <v>1230</v>
      </c>
      <c r="B20" s="176" t="s">
        <v>72</v>
      </c>
      <c r="C20" s="176" t="s">
        <v>42</v>
      </c>
      <c r="D20" s="176" t="s">
        <v>1278</v>
      </c>
      <c r="E20" s="176" t="s">
        <v>5345</v>
      </c>
      <c r="F20" s="177">
        <v>492386.46</v>
      </c>
      <c r="G20" s="177">
        <v>492386.46</v>
      </c>
      <c r="H20" s="176" t="s">
        <v>2782</v>
      </c>
      <c r="I20" s="178">
        <v>42152.592141203706</v>
      </c>
      <c r="J20" s="179"/>
    </row>
    <row r="21" spans="1:10">
      <c r="A21" s="170" t="s">
        <v>1230</v>
      </c>
      <c r="B21" s="171" t="s">
        <v>72</v>
      </c>
      <c r="C21" s="171" t="s">
        <v>42</v>
      </c>
      <c r="D21" s="171" t="s">
        <v>1278</v>
      </c>
      <c r="E21" s="171" t="s">
        <v>5346</v>
      </c>
      <c r="F21" s="172">
        <v>492386.46</v>
      </c>
      <c r="G21" s="172">
        <v>492386.46</v>
      </c>
      <c r="H21" s="171" t="s">
        <v>2784</v>
      </c>
      <c r="I21" s="173">
        <v>42152.589212962965</v>
      </c>
      <c r="J21" s="174"/>
    </row>
    <row r="22" spans="1:10">
      <c r="A22" s="175" t="s">
        <v>1230</v>
      </c>
      <c r="B22" s="176" t="s">
        <v>72</v>
      </c>
      <c r="C22" s="176" t="s">
        <v>59</v>
      </c>
      <c r="D22" s="176" t="s">
        <v>232</v>
      </c>
      <c r="E22" s="176" t="s">
        <v>5347</v>
      </c>
      <c r="F22" s="177">
        <v>62613.54</v>
      </c>
      <c r="G22" s="177">
        <v>62613.54</v>
      </c>
      <c r="H22" s="176" t="s">
        <v>2795</v>
      </c>
      <c r="I22" s="178">
        <v>42152.593449074076</v>
      </c>
      <c r="J22" s="179"/>
    </row>
    <row r="23" spans="1:10">
      <c r="A23" s="170" t="s">
        <v>1230</v>
      </c>
      <c r="B23" s="171" t="s">
        <v>72</v>
      </c>
      <c r="C23" s="171" t="s">
        <v>59</v>
      </c>
      <c r="D23" s="171" t="s">
        <v>232</v>
      </c>
      <c r="E23" s="171" t="s">
        <v>5348</v>
      </c>
      <c r="F23" s="172">
        <v>62613.54</v>
      </c>
      <c r="G23" s="172">
        <v>62613.54</v>
      </c>
      <c r="H23" s="171" t="s">
        <v>2794</v>
      </c>
      <c r="I23" s="173">
        <v>42152.592141203706</v>
      </c>
      <c r="J23" s="174"/>
    </row>
    <row r="24" spans="1:10">
      <c r="A24" s="175" t="s">
        <v>1230</v>
      </c>
      <c r="B24" s="176" t="s">
        <v>72</v>
      </c>
      <c r="C24" s="176" t="s">
        <v>59</v>
      </c>
      <c r="D24" s="176" t="s">
        <v>232</v>
      </c>
      <c r="E24" s="176" t="s">
        <v>5349</v>
      </c>
      <c r="F24" s="177">
        <v>62613.54</v>
      </c>
      <c r="G24" s="177">
        <v>62613.54</v>
      </c>
      <c r="H24" s="176" t="s">
        <v>2796</v>
      </c>
      <c r="I24" s="178">
        <v>42152.589212962965</v>
      </c>
      <c r="J24" s="179"/>
    </row>
    <row r="25" spans="1:10">
      <c r="A25" s="170" t="s">
        <v>1230</v>
      </c>
      <c r="B25" s="171" t="s">
        <v>73</v>
      </c>
      <c r="C25" s="171" t="s">
        <v>42</v>
      </c>
      <c r="D25" s="171" t="s">
        <v>1278</v>
      </c>
      <c r="E25" s="171" t="s">
        <v>5350</v>
      </c>
      <c r="F25" s="172">
        <v>508980.38</v>
      </c>
      <c r="G25" s="172">
        <v>508980.38</v>
      </c>
      <c r="H25" s="171" t="s">
        <v>457</v>
      </c>
      <c r="I25" s="173">
        <v>42150.344270833331</v>
      </c>
      <c r="J25" s="174"/>
    </row>
    <row r="26" spans="1:10">
      <c r="A26" s="175" t="s">
        <v>1230</v>
      </c>
      <c r="B26" s="176" t="s">
        <v>73</v>
      </c>
      <c r="C26" s="176" t="s">
        <v>59</v>
      </c>
      <c r="D26" s="176" t="s">
        <v>232</v>
      </c>
      <c r="E26" s="176" t="s">
        <v>5351</v>
      </c>
      <c r="F26" s="177">
        <v>62019.62</v>
      </c>
      <c r="G26" s="177">
        <v>62019.62</v>
      </c>
      <c r="H26" s="176" t="s">
        <v>457</v>
      </c>
      <c r="I26" s="178">
        <v>42150.344270833331</v>
      </c>
      <c r="J26" s="179"/>
    </row>
    <row r="27" spans="1:10">
      <c r="A27" s="170" t="s">
        <v>1230</v>
      </c>
      <c r="B27" s="171" t="s">
        <v>73</v>
      </c>
      <c r="C27" s="171" t="s">
        <v>42</v>
      </c>
      <c r="D27" s="171" t="s">
        <v>1278</v>
      </c>
      <c r="E27" s="171" t="s">
        <v>5352</v>
      </c>
      <c r="F27" s="172">
        <v>508980.38</v>
      </c>
      <c r="G27" s="172">
        <v>508980.38</v>
      </c>
      <c r="H27" s="171" t="s">
        <v>457</v>
      </c>
      <c r="I27" s="173">
        <v>42150.35050925926</v>
      </c>
      <c r="J27" s="174"/>
    </row>
    <row r="28" spans="1:10">
      <c r="A28" s="175" t="s">
        <v>1230</v>
      </c>
      <c r="B28" s="176" t="s">
        <v>73</v>
      </c>
      <c r="C28" s="176" t="s">
        <v>59</v>
      </c>
      <c r="D28" s="176" t="s">
        <v>232</v>
      </c>
      <c r="E28" s="176" t="s">
        <v>5353</v>
      </c>
      <c r="F28" s="177">
        <v>62019.62</v>
      </c>
      <c r="G28" s="177">
        <v>62019.62</v>
      </c>
      <c r="H28" s="176" t="s">
        <v>457</v>
      </c>
      <c r="I28" s="178">
        <v>42150.35050925926</v>
      </c>
      <c r="J28" s="179"/>
    </row>
    <row r="29" spans="1:10">
      <c r="A29" s="170" t="s">
        <v>1230</v>
      </c>
      <c r="B29" s="171" t="s">
        <v>73</v>
      </c>
      <c r="C29" s="171" t="s">
        <v>42</v>
      </c>
      <c r="D29" s="171" t="s">
        <v>1278</v>
      </c>
      <c r="E29" s="171" t="s">
        <v>5354</v>
      </c>
      <c r="F29" s="172">
        <v>511198.43</v>
      </c>
      <c r="G29" s="172">
        <v>511198.43</v>
      </c>
      <c r="H29" s="171" t="s">
        <v>457</v>
      </c>
      <c r="I29" s="173">
        <v>42150.341678240744</v>
      </c>
      <c r="J29" s="174"/>
    </row>
    <row r="30" spans="1:10">
      <c r="A30" s="175" t="s">
        <v>1230</v>
      </c>
      <c r="B30" s="176" t="s">
        <v>73</v>
      </c>
      <c r="C30" s="176" t="s">
        <v>59</v>
      </c>
      <c r="D30" s="176" t="s">
        <v>232</v>
      </c>
      <c r="E30" s="176" t="s">
        <v>5355</v>
      </c>
      <c r="F30" s="177">
        <v>62301.57</v>
      </c>
      <c r="G30" s="177">
        <v>62301.57</v>
      </c>
      <c r="H30" s="176" t="s">
        <v>457</v>
      </c>
      <c r="I30" s="178">
        <v>42150.341678240744</v>
      </c>
      <c r="J30" s="179"/>
    </row>
    <row r="31" spans="1:10">
      <c r="A31" s="170" t="s">
        <v>1230</v>
      </c>
      <c r="B31" s="171" t="s">
        <v>73</v>
      </c>
      <c r="C31" s="171" t="s">
        <v>42</v>
      </c>
      <c r="D31" s="171" t="s">
        <v>1278</v>
      </c>
      <c r="E31" s="171" t="s">
        <v>5356</v>
      </c>
      <c r="F31" s="172">
        <v>508980.38</v>
      </c>
      <c r="G31" s="172">
        <v>508980.38</v>
      </c>
      <c r="H31" s="171" t="s">
        <v>457</v>
      </c>
      <c r="I31" s="173">
        <v>42153.585613425923</v>
      </c>
      <c r="J31" s="174"/>
    </row>
    <row r="32" spans="1:10">
      <c r="A32" s="175" t="s">
        <v>1230</v>
      </c>
      <c r="B32" s="176" t="s">
        <v>73</v>
      </c>
      <c r="C32" s="176" t="s">
        <v>59</v>
      </c>
      <c r="D32" s="176" t="s">
        <v>232</v>
      </c>
      <c r="E32" s="176" t="s">
        <v>5357</v>
      </c>
      <c r="F32" s="177">
        <v>62019.62</v>
      </c>
      <c r="G32" s="177">
        <v>62019.62</v>
      </c>
      <c r="H32" s="176" t="s">
        <v>457</v>
      </c>
      <c r="I32" s="178">
        <v>42153.585613425923</v>
      </c>
      <c r="J32" s="179"/>
    </row>
    <row r="33" spans="1:10">
      <c r="A33" s="170" t="s">
        <v>1230</v>
      </c>
      <c r="B33" s="171" t="s">
        <v>73</v>
      </c>
      <c r="C33" s="171" t="s">
        <v>42</v>
      </c>
      <c r="D33" s="171" t="s">
        <v>1278</v>
      </c>
      <c r="E33" s="171" t="s">
        <v>5358</v>
      </c>
      <c r="F33" s="172">
        <v>508980.38</v>
      </c>
      <c r="G33" s="172">
        <v>508980.38</v>
      </c>
      <c r="H33" s="171" t="s">
        <v>875</v>
      </c>
      <c r="I33" s="173">
        <v>42149.713773148149</v>
      </c>
      <c r="J33" s="174"/>
    </row>
    <row r="34" spans="1:10">
      <c r="A34" s="175" t="s">
        <v>1230</v>
      </c>
      <c r="B34" s="176" t="s">
        <v>73</v>
      </c>
      <c r="C34" s="176" t="s">
        <v>59</v>
      </c>
      <c r="D34" s="176" t="s">
        <v>232</v>
      </c>
      <c r="E34" s="176" t="s">
        <v>5359</v>
      </c>
      <c r="F34" s="177">
        <v>62019.62</v>
      </c>
      <c r="G34" s="177">
        <v>62019.62</v>
      </c>
      <c r="H34" s="176" t="s">
        <v>875</v>
      </c>
      <c r="I34" s="178">
        <v>42149.713773148149</v>
      </c>
      <c r="J34" s="179"/>
    </row>
    <row r="35" spans="1:10">
      <c r="A35" s="170" t="s">
        <v>1230</v>
      </c>
      <c r="B35" s="171" t="s">
        <v>73</v>
      </c>
      <c r="C35" s="171" t="s">
        <v>42</v>
      </c>
      <c r="D35" s="171" t="s">
        <v>1278</v>
      </c>
      <c r="E35" s="171" t="s">
        <v>5360</v>
      </c>
      <c r="F35" s="172">
        <v>508980.38</v>
      </c>
      <c r="G35" s="172">
        <v>508980.38</v>
      </c>
      <c r="H35" s="171" t="s">
        <v>875</v>
      </c>
      <c r="I35" s="173">
        <v>42150.338634259257</v>
      </c>
      <c r="J35" s="174"/>
    </row>
    <row r="36" spans="1:10">
      <c r="A36" s="175" t="s">
        <v>1230</v>
      </c>
      <c r="B36" s="176" t="s">
        <v>73</v>
      </c>
      <c r="C36" s="176" t="s">
        <v>59</v>
      </c>
      <c r="D36" s="176" t="s">
        <v>232</v>
      </c>
      <c r="E36" s="176" t="s">
        <v>5361</v>
      </c>
      <c r="F36" s="177">
        <v>62019.62</v>
      </c>
      <c r="G36" s="177">
        <v>62019.62</v>
      </c>
      <c r="H36" s="176" t="s">
        <v>875</v>
      </c>
      <c r="I36" s="178">
        <v>42150.338634259257</v>
      </c>
      <c r="J36" s="179"/>
    </row>
    <row r="37" spans="1:10">
      <c r="A37" s="170" t="s">
        <v>1230</v>
      </c>
      <c r="B37" s="171" t="s">
        <v>73</v>
      </c>
      <c r="C37" s="171" t="s">
        <v>42</v>
      </c>
      <c r="D37" s="171" t="s">
        <v>1278</v>
      </c>
      <c r="E37" s="171" t="s">
        <v>5362</v>
      </c>
      <c r="F37" s="172">
        <v>508980.38</v>
      </c>
      <c r="G37" s="172">
        <v>508980.38</v>
      </c>
      <c r="H37" s="171" t="s">
        <v>457</v>
      </c>
      <c r="I37" s="173">
        <v>42153.57640046296</v>
      </c>
      <c r="J37" s="174"/>
    </row>
    <row r="38" spans="1:10">
      <c r="A38" s="175" t="s">
        <v>1230</v>
      </c>
      <c r="B38" s="176" t="s">
        <v>73</v>
      </c>
      <c r="C38" s="176" t="s">
        <v>59</v>
      </c>
      <c r="D38" s="176" t="s">
        <v>232</v>
      </c>
      <c r="E38" s="176" t="s">
        <v>5363</v>
      </c>
      <c r="F38" s="177">
        <v>62019.62</v>
      </c>
      <c r="G38" s="177">
        <v>62019.62</v>
      </c>
      <c r="H38" s="176" t="s">
        <v>457</v>
      </c>
      <c r="I38" s="178">
        <v>42153.57640046296</v>
      </c>
      <c r="J38" s="179"/>
    </row>
    <row r="39" spans="1:10">
      <c r="A39" s="170" t="s">
        <v>1230</v>
      </c>
      <c r="B39" s="171" t="s">
        <v>73</v>
      </c>
      <c r="C39" s="171" t="s">
        <v>42</v>
      </c>
      <c r="D39" s="171" t="s">
        <v>1278</v>
      </c>
      <c r="E39" s="171" t="s">
        <v>5364</v>
      </c>
      <c r="F39" s="172">
        <v>508980.38</v>
      </c>
      <c r="G39" s="172">
        <v>508980.38</v>
      </c>
      <c r="H39" s="171" t="s">
        <v>457</v>
      </c>
      <c r="I39" s="173">
        <v>42149.720682870371</v>
      </c>
      <c r="J39" s="174"/>
    </row>
    <row r="40" spans="1:10">
      <c r="A40" s="175" t="s">
        <v>1230</v>
      </c>
      <c r="B40" s="176" t="s">
        <v>73</v>
      </c>
      <c r="C40" s="176" t="s">
        <v>59</v>
      </c>
      <c r="D40" s="176" t="s">
        <v>232</v>
      </c>
      <c r="E40" s="176" t="s">
        <v>5365</v>
      </c>
      <c r="F40" s="177">
        <v>62019.62</v>
      </c>
      <c r="G40" s="177">
        <v>62019.62</v>
      </c>
      <c r="H40" s="176" t="s">
        <v>457</v>
      </c>
      <c r="I40" s="178">
        <v>42149.720682870371</v>
      </c>
      <c r="J40" s="179"/>
    </row>
    <row r="41" spans="1:10">
      <c r="A41" s="170" t="s">
        <v>1230</v>
      </c>
      <c r="B41" s="171" t="s">
        <v>73</v>
      </c>
      <c r="C41" s="171" t="s">
        <v>42</v>
      </c>
      <c r="D41" s="171" t="s">
        <v>1278</v>
      </c>
      <c r="E41" s="171" t="s">
        <v>5366</v>
      </c>
      <c r="F41" s="172">
        <v>511198.43</v>
      </c>
      <c r="G41" s="172">
        <v>511198.43</v>
      </c>
      <c r="H41" s="171" t="s">
        <v>875</v>
      </c>
      <c r="I41" s="173">
        <v>42149.70103009259</v>
      </c>
      <c r="J41" s="174"/>
    </row>
    <row r="42" spans="1:10">
      <c r="A42" s="175" t="s">
        <v>1230</v>
      </c>
      <c r="B42" s="176" t="s">
        <v>73</v>
      </c>
      <c r="C42" s="176" t="s">
        <v>59</v>
      </c>
      <c r="D42" s="176" t="s">
        <v>232</v>
      </c>
      <c r="E42" s="176" t="s">
        <v>5367</v>
      </c>
      <c r="F42" s="177">
        <v>62301.57</v>
      </c>
      <c r="G42" s="177">
        <v>62301.57</v>
      </c>
      <c r="H42" s="176" t="s">
        <v>875</v>
      </c>
      <c r="I42" s="178">
        <v>42149.70103009259</v>
      </c>
      <c r="J42" s="179"/>
    </row>
    <row r="43" spans="1:10">
      <c r="A43" s="170" t="s">
        <v>1230</v>
      </c>
      <c r="B43" s="171" t="s">
        <v>73</v>
      </c>
      <c r="C43" s="171" t="s">
        <v>42</v>
      </c>
      <c r="D43" s="171" t="s">
        <v>1278</v>
      </c>
      <c r="E43" s="171" t="s">
        <v>5368</v>
      </c>
      <c r="F43" s="172">
        <v>508980.38</v>
      </c>
      <c r="G43" s="172">
        <v>508980.38</v>
      </c>
      <c r="H43" s="171" t="s">
        <v>457</v>
      </c>
      <c r="I43" s="173">
        <v>42153.581921296296</v>
      </c>
      <c r="J43" s="174"/>
    </row>
    <row r="44" spans="1:10">
      <c r="A44" s="175" t="s">
        <v>1230</v>
      </c>
      <c r="B44" s="176" t="s">
        <v>73</v>
      </c>
      <c r="C44" s="176" t="s">
        <v>59</v>
      </c>
      <c r="D44" s="176" t="s">
        <v>232</v>
      </c>
      <c r="E44" s="176" t="s">
        <v>5369</v>
      </c>
      <c r="F44" s="177">
        <v>62019.62</v>
      </c>
      <c r="G44" s="177">
        <v>62019.62</v>
      </c>
      <c r="H44" s="176" t="s">
        <v>457</v>
      </c>
      <c r="I44" s="178">
        <v>42153.581921296296</v>
      </c>
      <c r="J44" s="179"/>
    </row>
    <row r="45" spans="1:10">
      <c r="A45" s="170" t="s">
        <v>1230</v>
      </c>
      <c r="B45" s="171" t="s">
        <v>73</v>
      </c>
      <c r="C45" s="171" t="s">
        <v>66</v>
      </c>
      <c r="D45" s="171" t="s">
        <v>5370</v>
      </c>
      <c r="E45" s="171" t="s">
        <v>5371</v>
      </c>
      <c r="F45" s="172">
        <v>562361.54</v>
      </c>
      <c r="G45" s="172">
        <v>562361.54</v>
      </c>
      <c r="H45" s="171" t="s">
        <v>457</v>
      </c>
      <c r="I45" s="173">
        <v>42143.598425925928</v>
      </c>
      <c r="J45" s="174"/>
    </row>
    <row r="46" spans="1:10">
      <c r="A46" s="175" t="s">
        <v>1230</v>
      </c>
      <c r="B46" s="176" t="s">
        <v>73</v>
      </c>
      <c r="C46" s="176" t="s">
        <v>66</v>
      </c>
      <c r="D46" s="176" t="s">
        <v>5370</v>
      </c>
      <c r="E46" s="176" t="s">
        <v>5372</v>
      </c>
      <c r="F46" s="177">
        <v>562361.54</v>
      </c>
      <c r="G46" s="177">
        <v>562361.54</v>
      </c>
      <c r="H46" s="176" t="s">
        <v>457</v>
      </c>
      <c r="I46" s="178">
        <v>42143.609479166669</v>
      </c>
      <c r="J46" s="179"/>
    </row>
    <row r="47" spans="1:10">
      <c r="A47" s="170" t="s">
        <v>1230</v>
      </c>
      <c r="B47" s="171" t="s">
        <v>73</v>
      </c>
      <c r="C47" s="171" t="s">
        <v>66</v>
      </c>
      <c r="D47" s="171" t="s">
        <v>5373</v>
      </c>
      <c r="E47" s="171" t="s">
        <v>5374</v>
      </c>
      <c r="F47" s="172">
        <v>288000</v>
      </c>
      <c r="G47" s="172">
        <v>288000</v>
      </c>
      <c r="H47" s="171" t="s">
        <v>457</v>
      </c>
      <c r="I47" s="173">
        <v>42143.577407407407</v>
      </c>
      <c r="J47" s="174"/>
    </row>
    <row r="48" spans="1:10">
      <c r="A48" s="175" t="s">
        <v>1230</v>
      </c>
      <c r="B48" s="176" t="s">
        <v>73</v>
      </c>
      <c r="C48" s="176" t="s">
        <v>66</v>
      </c>
      <c r="D48" s="176" t="s">
        <v>5373</v>
      </c>
      <c r="E48" s="176" t="s">
        <v>5375</v>
      </c>
      <c r="F48" s="177">
        <v>288000</v>
      </c>
      <c r="G48" s="177">
        <v>288000</v>
      </c>
      <c r="H48" s="176" t="s">
        <v>457</v>
      </c>
      <c r="I48" s="178">
        <v>42143.579409722224</v>
      </c>
      <c r="J48" s="179"/>
    </row>
    <row r="49" spans="1:10">
      <c r="A49" s="170" t="s">
        <v>1230</v>
      </c>
      <c r="B49" s="171" t="s">
        <v>73</v>
      </c>
      <c r="C49" s="171" t="s">
        <v>66</v>
      </c>
      <c r="D49" s="171" t="s">
        <v>5373</v>
      </c>
      <c r="E49" s="171" t="s">
        <v>5376</v>
      </c>
      <c r="F49" s="172">
        <v>288000</v>
      </c>
      <c r="G49" s="172">
        <v>288000</v>
      </c>
      <c r="H49" s="171" t="s">
        <v>875</v>
      </c>
      <c r="I49" s="173">
        <v>42143.582511574074</v>
      </c>
      <c r="J49" s="174"/>
    </row>
    <row r="50" spans="1:10">
      <c r="A50" s="175" t="s">
        <v>1230</v>
      </c>
      <c r="B50" s="176" t="s">
        <v>73</v>
      </c>
      <c r="C50" s="176" t="s">
        <v>66</v>
      </c>
      <c r="D50" s="176" t="s">
        <v>5373</v>
      </c>
      <c r="E50" s="176" t="s">
        <v>5377</v>
      </c>
      <c r="F50" s="177">
        <v>288000</v>
      </c>
      <c r="G50" s="177">
        <v>288000</v>
      </c>
      <c r="H50" s="176" t="s">
        <v>875</v>
      </c>
      <c r="I50" s="178">
        <v>42153.566608796296</v>
      </c>
      <c r="J50" s="179"/>
    </row>
    <row r="51" spans="1:10">
      <c r="A51" s="170" t="s">
        <v>1230</v>
      </c>
      <c r="B51" s="171" t="s">
        <v>73</v>
      </c>
      <c r="C51" s="171" t="s">
        <v>66</v>
      </c>
      <c r="D51" s="171" t="s">
        <v>5373</v>
      </c>
      <c r="E51" s="171" t="s">
        <v>5378</v>
      </c>
      <c r="F51" s="172">
        <v>288000</v>
      </c>
      <c r="G51" s="172">
        <v>288000</v>
      </c>
      <c r="H51" s="171" t="s">
        <v>875</v>
      </c>
      <c r="I51" s="173">
        <v>42143.545162037037</v>
      </c>
      <c r="J51" s="174"/>
    </row>
    <row r="52" spans="1:10">
      <c r="A52" s="175" t="s">
        <v>1230</v>
      </c>
      <c r="B52" s="176" t="s">
        <v>73</v>
      </c>
      <c r="C52" s="176" t="s">
        <v>58</v>
      </c>
      <c r="D52" s="176" t="s">
        <v>212</v>
      </c>
      <c r="E52" s="176" t="s">
        <v>5379</v>
      </c>
      <c r="F52" s="177">
        <v>172000</v>
      </c>
      <c r="G52" s="177">
        <v>172000</v>
      </c>
      <c r="H52" s="176" t="s">
        <v>875</v>
      </c>
      <c r="I52" s="178">
        <v>42143.584837962961</v>
      </c>
      <c r="J52" s="179"/>
    </row>
    <row r="53" spans="1:10">
      <c r="A53" s="170" t="s">
        <v>1230</v>
      </c>
      <c r="B53" s="171" t="s">
        <v>73</v>
      </c>
      <c r="C53" s="171" t="s">
        <v>58</v>
      </c>
      <c r="D53" s="171" t="s">
        <v>214</v>
      </c>
      <c r="E53" s="171" t="s">
        <v>5380</v>
      </c>
      <c r="F53" s="172">
        <v>172000</v>
      </c>
      <c r="G53" s="172">
        <v>172000</v>
      </c>
      <c r="H53" s="171" t="s">
        <v>875</v>
      </c>
      <c r="I53" s="173">
        <v>42150.353425925925</v>
      </c>
      <c r="J53" s="174"/>
    </row>
    <row r="54" spans="1:10">
      <c r="A54" s="175" t="s">
        <v>1230</v>
      </c>
      <c r="B54" s="176" t="s">
        <v>73</v>
      </c>
      <c r="C54" s="176" t="s">
        <v>59</v>
      </c>
      <c r="D54" s="176" t="s">
        <v>5381</v>
      </c>
      <c r="E54" s="176" t="s">
        <v>5382</v>
      </c>
      <c r="F54" s="177">
        <v>105865.38</v>
      </c>
      <c r="G54" s="177">
        <v>105865.38</v>
      </c>
      <c r="H54" s="176" t="s">
        <v>875</v>
      </c>
      <c r="I54" s="178">
        <v>42153.580243055556</v>
      </c>
      <c r="J54" s="179"/>
    </row>
    <row r="55" spans="1:10">
      <c r="A55" s="170" t="s">
        <v>1230</v>
      </c>
      <c r="B55" s="171" t="s">
        <v>73</v>
      </c>
      <c r="C55" s="171" t="s">
        <v>59</v>
      </c>
      <c r="D55" s="171" t="s">
        <v>5381</v>
      </c>
      <c r="E55" s="171" t="s">
        <v>5383</v>
      </c>
      <c r="F55" s="172">
        <v>105865.38</v>
      </c>
      <c r="G55" s="172">
        <v>105865.38</v>
      </c>
      <c r="H55" s="171" t="s">
        <v>457</v>
      </c>
      <c r="I55" s="173">
        <v>42150.356226851851</v>
      </c>
      <c r="J55" s="174"/>
    </row>
    <row r="56" spans="1:10">
      <c r="A56" s="175" t="s">
        <v>1230</v>
      </c>
      <c r="B56" s="176" t="s">
        <v>72</v>
      </c>
      <c r="C56" s="176" t="s">
        <v>51</v>
      </c>
      <c r="D56" s="176" t="s">
        <v>5446</v>
      </c>
      <c r="E56" s="176" t="s">
        <v>5447</v>
      </c>
      <c r="F56" s="177">
        <v>5032.03</v>
      </c>
      <c r="G56" s="177">
        <v>5032.03</v>
      </c>
      <c r="H56" s="176" t="s">
        <v>396</v>
      </c>
      <c r="I56" s="178">
        <v>42103.404733796298</v>
      </c>
      <c r="J56" s="179"/>
    </row>
    <row r="57" spans="1:10">
      <c r="A57" s="170" t="s">
        <v>1230</v>
      </c>
      <c r="B57" s="171" t="s">
        <v>73</v>
      </c>
      <c r="C57" s="171" t="s">
        <v>51</v>
      </c>
      <c r="D57" s="171" t="s">
        <v>5448</v>
      </c>
      <c r="E57" s="171" t="s">
        <v>5449</v>
      </c>
      <c r="F57" s="172">
        <v>580</v>
      </c>
      <c r="G57" s="172">
        <v>580</v>
      </c>
      <c r="H57" s="171" t="s">
        <v>452</v>
      </c>
      <c r="I57" s="173">
        <v>42107.413587962961</v>
      </c>
      <c r="J57" s="174"/>
    </row>
    <row r="58" spans="1:10">
      <c r="A58" s="175" t="s">
        <v>1230</v>
      </c>
      <c r="B58" s="176" t="s">
        <v>76</v>
      </c>
      <c r="C58" s="176" t="s">
        <v>51</v>
      </c>
      <c r="D58" s="176" t="s">
        <v>5450</v>
      </c>
      <c r="E58" s="176" t="s">
        <v>5451</v>
      </c>
      <c r="F58" s="177">
        <v>45000</v>
      </c>
      <c r="G58" s="177">
        <v>45000</v>
      </c>
      <c r="H58" s="176" t="s">
        <v>875</v>
      </c>
      <c r="I58" s="178">
        <v>42138.360196759262</v>
      </c>
      <c r="J58" s="179"/>
    </row>
    <row r="59" spans="1:10">
      <c r="A59" s="170" t="s">
        <v>1230</v>
      </c>
      <c r="B59" s="171" t="s">
        <v>76</v>
      </c>
      <c r="C59" s="171" t="s">
        <v>51</v>
      </c>
      <c r="D59" s="171" t="s">
        <v>5452</v>
      </c>
      <c r="E59" s="171" t="s">
        <v>5453</v>
      </c>
      <c r="F59" s="172">
        <v>1550</v>
      </c>
      <c r="G59" s="172">
        <v>1550</v>
      </c>
      <c r="H59" s="171" t="s">
        <v>875</v>
      </c>
      <c r="I59" s="173">
        <v>42138.436064814814</v>
      </c>
      <c r="J59" s="174"/>
    </row>
    <row r="60" spans="1:10">
      <c r="A60" s="175" t="s">
        <v>1230</v>
      </c>
      <c r="B60" s="176" t="s">
        <v>970</v>
      </c>
      <c r="C60" s="176" t="s">
        <v>51</v>
      </c>
      <c r="D60" s="176" t="s">
        <v>1053</v>
      </c>
      <c r="E60" s="176" t="s">
        <v>5454</v>
      </c>
      <c r="F60" s="177">
        <v>6300</v>
      </c>
      <c r="G60" s="177">
        <v>6300</v>
      </c>
      <c r="H60" s="176" t="s">
        <v>1181</v>
      </c>
      <c r="I60" s="178">
        <v>42143.372824074075</v>
      </c>
      <c r="J60" s="179"/>
    </row>
    <row r="61" spans="1:10">
      <c r="A61" s="170" t="s">
        <v>1230</v>
      </c>
      <c r="B61" s="171" t="s">
        <v>72</v>
      </c>
      <c r="C61" s="171" t="s">
        <v>51</v>
      </c>
      <c r="D61" s="171" t="s">
        <v>5455</v>
      </c>
      <c r="E61" s="171" t="s">
        <v>5456</v>
      </c>
      <c r="F61" s="172">
        <v>10200</v>
      </c>
      <c r="G61" s="172">
        <v>10200</v>
      </c>
      <c r="H61" s="171" t="s">
        <v>396</v>
      </c>
      <c r="I61" s="173">
        <v>42146.576886574076</v>
      </c>
      <c r="J61" s="174"/>
    </row>
    <row r="62" spans="1:10">
      <c r="A62" s="175" t="s">
        <v>1230</v>
      </c>
      <c r="B62" s="176" t="s">
        <v>76</v>
      </c>
      <c r="C62" s="176" t="s">
        <v>51</v>
      </c>
      <c r="D62" s="176" t="s">
        <v>453</v>
      </c>
      <c r="E62" s="176" t="s">
        <v>5457</v>
      </c>
      <c r="F62" s="177">
        <v>1890</v>
      </c>
      <c r="G62" s="177">
        <v>1890</v>
      </c>
      <c r="H62" s="176" t="s">
        <v>875</v>
      </c>
      <c r="I62" s="178">
        <v>42146.487395833334</v>
      </c>
      <c r="J62" s="179"/>
    </row>
    <row r="63" spans="1:10">
      <c r="A63" s="170" t="s">
        <v>1230</v>
      </c>
      <c r="B63" s="171" t="s">
        <v>75</v>
      </c>
      <c r="C63" s="171" t="s">
        <v>51</v>
      </c>
      <c r="D63" s="171" t="s">
        <v>5458</v>
      </c>
      <c r="E63" s="171" t="s">
        <v>5459</v>
      </c>
      <c r="F63" s="172">
        <v>10000</v>
      </c>
      <c r="G63" s="172">
        <v>10000</v>
      </c>
      <c r="H63" s="171" t="s">
        <v>460</v>
      </c>
      <c r="I63" s="173">
        <v>42117</v>
      </c>
      <c r="J63" s="174"/>
    </row>
    <row r="64" spans="1:10">
      <c r="A64" s="175" t="s">
        <v>1230</v>
      </c>
      <c r="B64" s="176" t="s">
        <v>72</v>
      </c>
      <c r="C64" s="176" t="s">
        <v>51</v>
      </c>
      <c r="D64" s="176" t="s">
        <v>1051</v>
      </c>
      <c r="E64" s="176" t="s">
        <v>5548</v>
      </c>
      <c r="F64" s="177">
        <v>5412</v>
      </c>
      <c r="G64" s="177">
        <v>5412</v>
      </c>
      <c r="H64" s="176" t="s">
        <v>396</v>
      </c>
      <c r="I64" s="178">
        <v>42166.584733796299</v>
      </c>
      <c r="J64" s="179"/>
    </row>
    <row r="65" spans="1:10">
      <c r="A65" s="170" t="s">
        <v>1230</v>
      </c>
      <c r="B65" s="171" t="s">
        <v>76</v>
      </c>
      <c r="C65" s="171" t="s">
        <v>67</v>
      </c>
      <c r="D65" s="171" t="s">
        <v>5549</v>
      </c>
      <c r="E65" s="171" t="s">
        <v>5550</v>
      </c>
      <c r="F65" s="172">
        <v>660000</v>
      </c>
      <c r="G65" s="172">
        <v>660000</v>
      </c>
      <c r="H65" s="171" t="s">
        <v>875</v>
      </c>
      <c r="I65" s="173">
        <v>42158.721134259256</v>
      </c>
      <c r="J65" s="174"/>
    </row>
    <row r="66" spans="1:10">
      <c r="A66" s="175" t="s">
        <v>1230</v>
      </c>
      <c r="B66" s="176" t="s">
        <v>76</v>
      </c>
      <c r="C66" s="176" t="s">
        <v>67</v>
      </c>
      <c r="D66" s="176" t="s">
        <v>5549</v>
      </c>
      <c r="E66" s="176" t="s">
        <v>5551</v>
      </c>
      <c r="F66" s="177">
        <v>700000</v>
      </c>
      <c r="G66" s="177">
        <v>700000</v>
      </c>
      <c r="H66" s="176" t="s">
        <v>875</v>
      </c>
      <c r="I66" s="178">
        <v>42158.714803240742</v>
      </c>
      <c r="J66" s="179"/>
    </row>
    <row r="67" spans="1:10">
      <c r="A67" s="170" t="s">
        <v>1230</v>
      </c>
      <c r="B67" s="171" t="s">
        <v>73</v>
      </c>
      <c r="C67" s="171" t="s">
        <v>62</v>
      </c>
      <c r="D67" s="171" t="s">
        <v>242</v>
      </c>
      <c r="E67" s="171" t="s">
        <v>5552</v>
      </c>
      <c r="F67" s="172">
        <v>530000</v>
      </c>
      <c r="G67" s="172">
        <v>530000</v>
      </c>
      <c r="H67" s="171" t="s">
        <v>457</v>
      </c>
      <c r="I67" s="173">
        <v>42164.673020833332</v>
      </c>
      <c r="J67" s="174"/>
    </row>
    <row r="68" spans="1:10">
      <c r="A68" s="175" t="s">
        <v>1230</v>
      </c>
      <c r="B68" s="176" t="s">
        <v>73</v>
      </c>
      <c r="C68" s="176" t="s">
        <v>62</v>
      </c>
      <c r="D68" s="176" t="s">
        <v>242</v>
      </c>
      <c r="E68" s="176" t="s">
        <v>5553</v>
      </c>
      <c r="F68" s="177">
        <v>530000</v>
      </c>
      <c r="G68" s="177">
        <v>530000</v>
      </c>
      <c r="H68" s="176" t="s">
        <v>457</v>
      </c>
      <c r="I68" s="178">
        <v>42164.704641203702</v>
      </c>
      <c r="J68" s="179"/>
    </row>
    <row r="69" spans="1:10">
      <c r="A69" s="170" t="s">
        <v>1230</v>
      </c>
      <c r="B69" s="171" t="s">
        <v>73</v>
      </c>
      <c r="C69" s="171" t="s">
        <v>51</v>
      </c>
      <c r="D69" s="171" t="s">
        <v>5554</v>
      </c>
      <c r="E69" s="171" t="s">
        <v>5555</v>
      </c>
      <c r="F69" s="172">
        <v>6700</v>
      </c>
      <c r="G69" s="172">
        <v>6700</v>
      </c>
      <c r="H69" s="171" t="s">
        <v>457</v>
      </c>
      <c r="I69" s="173">
        <v>42179.422847222224</v>
      </c>
      <c r="J69" s="174"/>
    </row>
    <row r="70" spans="1:10">
      <c r="A70" s="175" t="s">
        <v>1230</v>
      </c>
      <c r="B70" s="176" t="s">
        <v>72</v>
      </c>
      <c r="C70" s="176" t="s">
        <v>51</v>
      </c>
      <c r="D70" s="176" t="s">
        <v>5588</v>
      </c>
      <c r="E70" s="176" t="s">
        <v>5773</v>
      </c>
      <c r="F70" s="177">
        <v>2600</v>
      </c>
      <c r="G70" s="177">
        <v>2600</v>
      </c>
      <c r="H70" s="176" t="s">
        <v>396</v>
      </c>
      <c r="I70" s="178">
        <v>42179.336319444446</v>
      </c>
      <c r="J70" s="179"/>
    </row>
    <row r="71" spans="1:10">
      <c r="A71" s="170" t="s">
        <v>1230</v>
      </c>
      <c r="B71" s="171" t="s">
        <v>72</v>
      </c>
      <c r="C71" s="171" t="s">
        <v>51</v>
      </c>
      <c r="D71" s="171" t="s">
        <v>5556</v>
      </c>
      <c r="E71" s="171" t="s">
        <v>5557</v>
      </c>
      <c r="F71" s="172">
        <v>1750</v>
      </c>
      <c r="G71" s="172">
        <v>1750</v>
      </c>
      <c r="H71" s="171" t="s">
        <v>396</v>
      </c>
      <c r="I71" s="173">
        <v>42179.336319444446</v>
      </c>
      <c r="J71" s="174"/>
    </row>
    <row r="72" spans="1:10">
      <c r="A72" s="175" t="s">
        <v>1230</v>
      </c>
      <c r="B72" s="176" t="s">
        <v>72</v>
      </c>
      <c r="C72" s="176" t="s">
        <v>51</v>
      </c>
      <c r="D72" s="176" t="s">
        <v>5558</v>
      </c>
      <c r="E72" s="176" t="s">
        <v>5559</v>
      </c>
      <c r="F72" s="177">
        <v>2150</v>
      </c>
      <c r="G72" s="177">
        <v>2150</v>
      </c>
      <c r="H72" s="176" t="s">
        <v>396</v>
      </c>
      <c r="I72" s="178">
        <v>42179.336319444446</v>
      </c>
      <c r="J72" s="179"/>
    </row>
    <row r="73" spans="1:10">
      <c r="A73" s="170" t="s">
        <v>1230</v>
      </c>
      <c r="B73" s="171" t="s">
        <v>72</v>
      </c>
      <c r="C73" s="171" t="s">
        <v>51</v>
      </c>
      <c r="D73" s="171" t="s">
        <v>5558</v>
      </c>
      <c r="E73" s="171" t="s">
        <v>5560</v>
      </c>
      <c r="F73" s="172">
        <v>2150</v>
      </c>
      <c r="G73" s="172">
        <v>2150</v>
      </c>
      <c r="H73" s="171" t="s">
        <v>396</v>
      </c>
      <c r="I73" s="173">
        <v>42179.336319444446</v>
      </c>
      <c r="J73" s="174"/>
    </row>
    <row r="74" spans="1:10">
      <c r="A74" s="175" t="s">
        <v>1230</v>
      </c>
      <c r="B74" s="176" t="s">
        <v>73</v>
      </c>
      <c r="C74" s="176" t="s">
        <v>58</v>
      </c>
      <c r="D74" s="176" t="s">
        <v>5643</v>
      </c>
      <c r="E74" s="176" t="s">
        <v>5644</v>
      </c>
      <c r="F74" s="177">
        <v>353000</v>
      </c>
      <c r="G74" s="177">
        <v>353000</v>
      </c>
      <c r="H74" s="176" t="s">
        <v>457</v>
      </c>
      <c r="I74" s="178">
        <v>42208.658194444448</v>
      </c>
      <c r="J74" s="179"/>
    </row>
    <row r="75" spans="1:10">
      <c r="A75" s="170" t="s">
        <v>1230</v>
      </c>
      <c r="B75" s="171" t="s">
        <v>73</v>
      </c>
      <c r="C75" s="171" t="s">
        <v>58</v>
      </c>
      <c r="D75" s="171" t="s">
        <v>5643</v>
      </c>
      <c r="E75" s="171" t="s">
        <v>5645</v>
      </c>
      <c r="F75" s="172">
        <v>353000</v>
      </c>
      <c r="G75" s="172">
        <v>353000</v>
      </c>
      <c r="H75" s="171" t="s">
        <v>457</v>
      </c>
      <c r="I75" s="173">
        <v>42208.647337962961</v>
      </c>
      <c r="J75" s="174"/>
    </row>
    <row r="76" spans="1:10">
      <c r="A76" s="175" t="s">
        <v>1230</v>
      </c>
      <c r="B76" s="176" t="s">
        <v>73</v>
      </c>
      <c r="C76" s="176" t="s">
        <v>58</v>
      </c>
      <c r="D76" s="176" t="s">
        <v>5643</v>
      </c>
      <c r="E76" s="176" t="s">
        <v>5646</v>
      </c>
      <c r="F76" s="177">
        <v>353000</v>
      </c>
      <c r="G76" s="177">
        <v>353000</v>
      </c>
      <c r="H76" s="176" t="s">
        <v>457</v>
      </c>
      <c r="I76" s="178">
        <v>42208.661203703705</v>
      </c>
      <c r="J76" s="179"/>
    </row>
    <row r="77" spans="1:10">
      <c r="A77" s="170" t="s">
        <v>1230</v>
      </c>
      <c r="B77" s="171" t="s">
        <v>72</v>
      </c>
      <c r="C77" s="171" t="s">
        <v>51</v>
      </c>
      <c r="D77" s="171" t="s">
        <v>5647</v>
      </c>
      <c r="E77" s="171" t="s">
        <v>5648</v>
      </c>
      <c r="F77" s="172">
        <v>2700</v>
      </c>
      <c r="G77" s="172">
        <v>2700</v>
      </c>
      <c r="H77" s="171" t="s">
        <v>396</v>
      </c>
      <c r="I77" s="173">
        <v>42206.676921296297</v>
      </c>
      <c r="J77" s="174"/>
    </row>
    <row r="78" spans="1:10">
      <c r="A78" s="175" t="s">
        <v>1230</v>
      </c>
      <c r="B78" s="176" t="s">
        <v>76</v>
      </c>
      <c r="C78" s="176" t="s">
        <v>51</v>
      </c>
      <c r="D78" s="176" t="s">
        <v>5649</v>
      </c>
      <c r="E78" s="176" t="s">
        <v>5650</v>
      </c>
      <c r="F78" s="177">
        <v>1900</v>
      </c>
      <c r="G78" s="177">
        <v>1900</v>
      </c>
      <c r="H78" s="176" t="s">
        <v>875</v>
      </c>
      <c r="I78" s="178">
        <v>42205.583287037036</v>
      </c>
      <c r="J78" s="179"/>
    </row>
    <row r="79" spans="1:10">
      <c r="A79" s="170" t="s">
        <v>1230</v>
      </c>
      <c r="B79" s="171" t="s">
        <v>76</v>
      </c>
      <c r="C79" s="171" t="s">
        <v>67</v>
      </c>
      <c r="D79" s="171" t="s">
        <v>5651</v>
      </c>
      <c r="E79" s="171" t="s">
        <v>5652</v>
      </c>
      <c r="F79" s="172">
        <v>530000</v>
      </c>
      <c r="G79" s="172">
        <v>530000</v>
      </c>
      <c r="H79" s="171" t="s">
        <v>875</v>
      </c>
      <c r="I79" s="173">
        <v>42201.69159722222</v>
      </c>
      <c r="J79" s="174"/>
    </row>
    <row r="80" spans="1:10">
      <c r="A80" s="175" t="s">
        <v>1230</v>
      </c>
      <c r="B80" s="176" t="s">
        <v>73</v>
      </c>
      <c r="C80" s="176" t="s">
        <v>69</v>
      </c>
      <c r="D80" s="176" t="s">
        <v>315</v>
      </c>
      <c r="E80" s="176" t="s">
        <v>5774</v>
      </c>
      <c r="F80" s="177">
        <v>40321.1</v>
      </c>
      <c r="G80" s="177">
        <v>40321.4</v>
      </c>
      <c r="H80" s="176" t="s">
        <v>460</v>
      </c>
      <c r="I80" s="178">
        <v>42237.605416666665</v>
      </c>
      <c r="J80" s="179"/>
    </row>
    <row r="81" spans="1:10">
      <c r="A81" s="170" t="s">
        <v>1230</v>
      </c>
      <c r="B81" s="171" t="s">
        <v>76</v>
      </c>
      <c r="C81" s="171" t="s">
        <v>51</v>
      </c>
      <c r="D81" s="171" t="s">
        <v>1337</v>
      </c>
      <c r="E81" s="171" t="s">
        <v>5775</v>
      </c>
      <c r="F81" s="172">
        <v>75000.009999999995</v>
      </c>
      <c r="G81" s="172">
        <v>75000.009999999995</v>
      </c>
      <c r="H81" s="171" t="s">
        <v>5776</v>
      </c>
      <c r="I81" s="173">
        <v>42244.416203703702</v>
      </c>
      <c r="J81" s="174"/>
    </row>
    <row r="82" spans="1:10">
      <c r="A82" s="175" t="s">
        <v>1230</v>
      </c>
      <c r="B82" s="176" t="s">
        <v>72</v>
      </c>
      <c r="C82" s="176" t="s">
        <v>51</v>
      </c>
      <c r="D82" s="176" t="s">
        <v>5777</v>
      </c>
      <c r="E82" s="176" t="s">
        <v>5778</v>
      </c>
      <c r="F82" s="177">
        <v>1989</v>
      </c>
      <c r="G82" s="177">
        <v>1989</v>
      </c>
      <c r="H82" s="176" t="s">
        <v>396</v>
      </c>
      <c r="I82" s="178">
        <v>42226.422638888886</v>
      </c>
      <c r="J82" s="179"/>
    </row>
    <row r="83" spans="1:10">
      <c r="A83" s="170" t="s">
        <v>1230</v>
      </c>
      <c r="B83" s="171" t="s">
        <v>76</v>
      </c>
      <c r="C83" s="171" t="s">
        <v>51</v>
      </c>
      <c r="D83" s="171" t="s">
        <v>1337</v>
      </c>
      <c r="E83" s="171" t="s">
        <v>5779</v>
      </c>
      <c r="F83" s="172">
        <v>75000</v>
      </c>
      <c r="G83" s="172">
        <v>75000</v>
      </c>
      <c r="H83" s="171" t="s">
        <v>5776</v>
      </c>
      <c r="I83" s="173">
        <v>42244.416203703702</v>
      </c>
      <c r="J83" s="174"/>
    </row>
    <row r="84" spans="1:10">
      <c r="A84" s="175" t="s">
        <v>1230</v>
      </c>
      <c r="B84" s="176" t="s">
        <v>73</v>
      </c>
      <c r="C84" s="176" t="s">
        <v>69</v>
      </c>
      <c r="D84" s="176" t="s">
        <v>5780</v>
      </c>
      <c r="E84" s="176" t="s">
        <v>5781</v>
      </c>
      <c r="F84" s="177">
        <v>58034.63</v>
      </c>
      <c r="G84" s="177">
        <v>58034.63</v>
      </c>
      <c r="H84" s="176" t="s">
        <v>5782</v>
      </c>
      <c r="I84" s="178">
        <v>42250.487337962964</v>
      </c>
      <c r="J84" s="179"/>
    </row>
    <row r="85" spans="1:10">
      <c r="A85" s="170" t="s">
        <v>1230</v>
      </c>
      <c r="B85" s="171" t="s">
        <v>72</v>
      </c>
      <c r="C85" s="171" t="s">
        <v>51</v>
      </c>
      <c r="D85" s="171" t="s">
        <v>483</v>
      </c>
      <c r="E85" s="171" t="s">
        <v>5783</v>
      </c>
      <c r="F85" s="172">
        <v>2346.4</v>
      </c>
      <c r="G85" s="172">
        <v>2346.4</v>
      </c>
      <c r="H85" s="171" t="s">
        <v>5784</v>
      </c>
      <c r="I85" s="173">
        <v>42283.347962962966</v>
      </c>
      <c r="J85" s="174"/>
    </row>
    <row r="86" spans="1:10">
      <c r="A86" s="175" t="s">
        <v>1230</v>
      </c>
      <c r="B86" s="176" t="s">
        <v>72</v>
      </c>
      <c r="C86" s="176" t="s">
        <v>51</v>
      </c>
      <c r="D86" s="176" t="s">
        <v>1321</v>
      </c>
      <c r="E86" s="176" t="s">
        <v>5785</v>
      </c>
      <c r="F86" s="177">
        <v>3984</v>
      </c>
      <c r="G86" s="177">
        <v>3984</v>
      </c>
      <c r="H86" s="176" t="s">
        <v>5784</v>
      </c>
      <c r="I86" s="178">
        <v>42283.347962962966</v>
      </c>
      <c r="J86" s="179"/>
    </row>
    <row r="87" spans="1:10">
      <c r="A87" s="170" t="s">
        <v>1230</v>
      </c>
      <c r="B87" s="171" t="s">
        <v>72</v>
      </c>
      <c r="C87" s="171" t="s">
        <v>51</v>
      </c>
      <c r="D87" s="171" t="s">
        <v>5786</v>
      </c>
      <c r="E87" s="171" t="s">
        <v>5787</v>
      </c>
      <c r="F87" s="172">
        <v>6250</v>
      </c>
      <c r="G87" s="172">
        <v>6250</v>
      </c>
      <c r="H87" s="171" t="s">
        <v>528</v>
      </c>
      <c r="I87" s="173">
        <v>42283.461273148147</v>
      </c>
      <c r="J87" s="174"/>
    </row>
    <row r="88" spans="1:10">
      <c r="A88" s="175" t="s">
        <v>1230</v>
      </c>
      <c r="B88" s="176" t="s">
        <v>76</v>
      </c>
      <c r="C88" s="176" t="s">
        <v>68</v>
      </c>
      <c r="D88" s="176" t="s">
        <v>5788</v>
      </c>
      <c r="E88" s="176" t="s">
        <v>5789</v>
      </c>
      <c r="F88" s="177">
        <v>55000</v>
      </c>
      <c r="G88" s="177">
        <v>55000</v>
      </c>
      <c r="H88" s="176" t="s">
        <v>5790</v>
      </c>
      <c r="I88" s="178">
        <v>42291</v>
      </c>
      <c r="J88" s="179"/>
    </row>
    <row r="89" spans="1:10">
      <c r="A89" s="170" t="s">
        <v>1230</v>
      </c>
      <c r="B89" s="171" t="s">
        <v>76</v>
      </c>
      <c r="C89" s="171" t="s">
        <v>43</v>
      </c>
      <c r="D89" s="171" t="s">
        <v>4427</v>
      </c>
      <c r="E89" s="171" t="s">
        <v>4428</v>
      </c>
      <c r="F89" s="172">
        <v>1584.94</v>
      </c>
      <c r="G89" s="172">
        <v>1584.94</v>
      </c>
      <c r="H89" s="171" t="s">
        <v>4429</v>
      </c>
      <c r="I89" s="173">
        <v>42016</v>
      </c>
      <c r="J89" s="174"/>
    </row>
    <row r="90" spans="1:10">
      <c r="A90" s="175" t="s">
        <v>1230</v>
      </c>
      <c r="B90" s="176" t="s">
        <v>76</v>
      </c>
      <c r="C90" s="176" t="s">
        <v>55</v>
      </c>
      <c r="D90" s="176" t="s">
        <v>721</v>
      </c>
      <c r="E90" s="176" t="s">
        <v>4431</v>
      </c>
      <c r="F90" s="177">
        <v>1049</v>
      </c>
      <c r="G90" s="177">
        <v>1049</v>
      </c>
      <c r="H90" s="176" t="s">
        <v>875</v>
      </c>
      <c r="I90" s="178">
        <v>42044.703645833331</v>
      </c>
      <c r="J90" s="179"/>
    </row>
    <row r="91" spans="1:10">
      <c r="A91" s="170" t="s">
        <v>1230</v>
      </c>
      <c r="B91" s="171" t="s">
        <v>76</v>
      </c>
      <c r="C91" s="171" t="s">
        <v>55</v>
      </c>
      <c r="D91" s="171" t="s">
        <v>721</v>
      </c>
      <c r="E91" s="171" t="s">
        <v>4432</v>
      </c>
      <c r="F91" s="172">
        <v>1049</v>
      </c>
      <c r="G91" s="172">
        <v>1049</v>
      </c>
      <c r="H91" s="171" t="s">
        <v>875</v>
      </c>
      <c r="I91" s="173">
        <v>42044.703645833331</v>
      </c>
      <c r="J91" s="174"/>
    </row>
    <row r="92" spans="1:10">
      <c r="A92" s="175" t="s">
        <v>1230</v>
      </c>
      <c r="B92" s="176" t="s">
        <v>76</v>
      </c>
      <c r="C92" s="176" t="s">
        <v>55</v>
      </c>
      <c r="D92" s="176" t="s">
        <v>721</v>
      </c>
      <c r="E92" s="176" t="s">
        <v>4433</v>
      </c>
      <c r="F92" s="177">
        <v>1049</v>
      </c>
      <c r="G92" s="177">
        <v>1049</v>
      </c>
      <c r="H92" s="176" t="s">
        <v>875</v>
      </c>
      <c r="I92" s="178">
        <v>42044.703645833331</v>
      </c>
      <c r="J92" s="179"/>
    </row>
    <row r="93" spans="1:10">
      <c r="A93" s="170" t="s">
        <v>1230</v>
      </c>
      <c r="B93" s="171" t="s">
        <v>76</v>
      </c>
      <c r="C93" s="171" t="s">
        <v>55</v>
      </c>
      <c r="D93" s="171" t="s">
        <v>721</v>
      </c>
      <c r="E93" s="171" t="s">
        <v>4434</v>
      </c>
      <c r="F93" s="172">
        <v>1049</v>
      </c>
      <c r="G93" s="172">
        <v>1049</v>
      </c>
      <c r="H93" s="171" t="s">
        <v>875</v>
      </c>
      <c r="I93" s="173">
        <v>42044.703645833331</v>
      </c>
      <c r="J93" s="174"/>
    </row>
    <row r="94" spans="1:10">
      <c r="A94" s="175" t="s">
        <v>1230</v>
      </c>
      <c r="B94" s="176" t="s">
        <v>76</v>
      </c>
      <c r="C94" s="176" t="s">
        <v>55</v>
      </c>
      <c r="D94" s="176" t="s">
        <v>721</v>
      </c>
      <c r="E94" s="176" t="s">
        <v>4435</v>
      </c>
      <c r="F94" s="177">
        <v>1049</v>
      </c>
      <c r="G94" s="177">
        <v>1049</v>
      </c>
      <c r="H94" s="176" t="s">
        <v>875</v>
      </c>
      <c r="I94" s="178">
        <v>42044.703645833331</v>
      </c>
      <c r="J94" s="179"/>
    </row>
    <row r="95" spans="1:10">
      <c r="A95" s="170" t="s">
        <v>1230</v>
      </c>
      <c r="B95" s="171" t="s">
        <v>76</v>
      </c>
      <c r="C95" s="171" t="s">
        <v>55</v>
      </c>
      <c r="D95" s="171" t="s">
        <v>721</v>
      </c>
      <c r="E95" s="171" t="s">
        <v>4436</v>
      </c>
      <c r="F95" s="172">
        <v>1049</v>
      </c>
      <c r="G95" s="172">
        <v>1049</v>
      </c>
      <c r="H95" s="171" t="s">
        <v>875</v>
      </c>
      <c r="I95" s="173">
        <v>42044.703645833331</v>
      </c>
      <c r="J95" s="174"/>
    </row>
    <row r="96" spans="1:10">
      <c r="A96" s="175" t="s">
        <v>1230</v>
      </c>
      <c r="B96" s="176" t="s">
        <v>76</v>
      </c>
      <c r="C96" s="176" t="s">
        <v>55</v>
      </c>
      <c r="D96" s="176" t="s">
        <v>721</v>
      </c>
      <c r="E96" s="176" t="s">
        <v>4437</v>
      </c>
      <c r="F96" s="177">
        <v>1049</v>
      </c>
      <c r="G96" s="177">
        <v>1049</v>
      </c>
      <c r="H96" s="176" t="s">
        <v>875</v>
      </c>
      <c r="I96" s="178">
        <v>42044.703645833331</v>
      </c>
      <c r="J96" s="179"/>
    </row>
    <row r="97" spans="1:10">
      <c r="A97" s="170" t="s">
        <v>1230</v>
      </c>
      <c r="B97" s="171" t="s">
        <v>76</v>
      </c>
      <c r="C97" s="171" t="s">
        <v>55</v>
      </c>
      <c r="D97" s="171" t="s">
        <v>721</v>
      </c>
      <c r="E97" s="171" t="s">
        <v>4438</v>
      </c>
      <c r="F97" s="172">
        <v>1049</v>
      </c>
      <c r="G97" s="172">
        <v>1049</v>
      </c>
      <c r="H97" s="171" t="s">
        <v>875</v>
      </c>
      <c r="I97" s="173">
        <v>42044.703645833331</v>
      </c>
      <c r="J97" s="174"/>
    </row>
    <row r="98" spans="1:10">
      <c r="A98" s="175" t="s">
        <v>1230</v>
      </c>
      <c r="B98" s="176" t="s">
        <v>76</v>
      </c>
      <c r="C98" s="176" t="s">
        <v>55</v>
      </c>
      <c r="D98" s="176" t="s">
        <v>721</v>
      </c>
      <c r="E98" s="176" t="s">
        <v>4439</v>
      </c>
      <c r="F98" s="177">
        <v>1049</v>
      </c>
      <c r="G98" s="177">
        <v>1049</v>
      </c>
      <c r="H98" s="176" t="s">
        <v>875</v>
      </c>
      <c r="I98" s="178">
        <v>42044.703645833331</v>
      </c>
      <c r="J98" s="179"/>
    </row>
    <row r="99" spans="1:10">
      <c r="A99" s="170" t="s">
        <v>1230</v>
      </c>
      <c r="B99" s="171" t="s">
        <v>76</v>
      </c>
      <c r="C99" s="171" t="s">
        <v>55</v>
      </c>
      <c r="D99" s="171" t="s">
        <v>721</v>
      </c>
      <c r="E99" s="171" t="s">
        <v>4440</v>
      </c>
      <c r="F99" s="172">
        <v>1049</v>
      </c>
      <c r="G99" s="172">
        <v>1049</v>
      </c>
      <c r="H99" s="171" t="s">
        <v>875</v>
      </c>
      <c r="I99" s="173">
        <v>42044.703645833331</v>
      </c>
      <c r="J99" s="174"/>
    </row>
    <row r="100" spans="1:10">
      <c r="A100" s="175" t="s">
        <v>1230</v>
      </c>
      <c r="B100" s="176" t="s">
        <v>76</v>
      </c>
      <c r="C100" s="176" t="s">
        <v>55</v>
      </c>
      <c r="D100" s="176" t="s">
        <v>721</v>
      </c>
      <c r="E100" s="176" t="s">
        <v>4441</v>
      </c>
      <c r="F100" s="177">
        <v>1049</v>
      </c>
      <c r="G100" s="177">
        <v>1049</v>
      </c>
      <c r="H100" s="176" t="s">
        <v>875</v>
      </c>
      <c r="I100" s="178">
        <v>42044.703645833331</v>
      </c>
      <c r="J100" s="179"/>
    </row>
    <row r="101" spans="1:10">
      <c r="A101" s="170" t="s">
        <v>1230</v>
      </c>
      <c r="B101" s="171" t="s">
        <v>76</v>
      </c>
      <c r="C101" s="171" t="s">
        <v>55</v>
      </c>
      <c r="D101" s="171" t="s">
        <v>721</v>
      </c>
      <c r="E101" s="171" t="s">
        <v>4442</v>
      </c>
      <c r="F101" s="172">
        <v>1049</v>
      </c>
      <c r="G101" s="172">
        <v>1049</v>
      </c>
      <c r="H101" s="171" t="s">
        <v>875</v>
      </c>
      <c r="I101" s="173">
        <v>42044.703645833331</v>
      </c>
      <c r="J101" s="174"/>
    </row>
    <row r="102" spans="1:10">
      <c r="A102" s="175" t="s">
        <v>1230</v>
      </c>
      <c r="B102" s="176" t="s">
        <v>72</v>
      </c>
      <c r="C102" s="176" t="s">
        <v>55</v>
      </c>
      <c r="D102" s="176" t="s">
        <v>910</v>
      </c>
      <c r="E102" s="176" t="s">
        <v>4443</v>
      </c>
      <c r="F102" s="177">
        <v>1249</v>
      </c>
      <c r="G102" s="177">
        <v>1249</v>
      </c>
      <c r="H102" s="176" t="s">
        <v>396</v>
      </c>
      <c r="I102" s="178">
        <v>42023</v>
      </c>
      <c r="J102" s="179"/>
    </row>
    <row r="103" spans="1:10">
      <c r="A103" s="170" t="s">
        <v>1230</v>
      </c>
      <c r="B103" s="171" t="s">
        <v>72</v>
      </c>
      <c r="C103" s="171" t="s">
        <v>43</v>
      </c>
      <c r="D103" s="171" t="s">
        <v>1061</v>
      </c>
      <c r="E103" s="171" t="s">
        <v>4444</v>
      </c>
      <c r="F103" s="172">
        <v>2538.2800000000002</v>
      </c>
      <c r="G103" s="172">
        <v>2538.2800000000002</v>
      </c>
      <c r="H103" s="171" t="s">
        <v>396</v>
      </c>
      <c r="I103" s="173">
        <v>42024</v>
      </c>
      <c r="J103" s="174"/>
    </row>
    <row r="104" spans="1:10">
      <c r="A104" s="175" t="s">
        <v>1230</v>
      </c>
      <c r="B104" s="176" t="s">
        <v>76</v>
      </c>
      <c r="C104" s="176" t="s">
        <v>53</v>
      </c>
      <c r="D104" s="176" t="s">
        <v>4445</v>
      </c>
      <c r="E104" s="176" t="s">
        <v>4446</v>
      </c>
      <c r="F104" s="177">
        <v>1590</v>
      </c>
      <c r="G104" s="177">
        <v>1590</v>
      </c>
      <c r="H104" s="176" t="s">
        <v>875</v>
      </c>
      <c r="I104" s="178">
        <v>42046.56422453704</v>
      </c>
      <c r="J104" s="179"/>
    </row>
    <row r="105" spans="1:10">
      <c r="A105" s="170" t="s">
        <v>1230</v>
      </c>
      <c r="B105" s="171" t="s">
        <v>72</v>
      </c>
      <c r="C105" s="171" t="s">
        <v>53</v>
      </c>
      <c r="D105" s="171" t="s">
        <v>807</v>
      </c>
      <c r="E105" s="171" t="s">
        <v>4447</v>
      </c>
      <c r="F105" s="172">
        <v>722</v>
      </c>
      <c r="G105" s="172">
        <v>722</v>
      </c>
      <c r="H105" s="171" t="s">
        <v>804</v>
      </c>
      <c r="I105" s="173">
        <v>42044.686747685184</v>
      </c>
      <c r="J105" s="174"/>
    </row>
    <row r="106" spans="1:10">
      <c r="A106" s="175" t="s">
        <v>1230</v>
      </c>
      <c r="B106" s="176" t="s">
        <v>74</v>
      </c>
      <c r="C106" s="176" t="s">
        <v>43</v>
      </c>
      <c r="D106" s="176" t="s">
        <v>1061</v>
      </c>
      <c r="E106" s="176" t="s">
        <v>4448</v>
      </c>
      <c r="F106" s="177">
        <v>2895.3</v>
      </c>
      <c r="G106" s="177">
        <v>2895.3</v>
      </c>
      <c r="H106" s="176" t="s">
        <v>452</v>
      </c>
      <c r="I106" s="178">
        <v>42044.716863425929</v>
      </c>
      <c r="J106" s="179"/>
    </row>
    <row r="107" spans="1:10">
      <c r="A107" s="170" t="s">
        <v>1230</v>
      </c>
      <c r="B107" s="171" t="s">
        <v>73</v>
      </c>
      <c r="C107" s="171" t="s">
        <v>43</v>
      </c>
      <c r="D107" s="171" t="s">
        <v>4449</v>
      </c>
      <c r="E107" s="171" t="s">
        <v>4450</v>
      </c>
      <c r="F107" s="172">
        <v>525</v>
      </c>
      <c r="G107" s="172">
        <v>525</v>
      </c>
      <c r="H107" s="171" t="s">
        <v>942</v>
      </c>
      <c r="I107" s="173">
        <v>42046.530451388891</v>
      </c>
      <c r="J107" s="174"/>
    </row>
    <row r="108" spans="1:10">
      <c r="A108" s="175" t="s">
        <v>1230</v>
      </c>
      <c r="B108" s="176" t="s">
        <v>73</v>
      </c>
      <c r="C108" s="176" t="s">
        <v>55</v>
      </c>
      <c r="D108" s="176" t="s">
        <v>4480</v>
      </c>
      <c r="E108" s="176" t="s">
        <v>4481</v>
      </c>
      <c r="F108" s="177">
        <v>999</v>
      </c>
      <c r="G108" s="177">
        <v>999</v>
      </c>
      <c r="H108" s="176" t="s">
        <v>460</v>
      </c>
      <c r="I108" s="178">
        <v>42090.720891203702</v>
      </c>
      <c r="J108" s="179"/>
    </row>
    <row r="109" spans="1:10">
      <c r="A109" s="170" t="s">
        <v>1230</v>
      </c>
      <c r="B109" s="171" t="s">
        <v>73</v>
      </c>
      <c r="C109" s="171" t="s">
        <v>55</v>
      </c>
      <c r="D109" s="171" t="s">
        <v>4480</v>
      </c>
      <c r="E109" s="171" t="s">
        <v>4482</v>
      </c>
      <c r="F109" s="172">
        <v>999</v>
      </c>
      <c r="G109" s="172">
        <v>999</v>
      </c>
      <c r="H109" s="171" t="s">
        <v>460</v>
      </c>
      <c r="I109" s="173">
        <v>42090.720891203702</v>
      </c>
      <c r="J109" s="174"/>
    </row>
    <row r="110" spans="1:10">
      <c r="A110" s="175" t="s">
        <v>1230</v>
      </c>
      <c r="B110" s="176" t="s">
        <v>73</v>
      </c>
      <c r="C110" s="176" t="s">
        <v>55</v>
      </c>
      <c r="D110" s="176" t="s">
        <v>4480</v>
      </c>
      <c r="E110" s="176" t="s">
        <v>4483</v>
      </c>
      <c r="F110" s="177">
        <v>999</v>
      </c>
      <c r="G110" s="177">
        <v>999</v>
      </c>
      <c r="H110" s="176" t="s">
        <v>460</v>
      </c>
      <c r="I110" s="178">
        <v>42090.720891203702</v>
      </c>
      <c r="J110" s="179"/>
    </row>
    <row r="111" spans="1:10">
      <c r="A111" s="170" t="s">
        <v>1230</v>
      </c>
      <c r="B111" s="171" t="s">
        <v>73</v>
      </c>
      <c r="C111" s="171" t="s">
        <v>55</v>
      </c>
      <c r="D111" s="171" t="s">
        <v>4480</v>
      </c>
      <c r="E111" s="171" t="s">
        <v>4484</v>
      </c>
      <c r="F111" s="172">
        <v>999</v>
      </c>
      <c r="G111" s="172">
        <v>999</v>
      </c>
      <c r="H111" s="171" t="s">
        <v>460</v>
      </c>
      <c r="I111" s="173">
        <v>42090.720891203702</v>
      </c>
      <c r="J111" s="174"/>
    </row>
    <row r="112" spans="1:10">
      <c r="A112" s="175" t="s">
        <v>1230</v>
      </c>
      <c r="B112" s="176" t="s">
        <v>73</v>
      </c>
      <c r="C112" s="176" t="s">
        <v>55</v>
      </c>
      <c r="D112" s="176" t="s">
        <v>4480</v>
      </c>
      <c r="E112" s="176" t="s">
        <v>4485</v>
      </c>
      <c r="F112" s="177">
        <v>999</v>
      </c>
      <c r="G112" s="177">
        <v>999</v>
      </c>
      <c r="H112" s="176" t="s">
        <v>460</v>
      </c>
      <c r="I112" s="178">
        <v>42090.720891203702</v>
      </c>
      <c r="J112" s="179"/>
    </row>
    <row r="113" spans="1:10">
      <c r="A113" s="170" t="s">
        <v>1230</v>
      </c>
      <c r="B113" s="171" t="s">
        <v>72</v>
      </c>
      <c r="C113" s="171" t="s">
        <v>55</v>
      </c>
      <c r="D113" s="171" t="s">
        <v>920</v>
      </c>
      <c r="E113" s="171" t="s">
        <v>4486</v>
      </c>
      <c r="F113" s="172">
        <v>99</v>
      </c>
      <c r="G113" s="172">
        <v>99</v>
      </c>
      <c r="H113" s="171" t="s">
        <v>4487</v>
      </c>
      <c r="I113" s="173">
        <v>42068.434675925928</v>
      </c>
      <c r="J113" s="174"/>
    </row>
    <row r="114" spans="1:10">
      <c r="A114" s="175" t="s">
        <v>1230</v>
      </c>
      <c r="B114" s="176" t="s">
        <v>72</v>
      </c>
      <c r="C114" s="176" t="s">
        <v>55</v>
      </c>
      <c r="D114" s="176" t="s">
        <v>920</v>
      </c>
      <c r="E114" s="176" t="s">
        <v>4488</v>
      </c>
      <c r="F114" s="177">
        <v>99</v>
      </c>
      <c r="G114" s="177">
        <v>99</v>
      </c>
      <c r="H114" s="176" t="s">
        <v>804</v>
      </c>
      <c r="I114" s="178">
        <v>42068.434675925928</v>
      </c>
      <c r="J114" s="179"/>
    </row>
    <row r="115" spans="1:10">
      <c r="A115" s="170" t="s">
        <v>1230</v>
      </c>
      <c r="B115" s="171" t="s">
        <v>72</v>
      </c>
      <c r="C115" s="171" t="s">
        <v>55</v>
      </c>
      <c r="D115" s="171" t="s">
        <v>920</v>
      </c>
      <c r="E115" s="171" t="s">
        <v>4489</v>
      </c>
      <c r="F115" s="172">
        <v>99</v>
      </c>
      <c r="G115" s="172">
        <v>99</v>
      </c>
      <c r="H115" s="171" t="s">
        <v>804</v>
      </c>
      <c r="I115" s="173">
        <v>42068.434675925928</v>
      </c>
      <c r="J115" s="174"/>
    </row>
    <row r="116" spans="1:10">
      <c r="A116" s="175" t="s">
        <v>1230</v>
      </c>
      <c r="B116" s="176" t="s">
        <v>76</v>
      </c>
      <c r="C116" s="176" t="s">
        <v>53</v>
      </c>
      <c r="D116" s="176" t="s">
        <v>930</v>
      </c>
      <c r="E116" s="176" t="s">
        <v>4490</v>
      </c>
      <c r="F116" s="177">
        <v>1600</v>
      </c>
      <c r="G116" s="177">
        <v>1600</v>
      </c>
      <c r="H116" s="176" t="s">
        <v>4491</v>
      </c>
      <c r="I116" s="178">
        <v>42081.434525462966</v>
      </c>
      <c r="J116" s="179"/>
    </row>
    <row r="117" spans="1:10">
      <c r="A117" s="170" t="s">
        <v>1230</v>
      </c>
      <c r="B117" s="171" t="s">
        <v>76</v>
      </c>
      <c r="C117" s="171" t="s">
        <v>53</v>
      </c>
      <c r="D117" s="171" t="s">
        <v>910</v>
      </c>
      <c r="E117" s="171" t="s">
        <v>4492</v>
      </c>
      <c r="F117" s="172">
        <v>1099</v>
      </c>
      <c r="G117" s="172">
        <v>1099</v>
      </c>
      <c r="H117" s="171" t="s">
        <v>4491</v>
      </c>
      <c r="I117" s="173">
        <v>42081.434525462966</v>
      </c>
      <c r="J117" s="174"/>
    </row>
    <row r="118" spans="1:10">
      <c r="A118" s="175" t="s">
        <v>1230</v>
      </c>
      <c r="B118" s="176" t="s">
        <v>76</v>
      </c>
      <c r="C118" s="176" t="s">
        <v>53</v>
      </c>
      <c r="D118" s="176" t="s">
        <v>910</v>
      </c>
      <c r="E118" s="176" t="s">
        <v>4493</v>
      </c>
      <c r="F118" s="177">
        <v>1099</v>
      </c>
      <c r="G118" s="177">
        <v>1099</v>
      </c>
      <c r="H118" s="176" t="s">
        <v>4491</v>
      </c>
      <c r="I118" s="178">
        <v>42081.434525462966</v>
      </c>
      <c r="J118" s="179"/>
    </row>
    <row r="119" spans="1:10">
      <c r="A119" s="170" t="s">
        <v>1230</v>
      </c>
      <c r="B119" s="171" t="s">
        <v>73</v>
      </c>
      <c r="C119" s="171" t="s">
        <v>43</v>
      </c>
      <c r="D119" s="171" t="s">
        <v>4494</v>
      </c>
      <c r="E119" s="171" t="s">
        <v>4495</v>
      </c>
      <c r="F119" s="172">
        <v>1999</v>
      </c>
      <c r="G119" s="172">
        <v>1999</v>
      </c>
      <c r="H119" s="171" t="s">
        <v>4496</v>
      </c>
      <c r="I119" s="173">
        <v>42065.470937500002</v>
      </c>
      <c r="J119" s="174"/>
    </row>
    <row r="120" spans="1:10">
      <c r="A120" s="175" t="s">
        <v>1230</v>
      </c>
      <c r="B120" s="176" t="s">
        <v>72</v>
      </c>
      <c r="C120" s="176" t="s">
        <v>55</v>
      </c>
      <c r="D120" s="176" t="s">
        <v>540</v>
      </c>
      <c r="E120" s="176" t="s">
        <v>4497</v>
      </c>
      <c r="F120" s="177">
        <v>268</v>
      </c>
      <c r="G120" s="177">
        <v>268</v>
      </c>
      <c r="H120" s="176" t="s">
        <v>804</v>
      </c>
      <c r="I120" s="178">
        <v>42068.429849537039</v>
      </c>
      <c r="J120" s="179"/>
    </row>
    <row r="121" spans="1:10">
      <c r="A121" s="170" t="s">
        <v>1230</v>
      </c>
      <c r="B121" s="171" t="s">
        <v>76</v>
      </c>
      <c r="C121" s="171" t="s">
        <v>53</v>
      </c>
      <c r="D121" s="171" t="s">
        <v>4498</v>
      </c>
      <c r="E121" s="171" t="s">
        <v>4499</v>
      </c>
      <c r="F121" s="172">
        <v>1799</v>
      </c>
      <c r="G121" s="172">
        <v>1799</v>
      </c>
      <c r="H121" s="171" t="s">
        <v>458</v>
      </c>
      <c r="I121" s="173">
        <v>42086.492604166669</v>
      </c>
      <c r="J121" s="174"/>
    </row>
    <row r="122" spans="1:10">
      <c r="A122" s="175" t="s">
        <v>1230</v>
      </c>
      <c r="B122" s="176" t="s">
        <v>73</v>
      </c>
      <c r="C122" s="176" t="s">
        <v>43</v>
      </c>
      <c r="D122" s="176" t="s">
        <v>4430</v>
      </c>
      <c r="E122" s="176" t="s">
        <v>5387</v>
      </c>
      <c r="F122" s="177">
        <v>2365.61</v>
      </c>
      <c r="G122" s="177">
        <v>2365.61</v>
      </c>
      <c r="H122" s="176" t="s">
        <v>5388</v>
      </c>
      <c r="I122" s="178">
        <v>42123.366655092592</v>
      </c>
      <c r="J122" s="179"/>
    </row>
    <row r="123" spans="1:10">
      <c r="A123" s="170" t="s">
        <v>1230</v>
      </c>
      <c r="B123" s="171" t="s">
        <v>73</v>
      </c>
      <c r="C123" s="171" t="s">
        <v>54</v>
      </c>
      <c r="D123" s="171" t="s">
        <v>5389</v>
      </c>
      <c r="E123" s="171" t="s">
        <v>5390</v>
      </c>
      <c r="F123" s="172">
        <v>4700</v>
      </c>
      <c r="G123" s="172">
        <v>4700</v>
      </c>
      <c r="H123" s="171" t="s">
        <v>1369</v>
      </c>
      <c r="I123" s="173">
        <v>42108.579780092594</v>
      </c>
      <c r="J123" s="174"/>
    </row>
    <row r="124" spans="1:10">
      <c r="A124" s="175" t="s">
        <v>1230</v>
      </c>
      <c r="B124" s="176" t="s">
        <v>73</v>
      </c>
      <c r="C124" s="176" t="s">
        <v>54</v>
      </c>
      <c r="D124" s="176" t="s">
        <v>5391</v>
      </c>
      <c r="E124" s="176" t="s">
        <v>5392</v>
      </c>
      <c r="F124" s="177">
        <v>1499</v>
      </c>
      <c r="G124" s="177">
        <v>1499</v>
      </c>
      <c r="H124" s="176" t="s">
        <v>442</v>
      </c>
      <c r="I124" s="178">
        <v>42108.482858796298</v>
      </c>
      <c r="J124" s="179"/>
    </row>
    <row r="125" spans="1:10">
      <c r="A125" s="170" t="s">
        <v>1230</v>
      </c>
      <c r="B125" s="171" t="s">
        <v>73</v>
      </c>
      <c r="C125" s="171" t="s">
        <v>43</v>
      </c>
      <c r="D125" s="171" t="s">
        <v>5393</v>
      </c>
      <c r="E125" s="171" t="s">
        <v>5394</v>
      </c>
      <c r="F125" s="172">
        <v>2982</v>
      </c>
      <c r="G125" s="172">
        <v>2982</v>
      </c>
      <c r="H125" s="171" t="s">
        <v>5395</v>
      </c>
      <c r="I125" s="173">
        <v>42153.474861111114</v>
      </c>
      <c r="J125" s="174"/>
    </row>
    <row r="126" spans="1:10">
      <c r="A126" s="175" t="s">
        <v>1230</v>
      </c>
      <c r="B126" s="176" t="s">
        <v>73</v>
      </c>
      <c r="C126" s="176" t="s">
        <v>43</v>
      </c>
      <c r="D126" s="176" t="s">
        <v>4427</v>
      </c>
      <c r="E126" s="176" t="s">
        <v>5396</v>
      </c>
      <c r="F126" s="177">
        <v>2218.3000000000002</v>
      </c>
      <c r="G126" s="177">
        <v>2218.3000000000002</v>
      </c>
      <c r="H126" s="176" t="s">
        <v>5397</v>
      </c>
      <c r="I126" s="178">
        <v>42143.359293981484</v>
      </c>
      <c r="J126" s="179"/>
    </row>
    <row r="127" spans="1:10">
      <c r="A127" s="170" t="s">
        <v>1230</v>
      </c>
      <c r="B127" s="171" t="s">
        <v>73</v>
      </c>
      <c r="C127" s="171" t="s">
        <v>43</v>
      </c>
      <c r="D127" s="171" t="s">
        <v>5398</v>
      </c>
      <c r="E127" s="171" t="s">
        <v>5399</v>
      </c>
      <c r="F127" s="172">
        <v>847.21</v>
      </c>
      <c r="G127" s="172">
        <v>847.21</v>
      </c>
      <c r="H127" s="171" t="s">
        <v>1369</v>
      </c>
      <c r="I127" s="173">
        <v>42146.444618055553</v>
      </c>
      <c r="J127" s="174"/>
    </row>
    <row r="128" spans="1:10">
      <c r="A128" s="175" t="s">
        <v>1230</v>
      </c>
      <c r="B128" s="176" t="s">
        <v>74</v>
      </c>
      <c r="C128" s="176" t="s">
        <v>43</v>
      </c>
      <c r="D128" s="176" t="s">
        <v>1061</v>
      </c>
      <c r="E128" s="176" t="s">
        <v>5400</v>
      </c>
      <c r="F128" s="177">
        <v>2439</v>
      </c>
      <c r="G128" s="177">
        <v>2439</v>
      </c>
      <c r="H128" s="176" t="s">
        <v>5401</v>
      </c>
      <c r="I128" s="178">
        <v>42107.387384259258</v>
      </c>
      <c r="J128" s="179"/>
    </row>
    <row r="129" spans="1:10">
      <c r="A129" s="170" t="s">
        <v>1230</v>
      </c>
      <c r="B129" s="171" t="s">
        <v>74</v>
      </c>
      <c r="C129" s="171" t="s">
        <v>43</v>
      </c>
      <c r="D129" s="171" t="s">
        <v>5402</v>
      </c>
      <c r="E129" s="171" t="s">
        <v>5403</v>
      </c>
      <c r="F129" s="172">
        <v>2654.1</v>
      </c>
      <c r="G129" s="172">
        <v>2654.1</v>
      </c>
      <c r="H129" s="171" t="s">
        <v>442</v>
      </c>
      <c r="I129" s="173">
        <v>42108.596099537041</v>
      </c>
      <c r="J129" s="174"/>
    </row>
    <row r="130" spans="1:10">
      <c r="A130" s="175" t="s">
        <v>1230</v>
      </c>
      <c r="B130" s="176" t="s">
        <v>73</v>
      </c>
      <c r="C130" s="176" t="s">
        <v>53</v>
      </c>
      <c r="D130" s="176" t="s">
        <v>5404</v>
      </c>
      <c r="E130" s="176" t="s">
        <v>5405</v>
      </c>
      <c r="F130" s="177">
        <v>1352.26</v>
      </c>
      <c r="G130" s="177">
        <v>1352.26</v>
      </c>
      <c r="H130" s="176" t="s">
        <v>460</v>
      </c>
      <c r="I130" s="178">
        <v>42146.45584490741</v>
      </c>
      <c r="J130" s="179"/>
    </row>
    <row r="131" spans="1:10">
      <c r="A131" s="170" t="s">
        <v>1230</v>
      </c>
      <c r="B131" s="171" t="s">
        <v>73</v>
      </c>
      <c r="C131" s="171" t="s">
        <v>53</v>
      </c>
      <c r="D131" s="171" t="s">
        <v>5406</v>
      </c>
      <c r="E131" s="171" t="s">
        <v>5407</v>
      </c>
      <c r="F131" s="172">
        <v>1850.75</v>
      </c>
      <c r="G131" s="172">
        <v>1850.75</v>
      </c>
      <c r="H131" s="171" t="s">
        <v>460</v>
      </c>
      <c r="I131" s="173">
        <v>42146.45584490741</v>
      </c>
      <c r="J131" s="174"/>
    </row>
    <row r="132" spans="1:10">
      <c r="A132" s="175" t="s">
        <v>1230</v>
      </c>
      <c r="B132" s="176" t="s">
        <v>72</v>
      </c>
      <c r="C132" s="176" t="s">
        <v>55</v>
      </c>
      <c r="D132" s="176" t="s">
        <v>721</v>
      </c>
      <c r="E132" s="176" t="s">
        <v>5408</v>
      </c>
      <c r="F132" s="177">
        <v>1300</v>
      </c>
      <c r="G132" s="177">
        <v>1300</v>
      </c>
      <c r="H132" s="176" t="s">
        <v>1146</v>
      </c>
      <c r="I132" s="178">
        <v>42117.394594907404</v>
      </c>
      <c r="J132" s="179"/>
    </row>
    <row r="133" spans="1:10">
      <c r="A133" s="170" t="s">
        <v>1230</v>
      </c>
      <c r="B133" s="171" t="s">
        <v>76</v>
      </c>
      <c r="C133" s="171" t="s">
        <v>55</v>
      </c>
      <c r="D133" s="171" t="s">
        <v>1139</v>
      </c>
      <c r="E133" s="171" t="s">
        <v>5409</v>
      </c>
      <c r="F133" s="172">
        <v>999</v>
      </c>
      <c r="G133" s="172">
        <v>999</v>
      </c>
      <c r="H133" s="171" t="s">
        <v>5410</v>
      </c>
      <c r="I133" s="173">
        <v>42100.362650462965</v>
      </c>
      <c r="J133" s="174"/>
    </row>
    <row r="134" spans="1:10">
      <c r="A134" s="175" t="s">
        <v>1230</v>
      </c>
      <c r="B134" s="176" t="s">
        <v>73</v>
      </c>
      <c r="C134" s="176" t="s">
        <v>55</v>
      </c>
      <c r="D134" s="176" t="s">
        <v>4480</v>
      </c>
      <c r="E134" s="176" t="s">
        <v>5411</v>
      </c>
      <c r="F134" s="177">
        <v>1040</v>
      </c>
      <c r="G134" s="177">
        <v>1040</v>
      </c>
      <c r="H134" s="176" t="s">
        <v>460</v>
      </c>
      <c r="I134" s="178">
        <v>42100.323819444442</v>
      </c>
      <c r="J134" s="179"/>
    </row>
    <row r="135" spans="1:10">
      <c r="A135" s="170" t="s">
        <v>1230</v>
      </c>
      <c r="B135" s="171" t="s">
        <v>76</v>
      </c>
      <c r="C135" s="171" t="s">
        <v>55</v>
      </c>
      <c r="D135" s="171" t="s">
        <v>1152</v>
      </c>
      <c r="E135" s="171" t="s">
        <v>5412</v>
      </c>
      <c r="F135" s="172">
        <v>430</v>
      </c>
      <c r="G135" s="172">
        <v>430</v>
      </c>
      <c r="H135" s="171" t="s">
        <v>5410</v>
      </c>
      <c r="I135" s="173">
        <v>42102.474722222221</v>
      </c>
      <c r="J135" s="174"/>
    </row>
    <row r="136" spans="1:10">
      <c r="A136" s="175" t="s">
        <v>1230</v>
      </c>
      <c r="B136" s="176" t="s">
        <v>73</v>
      </c>
      <c r="C136" s="176" t="s">
        <v>55</v>
      </c>
      <c r="D136" s="176" t="s">
        <v>5413</v>
      </c>
      <c r="E136" s="176" t="s">
        <v>5414</v>
      </c>
      <c r="F136" s="177">
        <v>669.01</v>
      </c>
      <c r="G136" s="177">
        <v>669.01</v>
      </c>
      <c r="H136" s="176" t="s">
        <v>5415</v>
      </c>
      <c r="I136" s="178">
        <v>42107.430428240739</v>
      </c>
      <c r="J136" s="179"/>
    </row>
    <row r="137" spans="1:10">
      <c r="A137" s="170" t="s">
        <v>1230</v>
      </c>
      <c r="B137" s="171" t="s">
        <v>73</v>
      </c>
      <c r="C137" s="171" t="s">
        <v>55</v>
      </c>
      <c r="D137" s="171" t="s">
        <v>930</v>
      </c>
      <c r="E137" s="171" t="s">
        <v>5416</v>
      </c>
      <c r="F137" s="172">
        <v>1655</v>
      </c>
      <c r="G137" s="172">
        <v>1655</v>
      </c>
      <c r="H137" s="171" t="s">
        <v>834</v>
      </c>
      <c r="I137" s="173">
        <v>42143.361712962964</v>
      </c>
      <c r="J137" s="174"/>
    </row>
    <row r="138" spans="1:10">
      <c r="A138" s="175" t="s">
        <v>1230</v>
      </c>
      <c r="B138" s="176" t="s">
        <v>72</v>
      </c>
      <c r="C138" s="176" t="s">
        <v>53</v>
      </c>
      <c r="D138" s="176" t="s">
        <v>5417</v>
      </c>
      <c r="E138" s="176" t="s">
        <v>5418</v>
      </c>
      <c r="F138" s="177">
        <v>610</v>
      </c>
      <c r="G138" s="177">
        <v>610</v>
      </c>
      <c r="H138" s="176" t="s">
        <v>804</v>
      </c>
      <c r="I138" s="178">
        <v>42146.428530092591</v>
      </c>
      <c r="J138" s="179"/>
    </row>
    <row r="139" spans="1:10">
      <c r="A139" s="170" t="s">
        <v>1230</v>
      </c>
      <c r="B139" s="171" t="s">
        <v>72</v>
      </c>
      <c r="C139" s="171" t="s">
        <v>53</v>
      </c>
      <c r="D139" s="171" t="s">
        <v>5419</v>
      </c>
      <c r="E139" s="171" t="s">
        <v>5420</v>
      </c>
      <c r="F139" s="172">
        <v>1635</v>
      </c>
      <c r="G139" s="172">
        <v>1635</v>
      </c>
      <c r="H139" s="171" t="s">
        <v>804</v>
      </c>
      <c r="I139" s="173">
        <v>42146.428530092591</v>
      </c>
      <c r="J139" s="174"/>
    </row>
    <row r="140" spans="1:10">
      <c r="A140" s="175" t="s">
        <v>1230</v>
      </c>
      <c r="B140" s="176" t="s">
        <v>76</v>
      </c>
      <c r="C140" s="176" t="s">
        <v>53</v>
      </c>
      <c r="D140" s="176" t="s">
        <v>5421</v>
      </c>
      <c r="E140" s="176" t="s">
        <v>5422</v>
      </c>
      <c r="F140" s="177">
        <v>1772.45</v>
      </c>
      <c r="G140" s="177">
        <v>1772.45</v>
      </c>
      <c r="H140" s="176" t="s">
        <v>875</v>
      </c>
      <c r="I140" s="178">
        <v>42146.495185185187</v>
      </c>
      <c r="J140" s="179"/>
    </row>
    <row r="141" spans="1:10">
      <c r="A141" s="170" t="s">
        <v>1230</v>
      </c>
      <c r="B141" s="171" t="s">
        <v>73</v>
      </c>
      <c r="C141" s="171" t="s">
        <v>55</v>
      </c>
      <c r="D141" s="171" t="s">
        <v>4480</v>
      </c>
      <c r="E141" s="171" t="s">
        <v>5423</v>
      </c>
      <c r="F141" s="172">
        <v>1040</v>
      </c>
      <c r="G141" s="172">
        <v>1040</v>
      </c>
      <c r="H141" s="171" t="s">
        <v>460</v>
      </c>
      <c r="I141" s="173">
        <v>42100.323819444442</v>
      </c>
      <c r="J141" s="174"/>
    </row>
    <row r="142" spans="1:10">
      <c r="A142" s="175" t="s">
        <v>1230</v>
      </c>
      <c r="B142" s="176" t="s">
        <v>71</v>
      </c>
      <c r="C142" s="176" t="s">
        <v>43</v>
      </c>
      <c r="D142" s="176" t="s">
        <v>1021</v>
      </c>
      <c r="E142" s="176" t="s">
        <v>5561</v>
      </c>
      <c r="F142" s="177">
        <v>9979.01</v>
      </c>
      <c r="G142" s="177">
        <v>9979.01</v>
      </c>
      <c r="H142" s="176" t="s">
        <v>519</v>
      </c>
      <c r="I142" s="178">
        <v>42179</v>
      </c>
      <c r="J142" s="179"/>
    </row>
    <row r="143" spans="1:10">
      <c r="A143" s="170" t="s">
        <v>1230</v>
      </c>
      <c r="B143" s="171" t="s">
        <v>73</v>
      </c>
      <c r="C143" s="171" t="s">
        <v>53</v>
      </c>
      <c r="D143" s="171" t="s">
        <v>5562</v>
      </c>
      <c r="E143" s="171" t="s">
        <v>5563</v>
      </c>
      <c r="F143" s="172">
        <v>1336.16</v>
      </c>
      <c r="G143" s="172">
        <v>1336.16</v>
      </c>
      <c r="H143" s="171" t="s">
        <v>398</v>
      </c>
      <c r="I143" s="173">
        <v>42179.435648148145</v>
      </c>
      <c r="J143" s="174"/>
    </row>
    <row r="144" spans="1:10">
      <c r="A144" s="175" t="s">
        <v>1230</v>
      </c>
      <c r="B144" s="176" t="s">
        <v>74</v>
      </c>
      <c r="C144" s="176" t="s">
        <v>43</v>
      </c>
      <c r="D144" s="176" t="s">
        <v>811</v>
      </c>
      <c r="E144" s="176" t="s">
        <v>5564</v>
      </c>
      <c r="F144" s="177">
        <v>342</v>
      </c>
      <c r="G144" s="177">
        <v>342</v>
      </c>
      <c r="H144" s="176" t="s">
        <v>875</v>
      </c>
      <c r="I144" s="178">
        <v>42166.418333333335</v>
      </c>
      <c r="J144" s="179"/>
    </row>
    <row r="145" spans="1:10">
      <c r="A145" s="170" t="s">
        <v>1230</v>
      </c>
      <c r="B145" s="171" t="s">
        <v>72</v>
      </c>
      <c r="C145" s="171" t="s">
        <v>55</v>
      </c>
      <c r="D145" s="171" t="s">
        <v>5565</v>
      </c>
      <c r="E145" s="171" t="s">
        <v>5566</v>
      </c>
      <c r="F145" s="172">
        <v>120</v>
      </c>
      <c r="G145" s="172">
        <v>120</v>
      </c>
      <c r="H145" s="171" t="s">
        <v>396</v>
      </c>
      <c r="I145" s="173">
        <v>42179.431238425925</v>
      </c>
      <c r="J145" s="174"/>
    </row>
    <row r="146" spans="1:10">
      <c r="A146" s="175" t="s">
        <v>1230</v>
      </c>
      <c r="B146" s="176" t="s">
        <v>72</v>
      </c>
      <c r="C146" s="176" t="s">
        <v>55</v>
      </c>
      <c r="D146" s="176" t="s">
        <v>5565</v>
      </c>
      <c r="E146" s="176" t="s">
        <v>5567</v>
      </c>
      <c r="F146" s="177">
        <v>120</v>
      </c>
      <c r="G146" s="177">
        <v>120</v>
      </c>
      <c r="H146" s="176" t="s">
        <v>396</v>
      </c>
      <c r="I146" s="178">
        <v>42179.431238425925</v>
      </c>
      <c r="J146" s="179"/>
    </row>
    <row r="147" spans="1:10">
      <c r="A147" s="170" t="s">
        <v>1230</v>
      </c>
      <c r="B147" s="171" t="s">
        <v>72</v>
      </c>
      <c r="C147" s="171" t="s">
        <v>55</v>
      </c>
      <c r="D147" s="171" t="s">
        <v>5565</v>
      </c>
      <c r="E147" s="171" t="s">
        <v>5568</v>
      </c>
      <c r="F147" s="172">
        <v>120</v>
      </c>
      <c r="G147" s="172">
        <v>120</v>
      </c>
      <c r="H147" s="171" t="s">
        <v>396</v>
      </c>
      <c r="I147" s="173">
        <v>42179.431238425925</v>
      </c>
      <c r="J147" s="174"/>
    </row>
    <row r="148" spans="1:10">
      <c r="A148" s="175" t="s">
        <v>1230</v>
      </c>
      <c r="B148" s="176" t="s">
        <v>72</v>
      </c>
      <c r="C148" s="176" t="s">
        <v>55</v>
      </c>
      <c r="D148" s="176" t="s">
        <v>5565</v>
      </c>
      <c r="E148" s="176" t="s">
        <v>5569</v>
      </c>
      <c r="F148" s="177">
        <v>120</v>
      </c>
      <c r="G148" s="177">
        <v>120</v>
      </c>
      <c r="H148" s="176" t="s">
        <v>396</v>
      </c>
      <c r="I148" s="178">
        <v>42179.431238425925</v>
      </c>
      <c r="J148" s="179"/>
    </row>
    <row r="149" spans="1:10">
      <c r="A149" s="170" t="s">
        <v>1230</v>
      </c>
      <c r="B149" s="171" t="s">
        <v>72</v>
      </c>
      <c r="C149" s="171" t="s">
        <v>55</v>
      </c>
      <c r="D149" s="171" t="s">
        <v>5565</v>
      </c>
      <c r="E149" s="171" t="s">
        <v>5570</v>
      </c>
      <c r="F149" s="172">
        <v>120</v>
      </c>
      <c r="G149" s="172">
        <v>120</v>
      </c>
      <c r="H149" s="171" t="s">
        <v>396</v>
      </c>
      <c r="I149" s="173">
        <v>42179.431238425925</v>
      </c>
      <c r="J149" s="174"/>
    </row>
    <row r="150" spans="1:10">
      <c r="A150" s="175" t="s">
        <v>1230</v>
      </c>
      <c r="B150" s="176" t="s">
        <v>72</v>
      </c>
      <c r="C150" s="176" t="s">
        <v>55</v>
      </c>
      <c r="D150" s="176" t="s">
        <v>5565</v>
      </c>
      <c r="E150" s="176" t="s">
        <v>5571</v>
      </c>
      <c r="F150" s="177">
        <v>120</v>
      </c>
      <c r="G150" s="177">
        <v>120</v>
      </c>
      <c r="H150" s="176" t="s">
        <v>396</v>
      </c>
      <c r="I150" s="178">
        <v>42179.431238425925</v>
      </c>
      <c r="J150" s="179"/>
    </row>
    <row r="151" spans="1:10">
      <c r="A151" s="170" t="s">
        <v>1230</v>
      </c>
      <c r="B151" s="171" t="s">
        <v>72</v>
      </c>
      <c r="C151" s="171" t="s">
        <v>55</v>
      </c>
      <c r="D151" s="171" t="s">
        <v>5565</v>
      </c>
      <c r="E151" s="171" t="s">
        <v>5572</v>
      </c>
      <c r="F151" s="172">
        <v>120</v>
      </c>
      <c r="G151" s="172">
        <v>120</v>
      </c>
      <c r="H151" s="171" t="s">
        <v>396</v>
      </c>
      <c r="I151" s="173">
        <v>42179.431238425925</v>
      </c>
      <c r="J151" s="174"/>
    </row>
    <row r="152" spans="1:10">
      <c r="A152" s="175" t="s">
        <v>1230</v>
      </c>
      <c r="B152" s="176" t="s">
        <v>72</v>
      </c>
      <c r="C152" s="176" t="s">
        <v>55</v>
      </c>
      <c r="D152" s="176" t="s">
        <v>5565</v>
      </c>
      <c r="E152" s="176" t="s">
        <v>5573</v>
      </c>
      <c r="F152" s="177">
        <v>120</v>
      </c>
      <c r="G152" s="177">
        <v>120</v>
      </c>
      <c r="H152" s="176" t="s">
        <v>396</v>
      </c>
      <c r="I152" s="178">
        <v>42179.431238425925</v>
      </c>
      <c r="J152" s="179"/>
    </row>
    <row r="153" spans="1:10">
      <c r="A153" s="170" t="s">
        <v>1230</v>
      </c>
      <c r="B153" s="171" t="s">
        <v>72</v>
      </c>
      <c r="C153" s="171" t="s">
        <v>55</v>
      </c>
      <c r="D153" s="171" t="s">
        <v>5565</v>
      </c>
      <c r="E153" s="171" t="s">
        <v>5574</v>
      </c>
      <c r="F153" s="172">
        <v>120</v>
      </c>
      <c r="G153" s="172">
        <v>120</v>
      </c>
      <c r="H153" s="171" t="s">
        <v>396</v>
      </c>
      <c r="I153" s="173">
        <v>42179.431238425925</v>
      </c>
      <c r="J153" s="174"/>
    </row>
    <row r="154" spans="1:10">
      <c r="A154" s="175" t="s">
        <v>1230</v>
      </c>
      <c r="B154" s="176" t="s">
        <v>72</v>
      </c>
      <c r="C154" s="176" t="s">
        <v>55</v>
      </c>
      <c r="D154" s="176" t="s">
        <v>5565</v>
      </c>
      <c r="E154" s="176" t="s">
        <v>5575</v>
      </c>
      <c r="F154" s="177">
        <v>120</v>
      </c>
      <c r="G154" s="177">
        <v>120</v>
      </c>
      <c r="H154" s="176" t="s">
        <v>396</v>
      </c>
      <c r="I154" s="178">
        <v>42179.431238425925</v>
      </c>
      <c r="J154" s="179"/>
    </row>
    <row r="155" spans="1:10">
      <c r="A155" s="170" t="s">
        <v>1230</v>
      </c>
      <c r="B155" s="171" t="s">
        <v>72</v>
      </c>
      <c r="C155" s="171" t="s">
        <v>55</v>
      </c>
      <c r="D155" s="171" t="s">
        <v>5565</v>
      </c>
      <c r="E155" s="171" t="s">
        <v>5576</v>
      </c>
      <c r="F155" s="172">
        <v>120</v>
      </c>
      <c r="G155" s="172">
        <v>120</v>
      </c>
      <c r="H155" s="171" t="s">
        <v>396</v>
      </c>
      <c r="I155" s="173">
        <v>42179.431238425925</v>
      </c>
      <c r="J155" s="174"/>
    </row>
    <row r="156" spans="1:10">
      <c r="A156" s="175" t="s">
        <v>1230</v>
      </c>
      <c r="B156" s="176" t="s">
        <v>72</v>
      </c>
      <c r="C156" s="176" t="s">
        <v>55</v>
      </c>
      <c r="D156" s="176" t="s">
        <v>5565</v>
      </c>
      <c r="E156" s="176" t="s">
        <v>5577</v>
      </c>
      <c r="F156" s="177">
        <v>120</v>
      </c>
      <c r="G156" s="177">
        <v>120</v>
      </c>
      <c r="H156" s="176" t="s">
        <v>396</v>
      </c>
      <c r="I156" s="178">
        <v>42179.431238425925</v>
      </c>
      <c r="J156" s="179"/>
    </row>
    <row r="157" spans="1:10">
      <c r="A157" s="170" t="s">
        <v>1230</v>
      </c>
      <c r="B157" s="171" t="s">
        <v>72</v>
      </c>
      <c r="C157" s="171" t="s">
        <v>55</v>
      </c>
      <c r="D157" s="171" t="s">
        <v>5565</v>
      </c>
      <c r="E157" s="171" t="s">
        <v>5578</v>
      </c>
      <c r="F157" s="172">
        <v>120</v>
      </c>
      <c r="G157" s="172">
        <v>120</v>
      </c>
      <c r="H157" s="171" t="s">
        <v>396</v>
      </c>
      <c r="I157" s="173">
        <v>42179.431238425925</v>
      </c>
      <c r="J157" s="174"/>
    </row>
    <row r="158" spans="1:10">
      <c r="A158" s="175" t="s">
        <v>1230</v>
      </c>
      <c r="B158" s="176" t="s">
        <v>72</v>
      </c>
      <c r="C158" s="176" t="s">
        <v>55</v>
      </c>
      <c r="D158" s="176" t="s">
        <v>5565</v>
      </c>
      <c r="E158" s="176" t="s">
        <v>5579</v>
      </c>
      <c r="F158" s="177">
        <v>120</v>
      </c>
      <c r="G158" s="177">
        <v>120</v>
      </c>
      <c r="H158" s="176" t="s">
        <v>396</v>
      </c>
      <c r="I158" s="178">
        <v>42179.431238425925</v>
      </c>
      <c r="J158" s="179"/>
    </row>
    <row r="159" spans="1:10">
      <c r="A159" s="170" t="s">
        <v>1230</v>
      </c>
      <c r="B159" s="171" t="s">
        <v>72</v>
      </c>
      <c r="C159" s="171" t="s">
        <v>55</v>
      </c>
      <c r="D159" s="171" t="s">
        <v>5565</v>
      </c>
      <c r="E159" s="171" t="s">
        <v>5580</v>
      </c>
      <c r="F159" s="172">
        <v>120</v>
      </c>
      <c r="G159" s="172">
        <v>120</v>
      </c>
      <c r="H159" s="171" t="s">
        <v>396</v>
      </c>
      <c r="I159" s="173">
        <v>42179.431238425925</v>
      </c>
      <c r="J159" s="174"/>
    </row>
    <row r="160" spans="1:10">
      <c r="A160" s="175" t="s">
        <v>1230</v>
      </c>
      <c r="B160" s="176" t="s">
        <v>72</v>
      </c>
      <c r="C160" s="176" t="s">
        <v>55</v>
      </c>
      <c r="D160" s="176" t="s">
        <v>5565</v>
      </c>
      <c r="E160" s="176" t="s">
        <v>5581</v>
      </c>
      <c r="F160" s="177">
        <v>120</v>
      </c>
      <c r="G160" s="177">
        <v>120</v>
      </c>
      <c r="H160" s="176" t="s">
        <v>396</v>
      </c>
      <c r="I160" s="178">
        <v>42179.431238425925</v>
      </c>
      <c r="J160" s="179"/>
    </row>
    <row r="161" spans="1:10">
      <c r="A161" s="170" t="s">
        <v>1230</v>
      </c>
      <c r="B161" s="171" t="s">
        <v>72</v>
      </c>
      <c r="C161" s="171" t="s">
        <v>55</v>
      </c>
      <c r="D161" s="171" t="s">
        <v>5565</v>
      </c>
      <c r="E161" s="171" t="s">
        <v>5582</v>
      </c>
      <c r="F161" s="172">
        <v>120</v>
      </c>
      <c r="G161" s="172">
        <v>120</v>
      </c>
      <c r="H161" s="171" t="s">
        <v>396</v>
      </c>
      <c r="I161" s="173">
        <v>42179.431238425925</v>
      </c>
      <c r="J161" s="174"/>
    </row>
    <row r="162" spans="1:10">
      <c r="A162" s="175" t="s">
        <v>1230</v>
      </c>
      <c r="B162" s="176" t="s">
        <v>72</v>
      </c>
      <c r="C162" s="176" t="s">
        <v>55</v>
      </c>
      <c r="D162" s="176" t="s">
        <v>5565</v>
      </c>
      <c r="E162" s="176" t="s">
        <v>5583</v>
      </c>
      <c r="F162" s="177">
        <v>120</v>
      </c>
      <c r="G162" s="177">
        <v>120</v>
      </c>
      <c r="H162" s="176" t="s">
        <v>396</v>
      </c>
      <c r="I162" s="178">
        <v>42179.431238425925</v>
      </c>
      <c r="J162" s="179"/>
    </row>
    <row r="163" spans="1:10">
      <c r="A163" s="170" t="s">
        <v>1230</v>
      </c>
      <c r="B163" s="171" t="s">
        <v>72</v>
      </c>
      <c r="C163" s="171" t="s">
        <v>55</v>
      </c>
      <c r="D163" s="171" t="s">
        <v>5565</v>
      </c>
      <c r="E163" s="171" t="s">
        <v>5584</v>
      </c>
      <c r="F163" s="172">
        <v>120</v>
      </c>
      <c r="G163" s="172">
        <v>120</v>
      </c>
      <c r="H163" s="171" t="s">
        <v>396</v>
      </c>
      <c r="I163" s="173">
        <v>42179.431238425925</v>
      </c>
      <c r="J163" s="174"/>
    </row>
    <row r="164" spans="1:10">
      <c r="A164" s="175" t="s">
        <v>1230</v>
      </c>
      <c r="B164" s="176" t="s">
        <v>72</v>
      </c>
      <c r="C164" s="176" t="s">
        <v>55</v>
      </c>
      <c r="D164" s="176" t="s">
        <v>5565</v>
      </c>
      <c r="E164" s="176" t="s">
        <v>5585</v>
      </c>
      <c r="F164" s="177">
        <v>120</v>
      </c>
      <c r="G164" s="177">
        <v>120</v>
      </c>
      <c r="H164" s="176" t="s">
        <v>396</v>
      </c>
      <c r="I164" s="178">
        <v>42179.431238425925</v>
      </c>
      <c r="J164" s="179"/>
    </row>
    <row r="165" spans="1:10">
      <c r="A165" s="170" t="s">
        <v>1230</v>
      </c>
      <c r="B165" s="171" t="s">
        <v>76</v>
      </c>
      <c r="C165" s="171" t="s">
        <v>54</v>
      </c>
      <c r="D165" s="171" t="s">
        <v>5586</v>
      </c>
      <c r="E165" s="171" t="s">
        <v>5587</v>
      </c>
      <c r="F165" s="172">
        <v>600</v>
      </c>
      <c r="G165" s="172">
        <v>600</v>
      </c>
      <c r="H165" s="171" t="s">
        <v>875</v>
      </c>
      <c r="I165" s="173">
        <v>42171</v>
      </c>
      <c r="J165" s="174"/>
    </row>
    <row r="166" spans="1:10">
      <c r="A166" s="175" t="s">
        <v>1230</v>
      </c>
      <c r="B166" s="176" t="s">
        <v>73</v>
      </c>
      <c r="C166" s="176" t="s">
        <v>43</v>
      </c>
      <c r="D166" s="176" t="s">
        <v>5611</v>
      </c>
      <c r="E166" s="176" t="s">
        <v>5612</v>
      </c>
      <c r="F166" s="177">
        <v>3068.41</v>
      </c>
      <c r="G166" s="177">
        <v>3068.41</v>
      </c>
      <c r="H166" s="176" t="s">
        <v>5613</v>
      </c>
      <c r="I166" s="178">
        <v>42212.549467592595</v>
      </c>
      <c r="J166" s="179"/>
    </row>
    <row r="167" spans="1:10">
      <c r="A167" s="170" t="s">
        <v>1230</v>
      </c>
      <c r="B167" s="171" t="s">
        <v>72</v>
      </c>
      <c r="C167" s="171" t="s">
        <v>43</v>
      </c>
      <c r="D167" s="171" t="s">
        <v>5614</v>
      </c>
      <c r="E167" s="171" t="s">
        <v>5615</v>
      </c>
      <c r="F167" s="172">
        <v>1346.4</v>
      </c>
      <c r="G167" s="172">
        <v>1346.4</v>
      </c>
      <c r="H167" s="171" t="s">
        <v>474</v>
      </c>
      <c r="I167" s="173">
        <v>42213.494479166664</v>
      </c>
      <c r="J167" s="174"/>
    </row>
    <row r="168" spans="1:10">
      <c r="A168" s="175" t="s">
        <v>1230</v>
      </c>
      <c r="B168" s="176" t="s">
        <v>74</v>
      </c>
      <c r="C168" s="176" t="s">
        <v>43</v>
      </c>
      <c r="D168" s="176" t="s">
        <v>5614</v>
      </c>
      <c r="E168" s="176" t="s">
        <v>5616</v>
      </c>
      <c r="F168" s="177">
        <v>1494.9</v>
      </c>
      <c r="G168" s="177">
        <v>1494.9</v>
      </c>
      <c r="H168" s="176" t="s">
        <v>1292</v>
      </c>
      <c r="I168" s="178">
        <v>42212.560925925929</v>
      </c>
      <c r="J168" s="179"/>
    </row>
    <row r="169" spans="1:10">
      <c r="A169" s="170" t="s">
        <v>1230</v>
      </c>
      <c r="B169" s="171" t="s">
        <v>72</v>
      </c>
      <c r="C169" s="171" t="s">
        <v>55</v>
      </c>
      <c r="D169" s="171" t="s">
        <v>748</v>
      </c>
      <c r="E169" s="171" t="s">
        <v>5617</v>
      </c>
      <c r="F169" s="172">
        <v>269</v>
      </c>
      <c r="G169" s="172">
        <v>269</v>
      </c>
      <c r="H169" s="171" t="s">
        <v>396</v>
      </c>
      <c r="I169" s="173">
        <v>42212.554444444446</v>
      </c>
      <c r="J169" s="174"/>
    </row>
    <row r="170" spans="1:10">
      <c r="A170" s="175" t="s">
        <v>1230</v>
      </c>
      <c r="B170" s="176" t="s">
        <v>74</v>
      </c>
      <c r="C170" s="176" t="s">
        <v>43</v>
      </c>
      <c r="D170" s="176" t="s">
        <v>661</v>
      </c>
      <c r="E170" s="176" t="s">
        <v>5618</v>
      </c>
      <c r="F170" s="177">
        <v>755.1</v>
      </c>
      <c r="G170" s="177">
        <v>755.1</v>
      </c>
      <c r="H170" s="176" t="s">
        <v>4491</v>
      </c>
      <c r="I170" s="178">
        <v>42208.448576388888</v>
      </c>
      <c r="J170" s="179"/>
    </row>
    <row r="171" spans="1:10">
      <c r="A171" s="170" t="s">
        <v>1231</v>
      </c>
      <c r="B171" s="171" t="s">
        <v>71</v>
      </c>
      <c r="C171" s="171" t="s">
        <v>43</v>
      </c>
      <c r="D171" s="171" t="s">
        <v>5619</v>
      </c>
      <c r="E171" s="171" t="s">
        <v>5620</v>
      </c>
      <c r="F171" s="172">
        <v>1484.96</v>
      </c>
      <c r="G171" s="172">
        <v>1484.96</v>
      </c>
      <c r="H171" s="171" t="s">
        <v>5621</v>
      </c>
      <c r="I171" s="173">
        <v>42186.659756944442</v>
      </c>
      <c r="J171" s="174"/>
    </row>
    <row r="172" spans="1:10">
      <c r="A172" s="175" t="s">
        <v>1231</v>
      </c>
      <c r="B172" s="176" t="s">
        <v>71</v>
      </c>
      <c r="C172" s="176" t="s">
        <v>43</v>
      </c>
      <c r="D172" s="176" t="s">
        <v>5619</v>
      </c>
      <c r="E172" s="176" t="s">
        <v>5622</v>
      </c>
      <c r="F172" s="177">
        <v>1484.96</v>
      </c>
      <c r="G172" s="177">
        <v>1484.96</v>
      </c>
      <c r="H172" s="176" t="s">
        <v>5621</v>
      </c>
      <c r="I172" s="178">
        <v>42186.659756944442</v>
      </c>
      <c r="J172" s="179"/>
    </row>
    <row r="173" spans="1:10">
      <c r="A173" s="170" t="s">
        <v>1231</v>
      </c>
      <c r="B173" s="171" t="s">
        <v>71</v>
      </c>
      <c r="C173" s="171" t="s">
        <v>43</v>
      </c>
      <c r="D173" s="171" t="s">
        <v>5619</v>
      </c>
      <c r="E173" s="171" t="s">
        <v>5623</v>
      </c>
      <c r="F173" s="172">
        <v>1484.96</v>
      </c>
      <c r="G173" s="172">
        <v>1484.96</v>
      </c>
      <c r="H173" s="171" t="s">
        <v>5621</v>
      </c>
      <c r="I173" s="173">
        <v>42186.659756944442</v>
      </c>
      <c r="J173" s="174"/>
    </row>
    <row r="174" spans="1:10">
      <c r="A174" s="175" t="s">
        <v>1230</v>
      </c>
      <c r="B174" s="176" t="s">
        <v>73</v>
      </c>
      <c r="C174" s="176" t="s">
        <v>43</v>
      </c>
      <c r="D174" s="176" t="s">
        <v>4451</v>
      </c>
      <c r="E174" s="176" t="s">
        <v>4452</v>
      </c>
      <c r="F174" s="177">
        <v>1439.86</v>
      </c>
      <c r="G174" s="177">
        <v>1439.86</v>
      </c>
      <c r="H174" s="176" t="s">
        <v>4453</v>
      </c>
      <c r="I174" s="178">
        <v>42061.378842592596</v>
      </c>
      <c r="J174" s="179"/>
    </row>
    <row r="175" spans="1:10">
      <c r="A175" s="170" t="s">
        <v>1230</v>
      </c>
      <c r="B175" s="171" t="s">
        <v>73</v>
      </c>
      <c r="C175" s="171" t="s">
        <v>43</v>
      </c>
      <c r="D175" s="171" t="s">
        <v>4451</v>
      </c>
      <c r="E175" s="171" t="s">
        <v>4454</v>
      </c>
      <c r="F175" s="172">
        <v>1439.86</v>
      </c>
      <c r="G175" s="172">
        <v>1439.86</v>
      </c>
      <c r="H175" s="171" t="s">
        <v>4453</v>
      </c>
      <c r="I175" s="173">
        <v>42061.378842592596</v>
      </c>
      <c r="J175" s="174"/>
    </row>
    <row r="176" spans="1:10">
      <c r="A176" s="175" t="s">
        <v>1230</v>
      </c>
      <c r="B176" s="176" t="s">
        <v>72</v>
      </c>
      <c r="C176" s="176" t="s">
        <v>51</v>
      </c>
      <c r="D176" s="176" t="s">
        <v>5791</v>
      </c>
      <c r="E176" s="176" t="s">
        <v>5792</v>
      </c>
      <c r="F176" s="177">
        <v>1666.5</v>
      </c>
      <c r="G176" s="177">
        <v>1666.5</v>
      </c>
      <c r="H176" s="176" t="s">
        <v>1146</v>
      </c>
      <c r="I176" s="178">
        <v>42244.437557870369</v>
      </c>
      <c r="J176" s="179"/>
    </row>
    <row r="177" spans="1:10">
      <c r="A177" s="170" t="s">
        <v>1230</v>
      </c>
      <c r="B177" s="171" t="s">
        <v>76</v>
      </c>
      <c r="C177" s="171" t="s">
        <v>55</v>
      </c>
      <c r="D177" s="171" t="s">
        <v>685</v>
      </c>
      <c r="E177" s="171" t="s">
        <v>5793</v>
      </c>
      <c r="F177" s="172">
        <v>999</v>
      </c>
      <c r="G177" s="172">
        <v>999</v>
      </c>
      <c r="H177" s="171" t="s">
        <v>5790</v>
      </c>
      <c r="I177" s="173">
        <v>42226.452951388892</v>
      </c>
      <c r="J177" s="174"/>
    </row>
    <row r="178" spans="1:10">
      <c r="A178" s="175" t="s">
        <v>1230</v>
      </c>
      <c r="B178" s="176" t="s">
        <v>72</v>
      </c>
      <c r="C178" s="176" t="s">
        <v>55</v>
      </c>
      <c r="D178" s="176" t="s">
        <v>961</v>
      </c>
      <c r="E178" s="176" t="s">
        <v>5794</v>
      </c>
      <c r="F178" s="177">
        <v>2500</v>
      </c>
      <c r="G178" s="177">
        <v>2500</v>
      </c>
      <c r="H178" s="176" t="s">
        <v>5795</v>
      </c>
      <c r="I178" s="178">
        <v>42226.342881944445</v>
      </c>
      <c r="J178" s="179"/>
    </row>
    <row r="179" spans="1:10">
      <c r="A179" s="170" t="s">
        <v>1230</v>
      </c>
      <c r="B179" s="171" t="s">
        <v>1012</v>
      </c>
      <c r="C179" s="171" t="s">
        <v>55</v>
      </c>
      <c r="D179" s="171" t="s">
        <v>5796</v>
      </c>
      <c r="E179" s="171" t="s">
        <v>5797</v>
      </c>
      <c r="F179" s="172">
        <v>333.11</v>
      </c>
      <c r="G179" s="172">
        <v>333.11</v>
      </c>
      <c r="H179" s="171" t="s">
        <v>5798</v>
      </c>
      <c r="I179" s="173">
        <v>42236.715324074074</v>
      </c>
      <c r="J179" s="174"/>
    </row>
    <row r="180" spans="1:10">
      <c r="A180" s="175" t="s">
        <v>1230</v>
      </c>
      <c r="B180" s="176" t="s">
        <v>1012</v>
      </c>
      <c r="C180" s="176" t="s">
        <v>55</v>
      </c>
      <c r="D180" s="176" t="s">
        <v>1032</v>
      </c>
      <c r="E180" s="176" t="s">
        <v>5799</v>
      </c>
      <c r="F180" s="177">
        <v>611.63</v>
      </c>
      <c r="G180" s="177">
        <v>611.63</v>
      </c>
      <c r="H180" s="176" t="s">
        <v>5798</v>
      </c>
      <c r="I180" s="178">
        <v>42236.715324074074</v>
      </c>
      <c r="J180" s="179"/>
    </row>
    <row r="181" spans="1:10">
      <c r="A181" s="170" t="s">
        <v>1230</v>
      </c>
      <c r="B181" s="171" t="s">
        <v>72</v>
      </c>
      <c r="C181" s="171" t="s">
        <v>55</v>
      </c>
      <c r="D181" s="171" t="s">
        <v>5800</v>
      </c>
      <c r="E181" s="171" t="s">
        <v>5801</v>
      </c>
      <c r="F181" s="172">
        <v>695</v>
      </c>
      <c r="G181" s="172">
        <v>695</v>
      </c>
      <c r="H181" s="171" t="s">
        <v>533</v>
      </c>
      <c r="I181" s="173">
        <v>42226.3984837963</v>
      </c>
      <c r="J181" s="174"/>
    </row>
    <row r="182" spans="1:10">
      <c r="A182" s="175" t="s">
        <v>1230</v>
      </c>
      <c r="B182" s="176" t="s">
        <v>970</v>
      </c>
      <c r="C182" s="176" t="s">
        <v>55</v>
      </c>
      <c r="D182" s="176" t="s">
        <v>5802</v>
      </c>
      <c r="E182" s="176" t="s">
        <v>5803</v>
      </c>
      <c r="F182" s="177">
        <v>1271.32</v>
      </c>
      <c r="G182" s="177">
        <v>1271.32</v>
      </c>
      <c r="H182" s="176" t="s">
        <v>1181</v>
      </c>
      <c r="I182" s="178">
        <v>42233.467604166668</v>
      </c>
      <c r="J182" s="179"/>
    </row>
    <row r="183" spans="1:10">
      <c r="A183" s="170" t="s">
        <v>1230</v>
      </c>
      <c r="B183" s="171" t="s">
        <v>970</v>
      </c>
      <c r="C183" s="171" t="s">
        <v>55</v>
      </c>
      <c r="D183" s="171" t="s">
        <v>1136</v>
      </c>
      <c r="E183" s="171" t="s">
        <v>5804</v>
      </c>
      <c r="F183" s="172">
        <v>1329.92</v>
      </c>
      <c r="G183" s="172">
        <v>1329.92</v>
      </c>
      <c r="H183" s="171" t="s">
        <v>1181</v>
      </c>
      <c r="I183" s="173">
        <v>42233.467604166668</v>
      </c>
      <c r="J183" s="174"/>
    </row>
    <row r="184" spans="1:10">
      <c r="A184" s="175" t="s">
        <v>1230</v>
      </c>
      <c r="B184" s="176" t="s">
        <v>73</v>
      </c>
      <c r="C184" s="176" t="s">
        <v>43</v>
      </c>
      <c r="D184" s="176" t="s">
        <v>5805</v>
      </c>
      <c r="E184" s="176" t="s">
        <v>5806</v>
      </c>
      <c r="F184" s="177">
        <v>2660.96</v>
      </c>
      <c r="G184" s="177">
        <v>2660.96</v>
      </c>
      <c r="H184" s="176" t="s">
        <v>946</v>
      </c>
      <c r="I184" s="178">
        <v>42229.39130787037</v>
      </c>
      <c r="J184" s="179"/>
    </row>
    <row r="185" spans="1:10">
      <c r="A185" s="170" t="s">
        <v>1230</v>
      </c>
      <c r="B185" s="171" t="s">
        <v>73</v>
      </c>
      <c r="C185" s="171" t="s">
        <v>43</v>
      </c>
      <c r="D185" s="171" t="s">
        <v>5805</v>
      </c>
      <c r="E185" s="171" t="s">
        <v>5807</v>
      </c>
      <c r="F185" s="172">
        <v>2660.95</v>
      </c>
      <c r="G185" s="172">
        <v>2660.95</v>
      </c>
      <c r="H185" s="171" t="s">
        <v>946</v>
      </c>
      <c r="I185" s="173">
        <v>42229.39130787037</v>
      </c>
      <c r="J185" s="174"/>
    </row>
    <row r="186" spans="1:10">
      <c r="A186" s="175" t="s">
        <v>1230</v>
      </c>
      <c r="B186" s="176" t="s">
        <v>1012</v>
      </c>
      <c r="C186" s="176" t="s">
        <v>55</v>
      </c>
      <c r="D186" s="176" t="s">
        <v>5808</v>
      </c>
      <c r="E186" s="176" t="s">
        <v>5809</v>
      </c>
      <c r="F186" s="177">
        <v>1499</v>
      </c>
      <c r="G186" s="177">
        <v>1499</v>
      </c>
      <c r="H186" s="176" t="s">
        <v>460</v>
      </c>
      <c r="I186" s="178">
        <v>42228.379895833335</v>
      </c>
      <c r="J186" s="179"/>
    </row>
    <row r="187" spans="1:10">
      <c r="A187" s="170" t="s">
        <v>1230</v>
      </c>
      <c r="B187" s="171" t="s">
        <v>72</v>
      </c>
      <c r="C187" s="171" t="s">
        <v>55</v>
      </c>
      <c r="D187" s="171" t="s">
        <v>5810</v>
      </c>
      <c r="E187" s="171" t="s">
        <v>5811</v>
      </c>
      <c r="F187" s="172">
        <v>589</v>
      </c>
      <c r="G187" s="172">
        <v>589</v>
      </c>
      <c r="H187" s="171" t="s">
        <v>5812</v>
      </c>
      <c r="I187" s="173">
        <v>42229.381967592592</v>
      </c>
      <c r="J187" s="174"/>
    </row>
    <row r="188" spans="1:10">
      <c r="A188" s="175" t="s">
        <v>1230</v>
      </c>
      <c r="B188" s="176" t="s">
        <v>74</v>
      </c>
      <c r="C188" s="176" t="s">
        <v>51</v>
      </c>
      <c r="D188" s="176" t="s">
        <v>1051</v>
      </c>
      <c r="E188" s="176" t="s">
        <v>5813</v>
      </c>
      <c r="F188" s="177">
        <v>4979</v>
      </c>
      <c r="G188" s="177">
        <v>4979</v>
      </c>
      <c r="H188" s="176" t="s">
        <v>5798</v>
      </c>
      <c r="I188" s="178">
        <v>42226.369571759256</v>
      </c>
      <c r="J188" s="179"/>
    </row>
    <row r="189" spans="1:10">
      <c r="A189" s="170" t="s">
        <v>1230</v>
      </c>
      <c r="B189" s="171" t="s">
        <v>76</v>
      </c>
      <c r="C189" s="171" t="s">
        <v>55</v>
      </c>
      <c r="D189" s="171" t="s">
        <v>5814</v>
      </c>
      <c r="E189" s="171" t="s">
        <v>5815</v>
      </c>
      <c r="F189" s="172">
        <v>910</v>
      </c>
      <c r="G189" s="172">
        <v>910</v>
      </c>
      <c r="H189" s="171" t="s">
        <v>875</v>
      </c>
      <c r="I189" s="173">
        <v>42233.448738425926</v>
      </c>
      <c r="J189" s="174"/>
    </row>
    <row r="190" spans="1:10">
      <c r="A190" s="175" t="s">
        <v>1230</v>
      </c>
      <c r="B190" s="176" t="s">
        <v>76</v>
      </c>
      <c r="C190" s="176" t="s">
        <v>55</v>
      </c>
      <c r="D190" s="176" t="s">
        <v>920</v>
      </c>
      <c r="E190" s="176" t="s">
        <v>5816</v>
      </c>
      <c r="F190" s="177">
        <v>89.4</v>
      </c>
      <c r="G190" s="177">
        <v>89.4</v>
      </c>
      <c r="H190" s="176" t="s">
        <v>875</v>
      </c>
      <c r="I190" s="178">
        <v>42233.448738425926</v>
      </c>
      <c r="J190" s="179"/>
    </row>
    <row r="191" spans="1:10">
      <c r="A191" s="170" t="s">
        <v>1230</v>
      </c>
      <c r="B191" s="171" t="s">
        <v>76</v>
      </c>
      <c r="C191" s="171" t="s">
        <v>55</v>
      </c>
      <c r="D191" s="171" t="s">
        <v>920</v>
      </c>
      <c r="E191" s="171" t="s">
        <v>5817</v>
      </c>
      <c r="F191" s="172">
        <v>89.4</v>
      </c>
      <c r="G191" s="172">
        <v>89.4</v>
      </c>
      <c r="H191" s="171" t="s">
        <v>875</v>
      </c>
      <c r="I191" s="173">
        <v>42233.448738425926</v>
      </c>
      <c r="J191" s="174"/>
    </row>
    <row r="192" spans="1:10">
      <c r="A192" s="175" t="s">
        <v>1230</v>
      </c>
      <c r="B192" s="176" t="s">
        <v>76</v>
      </c>
      <c r="C192" s="176" t="s">
        <v>55</v>
      </c>
      <c r="D192" s="176" t="s">
        <v>5818</v>
      </c>
      <c r="E192" s="176" t="s">
        <v>5819</v>
      </c>
      <c r="F192" s="177">
        <v>195.47</v>
      </c>
      <c r="G192" s="177">
        <v>195.47</v>
      </c>
      <c r="H192" s="176" t="s">
        <v>875</v>
      </c>
      <c r="I192" s="178">
        <v>42233.448738425926</v>
      </c>
      <c r="J192" s="179"/>
    </row>
    <row r="193" spans="1:10">
      <c r="A193" s="170" t="s">
        <v>1230</v>
      </c>
      <c r="B193" s="171" t="s">
        <v>76</v>
      </c>
      <c r="C193" s="171" t="s">
        <v>55</v>
      </c>
      <c r="D193" s="171" t="s">
        <v>5818</v>
      </c>
      <c r="E193" s="171" t="s">
        <v>5820</v>
      </c>
      <c r="F193" s="172">
        <v>195.47</v>
      </c>
      <c r="G193" s="172">
        <v>195.47</v>
      </c>
      <c r="H193" s="171" t="s">
        <v>875</v>
      </c>
      <c r="I193" s="173">
        <v>42233.448738425926</v>
      </c>
      <c r="J193" s="174"/>
    </row>
    <row r="194" spans="1:10">
      <c r="A194" s="175" t="s">
        <v>1230</v>
      </c>
      <c r="B194" s="176" t="s">
        <v>76</v>
      </c>
      <c r="C194" s="176" t="s">
        <v>55</v>
      </c>
      <c r="D194" s="176" t="s">
        <v>5818</v>
      </c>
      <c r="E194" s="176" t="s">
        <v>5821</v>
      </c>
      <c r="F194" s="177">
        <v>195.46</v>
      </c>
      <c r="G194" s="177">
        <v>195.46</v>
      </c>
      <c r="H194" s="176" t="s">
        <v>5822</v>
      </c>
      <c r="I194" s="178">
        <v>42233.448738425926</v>
      </c>
      <c r="J194" s="179"/>
    </row>
    <row r="195" spans="1:10">
      <c r="A195" s="170" t="s">
        <v>1230</v>
      </c>
      <c r="B195" s="171" t="s">
        <v>71</v>
      </c>
      <c r="C195" s="171" t="s">
        <v>43</v>
      </c>
      <c r="D195" s="171" t="s">
        <v>5393</v>
      </c>
      <c r="E195" s="171" t="s">
        <v>5823</v>
      </c>
      <c r="F195" s="172">
        <v>2643.02</v>
      </c>
      <c r="G195" s="172">
        <v>2643.02</v>
      </c>
      <c r="H195" s="171" t="s">
        <v>460</v>
      </c>
      <c r="I195" s="173">
        <v>42261.42491898148</v>
      </c>
      <c r="J195" s="174"/>
    </row>
    <row r="196" spans="1:10">
      <c r="A196" s="175" t="s">
        <v>1230</v>
      </c>
      <c r="B196" s="176" t="s">
        <v>72</v>
      </c>
      <c r="C196" s="176" t="s">
        <v>43</v>
      </c>
      <c r="D196" s="176" t="s">
        <v>5824</v>
      </c>
      <c r="E196" s="176" t="s">
        <v>5825</v>
      </c>
      <c r="F196" s="177">
        <v>10673.36</v>
      </c>
      <c r="G196" s="177">
        <v>10673.36</v>
      </c>
      <c r="H196" s="176" t="s">
        <v>517</v>
      </c>
      <c r="I196" s="178">
        <v>42264.328703703701</v>
      </c>
      <c r="J196" s="179"/>
    </row>
    <row r="197" spans="1:10">
      <c r="A197" s="170" t="s">
        <v>1230</v>
      </c>
      <c r="B197" s="171" t="s">
        <v>72</v>
      </c>
      <c r="C197" s="171" t="s">
        <v>43</v>
      </c>
      <c r="D197" s="171" t="s">
        <v>5826</v>
      </c>
      <c r="E197" s="171" t="s">
        <v>5827</v>
      </c>
      <c r="F197" s="172">
        <v>1650.45</v>
      </c>
      <c r="G197" s="172">
        <v>1650.45</v>
      </c>
      <c r="H197" s="171" t="s">
        <v>517</v>
      </c>
      <c r="I197" s="173">
        <v>42264.328703703701</v>
      </c>
      <c r="J197" s="174"/>
    </row>
    <row r="198" spans="1:10">
      <c r="A198" s="175" t="s">
        <v>1230</v>
      </c>
      <c r="B198" s="176" t="s">
        <v>74</v>
      </c>
      <c r="C198" s="176" t="s">
        <v>43</v>
      </c>
      <c r="D198" s="176" t="s">
        <v>801</v>
      </c>
      <c r="E198" s="176" t="s">
        <v>5828</v>
      </c>
      <c r="F198" s="177">
        <v>900</v>
      </c>
      <c r="G198" s="177">
        <v>900</v>
      </c>
      <c r="H198" s="176" t="s">
        <v>5798</v>
      </c>
      <c r="I198" s="178">
        <v>42263.329884259256</v>
      </c>
      <c r="J198" s="179"/>
    </row>
    <row r="199" spans="1:10">
      <c r="A199" s="170" t="s">
        <v>1230</v>
      </c>
      <c r="B199" s="171" t="s">
        <v>72</v>
      </c>
      <c r="C199" s="171" t="s">
        <v>55</v>
      </c>
      <c r="D199" s="171" t="s">
        <v>961</v>
      </c>
      <c r="E199" s="171" t="s">
        <v>5829</v>
      </c>
      <c r="F199" s="172">
        <v>2299</v>
      </c>
      <c r="G199" s="172">
        <v>2299</v>
      </c>
      <c r="H199" s="171" t="s">
        <v>5830</v>
      </c>
      <c r="I199" s="173">
        <v>42268.587337962963</v>
      </c>
      <c r="J199" s="174"/>
    </row>
    <row r="200" spans="1:10">
      <c r="A200" s="175" t="s">
        <v>1230</v>
      </c>
      <c r="B200" s="176" t="s">
        <v>72</v>
      </c>
      <c r="C200" s="176" t="s">
        <v>55</v>
      </c>
      <c r="D200" s="176" t="s">
        <v>910</v>
      </c>
      <c r="E200" s="176" t="s">
        <v>5831</v>
      </c>
      <c r="F200" s="177">
        <v>1200</v>
      </c>
      <c r="G200" s="177">
        <v>1200</v>
      </c>
      <c r="H200" s="176" t="s">
        <v>396</v>
      </c>
      <c r="I200" s="178">
        <v>42261.442719907405</v>
      </c>
      <c r="J200" s="179"/>
    </row>
    <row r="201" spans="1:10">
      <c r="A201" s="170" t="s">
        <v>1230</v>
      </c>
      <c r="B201" s="171" t="s">
        <v>74</v>
      </c>
      <c r="C201" s="171" t="s">
        <v>43</v>
      </c>
      <c r="D201" s="171" t="s">
        <v>5832</v>
      </c>
      <c r="E201" s="171" t="s">
        <v>5833</v>
      </c>
      <c r="F201" s="172">
        <v>701.1</v>
      </c>
      <c r="G201" s="172">
        <v>701.1</v>
      </c>
      <c r="H201" s="171" t="s">
        <v>519</v>
      </c>
      <c r="I201" s="173">
        <v>42250.660486111112</v>
      </c>
      <c r="J201" s="174"/>
    </row>
    <row r="202" spans="1:10">
      <c r="A202" s="175" t="s">
        <v>1230</v>
      </c>
      <c r="B202" s="176" t="s">
        <v>74</v>
      </c>
      <c r="C202" s="176" t="s">
        <v>43</v>
      </c>
      <c r="D202" s="176" t="s">
        <v>802</v>
      </c>
      <c r="E202" s="176" t="s">
        <v>5834</v>
      </c>
      <c r="F202" s="177">
        <v>551.70000000000005</v>
      </c>
      <c r="G202" s="177">
        <v>551.70000000000005</v>
      </c>
      <c r="H202" s="176" t="s">
        <v>5798</v>
      </c>
      <c r="I202" s="178">
        <v>42243.56585648148</v>
      </c>
      <c r="J202" s="179"/>
    </row>
    <row r="203" spans="1:10">
      <c r="A203" s="170" t="s">
        <v>1230</v>
      </c>
      <c r="B203" s="171" t="s">
        <v>970</v>
      </c>
      <c r="C203" s="171" t="s">
        <v>55</v>
      </c>
      <c r="D203" s="171" t="s">
        <v>5802</v>
      </c>
      <c r="E203" s="171" t="s">
        <v>5835</v>
      </c>
      <c r="F203" s="172">
        <v>1271.32</v>
      </c>
      <c r="G203" s="172">
        <v>1271.32</v>
      </c>
      <c r="H203" s="171" t="s">
        <v>1181</v>
      </c>
      <c r="I203" s="173">
        <v>42233.467604166668</v>
      </c>
      <c r="J203" s="174"/>
    </row>
    <row r="204" spans="1:10">
      <c r="A204" s="175" t="s">
        <v>1230</v>
      </c>
      <c r="B204" s="176" t="s">
        <v>73</v>
      </c>
      <c r="C204" s="176" t="s">
        <v>34</v>
      </c>
      <c r="D204" s="176" t="s">
        <v>4457</v>
      </c>
      <c r="E204" s="176" t="s">
        <v>4458</v>
      </c>
      <c r="F204" s="177">
        <v>160000</v>
      </c>
      <c r="G204" s="177">
        <v>160000</v>
      </c>
      <c r="H204" s="176" t="s">
        <v>4459</v>
      </c>
      <c r="I204" s="178">
        <v>42016</v>
      </c>
      <c r="J204" s="179"/>
    </row>
    <row r="205" spans="1:10">
      <c r="A205" s="170" t="s">
        <v>1231</v>
      </c>
      <c r="B205" s="171" t="s">
        <v>76</v>
      </c>
      <c r="C205" s="171" t="s">
        <v>47</v>
      </c>
      <c r="D205" s="171" t="s">
        <v>4460</v>
      </c>
      <c r="E205" s="171" t="s">
        <v>4461</v>
      </c>
      <c r="F205" s="172">
        <v>1500000</v>
      </c>
      <c r="G205" s="172">
        <v>1500000</v>
      </c>
      <c r="H205" s="171" t="s">
        <v>4461</v>
      </c>
      <c r="I205" s="173">
        <v>42046</v>
      </c>
      <c r="J205" s="174">
        <v>623.29</v>
      </c>
    </row>
    <row r="206" spans="1:10">
      <c r="A206" s="175" t="s">
        <v>1231</v>
      </c>
      <c r="B206" s="176" t="s">
        <v>76</v>
      </c>
      <c r="C206" s="176" t="s">
        <v>47</v>
      </c>
      <c r="D206" s="176" t="s">
        <v>4462</v>
      </c>
      <c r="E206" s="176" t="s">
        <v>4463</v>
      </c>
      <c r="F206" s="177">
        <v>1500000</v>
      </c>
      <c r="G206" s="177">
        <v>1500000</v>
      </c>
      <c r="H206" s="176" t="s">
        <v>4463</v>
      </c>
      <c r="I206" s="178">
        <v>42046</v>
      </c>
      <c r="J206" s="179">
        <v>621.89</v>
      </c>
    </row>
    <row r="207" spans="1:10">
      <c r="A207" s="170" t="s">
        <v>1231</v>
      </c>
      <c r="B207" s="171" t="s">
        <v>76</v>
      </c>
      <c r="C207" s="171" t="s">
        <v>47</v>
      </c>
      <c r="D207" s="171" t="s">
        <v>4464</v>
      </c>
      <c r="E207" s="171" t="s">
        <v>4465</v>
      </c>
      <c r="F207" s="172">
        <v>1430000</v>
      </c>
      <c r="G207" s="172">
        <v>1430000</v>
      </c>
      <c r="H207" s="171" t="s">
        <v>4465</v>
      </c>
      <c r="I207" s="173">
        <v>42023</v>
      </c>
      <c r="J207" s="174">
        <v>387.41</v>
      </c>
    </row>
    <row r="208" spans="1:10">
      <c r="A208" s="175" t="s">
        <v>1231</v>
      </c>
      <c r="B208" s="176" t="s">
        <v>76</v>
      </c>
      <c r="C208" s="176" t="s">
        <v>47</v>
      </c>
      <c r="D208" s="176" t="s">
        <v>4466</v>
      </c>
      <c r="E208" s="176" t="s">
        <v>4467</v>
      </c>
      <c r="F208" s="177">
        <v>370000</v>
      </c>
      <c r="G208" s="177">
        <v>370000</v>
      </c>
      <c r="H208" s="176" t="s">
        <v>4467</v>
      </c>
      <c r="I208" s="178">
        <v>42023</v>
      </c>
      <c r="J208" s="179">
        <v>100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W101"/>
  <sheetViews>
    <sheetView zoomScale="90" zoomScaleNormal="90" workbookViewId="0">
      <selection activeCell="R38" sqref="R38"/>
    </sheetView>
  </sheetViews>
  <sheetFormatPr defaultRowHeight="15"/>
  <cols>
    <col min="1" max="1" width="1.7109375" style="225" customWidth="1"/>
    <col min="2" max="2" width="44" style="225" customWidth="1"/>
    <col min="3" max="3" width="0.85546875" style="226" customWidth="1"/>
    <col min="4" max="4" width="10.7109375" style="225" customWidth="1"/>
    <col min="5" max="5" width="0.85546875" style="226" customWidth="1"/>
    <col min="6" max="6" width="15.7109375" style="225" customWidth="1"/>
    <col min="7" max="7" width="0.85546875" style="226" customWidth="1"/>
    <col min="8" max="8" width="19.42578125" style="225" customWidth="1"/>
    <col min="9" max="9" width="0.85546875" style="226" customWidth="1"/>
    <col min="10" max="10" width="15.7109375" style="225" customWidth="1"/>
    <col min="11" max="11" width="0.85546875" style="226" customWidth="1"/>
    <col min="12" max="12" width="14.28515625" style="226" customWidth="1"/>
    <col min="13" max="13" width="1" style="226" customWidth="1"/>
    <col min="14" max="14" width="18.85546875" style="225" customWidth="1"/>
    <col min="15" max="15" width="0.85546875" style="226" customWidth="1"/>
    <col min="16" max="16" width="8.140625" style="225" customWidth="1"/>
    <col min="17" max="16384" width="9.140625" style="225"/>
  </cols>
  <sheetData>
    <row r="1" spans="2:16" ht="18.75">
      <c r="D1" s="293" t="s">
        <v>6973</v>
      </c>
    </row>
    <row r="2" spans="2:16" s="227" customFormat="1" ht="16.5" customHeight="1">
      <c r="B2" s="569"/>
      <c r="C2" s="569"/>
      <c r="D2" s="570" t="s">
        <v>6921</v>
      </c>
      <c r="E2" s="228"/>
      <c r="F2" s="232"/>
      <c r="G2" s="228"/>
      <c r="I2" s="228"/>
      <c r="K2" s="228"/>
      <c r="L2" s="228"/>
      <c r="M2" s="228"/>
      <c r="O2" s="228"/>
    </row>
    <row r="3" spans="2:16" s="227" customFormat="1" ht="16.5" customHeight="1">
      <c r="B3" s="569"/>
      <c r="C3" s="569"/>
      <c r="D3" s="569"/>
      <c r="E3" s="228"/>
      <c r="F3" s="232"/>
      <c r="G3" s="228"/>
      <c r="I3" s="228"/>
      <c r="K3" s="228"/>
      <c r="L3" s="228"/>
      <c r="M3" s="228"/>
      <c r="O3" s="228"/>
    </row>
    <row r="4" spans="2:16" s="227" customFormat="1" ht="19.5" thickBot="1">
      <c r="B4" s="381"/>
      <c r="C4" s="610"/>
      <c r="E4" s="228"/>
      <c r="G4" s="228"/>
      <c r="I4" s="228"/>
      <c r="K4" s="228"/>
      <c r="L4" s="228"/>
      <c r="M4" s="228"/>
      <c r="O4" s="228"/>
    </row>
    <row r="5" spans="2:16" s="227" customFormat="1" ht="15.75">
      <c r="B5" s="382"/>
      <c r="C5" s="611"/>
      <c r="D5" s="383"/>
      <c r="E5" s="612"/>
      <c r="F5" s="383"/>
      <c r="G5" s="612"/>
      <c r="H5" s="383"/>
      <c r="I5" s="612"/>
      <c r="J5" s="383"/>
      <c r="K5" s="612"/>
      <c r="L5" s="612"/>
      <c r="M5" s="612"/>
      <c r="N5" s="383"/>
      <c r="O5" s="612"/>
      <c r="P5" s="383"/>
    </row>
    <row r="6" spans="2:16" s="227" customFormat="1" ht="16.5" thickBot="1">
      <c r="B6" s="384"/>
      <c r="C6" s="613"/>
      <c r="D6" s="385"/>
      <c r="E6" s="614"/>
      <c r="F6" s="385"/>
      <c r="G6" s="614"/>
      <c r="H6" s="385"/>
      <c r="I6" s="614"/>
      <c r="J6" s="385"/>
      <c r="K6" s="614"/>
      <c r="L6" s="614"/>
      <c r="M6" s="614"/>
      <c r="N6" s="385"/>
      <c r="O6" s="614"/>
      <c r="P6" s="385"/>
    </row>
    <row r="7" spans="2:16" s="227" customFormat="1">
      <c r="B7" s="229"/>
      <c r="C7" s="506"/>
      <c r="E7" s="228"/>
      <c r="F7" s="615" t="s">
        <v>1230</v>
      </c>
      <c r="G7" s="616"/>
      <c r="H7" s="615" t="s">
        <v>1231</v>
      </c>
      <c r="I7" s="616"/>
      <c r="J7" s="615" t="s">
        <v>4823</v>
      </c>
      <c r="K7" s="616"/>
      <c r="L7" s="616" t="s">
        <v>5046</v>
      </c>
      <c r="M7" s="616"/>
      <c r="N7" s="616"/>
      <c r="O7" s="228"/>
      <c r="P7" s="228"/>
    </row>
    <row r="8" spans="2:16" s="227" customFormat="1" ht="31.5">
      <c r="B8" s="581" t="s">
        <v>27</v>
      </c>
      <c r="C8" s="634"/>
      <c r="D8" s="581" t="s">
        <v>20</v>
      </c>
      <c r="E8" s="634"/>
      <c r="F8" s="635" t="s">
        <v>1172</v>
      </c>
      <c r="G8" s="634"/>
      <c r="H8" s="584" t="s">
        <v>28</v>
      </c>
      <c r="I8" s="634"/>
      <c r="J8" s="581" t="s">
        <v>6972</v>
      </c>
      <c r="K8" s="634"/>
      <c r="L8" s="581" t="s">
        <v>6971</v>
      </c>
      <c r="M8" s="850"/>
      <c r="N8" s="581" t="s">
        <v>21</v>
      </c>
      <c r="O8" s="634"/>
      <c r="P8" s="581" t="s">
        <v>30</v>
      </c>
    </row>
    <row r="9" spans="2:16" ht="9" customHeight="1">
      <c r="B9" s="228"/>
      <c r="C9" s="228"/>
      <c r="D9" s="407"/>
      <c r="E9" s="228"/>
      <c r="G9" s="228"/>
      <c r="H9" s="228"/>
      <c r="I9" s="228"/>
      <c r="J9" s="228"/>
      <c r="K9" s="228"/>
      <c r="L9" s="228"/>
      <c r="M9" s="228"/>
      <c r="N9" s="228"/>
      <c r="O9" s="228"/>
      <c r="P9" s="228"/>
    </row>
    <row r="10" spans="2:16">
      <c r="B10" s="228" t="s">
        <v>43</v>
      </c>
      <c r="C10" s="228"/>
      <c r="D10" s="407">
        <f t="array" ref="D10">COUNTIF(pat_2016!D:D,'14.2-Capex 2016'!B10)</f>
        <v>7</v>
      </c>
      <c r="E10" s="228"/>
      <c r="F10" s="851">
        <f t="array" ref="F10">SUM(IF((pat_2016!$B:$B='14.2-Capex 2016'!F$7)*(pat_2016!$D:$D='14.2-Capex 2016'!B10),pat_2016!$H:$H))/1000</f>
        <v>17.248860000000001</v>
      </c>
      <c r="G10" s="851"/>
      <c r="H10" s="851">
        <f t="array" ref="H10">SUM(IF((pat_2016!$B:$B='14.2-Capex 2016'!H$7)*(pat_2016!$D:$D='14.2-Capex 2016'!B10),pat_2016!$H:$H))/1000</f>
        <v>0</v>
      </c>
      <c r="I10" s="851"/>
      <c r="J10" s="851">
        <f t="array" ref="J10">SUM(IF((pat_2016!$B:$B='14.2-Capex 2016'!J$7)*(pat_2016!$D:$D='14.2-Capex 2016'!B10),pat_2016!$H:$H))/1000</f>
        <v>0</v>
      </c>
      <c r="K10" s="851"/>
      <c r="L10" s="851">
        <f t="array" ref="L10">SUM(IF((pat_2016!$B:$B='14.2-Capex 2016'!L$7)*(pat_2016!$D:$D='14.2-Capex 2016'!B10),pat_2016!$H:$H))/1000</f>
        <v>1.7990999999999999</v>
      </c>
      <c r="M10" s="851"/>
      <c r="N10" s="851">
        <f t="shared" ref="N10:N16" si="0">SUM(F10:L10)</f>
        <v>19.04796</v>
      </c>
      <c r="O10" s="228"/>
      <c r="P10" s="622">
        <f t="array" ref="P10">N10/$N$18</f>
        <v>3.1265094615190017E-2</v>
      </c>
    </row>
    <row r="11" spans="2:16">
      <c r="B11" s="228" t="s">
        <v>51</v>
      </c>
      <c r="C11" s="228"/>
      <c r="D11" s="407">
        <f t="array" ref="D11">COUNTIF(pat_2016!D:D,'14.2-Capex 2016'!B11)</f>
        <v>16</v>
      </c>
      <c r="E11" s="228"/>
      <c r="F11" s="851">
        <f t="array" ref="F11">SUM(IF((pat_2016!$B:$B='14.2-Capex 2016'!F$7)*(pat_2016!$D:$D='14.2-Capex 2016'!B11),pat_2016!$H:$H))/1000</f>
        <v>69.512920000000008</v>
      </c>
      <c r="G11" s="851"/>
      <c r="H11" s="851">
        <f t="array" ref="H11">SUM(IF((pat_2016!$B:$B='14.2-Capex 2016'!H$7)*(pat_2016!$D:$D='14.2-Capex 2016'!B11),pat_2016!$H:$H))/1000</f>
        <v>0</v>
      </c>
      <c r="I11" s="851"/>
      <c r="J11" s="851">
        <f t="array" ref="J11">SUM(IF((pat_2016!$B:$B='14.2-Capex 2016'!J$7)*(pat_2016!$D:$D='14.2-Capex 2016'!B11),pat_2016!$H:$H))/1000</f>
        <v>0</v>
      </c>
      <c r="K11" s="851"/>
      <c r="L11" s="851">
        <f t="array" ref="L11">SUM(IF((pat_2016!$B:$B='14.2-Capex 2016'!L$7)*(pat_2016!$D:$D='14.2-Capex 2016'!B11),pat_2016!$H:$H))/1000</f>
        <v>30</v>
      </c>
      <c r="M11" s="851"/>
      <c r="N11" s="851">
        <f t="shared" si="0"/>
        <v>99.512920000000008</v>
      </c>
      <c r="O11" s="228"/>
      <c r="P11" s="622">
        <f t="array" ref="P11">N11/$N$18</f>
        <v>0.16333932133592446</v>
      </c>
    </row>
    <row r="12" spans="2:16">
      <c r="B12" s="228" t="s">
        <v>53</v>
      </c>
      <c r="C12" s="228"/>
      <c r="D12" s="407">
        <f t="array" ref="D12">COUNTIF(pat_2016!D:D,'14.2-Capex 2016'!B12)</f>
        <v>1</v>
      </c>
      <c r="E12" s="228"/>
      <c r="F12" s="851">
        <f t="array" ref="F12">SUM(IF((pat_2016!$B:$B='14.2-Capex 2016'!F$7)*(pat_2016!$D:$D='14.2-Capex 2016'!B12),pat_2016!$H:$H))/1000</f>
        <v>1.0149999999999999</v>
      </c>
      <c r="G12" s="851"/>
      <c r="H12" s="851">
        <f t="array" ref="H12">SUM(IF((pat_2016!$B:$B='14.2-Capex 2016'!H$7)*(pat_2016!$D:$D='14.2-Capex 2016'!B12),pat_2016!$H:$H))/1000</f>
        <v>0</v>
      </c>
      <c r="I12" s="851"/>
      <c r="J12" s="851">
        <f t="array" ref="J12">SUM(IF((pat_2016!$B:$B='14.2-Capex 2016'!J$7)*(pat_2016!$D:$D='14.2-Capex 2016'!B12),pat_2016!$H:$H))/1000</f>
        <v>0</v>
      </c>
      <c r="K12" s="851"/>
      <c r="L12" s="851">
        <f t="array" ref="L12">SUM(IF((pat_2016!$B:$B='14.2-Capex 2016'!L$7)*(pat_2016!$D:$D='14.2-Capex 2016'!B12),pat_2016!$H:$H))/1000</f>
        <v>0</v>
      </c>
      <c r="M12" s="851"/>
      <c r="N12" s="851">
        <f t="shared" si="0"/>
        <v>1.0149999999999999</v>
      </c>
      <c r="O12" s="228"/>
      <c r="P12" s="622">
        <f t="array" ref="P12">N12/$N$18</f>
        <v>1.6660089077474894E-3</v>
      </c>
    </row>
    <row r="13" spans="2:16">
      <c r="B13" s="228" t="s">
        <v>54</v>
      </c>
      <c r="C13" s="228"/>
      <c r="D13" s="407">
        <f t="array" ref="D13">COUNTIF(pat_2016!D:D,'14.2-Capex 2016'!B13)</f>
        <v>1</v>
      </c>
      <c r="E13" s="228"/>
      <c r="F13" s="851">
        <f t="array" ref="F13">SUM(IF((pat_2016!$B:$B='14.2-Capex 2016'!F$7)*(pat_2016!$D:$D='14.2-Capex 2016'!B13),pat_2016!$H:$H))/1000</f>
        <v>0.62214000000000003</v>
      </c>
      <c r="G13" s="851"/>
      <c r="H13" s="851">
        <f t="array" ref="H13">SUM(IF((pat_2016!$B:$B='14.2-Capex 2016'!H$7)*(pat_2016!$D:$D='14.2-Capex 2016'!B13),pat_2016!$H:$H))/1000</f>
        <v>0</v>
      </c>
      <c r="I13" s="851"/>
      <c r="J13" s="851">
        <f t="array" ref="J13">SUM(IF((pat_2016!$B:$B='14.2-Capex 2016'!J$7)*(pat_2016!$D:$D='14.2-Capex 2016'!B13),pat_2016!$H:$H))/1000</f>
        <v>0</v>
      </c>
      <c r="K13" s="851"/>
      <c r="L13" s="851">
        <f t="array" ref="L13">SUM(IF((pat_2016!$B:$B='14.2-Capex 2016'!L$7)*(pat_2016!$D:$D='14.2-Capex 2016'!B13),pat_2016!$H:$H))/1000</f>
        <v>0</v>
      </c>
      <c r="M13" s="851"/>
      <c r="N13" s="851">
        <f t="shared" si="0"/>
        <v>0.62214000000000003</v>
      </c>
      <c r="O13" s="228"/>
      <c r="P13" s="622">
        <f t="array" ref="P13">N13/$N$18</f>
        <v>1.0211731841044563E-3</v>
      </c>
    </row>
    <row r="14" spans="2:16">
      <c r="B14" s="228" t="s">
        <v>55</v>
      </c>
      <c r="C14" s="228"/>
      <c r="D14" s="407">
        <f t="array" ref="D14">COUNTIF(pat_2016!D:D,'14.2-Capex 2016'!B14)</f>
        <v>18</v>
      </c>
      <c r="E14" s="228"/>
      <c r="F14" s="851">
        <f t="array" ref="F14">SUM(IF((pat_2016!$B:$B='14.2-Capex 2016'!F$7)*(pat_2016!$D:$D='14.2-Capex 2016'!B14),pat_2016!$H:$H))/1000</f>
        <v>21.417000000000002</v>
      </c>
      <c r="G14" s="851"/>
      <c r="H14" s="851">
        <f t="array" ref="H14">SUM(IF((pat_2016!$B:$B='14.2-Capex 2016'!H$7)*(pat_2016!$D:$D='14.2-Capex 2016'!B14),pat_2016!$H:$H))/1000</f>
        <v>0</v>
      </c>
      <c r="I14" s="851"/>
      <c r="J14" s="851">
        <f t="array" ref="J14">SUM(IF((pat_2016!$B:$B='14.2-Capex 2016'!J$7)*(pat_2016!$D:$D='14.2-Capex 2016'!B14),pat_2016!$H:$H))/1000</f>
        <v>1.754</v>
      </c>
      <c r="K14" s="851"/>
      <c r="L14" s="851">
        <f t="array" ref="L14">SUM(IF((pat_2016!$B:$B='14.2-Capex 2016'!L$7)*(pat_2016!$D:$D='14.2-Capex 2016'!B14),pat_2016!$H:$H))/1000</f>
        <v>0</v>
      </c>
      <c r="M14" s="851"/>
      <c r="N14" s="851">
        <f t="shared" si="0"/>
        <v>23.171000000000003</v>
      </c>
      <c r="O14" s="228"/>
      <c r="P14" s="622">
        <f t="array" ref="P14">N14/$N$18</f>
        <v>3.8032603351149837E-2</v>
      </c>
    </row>
    <row r="15" spans="2:16">
      <c r="B15" s="228" t="s">
        <v>59</v>
      </c>
      <c r="C15" s="228"/>
      <c r="D15" s="407">
        <f t="array" ref="D15">COUNTIF(pat_2016!D:D,'14.2-Capex 2016'!B15)</f>
        <v>1</v>
      </c>
      <c r="E15" s="228"/>
      <c r="F15" s="851">
        <f t="array" ref="F15">SUM(IF((pat_2016!$B:$B='14.2-Capex 2016'!F$7)*(pat_2016!$D:$D='14.2-Capex 2016'!B15),pat_2016!$H:$H))/1000</f>
        <v>77</v>
      </c>
      <c r="G15" s="851"/>
      <c r="H15" s="851">
        <f t="array" ref="H15">SUM(IF((pat_2016!$B:$B='14.2-Capex 2016'!H$7)*(pat_2016!$D:$D='14.2-Capex 2016'!B15),pat_2016!$H:$H))/1000</f>
        <v>0</v>
      </c>
      <c r="I15" s="851"/>
      <c r="J15" s="851">
        <f t="array" ref="J15">SUM(IF((pat_2016!$B:$B='14.2-Capex 2016'!J$7)*(pat_2016!$D:$D='14.2-Capex 2016'!B15),pat_2016!$H:$H))/1000</f>
        <v>0</v>
      </c>
      <c r="K15" s="851"/>
      <c r="L15" s="851">
        <f t="array" ref="L15">SUM(IF((pat_2016!$B:$B='14.2-Capex 2016'!L$7)*(pat_2016!$D:$D='14.2-Capex 2016'!B15),pat_2016!$H:$H))/1000</f>
        <v>0</v>
      </c>
      <c r="M15" s="851"/>
      <c r="N15" s="851">
        <f t="shared" si="0"/>
        <v>77</v>
      </c>
      <c r="O15" s="228"/>
      <c r="P15" s="622">
        <f t="array" ref="P15">N15/$N$18</f>
        <v>0.12638688265670611</v>
      </c>
    </row>
    <row r="16" spans="2:16">
      <c r="B16" s="228" t="s">
        <v>69</v>
      </c>
      <c r="C16" s="228"/>
      <c r="D16" s="407">
        <f t="array" ref="D16">COUNTIF(pat_2016!D:D,'14.2-Capex 2016'!B16)</f>
        <v>4</v>
      </c>
      <c r="E16" s="228"/>
      <c r="F16" s="851">
        <f t="array" ref="F16">SUM(IF((pat_2016!$B:$B='14.2-Capex 2016'!F$7)*(pat_2016!$D:$D='14.2-Capex 2016'!B16),pat_2016!$H:$H))/1000</f>
        <v>388.87142000000006</v>
      </c>
      <c r="G16" s="851"/>
      <c r="H16" s="851">
        <f t="array" ref="H16">SUM(IF((pat_2016!$B:$B='14.2-Capex 2016'!H$7)*(pat_2016!$D:$D='14.2-Capex 2016'!B16),pat_2016!$H:$H))/1000</f>
        <v>0</v>
      </c>
      <c r="I16" s="851"/>
      <c r="J16" s="851">
        <f t="array" ref="J16">SUM(IF((pat_2016!$B:$B='14.2-Capex 2016'!J$7)*(pat_2016!$D:$D='14.2-Capex 2016'!B16),pat_2016!$H:$H))/1000</f>
        <v>0</v>
      </c>
      <c r="K16" s="851"/>
      <c r="L16" s="851">
        <f t="array" ref="L16">SUM(IF((pat_2016!$B:$B='14.2-Capex 2016'!L$7)*(pat_2016!$D:$D='14.2-Capex 2016'!B16),pat_2016!$H:$H))/1000</f>
        <v>0</v>
      </c>
      <c r="M16" s="851"/>
      <c r="N16" s="851">
        <f t="shared" si="0"/>
        <v>388.87142000000006</v>
      </c>
      <c r="O16" s="228"/>
      <c r="P16" s="622">
        <f t="array" ref="P16">N16/$N$18</f>
        <v>0.63828891594917769</v>
      </c>
    </row>
    <row r="17" spans="2:23">
      <c r="B17" s="629"/>
      <c r="C17" s="408"/>
      <c r="D17" s="410"/>
      <c r="E17" s="408"/>
      <c r="F17" s="631"/>
      <c r="G17" s="408"/>
      <c r="H17" s="631"/>
      <c r="I17" s="408"/>
      <c r="J17" s="631"/>
      <c r="K17" s="408"/>
      <c r="L17" s="631"/>
      <c r="M17" s="408"/>
      <c r="N17" s="631"/>
      <c r="O17" s="408"/>
      <c r="P17" s="631"/>
    </row>
    <row r="18" spans="2:23" s="249" customFormat="1">
      <c r="B18" s="955" t="s">
        <v>21</v>
      </c>
      <c r="C18" s="632"/>
      <c r="D18" s="589">
        <f>SUM(D10:D16)</f>
        <v>48</v>
      </c>
      <c r="E18" s="632"/>
      <c r="F18" s="589">
        <f>SUM(F10:F16)</f>
        <v>575.68734000000006</v>
      </c>
      <c r="G18" s="632"/>
      <c r="H18" s="589">
        <f>SUM(H10:H16)</f>
        <v>0</v>
      </c>
      <c r="I18" s="632"/>
      <c r="J18" s="589">
        <f>SUM(J10:J16)</f>
        <v>1.754</v>
      </c>
      <c r="K18" s="632"/>
      <c r="L18" s="589">
        <f>SUM(L10:L16)</f>
        <v>31.799099999999999</v>
      </c>
      <c r="M18" s="632"/>
      <c r="N18" s="589">
        <f>SUM(N10:N16)</f>
        <v>609.24044000000004</v>
      </c>
      <c r="O18" s="632"/>
      <c r="P18" s="956">
        <f>N18/N18</f>
        <v>1</v>
      </c>
    </row>
    <row r="19" spans="2:23" s="249" customFormat="1">
      <c r="B19" s="955"/>
      <c r="C19" s="632"/>
      <c r="D19" s="590"/>
      <c r="E19" s="633"/>
      <c r="F19" s="592">
        <f>F18/N18</f>
        <v>0.94492634139651011</v>
      </c>
      <c r="G19" s="633"/>
      <c r="H19" s="592">
        <f>H18/N18</f>
        <v>0</v>
      </c>
      <c r="I19" s="633"/>
      <c r="J19" s="592">
        <v>0.01</v>
      </c>
      <c r="K19" s="633"/>
      <c r="L19" s="592">
        <f>L18/N18</f>
        <v>5.2194663899855366E-2</v>
      </c>
      <c r="M19" s="633"/>
      <c r="N19" s="592">
        <f>N18/N18</f>
        <v>1</v>
      </c>
      <c r="O19" s="633"/>
      <c r="P19" s="956"/>
    </row>
    <row r="20" spans="2:23">
      <c r="D20" s="620"/>
      <c r="E20" s="620"/>
      <c r="F20" s="620"/>
      <c r="G20" s="620"/>
      <c r="H20" s="620">
        <v>27</v>
      </c>
      <c r="I20" s="620"/>
      <c r="J20" s="620"/>
      <c r="K20" s="620"/>
      <c r="L20" s="620"/>
      <c r="M20" s="620"/>
      <c r="N20" s="620"/>
      <c r="O20" s="620"/>
      <c r="P20" s="620"/>
      <c r="Q20" s="620"/>
      <c r="R20" s="620"/>
    </row>
    <row r="21" spans="2:23" s="227" customFormat="1">
      <c r="B21" s="229" t="s">
        <v>70</v>
      </c>
      <c r="C21" s="506"/>
      <c r="D21" s="616"/>
      <c r="E21" s="616"/>
      <c r="F21" s="615" t="s">
        <v>1230</v>
      </c>
      <c r="G21" s="616"/>
      <c r="H21" s="615" t="s">
        <v>1231</v>
      </c>
      <c r="I21" s="616"/>
      <c r="J21" s="615" t="s">
        <v>1405</v>
      </c>
      <c r="K21" s="616"/>
      <c r="L21" s="616"/>
      <c r="M21" s="616"/>
      <c r="N21" s="616"/>
      <c r="O21" s="616"/>
      <c r="P21" s="616"/>
      <c r="Q21" s="616"/>
      <c r="R21" s="616"/>
    </row>
    <row r="22" spans="2:23">
      <c r="D22" s="429"/>
    </row>
    <row r="23" spans="2:23" ht="15.75">
      <c r="B23" s="236" t="s">
        <v>27</v>
      </c>
      <c r="C23" s="617"/>
      <c r="D23" s="236" t="s">
        <v>20</v>
      </c>
      <c r="E23" s="258"/>
      <c r="F23" s="574" t="s">
        <v>1172</v>
      </c>
      <c r="G23" s="258"/>
      <c r="H23" s="238" t="s">
        <v>5080</v>
      </c>
      <c r="I23" s="258">
        <v>43</v>
      </c>
      <c r="J23" s="236" t="s">
        <v>29</v>
      </c>
      <c r="K23" s="258"/>
      <c r="L23" s="236" t="s">
        <v>29</v>
      </c>
      <c r="M23" s="258"/>
      <c r="N23" s="236" t="s">
        <v>21</v>
      </c>
      <c r="O23" s="258"/>
      <c r="P23" s="236" t="s">
        <v>30</v>
      </c>
      <c r="W23" s="619"/>
    </row>
    <row r="24" spans="2:23">
      <c r="B24" s="226" t="s">
        <v>72</v>
      </c>
      <c r="D24" s="407">
        <f t="array" ref="D24">COUNTIF(pat_2016!C:C,'14.2-Capex 2016'!B24)</f>
        <v>22</v>
      </c>
      <c r="F24" s="851">
        <f t="array" ref="F24">SUM(IF((pat_2016!$B:$B='14.2-Capex 2016'!F$7)*(pat_2016!$C:$C='14.2-Capex 2016'!B24),pat_2016!$H:$H))/1000</f>
        <v>77.02337</v>
      </c>
      <c r="H24" s="851">
        <f t="array" ref="H24">SUM(IF((pat_2016!$B:$B='14.2-Capex 2016'!H$7)*(pat_2016!$C:$C='14.2-Capex 2016'!B24),pat_2016!$H:$H))/1000</f>
        <v>0</v>
      </c>
      <c r="J24" s="851">
        <f t="array" ref="J24">SUM(IF((pat_2016!$B:$B='14.2-Capex 2016'!J$7)*(pat_2016!$C:$C='14.2-Capex 2016'!B24),pat_2016!$H:$H))/1000</f>
        <v>0</v>
      </c>
      <c r="L24" s="851">
        <f t="array" ref="L24">SUM(IF((pat_2016!$B:$B='14.2-Capex 2016'!L$7)*(pat_2016!$C:$C='14.2-Capex 2016'!B24),pat_2016!$H:$H))/1000</f>
        <v>0</v>
      </c>
      <c r="N24" s="621">
        <f t="array" ref="N24">SUM(F24:L24)</f>
        <v>77.02337</v>
      </c>
      <c r="P24" s="622">
        <f t="shared" ref="P24:P32" si="1">N24/$N$33</f>
        <v>0.12642524189628643</v>
      </c>
      <c r="W24" s="619"/>
    </row>
    <row r="25" spans="2:23">
      <c r="B25" s="226" t="s">
        <v>74</v>
      </c>
      <c r="D25" s="407">
        <f t="array" ref="D25">COUNTIF(pat_2016!C:C,'14.2-Capex 2016'!B25)</f>
        <v>2</v>
      </c>
      <c r="F25" s="851">
        <f t="array" ref="F25">SUM(IF((pat_2016!$B:$B='14.2-Capex 2016'!F$7)*(pat_2016!$C:$C='14.2-Capex 2016'!B25),pat_2016!$H:$H))/1000</f>
        <v>1.879</v>
      </c>
      <c r="H25" s="851">
        <f t="array" ref="H25">SUM(IF((pat_2016!$B:$B='14.2-Capex 2016'!H$7)*(pat_2016!$C:$C='14.2-Capex 2016'!B25),pat_2016!$H:$H))/1000</f>
        <v>0</v>
      </c>
      <c r="J25" s="851">
        <f t="array" ref="J25">SUM(IF((pat_2016!$B:$B='14.2-Capex 2016'!J$7)*(pat_2016!$C:$C='14.2-Capex 2016'!B25),pat_2016!$H:$H))/1000</f>
        <v>0</v>
      </c>
      <c r="L25" s="851">
        <f t="array" ref="L25">SUM(IF((pat_2016!$B:$B='14.2-Capex 2016'!L$7)*(pat_2016!$C:$C='14.2-Capex 2016'!B25),pat_2016!$H:$H))/1000</f>
        <v>0</v>
      </c>
      <c r="N25" s="621">
        <f t="array" ref="N25">SUM(F25:L25)</f>
        <v>1.879</v>
      </c>
      <c r="P25" s="622">
        <f t="shared" si="1"/>
        <v>3.0841682144409186E-3</v>
      </c>
      <c r="W25" s="619"/>
    </row>
    <row r="26" spans="2:23">
      <c r="B26" s="577" t="s">
        <v>73</v>
      </c>
      <c r="C26" s="623"/>
      <c r="D26" s="407">
        <f t="array" ref="D26">COUNTIF(pat_2016!C:C,'14.2-Capex 2016'!B26)</f>
        <v>16</v>
      </c>
      <c r="E26" s="623"/>
      <c r="F26" s="851">
        <f t="array" ref="F26">SUM(IF((pat_2016!$B:$B='14.2-Capex 2016'!F$7)*(pat_2016!$C:$C='14.2-Capex 2016'!B26),pat_2016!$H:$H))/1000</f>
        <v>412.37342000000012</v>
      </c>
      <c r="G26" s="623"/>
      <c r="H26" s="851">
        <f t="array" ref="H26">SUM(IF((pat_2016!$B:$B='14.2-Capex 2016'!H$7)*(pat_2016!$C:$C='14.2-Capex 2016'!B26),pat_2016!$H:$H))/1000</f>
        <v>0</v>
      </c>
      <c r="I26" s="623"/>
      <c r="J26" s="851">
        <f t="array" ref="J26">SUM(IF((pat_2016!$B:$B='14.2-Capex 2016'!J$7)*(pat_2016!$C:$C='14.2-Capex 2016'!B26),pat_2016!$H:$H))/1000</f>
        <v>0</v>
      </c>
      <c r="K26" s="623"/>
      <c r="L26" s="851">
        <f t="array" ref="L26">SUM(IF((pat_2016!$B:$B='14.2-Capex 2016'!L$7)*(pat_2016!$C:$C='14.2-Capex 2016'!B26),pat_2016!$H:$H))/1000</f>
        <v>0</v>
      </c>
      <c r="M26" s="623"/>
      <c r="N26" s="621">
        <f t="array" ref="N26">SUM(F26:L26)</f>
        <v>412.37342000000012</v>
      </c>
      <c r="O26" s="623"/>
      <c r="P26" s="622">
        <f t="shared" si="1"/>
        <v>0.67686481875694271</v>
      </c>
      <c r="W26" s="618"/>
    </row>
    <row r="27" spans="2:23">
      <c r="B27" s="577" t="s">
        <v>75</v>
      </c>
      <c r="C27" s="623"/>
      <c r="D27" s="407">
        <f t="array" ref="D27">COUNTIF(pat_2016!C:C,'14.2-Capex 2016'!B27)</f>
        <v>1</v>
      </c>
      <c r="E27" s="623"/>
      <c r="F27" s="851">
        <f t="array" ref="F27">SUM(IF((pat_2016!$B:$B='14.2-Capex 2016'!F$7)*(pat_2016!$C:$C='14.2-Capex 2016'!B27),pat_2016!$H:$H))/1000</f>
        <v>1.2625500000000001</v>
      </c>
      <c r="G27" s="623"/>
      <c r="H27" s="851">
        <f t="array" ref="H27">SUM(IF((pat_2016!$B:$B='14.2-Capex 2016'!H$7)*(pat_2016!$C:$C='14.2-Capex 2016'!B27),pat_2016!$H:$H))/1000</f>
        <v>0</v>
      </c>
      <c r="I27" s="623"/>
      <c r="J27" s="851">
        <f t="array" ref="J27">SUM(IF((pat_2016!$B:$B='14.2-Capex 2016'!J$7)*(pat_2016!$C:$C='14.2-Capex 2016'!B27),pat_2016!$H:$H))/1000</f>
        <v>0</v>
      </c>
      <c r="K27" s="623"/>
      <c r="L27" s="851">
        <f t="array" ref="L27">SUM(IF((pat_2016!$B:$B='14.2-Capex 2016'!L$7)*(pat_2016!$C:$C='14.2-Capex 2016'!B27),pat_2016!$H:$H))/1000</f>
        <v>0</v>
      </c>
      <c r="M27" s="623"/>
      <c r="N27" s="621">
        <f t="array" ref="N27">SUM(F27:L27)</f>
        <v>1.2625500000000001</v>
      </c>
      <c r="O27" s="623"/>
      <c r="P27" s="622">
        <f t="shared" si="1"/>
        <v>2.0723345285483673E-3</v>
      </c>
      <c r="W27" s="618"/>
    </row>
    <row r="28" spans="2:23">
      <c r="B28" s="577" t="s">
        <v>1012</v>
      </c>
      <c r="C28" s="623"/>
      <c r="D28" s="407">
        <f t="array" ref="D28">COUNTIF(pat_2016!C:C,'14.2-Capex 2016'!B28)</f>
        <v>0</v>
      </c>
      <c r="E28" s="623"/>
      <c r="F28" s="851">
        <f t="array" ref="F28">SUM(IF((pat_2016!$B:$B='14.2-Capex 2016'!F$7)*(pat_2016!$C:$C='14.2-Capex 2016'!B28),pat_2016!$H:$H))/1000</f>
        <v>0</v>
      </c>
      <c r="G28" s="623"/>
      <c r="H28" s="851">
        <f t="array" ref="H28">SUM(IF((pat_2016!$B:$B='14.2-Capex 2016'!H$7)*(pat_2016!$C:$C='14.2-Capex 2016'!B28),pat_2016!$H:$H))/1000</f>
        <v>0</v>
      </c>
      <c r="I28" s="623"/>
      <c r="J28" s="851">
        <f t="array" ref="J28">SUM(IF((pat_2016!$B:$B='14.2-Capex 2016'!J$7)*(pat_2016!$C:$C='14.2-Capex 2016'!B28),pat_2016!$H:$H))/1000</f>
        <v>0</v>
      </c>
      <c r="K28" s="623"/>
      <c r="L28" s="851">
        <f t="array" ref="L28">SUM(IF((pat_2016!$B:$B='14.2-Capex 2016'!L$7)*(pat_2016!$C:$C='14.2-Capex 2016'!B28),pat_2016!$H:$H))/1000</f>
        <v>0</v>
      </c>
      <c r="M28" s="623"/>
      <c r="N28" s="621">
        <f t="array" ref="N28">SUM(F28:L28)</f>
        <v>0</v>
      </c>
      <c r="O28" s="623"/>
      <c r="P28" s="622">
        <f t="shared" si="1"/>
        <v>0</v>
      </c>
      <c r="W28" s="619"/>
    </row>
    <row r="29" spans="2:23">
      <c r="B29" s="577" t="s">
        <v>970</v>
      </c>
      <c r="C29" s="623"/>
      <c r="D29" s="407">
        <f t="array" ref="D29">COUNTIF(pat_2016!C:C,'14.2-Capex 2016'!B29)</f>
        <v>0</v>
      </c>
      <c r="E29" s="623"/>
      <c r="F29" s="851">
        <f t="array" ref="F29">SUM(IF((pat_2016!$B:$B='14.2-Capex 2016'!F$7)*(pat_2016!$C:$C='14.2-Capex 2016'!B29),pat_2016!$H:$H))/1000</f>
        <v>0</v>
      </c>
      <c r="G29" s="623"/>
      <c r="H29" s="851">
        <f t="array" ref="H29">SUM(IF((pat_2016!$B:$B='14.2-Capex 2016'!H$7)*(pat_2016!$C:$C='14.2-Capex 2016'!B29),pat_2016!$H:$H))/1000</f>
        <v>0</v>
      </c>
      <c r="I29" s="623"/>
      <c r="J29" s="851">
        <f t="array" ref="J29">SUM(IF((pat_2016!$B:$B='14.2-Capex 2016'!J$7)*(pat_2016!$C:$C='14.2-Capex 2016'!B29),pat_2016!$H:$H))/1000</f>
        <v>0</v>
      </c>
      <c r="K29" s="623"/>
      <c r="L29" s="851">
        <f t="array" ref="L29">SUM(IF((pat_2016!$B:$B='14.2-Capex 2016'!L$7)*(pat_2016!$C:$C='14.2-Capex 2016'!B29),pat_2016!$H:$H))/1000</f>
        <v>0</v>
      </c>
      <c r="M29" s="623"/>
      <c r="N29" s="621">
        <f t="array" ref="N29">SUM(F29:L29)</f>
        <v>0</v>
      </c>
      <c r="O29" s="623"/>
      <c r="P29" s="622">
        <f t="shared" si="1"/>
        <v>0</v>
      </c>
    </row>
    <row r="30" spans="2:23">
      <c r="B30" s="577" t="s">
        <v>71</v>
      </c>
      <c r="C30" s="623"/>
      <c r="D30" s="407">
        <f t="array" ref="D30">COUNTIF(pat_2016!C:C,'14.2-Capex 2016'!B30)</f>
        <v>2</v>
      </c>
      <c r="E30" s="623"/>
      <c r="F30" s="851">
        <f t="array" ref="F30">SUM(IF((pat_2016!$B:$B='14.2-Capex 2016'!F$7)*(pat_2016!$C:$C='14.2-Capex 2016'!B30),pat_2016!$H:$H))/1000</f>
        <v>0</v>
      </c>
      <c r="G30" s="623"/>
      <c r="H30" s="851">
        <f t="array" ref="H30">SUM(IF((pat_2016!$B:$B='14.2-Capex 2016'!H$7)*(pat_2016!$C:$C='14.2-Capex 2016'!B30),pat_2016!$H:$H))/1000</f>
        <v>0</v>
      </c>
      <c r="I30" s="623"/>
      <c r="J30" s="851">
        <f t="array" ref="J30">SUM(IF((pat_2016!$B:$B='14.2-Capex 2016'!J$7)*(pat_2016!$C:$C='14.2-Capex 2016'!B30),pat_2016!$H:$H))/1000</f>
        <v>0</v>
      </c>
      <c r="K30" s="623"/>
      <c r="L30" s="851">
        <f t="array" ref="L30">SUM(IF((pat_2016!$B:$B='14.2-Capex 2016'!L$7)*(pat_2016!$C:$C='14.2-Capex 2016'!B30),pat_2016!$H:$H))/1000</f>
        <v>31.799099999999999</v>
      </c>
      <c r="M30" s="623"/>
      <c r="N30" s="621">
        <f t="array" ref="N30">SUM(F30:L30)</f>
        <v>31.799099999999999</v>
      </c>
      <c r="O30" s="623"/>
      <c r="P30" s="622">
        <f t="shared" si="1"/>
        <v>5.2194663899855352E-2</v>
      </c>
    </row>
    <row r="31" spans="2:23">
      <c r="B31" s="577" t="s">
        <v>76</v>
      </c>
      <c r="C31" s="623"/>
      <c r="D31" s="407">
        <f t="array" ref="D31">COUNTIF(pat_2016!C:C,'14.2-Capex 2016'!B31)</f>
        <v>4</v>
      </c>
      <c r="E31" s="623"/>
      <c r="F31" s="851">
        <f t="array" ref="F31">SUM(IF((pat_2016!$B:$B='14.2-Capex 2016'!F$7)*(pat_2016!$C:$C='14.2-Capex 2016'!B31),pat_2016!$H:$H))/1000</f>
        <v>83.149000000000001</v>
      </c>
      <c r="G31" s="623"/>
      <c r="H31" s="851">
        <f t="array" ref="H31">SUM(IF((pat_2016!$B:$B='14.2-Capex 2016'!H$7)*(pat_2016!$C:$C='14.2-Capex 2016'!B31),pat_2016!$H:$H))/1000</f>
        <v>0</v>
      </c>
      <c r="I31" s="623"/>
      <c r="J31" s="851">
        <f t="array" ref="J31">SUM(IF((pat_2016!$B:$B='14.2-Capex 2016'!J$7)*(pat_2016!$C:$C='14.2-Capex 2016'!B31),pat_2016!$H:$H))/1000</f>
        <v>0</v>
      </c>
      <c r="K31" s="623"/>
      <c r="L31" s="851">
        <f t="array" ref="L31">SUM(IF((pat_2016!$B:$B='14.2-Capex 2016'!L$7)*(pat_2016!$C:$C='14.2-Capex 2016'!B31),pat_2016!$H:$H))/1000</f>
        <v>0</v>
      </c>
      <c r="M31" s="623"/>
      <c r="N31" s="621">
        <f t="array" ref="N31">SUM(F31:L31)</f>
        <v>83.149000000000001</v>
      </c>
      <c r="O31" s="623"/>
      <c r="P31" s="622">
        <f t="shared" si="1"/>
        <v>0.13647977800029162</v>
      </c>
    </row>
    <row r="32" spans="2:23">
      <c r="B32" s="240" t="s">
        <v>5736</v>
      </c>
      <c r="D32" s="407">
        <f t="array" ref="D32">COUNTIF(pat_2016!C:C,'14.2-Capex 2016'!B32)</f>
        <v>1</v>
      </c>
      <c r="F32" s="851">
        <f t="array" ref="F32">SUM(IF((pat_2016!$B:$B='14.2-Capex 2016'!F$7)*(pat_2016!$C:$C='14.2-Capex 2016'!B32),pat_2016!$H:$H))/1000</f>
        <v>0</v>
      </c>
      <c r="H32" s="851">
        <f t="array" ref="H32">SUM(IF((pat_2016!$B:$B='14.2-Capex 2016'!H$7)*(pat_2016!$C:$C='14.2-Capex 2016'!B32),pat_2016!$H:$H))/1000</f>
        <v>0</v>
      </c>
      <c r="J32" s="851">
        <f t="array" ref="J32">SUM(IF((pat_2016!$B:$B='14.2-Capex 2016'!J$7)*(pat_2016!$C:$C='14.2-Capex 2016'!B32),pat_2016!$H:$H))/1000</f>
        <v>1.754</v>
      </c>
      <c r="L32" s="851">
        <f t="array" ref="L32">SUM(IF((pat_2016!$B:$B='14.2-Capex 2016'!L$7)*(pat_2016!$C:$C='14.2-Capex 2016'!B32),pat_2016!$H:$H))/1000</f>
        <v>0</v>
      </c>
      <c r="N32" s="621">
        <f t="array" ref="N32">SUM(F32:L32)</f>
        <v>1.754</v>
      </c>
      <c r="P32" s="622">
        <f t="shared" si="1"/>
        <v>2.8789947036345774E-3</v>
      </c>
    </row>
    <row r="33" spans="2:16" s="249" customFormat="1" ht="15.75">
      <c r="B33" s="277" t="s">
        <v>21</v>
      </c>
      <c r="C33" s="624"/>
      <c r="D33" s="281">
        <f>SUM(D24:D32)</f>
        <v>48</v>
      </c>
      <c r="E33" s="624"/>
      <c r="F33" s="281">
        <f>SUM(F24:F32)</f>
        <v>575.68734000000018</v>
      </c>
      <c r="G33" s="625"/>
      <c r="H33" s="281">
        <f>SUM(H24:H32)</f>
        <v>0</v>
      </c>
      <c r="I33" s="625"/>
      <c r="J33" s="281">
        <f>SUM(J24:J32)</f>
        <v>1.754</v>
      </c>
      <c r="K33" s="625"/>
      <c r="L33" s="281">
        <f>SUM(L24:L32)</f>
        <v>31.799099999999999</v>
      </c>
      <c r="M33" s="625"/>
      <c r="N33" s="281">
        <f>SUM(N24:N32)</f>
        <v>609.24044000000015</v>
      </c>
      <c r="O33" s="625"/>
      <c r="P33" s="578">
        <f>N33/N33</f>
        <v>1</v>
      </c>
    </row>
    <row r="34" spans="2:16">
      <c r="H34" s="245"/>
    </row>
    <row r="35" spans="2:16">
      <c r="D35" s="951"/>
      <c r="E35" s="951"/>
      <c r="F35" s="951"/>
      <c r="G35" s="405"/>
      <c r="H35" s="398"/>
      <c r="I35" s="405"/>
    </row>
    <row r="36" spans="2:16">
      <c r="D36" s="283"/>
      <c r="E36" s="283"/>
      <c r="F36" s="283"/>
      <c r="G36" s="405"/>
      <c r="H36" s="398"/>
      <c r="I36" s="405"/>
    </row>
    <row r="37" spans="2:16">
      <c r="D37" s="283"/>
      <c r="E37" s="283"/>
      <c r="F37" s="283"/>
      <c r="G37" s="405"/>
      <c r="H37" s="398"/>
      <c r="I37" s="405"/>
    </row>
    <row r="38" spans="2:16">
      <c r="D38" s="283"/>
      <c r="E38" s="283"/>
      <c r="F38" s="283"/>
      <c r="G38" s="405"/>
      <c r="H38" s="398"/>
      <c r="I38" s="405"/>
    </row>
    <row r="39" spans="2:16">
      <c r="D39" s="283"/>
      <c r="E39" s="283"/>
      <c r="F39" s="283"/>
      <c r="G39" s="405"/>
      <c r="H39" s="398"/>
      <c r="I39" s="405"/>
    </row>
    <row r="40" spans="2:16">
      <c r="B40" s="294" t="str">
        <f ca="1">CELL("filename")</f>
        <v xml:space="preserve">G:\Google Drive\00_Relatorios Gerenciais Masutti\[#Dossie para Bancos-mensal.xlsx]safra 16 17 </v>
      </c>
      <c r="C40" s="627"/>
      <c r="D40" s="628"/>
      <c r="E40" s="628"/>
      <c r="F40" s="628"/>
      <c r="G40" s="628"/>
      <c r="H40" s="628"/>
      <c r="I40" s="628"/>
      <c r="J40" s="628"/>
      <c r="K40" s="627"/>
      <c r="L40" s="627"/>
      <c r="M40" s="627"/>
      <c r="N40" s="294"/>
      <c r="O40" s="627"/>
      <c r="P40" s="294"/>
    </row>
    <row r="67" spans="2:23" s="226" customFormat="1">
      <c r="B67" s="225"/>
      <c r="D67" s="225"/>
      <c r="F67" s="225"/>
      <c r="H67" s="399"/>
      <c r="J67" s="225"/>
      <c r="N67" s="225"/>
      <c r="P67" s="225"/>
      <c r="Q67" s="225"/>
      <c r="R67" s="225"/>
      <c r="S67" s="225"/>
      <c r="T67" s="225"/>
      <c r="U67" s="225"/>
      <c r="V67" s="225"/>
      <c r="W67" s="225"/>
    </row>
    <row r="79" spans="2:23" hidden="1"/>
    <row r="80" spans="2:23" hidden="1"/>
    <row r="81" spans="2:12" hidden="1"/>
    <row r="87" spans="2:12">
      <c r="B87" s="225" t="s">
        <v>98</v>
      </c>
      <c r="C87" s="226" t="s">
        <v>6987</v>
      </c>
      <c r="D87" s="399">
        <v>42425</v>
      </c>
      <c r="E87" s="285">
        <v>42663</v>
      </c>
      <c r="F87" s="225" t="s">
        <v>22</v>
      </c>
      <c r="H87" s="225">
        <v>0</v>
      </c>
      <c r="I87" s="226">
        <v>18352</v>
      </c>
      <c r="J87" s="225">
        <v>0</v>
      </c>
      <c r="K87" s="226">
        <v>0</v>
      </c>
      <c r="L87" s="226">
        <v>0</v>
      </c>
    </row>
    <row r="99" spans="2:23" s="226" customFormat="1">
      <c r="B99" s="225"/>
      <c r="D99" s="399"/>
      <c r="E99" s="285"/>
      <c r="F99" s="225"/>
      <c r="H99" s="225"/>
      <c r="J99" s="225"/>
      <c r="N99" s="225"/>
      <c r="P99" s="225"/>
      <c r="Q99" s="225"/>
      <c r="R99" s="225"/>
      <c r="S99" s="225"/>
      <c r="T99" s="225"/>
      <c r="U99" s="225"/>
      <c r="V99" s="225"/>
      <c r="W99" s="225"/>
    </row>
    <row r="101" spans="2:23" s="226" customFormat="1">
      <c r="B101" s="225"/>
      <c r="D101" s="225"/>
      <c r="F101" s="225"/>
      <c r="P101" s="225"/>
      <c r="Q101" s="225"/>
      <c r="R101" s="225"/>
      <c r="S101" s="225"/>
      <c r="T101" s="225"/>
      <c r="U101" s="225"/>
      <c r="V101" s="225"/>
      <c r="W101" s="225"/>
    </row>
  </sheetData>
  <sheetCalcPr fullCalcOnLoad="1"/>
  <mergeCells count="3">
    <mergeCell ref="B18:B19"/>
    <mergeCell ref="P18:P19"/>
    <mergeCell ref="D35:F35"/>
  </mergeCells>
  <pageMargins left="0.25" right="0.25" top="0.75" bottom="0.75" header="0.3" footer="0.3"/>
  <pageSetup paperSize="9" scale="7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49"/>
  <sheetViews>
    <sheetView workbookViewId="0">
      <selection activeCell="B89" sqref="B89"/>
    </sheetView>
  </sheetViews>
  <sheetFormatPr defaultRowHeight="15"/>
  <cols>
    <col min="1" max="1" width="3" bestFit="1" customWidth="1"/>
    <col min="2" max="2" width="52.7109375" bestFit="1" customWidth="1"/>
    <col min="3" max="3" width="26.140625" bestFit="1" customWidth="1"/>
    <col min="4" max="4" width="34" bestFit="1" customWidth="1"/>
    <col min="5" max="5" width="57.7109375" bestFit="1" customWidth="1"/>
    <col min="6" max="6" width="19.85546875" bestFit="1" customWidth="1"/>
    <col min="7" max="7" width="25" bestFit="1" customWidth="1"/>
    <col min="8" max="8" width="20.28515625" bestFit="1" customWidth="1"/>
    <col min="9" max="9" width="21.42578125" bestFit="1" customWidth="1"/>
    <col min="10" max="10" width="23.7109375" bestFit="1" customWidth="1"/>
    <col min="11" max="11" width="15" bestFit="1" customWidth="1"/>
  </cols>
  <sheetData>
    <row r="1" spans="1:11">
      <c r="A1" s="841" t="s">
        <v>6922</v>
      </c>
      <c r="B1" s="842" t="s">
        <v>1486</v>
      </c>
      <c r="C1" s="842" t="s">
        <v>1487</v>
      </c>
      <c r="D1" s="842" t="s">
        <v>1488</v>
      </c>
      <c r="E1" s="842" t="s">
        <v>1489</v>
      </c>
      <c r="F1" s="842" t="s">
        <v>1490</v>
      </c>
      <c r="G1" s="843" t="s">
        <v>1491</v>
      </c>
      <c r="H1" s="843" t="s">
        <v>1492</v>
      </c>
      <c r="I1" s="842" t="s">
        <v>1493</v>
      </c>
      <c r="J1" s="841" t="s">
        <v>1494</v>
      </c>
      <c r="K1" s="844" t="s">
        <v>1495</v>
      </c>
    </row>
    <row r="2" spans="1:11" hidden="1">
      <c r="A2" s="845" t="s">
        <v>6923</v>
      </c>
      <c r="B2" s="846" t="s">
        <v>1230</v>
      </c>
      <c r="C2" s="846" t="s">
        <v>72</v>
      </c>
      <c r="D2" s="846" t="s">
        <v>51</v>
      </c>
      <c r="E2" s="846" t="s">
        <v>6826</v>
      </c>
      <c r="F2" s="846" t="s">
        <v>6827</v>
      </c>
      <c r="G2" s="847">
        <v>8800</v>
      </c>
      <c r="H2" s="847">
        <v>8800</v>
      </c>
      <c r="I2" s="846" t="s">
        <v>396</v>
      </c>
      <c r="J2" s="848">
        <v>42384.364837962959</v>
      </c>
      <c r="K2" s="849" t="s">
        <v>865</v>
      </c>
    </row>
    <row r="3" spans="1:11" hidden="1">
      <c r="A3" s="845" t="s">
        <v>6924</v>
      </c>
      <c r="B3" s="846" t="s">
        <v>1230</v>
      </c>
      <c r="C3" s="846" t="s">
        <v>75</v>
      </c>
      <c r="D3" s="846" t="s">
        <v>51</v>
      </c>
      <c r="E3" s="846" t="s">
        <v>463</v>
      </c>
      <c r="F3" s="846" t="s">
        <v>6828</v>
      </c>
      <c r="G3" s="847">
        <v>1262.55</v>
      </c>
      <c r="H3" s="847">
        <v>1262.55</v>
      </c>
      <c r="I3" s="846" t="s">
        <v>460</v>
      </c>
      <c r="J3" s="848">
        <v>42384.348275462966</v>
      </c>
      <c r="K3" s="849" t="s">
        <v>865</v>
      </c>
    </row>
    <row r="4" spans="1:11" hidden="1">
      <c r="A4" s="845" t="s">
        <v>6925</v>
      </c>
      <c r="B4" s="846" t="s">
        <v>1230</v>
      </c>
      <c r="C4" s="846" t="s">
        <v>72</v>
      </c>
      <c r="D4" s="846" t="s">
        <v>51</v>
      </c>
      <c r="E4" s="846" t="s">
        <v>2870</v>
      </c>
      <c r="F4" s="846" t="s">
        <v>6829</v>
      </c>
      <c r="G4" s="847">
        <v>9800</v>
      </c>
      <c r="H4" s="847">
        <v>9800</v>
      </c>
      <c r="I4" s="846" t="s">
        <v>517</v>
      </c>
      <c r="J4" s="848">
        <v>42394.570729166669</v>
      </c>
      <c r="K4" s="849" t="s">
        <v>865</v>
      </c>
    </row>
    <row r="5" spans="1:11" hidden="1">
      <c r="A5" s="845" t="s">
        <v>6926</v>
      </c>
      <c r="B5" s="846" t="s">
        <v>1230</v>
      </c>
      <c r="C5" s="846" t="s">
        <v>72</v>
      </c>
      <c r="D5" s="846" t="s">
        <v>51</v>
      </c>
      <c r="E5" s="846" t="s">
        <v>2870</v>
      </c>
      <c r="F5" s="846" t="s">
        <v>6830</v>
      </c>
      <c r="G5" s="847">
        <v>9800</v>
      </c>
      <c r="H5" s="847">
        <v>9800</v>
      </c>
      <c r="I5" s="846" t="s">
        <v>517</v>
      </c>
      <c r="J5" s="848">
        <v>42394.570729166669</v>
      </c>
      <c r="K5" s="849" t="s">
        <v>865</v>
      </c>
    </row>
    <row r="6" spans="1:11" hidden="1">
      <c r="A6" s="845" t="s">
        <v>6927</v>
      </c>
      <c r="B6" s="846" t="s">
        <v>1230</v>
      </c>
      <c r="C6" s="846" t="s">
        <v>73</v>
      </c>
      <c r="D6" s="846" t="s">
        <v>69</v>
      </c>
      <c r="E6" s="846" t="s">
        <v>6832</v>
      </c>
      <c r="F6" s="846" t="s">
        <v>6833</v>
      </c>
      <c r="G6" s="847">
        <v>155000</v>
      </c>
      <c r="H6" s="847">
        <v>155000</v>
      </c>
      <c r="I6" s="846" t="s">
        <v>6834</v>
      </c>
      <c r="J6" s="848">
        <v>42417.495891203704</v>
      </c>
      <c r="K6" s="849" t="s">
        <v>865</v>
      </c>
    </row>
    <row r="7" spans="1:11" hidden="1">
      <c r="A7" s="845" t="s">
        <v>6928</v>
      </c>
      <c r="B7" s="846" t="s">
        <v>1230</v>
      </c>
      <c r="C7" s="846" t="s">
        <v>73</v>
      </c>
      <c r="D7" s="846" t="s">
        <v>69</v>
      </c>
      <c r="E7" s="846" t="s">
        <v>6832</v>
      </c>
      <c r="F7" s="846" t="s">
        <v>6835</v>
      </c>
      <c r="G7" s="847">
        <v>155000</v>
      </c>
      <c r="H7" s="847">
        <v>155000</v>
      </c>
      <c r="I7" s="846" t="s">
        <v>455</v>
      </c>
      <c r="J7" s="848">
        <v>42417.482835648145</v>
      </c>
      <c r="K7" s="849" t="s">
        <v>865</v>
      </c>
    </row>
    <row r="8" spans="1:11" hidden="1">
      <c r="A8" s="845" t="s">
        <v>6929</v>
      </c>
      <c r="B8" s="846" t="s">
        <v>1230</v>
      </c>
      <c r="C8" s="846" t="s">
        <v>73</v>
      </c>
      <c r="D8" s="846" t="s">
        <v>69</v>
      </c>
      <c r="E8" s="846" t="s">
        <v>6836</v>
      </c>
      <c r="F8" s="846" t="s">
        <v>6837</v>
      </c>
      <c r="G8" s="847">
        <v>39435.71</v>
      </c>
      <c r="H8" s="847">
        <v>39435.71</v>
      </c>
      <c r="I8" s="846" t="s">
        <v>6838</v>
      </c>
      <c r="J8" s="848">
        <v>42418.647106481483</v>
      </c>
      <c r="K8" s="849" t="s">
        <v>865</v>
      </c>
    </row>
    <row r="9" spans="1:11" hidden="1">
      <c r="A9" s="845" t="s">
        <v>6930</v>
      </c>
      <c r="B9" s="846" t="s">
        <v>1230</v>
      </c>
      <c r="C9" s="846" t="s">
        <v>73</v>
      </c>
      <c r="D9" s="846" t="s">
        <v>69</v>
      </c>
      <c r="E9" s="846" t="s">
        <v>6836</v>
      </c>
      <c r="F9" s="846" t="s">
        <v>6839</v>
      </c>
      <c r="G9" s="847">
        <v>39435.71</v>
      </c>
      <c r="H9" s="847">
        <v>39435.71</v>
      </c>
      <c r="I9" s="846" t="s">
        <v>396</v>
      </c>
      <c r="J9" s="848">
        <v>42418.719895833332</v>
      </c>
      <c r="K9" s="849" t="s">
        <v>865</v>
      </c>
    </row>
    <row r="10" spans="1:11" hidden="1">
      <c r="A10" s="845" t="s">
        <v>6931</v>
      </c>
      <c r="B10" s="846" t="s">
        <v>1230</v>
      </c>
      <c r="C10" s="846" t="s">
        <v>72</v>
      </c>
      <c r="D10" s="846" t="s">
        <v>51</v>
      </c>
      <c r="E10" s="846" t="s">
        <v>6840</v>
      </c>
      <c r="F10" s="846" t="s">
        <v>6841</v>
      </c>
      <c r="G10" s="847">
        <v>825</v>
      </c>
      <c r="H10" s="847">
        <v>825</v>
      </c>
      <c r="I10" s="846" t="s">
        <v>517</v>
      </c>
      <c r="J10" s="848">
        <v>42411.42560185185</v>
      </c>
      <c r="K10" s="849" t="s">
        <v>865</v>
      </c>
    </row>
    <row r="11" spans="1:11" hidden="1">
      <c r="A11" s="845" t="s">
        <v>6932</v>
      </c>
      <c r="B11" s="846" t="s">
        <v>1230</v>
      </c>
      <c r="C11" s="846" t="s">
        <v>72</v>
      </c>
      <c r="D11" s="846" t="s">
        <v>51</v>
      </c>
      <c r="E11" s="846" t="s">
        <v>6842</v>
      </c>
      <c r="F11" s="846" t="s">
        <v>6843</v>
      </c>
      <c r="G11" s="847">
        <v>11500</v>
      </c>
      <c r="H11" s="847">
        <v>11500</v>
      </c>
      <c r="I11" s="846" t="s">
        <v>517</v>
      </c>
      <c r="J11" s="848">
        <v>42411.42560185185</v>
      </c>
      <c r="K11" s="849" t="s">
        <v>865</v>
      </c>
    </row>
    <row r="12" spans="1:11" hidden="1">
      <c r="A12" s="845" t="s">
        <v>6933</v>
      </c>
      <c r="B12" s="846" t="s">
        <v>5046</v>
      </c>
      <c r="C12" s="846" t="s">
        <v>71</v>
      </c>
      <c r="D12" s="846" t="s">
        <v>51</v>
      </c>
      <c r="E12" s="846" t="s">
        <v>6844</v>
      </c>
      <c r="F12" s="846" t="s">
        <v>6845</v>
      </c>
      <c r="G12" s="847">
        <v>30000</v>
      </c>
      <c r="H12" s="847">
        <v>30000</v>
      </c>
      <c r="I12" s="846" t="s">
        <v>4971</v>
      </c>
      <c r="J12" s="848">
        <v>42410.57980324074</v>
      </c>
      <c r="K12" s="849" t="s">
        <v>865</v>
      </c>
    </row>
    <row r="13" spans="1:11" hidden="1">
      <c r="A13" s="845" t="s">
        <v>6934</v>
      </c>
      <c r="B13" s="846" t="s">
        <v>1230</v>
      </c>
      <c r="C13" s="846" t="s">
        <v>76</v>
      </c>
      <c r="D13" s="846" t="s">
        <v>59</v>
      </c>
      <c r="E13" s="846" t="s">
        <v>895</v>
      </c>
      <c r="F13" s="846" t="s">
        <v>6846</v>
      </c>
      <c r="G13" s="847">
        <v>77000</v>
      </c>
      <c r="H13" s="847">
        <v>77000</v>
      </c>
      <c r="I13" s="846" t="s">
        <v>875</v>
      </c>
      <c r="J13" s="848">
        <v>42404.333298611113</v>
      </c>
      <c r="K13" s="849" t="s">
        <v>865</v>
      </c>
    </row>
    <row r="14" spans="1:11" hidden="1">
      <c r="A14" s="845" t="s">
        <v>6935</v>
      </c>
      <c r="B14" s="846" t="s">
        <v>1230</v>
      </c>
      <c r="C14" s="846" t="s">
        <v>72</v>
      </c>
      <c r="D14" s="846" t="s">
        <v>51</v>
      </c>
      <c r="E14" s="846" t="s">
        <v>6847</v>
      </c>
      <c r="F14" s="846" t="s">
        <v>6848</v>
      </c>
      <c r="G14" s="847">
        <v>1383.14</v>
      </c>
      <c r="H14" s="847">
        <v>1383.14</v>
      </c>
      <c r="I14" s="846" t="s">
        <v>396</v>
      </c>
      <c r="J14" s="848">
        <v>42426.361956018518</v>
      </c>
      <c r="K14" s="849" t="s">
        <v>865</v>
      </c>
    </row>
    <row r="15" spans="1:11" hidden="1">
      <c r="A15" s="845" t="s">
        <v>6936</v>
      </c>
      <c r="B15" s="846" t="s">
        <v>1230</v>
      </c>
      <c r="C15" s="846" t="s">
        <v>72</v>
      </c>
      <c r="D15" s="846" t="s">
        <v>51</v>
      </c>
      <c r="E15" s="846" t="s">
        <v>6849</v>
      </c>
      <c r="F15" s="846" t="s">
        <v>6850</v>
      </c>
      <c r="G15" s="847">
        <v>2880.48</v>
      </c>
      <c r="H15" s="847">
        <v>2880.48</v>
      </c>
      <c r="I15" s="846" t="s">
        <v>396</v>
      </c>
      <c r="J15" s="848">
        <v>42446.409224537034</v>
      </c>
      <c r="K15" s="849" t="s">
        <v>865</v>
      </c>
    </row>
    <row r="16" spans="1:11" hidden="1">
      <c r="A16" s="845" t="s">
        <v>6937</v>
      </c>
      <c r="B16" s="846" t="s">
        <v>1230</v>
      </c>
      <c r="C16" s="846" t="s">
        <v>72</v>
      </c>
      <c r="D16" s="846" t="s">
        <v>51</v>
      </c>
      <c r="E16" s="846" t="s">
        <v>6849</v>
      </c>
      <c r="F16" s="846" t="s">
        <v>6851</v>
      </c>
      <c r="G16" s="847">
        <v>2730</v>
      </c>
      <c r="H16" s="847">
        <v>2730</v>
      </c>
      <c r="I16" s="846" t="s">
        <v>396</v>
      </c>
      <c r="J16" s="848">
        <v>42446.401134259257</v>
      </c>
      <c r="K16" s="849" t="s">
        <v>865</v>
      </c>
    </row>
    <row r="17" spans="1:11" hidden="1">
      <c r="A17" s="845" t="s">
        <v>6938</v>
      </c>
      <c r="B17" s="846" t="s">
        <v>1230</v>
      </c>
      <c r="C17" s="846" t="s">
        <v>72</v>
      </c>
      <c r="D17" s="846" t="s">
        <v>51</v>
      </c>
      <c r="E17" s="846" t="s">
        <v>6852</v>
      </c>
      <c r="F17" s="846" t="s">
        <v>6853</v>
      </c>
      <c r="G17" s="847">
        <v>6154</v>
      </c>
      <c r="H17" s="847">
        <v>6154</v>
      </c>
      <c r="I17" s="846" t="s">
        <v>517</v>
      </c>
      <c r="J17" s="848">
        <v>42445.666238425925</v>
      </c>
      <c r="K17" s="849" t="s">
        <v>865</v>
      </c>
    </row>
    <row r="18" spans="1:11" hidden="1">
      <c r="A18" s="845" t="s">
        <v>6939</v>
      </c>
      <c r="B18" s="846" t="s">
        <v>1230</v>
      </c>
      <c r="C18" s="846" t="s">
        <v>72</v>
      </c>
      <c r="D18" s="846" t="s">
        <v>51</v>
      </c>
      <c r="E18" s="846" t="s">
        <v>6854</v>
      </c>
      <c r="F18" s="846" t="s">
        <v>6855</v>
      </c>
      <c r="G18" s="847">
        <v>2500</v>
      </c>
      <c r="H18" s="847">
        <v>2500</v>
      </c>
      <c r="I18" s="846" t="s">
        <v>517</v>
      </c>
      <c r="J18" s="848">
        <v>42443.351157407407</v>
      </c>
      <c r="K18" s="849" t="s">
        <v>865</v>
      </c>
    </row>
    <row r="19" spans="1:11" hidden="1">
      <c r="A19" s="845" t="s">
        <v>6940</v>
      </c>
      <c r="B19" s="846" t="s">
        <v>1230</v>
      </c>
      <c r="C19" s="846" t="s">
        <v>76</v>
      </c>
      <c r="D19" s="846" t="s">
        <v>51</v>
      </c>
      <c r="E19" s="846" t="s">
        <v>6856</v>
      </c>
      <c r="F19" s="846" t="s">
        <v>6857</v>
      </c>
      <c r="G19" s="847">
        <v>2150</v>
      </c>
      <c r="H19" s="847">
        <v>2150</v>
      </c>
      <c r="I19" s="846" t="s">
        <v>875</v>
      </c>
      <c r="J19" s="848">
        <v>42439.645995370367</v>
      </c>
      <c r="K19" s="849" t="s">
        <v>865</v>
      </c>
    </row>
    <row r="20" spans="1:11" hidden="1">
      <c r="A20" s="845" t="s">
        <v>6941</v>
      </c>
      <c r="B20" s="846" t="s">
        <v>1230</v>
      </c>
      <c r="C20" s="846" t="s">
        <v>76</v>
      </c>
      <c r="D20" s="846" t="s">
        <v>51</v>
      </c>
      <c r="E20" s="846" t="s">
        <v>6856</v>
      </c>
      <c r="F20" s="846" t="s">
        <v>6858</v>
      </c>
      <c r="G20" s="847">
        <v>2350</v>
      </c>
      <c r="H20" s="847">
        <v>2350</v>
      </c>
      <c r="I20" s="846" t="s">
        <v>875</v>
      </c>
      <c r="J20" s="848">
        <v>42473.321296296293</v>
      </c>
      <c r="K20" s="849" t="s">
        <v>865</v>
      </c>
    </row>
    <row r="21" spans="1:11" hidden="1">
      <c r="A21" s="845" t="s">
        <v>6942</v>
      </c>
      <c r="B21" s="846" t="s">
        <v>1230</v>
      </c>
      <c r="C21" s="846" t="s">
        <v>73</v>
      </c>
      <c r="D21" s="846" t="s">
        <v>43</v>
      </c>
      <c r="E21" s="846" t="s">
        <v>5393</v>
      </c>
      <c r="F21" s="846" t="s">
        <v>6871</v>
      </c>
      <c r="G21" s="847">
        <v>2675.28</v>
      </c>
      <c r="H21" s="847">
        <v>2675.28</v>
      </c>
      <c r="I21" s="846" t="s">
        <v>6872</v>
      </c>
      <c r="J21" s="848">
        <v>42376.394537037035</v>
      </c>
      <c r="K21" s="849" t="s">
        <v>865</v>
      </c>
    </row>
    <row r="22" spans="1:11" hidden="1">
      <c r="A22" s="845" t="s">
        <v>6943</v>
      </c>
      <c r="B22" s="846" t="s">
        <v>1230</v>
      </c>
      <c r="C22" s="846" t="s">
        <v>73</v>
      </c>
      <c r="D22" s="846" t="s">
        <v>43</v>
      </c>
      <c r="E22" s="846" t="s">
        <v>5393</v>
      </c>
      <c r="F22" s="846" t="s">
        <v>6873</v>
      </c>
      <c r="G22" s="847">
        <v>2675.28</v>
      </c>
      <c r="H22" s="847">
        <v>2675.28</v>
      </c>
      <c r="I22" s="846" t="s">
        <v>6874</v>
      </c>
      <c r="J22" s="848">
        <v>42376.394537037035</v>
      </c>
      <c r="K22" s="849" t="s">
        <v>865</v>
      </c>
    </row>
    <row r="23" spans="1:11" hidden="1">
      <c r="A23" s="845" t="s">
        <v>6944</v>
      </c>
      <c r="B23" s="846" t="s">
        <v>1230</v>
      </c>
      <c r="C23" s="846" t="s">
        <v>73</v>
      </c>
      <c r="D23" s="846" t="s">
        <v>43</v>
      </c>
      <c r="E23" s="846" t="s">
        <v>5393</v>
      </c>
      <c r="F23" s="846" t="s">
        <v>6875</v>
      </c>
      <c r="G23" s="847">
        <v>4311.55</v>
      </c>
      <c r="H23" s="847">
        <v>4311.55</v>
      </c>
      <c r="I23" s="846" t="s">
        <v>6859</v>
      </c>
      <c r="J23" s="848">
        <v>42376.438831018517</v>
      </c>
      <c r="K23" s="849" t="s">
        <v>865</v>
      </c>
    </row>
    <row r="24" spans="1:11">
      <c r="A24" s="845" t="s">
        <v>6945</v>
      </c>
      <c r="B24" s="846" t="s">
        <v>4823</v>
      </c>
      <c r="C24" s="846" t="s">
        <v>5736</v>
      </c>
      <c r="D24" s="846" t="s">
        <v>55</v>
      </c>
      <c r="E24" s="846" t="s">
        <v>461</v>
      </c>
      <c r="F24" s="846" t="s">
        <v>6876</v>
      </c>
      <c r="G24" s="847">
        <v>1754</v>
      </c>
      <c r="H24" s="847">
        <v>1754</v>
      </c>
      <c r="I24" s="846" t="s">
        <v>6877</v>
      </c>
      <c r="J24" s="848">
        <v>42374.642905092594</v>
      </c>
      <c r="K24" s="849" t="s">
        <v>865</v>
      </c>
    </row>
    <row r="25" spans="1:11" hidden="1">
      <c r="A25" s="845" t="s">
        <v>6946</v>
      </c>
      <c r="B25" s="846" t="s">
        <v>1230</v>
      </c>
      <c r="C25" s="846" t="s">
        <v>72</v>
      </c>
      <c r="D25" s="846" t="s">
        <v>43</v>
      </c>
      <c r="E25" s="846" t="s">
        <v>6878</v>
      </c>
      <c r="F25" s="846" t="s">
        <v>6879</v>
      </c>
      <c r="G25" s="847">
        <v>4218</v>
      </c>
      <c r="H25" s="847">
        <v>4218</v>
      </c>
      <c r="I25" s="846" t="s">
        <v>517</v>
      </c>
      <c r="J25" s="848">
        <v>42375.63957175926</v>
      </c>
      <c r="K25" s="849" t="s">
        <v>865</v>
      </c>
    </row>
    <row r="26" spans="1:11" hidden="1">
      <c r="A26" s="845" t="s">
        <v>6947</v>
      </c>
      <c r="B26" s="846" t="s">
        <v>1230</v>
      </c>
      <c r="C26" s="846" t="s">
        <v>73</v>
      </c>
      <c r="D26" s="846" t="s">
        <v>43</v>
      </c>
      <c r="E26" s="846" t="s">
        <v>5805</v>
      </c>
      <c r="F26" s="846" t="s">
        <v>6880</v>
      </c>
      <c r="G26" s="847">
        <v>2909.75</v>
      </c>
      <c r="H26" s="847">
        <v>2909.75</v>
      </c>
      <c r="I26" s="846" t="s">
        <v>6881</v>
      </c>
      <c r="J26" s="848">
        <v>42376.377511574072</v>
      </c>
      <c r="K26" s="849" t="s">
        <v>865</v>
      </c>
    </row>
    <row r="27" spans="1:11" hidden="1">
      <c r="A27" s="845" t="s">
        <v>6948</v>
      </c>
      <c r="B27" s="846" t="s">
        <v>1230</v>
      </c>
      <c r="C27" s="846" t="s">
        <v>73</v>
      </c>
      <c r="D27" s="846" t="s">
        <v>55</v>
      </c>
      <c r="E27" s="846" t="s">
        <v>6882</v>
      </c>
      <c r="F27" s="846" t="s">
        <v>6883</v>
      </c>
      <c r="G27" s="847">
        <v>2100</v>
      </c>
      <c r="H27" s="847">
        <v>2100</v>
      </c>
      <c r="I27" s="846" t="s">
        <v>458</v>
      </c>
      <c r="J27" s="848">
        <v>42394.642048611109</v>
      </c>
      <c r="K27" s="849" t="s">
        <v>865</v>
      </c>
    </row>
    <row r="28" spans="1:11" hidden="1">
      <c r="A28" s="845" t="s">
        <v>6949</v>
      </c>
      <c r="B28" s="846" t="s">
        <v>1230</v>
      </c>
      <c r="C28" s="846" t="s">
        <v>72</v>
      </c>
      <c r="D28" s="846" t="s">
        <v>55</v>
      </c>
      <c r="E28" s="846" t="s">
        <v>1141</v>
      </c>
      <c r="F28" s="846" t="s">
        <v>6884</v>
      </c>
      <c r="G28" s="847">
        <v>2100</v>
      </c>
      <c r="H28" s="847">
        <v>2100</v>
      </c>
      <c r="I28" s="846" t="s">
        <v>517</v>
      </c>
      <c r="J28" s="848">
        <v>42396.716134259259</v>
      </c>
      <c r="K28" s="849" t="s">
        <v>865</v>
      </c>
    </row>
    <row r="29" spans="1:11" hidden="1">
      <c r="A29" s="845" t="s">
        <v>6950</v>
      </c>
      <c r="B29" s="846" t="s">
        <v>1230</v>
      </c>
      <c r="C29" s="846" t="s">
        <v>72</v>
      </c>
      <c r="D29" s="846" t="s">
        <v>51</v>
      </c>
      <c r="E29" s="846" t="s">
        <v>6885</v>
      </c>
      <c r="F29" s="846" t="s">
        <v>6886</v>
      </c>
      <c r="G29" s="847">
        <v>4200</v>
      </c>
      <c r="H29" s="847">
        <v>4200</v>
      </c>
      <c r="I29" s="846" t="s">
        <v>6887</v>
      </c>
      <c r="J29" s="848">
        <v>42381.477303240739</v>
      </c>
      <c r="K29" s="849" t="s">
        <v>865</v>
      </c>
    </row>
    <row r="30" spans="1:11" hidden="1">
      <c r="A30" s="845" t="s">
        <v>6951</v>
      </c>
      <c r="B30" s="846" t="s">
        <v>1230</v>
      </c>
      <c r="C30" s="846" t="s">
        <v>74</v>
      </c>
      <c r="D30" s="846" t="s">
        <v>43</v>
      </c>
      <c r="E30" s="846" t="s">
        <v>6888</v>
      </c>
      <c r="F30" s="846" t="s">
        <v>6889</v>
      </c>
      <c r="G30" s="847">
        <v>459</v>
      </c>
      <c r="H30" s="847">
        <v>459</v>
      </c>
      <c r="I30" s="846" t="s">
        <v>917</v>
      </c>
      <c r="J30" s="848">
        <v>42417.334710648145</v>
      </c>
      <c r="K30" s="849" t="s">
        <v>865</v>
      </c>
    </row>
    <row r="31" spans="1:11" hidden="1">
      <c r="A31" s="845" t="s">
        <v>6952</v>
      </c>
      <c r="B31" s="846" t="s">
        <v>1230</v>
      </c>
      <c r="C31" s="846" t="s">
        <v>72</v>
      </c>
      <c r="D31" s="846" t="s">
        <v>55</v>
      </c>
      <c r="E31" s="846" t="s">
        <v>920</v>
      </c>
      <c r="F31" s="846" t="s">
        <v>6890</v>
      </c>
      <c r="G31" s="847">
        <v>180</v>
      </c>
      <c r="H31" s="847">
        <v>180</v>
      </c>
      <c r="I31" s="846" t="s">
        <v>633</v>
      </c>
      <c r="J31" s="848">
        <v>42426.374641203707</v>
      </c>
      <c r="K31" s="849" t="s">
        <v>865</v>
      </c>
    </row>
    <row r="32" spans="1:11" hidden="1">
      <c r="A32" s="845" t="s">
        <v>6953</v>
      </c>
      <c r="B32" s="846" t="s">
        <v>1230</v>
      </c>
      <c r="C32" s="846" t="s">
        <v>72</v>
      </c>
      <c r="D32" s="846" t="s">
        <v>55</v>
      </c>
      <c r="E32" s="846" t="s">
        <v>920</v>
      </c>
      <c r="F32" s="846" t="s">
        <v>6891</v>
      </c>
      <c r="G32" s="847">
        <v>180</v>
      </c>
      <c r="H32" s="847">
        <v>180</v>
      </c>
      <c r="I32" s="846" t="s">
        <v>633</v>
      </c>
      <c r="J32" s="848">
        <v>42426.374641203707</v>
      </c>
      <c r="K32" s="849" t="s">
        <v>865</v>
      </c>
    </row>
    <row r="33" spans="1:11" hidden="1">
      <c r="A33" s="845" t="s">
        <v>6954</v>
      </c>
      <c r="B33" s="846" t="s">
        <v>1230</v>
      </c>
      <c r="C33" s="846" t="s">
        <v>72</v>
      </c>
      <c r="D33" s="846" t="s">
        <v>51</v>
      </c>
      <c r="E33" s="846" t="s">
        <v>1051</v>
      </c>
      <c r="F33" s="846" t="s">
        <v>6892</v>
      </c>
      <c r="G33" s="847">
        <v>3177.75</v>
      </c>
      <c r="H33" s="847">
        <v>3177.75</v>
      </c>
      <c r="I33" s="846" t="s">
        <v>6893</v>
      </c>
      <c r="J33" s="848">
        <v>42425.596886574072</v>
      </c>
      <c r="K33" s="849" t="s">
        <v>865</v>
      </c>
    </row>
    <row r="34" spans="1:11" hidden="1">
      <c r="A34" s="845" t="s">
        <v>6955</v>
      </c>
      <c r="B34" s="846" t="s">
        <v>1230</v>
      </c>
      <c r="C34" s="846" t="s">
        <v>72</v>
      </c>
      <c r="D34" s="846" t="s">
        <v>55</v>
      </c>
      <c r="E34" s="846" t="s">
        <v>6894</v>
      </c>
      <c r="F34" s="846" t="s">
        <v>6895</v>
      </c>
      <c r="G34" s="847">
        <v>1700</v>
      </c>
      <c r="H34" s="847">
        <v>1700</v>
      </c>
      <c r="I34" s="846" t="s">
        <v>517</v>
      </c>
      <c r="J34" s="848">
        <v>42426.382534722223</v>
      </c>
      <c r="K34" s="849" t="s">
        <v>865</v>
      </c>
    </row>
    <row r="35" spans="1:11" hidden="1">
      <c r="A35" s="845" t="s">
        <v>6956</v>
      </c>
      <c r="B35" s="846" t="s">
        <v>1230</v>
      </c>
      <c r="C35" s="846" t="s">
        <v>72</v>
      </c>
      <c r="D35" s="846" t="s">
        <v>55</v>
      </c>
      <c r="E35" s="846" t="s">
        <v>779</v>
      </c>
      <c r="F35" s="846" t="s">
        <v>6896</v>
      </c>
      <c r="G35" s="847">
        <v>1250</v>
      </c>
      <c r="H35" s="847">
        <v>1250</v>
      </c>
      <c r="I35" s="846" t="s">
        <v>804</v>
      </c>
      <c r="J35" s="848">
        <v>42426.428923611114</v>
      </c>
      <c r="K35" s="849" t="s">
        <v>865</v>
      </c>
    </row>
    <row r="36" spans="1:11" hidden="1">
      <c r="A36" s="845" t="s">
        <v>6957</v>
      </c>
      <c r="B36" s="846" t="s">
        <v>1230</v>
      </c>
      <c r="C36" s="846" t="s">
        <v>73</v>
      </c>
      <c r="D36" s="846" t="s">
        <v>55</v>
      </c>
      <c r="E36" s="846" t="s">
        <v>910</v>
      </c>
      <c r="F36" s="846" t="s">
        <v>6897</v>
      </c>
      <c r="G36" s="847">
        <v>1345</v>
      </c>
      <c r="H36" s="847">
        <v>1345</v>
      </c>
      <c r="I36" s="846" t="s">
        <v>6898</v>
      </c>
      <c r="J36" s="848">
        <v>42436.662499999999</v>
      </c>
      <c r="K36" s="849" t="s">
        <v>865</v>
      </c>
    </row>
    <row r="37" spans="1:11" hidden="1">
      <c r="A37" s="845" t="s">
        <v>6958</v>
      </c>
      <c r="B37" s="846" t="s">
        <v>1230</v>
      </c>
      <c r="C37" s="846" t="s">
        <v>72</v>
      </c>
      <c r="D37" s="846" t="s">
        <v>55</v>
      </c>
      <c r="E37" s="846" t="s">
        <v>6899</v>
      </c>
      <c r="F37" s="846" t="s">
        <v>6900</v>
      </c>
      <c r="G37" s="847">
        <v>1079</v>
      </c>
      <c r="H37" s="847">
        <v>1079</v>
      </c>
      <c r="I37" s="846" t="s">
        <v>913</v>
      </c>
      <c r="J37" s="848">
        <v>42443.5784375</v>
      </c>
      <c r="K37" s="849" t="s">
        <v>865</v>
      </c>
    </row>
    <row r="38" spans="1:11" hidden="1">
      <c r="A38" s="845" t="s">
        <v>6959</v>
      </c>
      <c r="B38" s="846" t="s">
        <v>1230</v>
      </c>
      <c r="C38" s="846" t="s">
        <v>72</v>
      </c>
      <c r="D38" s="846" t="s">
        <v>55</v>
      </c>
      <c r="E38" s="846" t="s">
        <v>920</v>
      </c>
      <c r="F38" s="846" t="s">
        <v>6901</v>
      </c>
      <c r="G38" s="847">
        <v>158</v>
      </c>
      <c r="H38" s="847">
        <v>158</v>
      </c>
      <c r="I38" s="846" t="s">
        <v>633</v>
      </c>
      <c r="J38" s="848">
        <v>42446.377581018518</v>
      </c>
      <c r="K38" s="849" t="s">
        <v>865</v>
      </c>
    </row>
    <row r="39" spans="1:11" hidden="1">
      <c r="A39" s="845" t="s">
        <v>6960</v>
      </c>
      <c r="B39" s="846" t="s">
        <v>1230</v>
      </c>
      <c r="C39" s="846" t="s">
        <v>72</v>
      </c>
      <c r="D39" s="846" t="s">
        <v>55</v>
      </c>
      <c r="E39" s="846" t="s">
        <v>920</v>
      </c>
      <c r="F39" s="846" t="s">
        <v>6902</v>
      </c>
      <c r="G39" s="847">
        <v>158</v>
      </c>
      <c r="H39" s="847">
        <v>158</v>
      </c>
      <c r="I39" s="846" t="s">
        <v>633</v>
      </c>
      <c r="J39" s="848">
        <v>42446.377581018518</v>
      </c>
      <c r="K39" s="849" t="s">
        <v>865</v>
      </c>
    </row>
    <row r="40" spans="1:11" hidden="1">
      <c r="A40" s="845" t="s">
        <v>6961</v>
      </c>
      <c r="B40" s="846" t="s">
        <v>1230</v>
      </c>
      <c r="C40" s="846" t="s">
        <v>72</v>
      </c>
      <c r="D40" s="846" t="s">
        <v>55</v>
      </c>
      <c r="E40" s="846" t="s">
        <v>6903</v>
      </c>
      <c r="F40" s="846" t="s">
        <v>6904</v>
      </c>
      <c r="G40" s="847">
        <v>2250</v>
      </c>
      <c r="H40" s="847">
        <v>2250</v>
      </c>
      <c r="I40" s="846" t="s">
        <v>517</v>
      </c>
      <c r="J40" s="848">
        <v>42446.362754629627</v>
      </c>
      <c r="K40" s="849" t="s">
        <v>865</v>
      </c>
    </row>
    <row r="41" spans="1:11" hidden="1">
      <c r="A41" s="845" t="s">
        <v>6962</v>
      </c>
      <c r="B41" s="846" t="s">
        <v>1230</v>
      </c>
      <c r="C41" s="846" t="s">
        <v>73</v>
      </c>
      <c r="D41" s="846" t="s">
        <v>53</v>
      </c>
      <c r="E41" s="846" t="s">
        <v>6905</v>
      </c>
      <c r="F41" s="846" t="s">
        <v>6906</v>
      </c>
      <c r="G41" s="847">
        <v>1015</v>
      </c>
      <c r="H41" s="847">
        <v>1015</v>
      </c>
      <c r="I41" s="846" t="s">
        <v>1395</v>
      </c>
      <c r="J41" s="848">
        <v>42460.59443287037</v>
      </c>
      <c r="K41" s="849" t="s">
        <v>865</v>
      </c>
    </row>
    <row r="42" spans="1:11" hidden="1">
      <c r="A42" s="845" t="s">
        <v>6963</v>
      </c>
      <c r="B42" s="846" t="s">
        <v>1230</v>
      </c>
      <c r="C42" s="846" t="s">
        <v>73</v>
      </c>
      <c r="D42" s="846" t="s">
        <v>54</v>
      </c>
      <c r="E42" s="846" t="s">
        <v>6907</v>
      </c>
      <c r="F42" s="846" t="s">
        <v>6908</v>
      </c>
      <c r="G42" s="847">
        <v>622.14</v>
      </c>
      <c r="H42" s="847">
        <v>622.14</v>
      </c>
      <c r="I42" s="846" t="s">
        <v>519</v>
      </c>
      <c r="J42" s="848">
        <v>42460.482488425929</v>
      </c>
      <c r="K42" s="849" t="s">
        <v>865</v>
      </c>
    </row>
    <row r="43" spans="1:11" hidden="1">
      <c r="A43" s="845" t="s">
        <v>6964</v>
      </c>
      <c r="B43" s="846" t="s">
        <v>1230</v>
      </c>
      <c r="C43" s="846" t="s">
        <v>73</v>
      </c>
      <c r="D43" s="846" t="s">
        <v>55</v>
      </c>
      <c r="E43" s="846" t="s">
        <v>910</v>
      </c>
      <c r="F43" s="846" t="s">
        <v>6909</v>
      </c>
      <c r="G43" s="847">
        <v>1299</v>
      </c>
      <c r="H43" s="847">
        <v>1299</v>
      </c>
      <c r="I43" s="846" t="s">
        <v>460</v>
      </c>
      <c r="J43" s="848">
        <v>42460.48541666667</v>
      </c>
      <c r="K43" s="849" t="s">
        <v>865</v>
      </c>
    </row>
    <row r="44" spans="1:11" hidden="1">
      <c r="A44" s="845" t="s">
        <v>6965</v>
      </c>
      <c r="B44" s="846" t="s">
        <v>1230</v>
      </c>
      <c r="C44" s="846" t="s">
        <v>73</v>
      </c>
      <c r="D44" s="846" t="s">
        <v>55</v>
      </c>
      <c r="E44" s="846" t="s">
        <v>910</v>
      </c>
      <c r="F44" s="846" t="s">
        <v>6910</v>
      </c>
      <c r="G44" s="847">
        <v>1299</v>
      </c>
      <c r="H44" s="847">
        <v>1299</v>
      </c>
      <c r="I44" s="846" t="s">
        <v>460</v>
      </c>
      <c r="J44" s="848">
        <v>42460.48541666667</v>
      </c>
      <c r="K44" s="849" t="s">
        <v>865</v>
      </c>
    </row>
    <row r="45" spans="1:11" hidden="1">
      <c r="A45" s="845" t="s">
        <v>6966</v>
      </c>
      <c r="B45" s="846" t="s">
        <v>5046</v>
      </c>
      <c r="C45" s="846" t="s">
        <v>71</v>
      </c>
      <c r="D45" s="846" t="s">
        <v>43</v>
      </c>
      <c r="E45" s="846" t="s">
        <v>1061</v>
      </c>
      <c r="F45" s="846" t="s">
        <v>6911</v>
      </c>
      <c r="G45" s="847">
        <v>1799.1</v>
      </c>
      <c r="H45" s="847">
        <v>1799.1</v>
      </c>
      <c r="I45" s="846" t="s">
        <v>4971</v>
      </c>
      <c r="J45" s="848">
        <v>42472.58085648148</v>
      </c>
      <c r="K45" s="849" t="s">
        <v>865</v>
      </c>
    </row>
    <row r="46" spans="1:11" hidden="1">
      <c r="A46" s="845" t="s">
        <v>6967</v>
      </c>
      <c r="B46" s="846" t="s">
        <v>1230</v>
      </c>
      <c r="C46" s="846" t="s">
        <v>76</v>
      </c>
      <c r="D46" s="846" t="s">
        <v>55</v>
      </c>
      <c r="E46" s="846" t="s">
        <v>930</v>
      </c>
      <c r="F46" s="846" t="s">
        <v>6912</v>
      </c>
      <c r="G46" s="847">
        <v>1649</v>
      </c>
      <c r="H46" s="847">
        <v>1649</v>
      </c>
      <c r="I46" s="846" t="s">
        <v>6913</v>
      </c>
      <c r="J46" s="848">
        <v>42472.563460648147</v>
      </c>
      <c r="K46" s="849" t="s">
        <v>865</v>
      </c>
    </row>
    <row r="47" spans="1:11" hidden="1">
      <c r="A47" s="845" t="s">
        <v>6968</v>
      </c>
      <c r="B47" s="846" t="s">
        <v>1230</v>
      </c>
      <c r="C47" s="846" t="s">
        <v>73</v>
      </c>
      <c r="D47" s="846" t="s">
        <v>55</v>
      </c>
      <c r="E47" s="846" t="s">
        <v>1141</v>
      </c>
      <c r="F47" s="846" t="s">
        <v>6914</v>
      </c>
      <c r="G47" s="847">
        <v>1625</v>
      </c>
      <c r="H47" s="847">
        <v>1625</v>
      </c>
      <c r="I47" s="846" t="s">
        <v>452</v>
      </c>
      <c r="J47" s="848">
        <v>42486.653391203705</v>
      </c>
      <c r="K47" s="849" t="s">
        <v>865</v>
      </c>
    </row>
    <row r="48" spans="1:11" hidden="1">
      <c r="A48" s="845" t="s">
        <v>6969</v>
      </c>
      <c r="B48" s="846" t="s">
        <v>1230</v>
      </c>
      <c r="C48" s="846" t="s">
        <v>73</v>
      </c>
      <c r="D48" s="846" t="s">
        <v>55</v>
      </c>
      <c r="E48" s="846" t="s">
        <v>1141</v>
      </c>
      <c r="F48" s="846" t="s">
        <v>6915</v>
      </c>
      <c r="G48" s="847">
        <v>1625</v>
      </c>
      <c r="H48" s="847">
        <v>1625</v>
      </c>
      <c r="I48" s="846" t="s">
        <v>457</v>
      </c>
      <c r="J48" s="848">
        <v>42486.669328703705</v>
      </c>
      <c r="K48" s="849" t="s">
        <v>865</v>
      </c>
    </row>
    <row r="49" spans="1:11" hidden="1">
      <c r="A49" s="845" t="s">
        <v>6970</v>
      </c>
      <c r="B49" s="846" t="s">
        <v>1230</v>
      </c>
      <c r="C49" s="846" t="s">
        <v>74</v>
      </c>
      <c r="D49" s="846" t="s">
        <v>55</v>
      </c>
      <c r="E49" s="846" t="s">
        <v>6916</v>
      </c>
      <c r="F49" s="846" t="s">
        <v>6917</v>
      </c>
      <c r="G49" s="847">
        <v>1420</v>
      </c>
      <c r="H49" s="847">
        <v>1420</v>
      </c>
      <c r="I49" s="846" t="s">
        <v>1368</v>
      </c>
      <c r="J49" s="848">
        <v>42475.496261574073</v>
      </c>
      <c r="K49" s="849" t="s">
        <v>865</v>
      </c>
    </row>
  </sheetData>
  <autoFilter ref="C1:C49">
    <filterColumn colId="0">
      <filters>
        <filter val="02-ARMAZEM CEREJEIRAS"/>
      </filters>
    </filterColumn>
  </autoFilter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U103"/>
  <sheetViews>
    <sheetView zoomScale="90" zoomScaleNormal="90" workbookViewId="0">
      <selection activeCell="B92" sqref="B92"/>
    </sheetView>
  </sheetViews>
  <sheetFormatPr defaultRowHeight="15"/>
  <cols>
    <col min="1" max="1" width="1.7109375" style="225" customWidth="1"/>
    <col min="2" max="2" width="41.5703125" style="225" customWidth="1"/>
    <col min="3" max="3" width="0.85546875" style="226" customWidth="1"/>
    <col min="4" max="4" width="10.7109375" style="225" customWidth="1"/>
    <col min="5" max="5" width="0.85546875" style="226" customWidth="1"/>
    <col min="6" max="6" width="15.7109375" style="225" customWidth="1"/>
    <col min="7" max="7" width="0.85546875" style="226" customWidth="1"/>
    <col min="8" max="8" width="19.42578125" style="225" customWidth="1"/>
    <col min="9" max="9" width="0.85546875" style="226" customWidth="1"/>
    <col min="10" max="10" width="15.7109375" style="225" customWidth="1"/>
    <col min="11" max="11" width="0.85546875" style="226" customWidth="1"/>
    <col min="12" max="12" width="18.85546875" style="225" customWidth="1"/>
    <col min="13" max="13" width="0.85546875" style="226" customWidth="1"/>
    <col min="14" max="14" width="8.140625" style="225" customWidth="1"/>
    <col min="15" max="16384" width="9.140625" style="225"/>
  </cols>
  <sheetData>
    <row r="1" spans="2:14" ht="18.75">
      <c r="D1" s="293" t="s">
        <v>1455</v>
      </c>
    </row>
    <row r="2" spans="2:14" s="227" customFormat="1" ht="16.5" customHeight="1">
      <c r="B2" s="569"/>
      <c r="C2" s="569"/>
      <c r="D2" s="570" t="s">
        <v>6770</v>
      </c>
      <c r="E2" s="228"/>
      <c r="F2" s="232"/>
      <c r="G2" s="228"/>
      <c r="I2" s="228"/>
      <c r="K2" s="228"/>
      <c r="M2" s="228"/>
    </row>
    <row r="3" spans="2:14" s="227" customFormat="1" ht="16.5" customHeight="1">
      <c r="B3" s="569"/>
      <c r="C3" s="569"/>
      <c r="D3" s="569"/>
      <c r="E3" s="228"/>
      <c r="F3" s="232"/>
      <c r="G3" s="228"/>
      <c r="I3" s="228"/>
      <c r="K3" s="228"/>
      <c r="M3" s="228"/>
    </row>
    <row r="4" spans="2:14" s="227" customFormat="1">
      <c r="B4" s="229"/>
      <c r="C4" s="506"/>
      <c r="E4" s="228"/>
      <c r="F4" s="615" t="s">
        <v>1230</v>
      </c>
      <c r="G4" s="616"/>
      <c r="H4" s="615" t="s">
        <v>1231</v>
      </c>
      <c r="I4" s="616"/>
      <c r="J4" s="615" t="s">
        <v>1405</v>
      </c>
      <c r="K4" s="616"/>
      <c r="L4" s="616"/>
      <c r="M4" s="228"/>
      <c r="N4" s="228"/>
    </row>
    <row r="5" spans="2:14" s="227" customFormat="1" ht="31.5">
      <c r="B5" s="581" t="s">
        <v>27</v>
      </c>
      <c r="C5" s="634"/>
      <c r="D5" s="581" t="s">
        <v>20</v>
      </c>
      <c r="E5" s="634"/>
      <c r="F5" s="635" t="s">
        <v>1172</v>
      </c>
      <c r="G5" s="634"/>
      <c r="H5" s="584" t="s">
        <v>28</v>
      </c>
      <c r="I5" s="634"/>
      <c r="J5" s="581" t="s">
        <v>29</v>
      </c>
      <c r="K5" s="634"/>
      <c r="L5" s="581" t="s">
        <v>21</v>
      </c>
      <c r="M5" s="634"/>
      <c r="N5" s="581" t="s">
        <v>30</v>
      </c>
    </row>
    <row r="6" spans="2:14">
      <c r="B6" s="228"/>
      <c r="C6" s="228"/>
      <c r="D6" s="407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2:14">
      <c r="B7" s="630" t="s">
        <v>34</v>
      </c>
      <c r="C7" s="408"/>
      <c r="D7" s="586">
        <f>COUNTIF(capex2015!$C$3:$C$65536,'14.1-Capex 2015'!B7)</f>
        <v>1</v>
      </c>
      <c r="E7" s="408"/>
      <c r="F7" s="587">
        <f t="array" ref="F7">SUM(IF((capex2015!$A$3:$A$65536='14.1-Capex 2015'!$F$4)*(capex2015!$C$3:$C$65536='14.1-Capex 2015'!$B7),capex2015!$F$3:$F$65536))/1000</f>
        <v>160</v>
      </c>
      <c r="G7" s="408"/>
      <c r="H7" s="587">
        <f t="array" ref="H7">SUM(IF((capex2015!$A$3:$A$65536='14.1-Capex 2015'!$H$4)*(capex2015!$C$3:$C$65536='14.1-Capex 2015'!$B7),capex2015!$F$3:$F$65536))/1000</f>
        <v>0</v>
      </c>
      <c r="I7" s="408"/>
      <c r="J7" s="587">
        <f t="array" ref="J7">SUM(IF((capex2015!$A$3:$A$65536='14.1-Capex 2015'!$J$4)*(capex2015!$C$3:$C$65536='14.1-Capex 2015'!$B7),capex2015!$F$3:$F$65536))/1000</f>
        <v>0</v>
      </c>
      <c r="K7" s="408"/>
      <c r="L7" s="587">
        <f t="shared" ref="L7:L21" si="0">SUM(F7:J7)</f>
        <v>160</v>
      </c>
      <c r="M7" s="408"/>
      <c r="N7" s="575">
        <f t="shared" ref="N7:N21" si="1">L7/$L$24</f>
        <v>7.4343942274765042E-3</v>
      </c>
    </row>
    <row r="8" spans="2:14">
      <c r="B8" s="629" t="s">
        <v>39</v>
      </c>
      <c r="C8" s="408"/>
      <c r="D8" s="586">
        <f>COUNTIF(capex2015!$C$3:$C$65536,'14.1-Capex 2015'!B8)</f>
        <v>1</v>
      </c>
      <c r="E8" s="408"/>
      <c r="F8" s="587">
        <f t="array" ref="F8">SUM(IF((capex2015!$A$3:$A$65536='14.1-Capex 2015'!$F$4)*(capex2015!$C$3:$C$65536='14.1-Capex 2015'!$B8),capex2015!$F$3:$F$65536))/1000</f>
        <v>6.5</v>
      </c>
      <c r="G8" s="408"/>
      <c r="H8" s="587">
        <f t="array" ref="H8">SUM(IF((capex2015!$A$3:$A$65536='14.1-Capex 2015'!$H$4)*(capex2015!$C$3:$C$65536='14.1-Capex 2015'!$B8),capex2015!$F$3:$F$65536))/1000</f>
        <v>0</v>
      </c>
      <c r="I8" s="408"/>
      <c r="J8" s="587">
        <f t="array" ref="J8">SUM(IF((capex2015!$A$3:$A$65536='14.1-Capex 2015'!$J$4)*(capex2015!$C$3:$C$65536='14.1-Capex 2015'!$B8),capex2015!$F$3:$F$65536))/1000</f>
        <v>0</v>
      </c>
      <c r="K8" s="408"/>
      <c r="L8" s="587">
        <f t="shared" si="0"/>
        <v>6.5</v>
      </c>
      <c r="M8" s="408"/>
      <c r="N8" s="575">
        <f t="shared" si="1"/>
        <v>3.0202226549123299E-4</v>
      </c>
    </row>
    <row r="9" spans="2:14">
      <c r="B9" s="629" t="s">
        <v>42</v>
      </c>
      <c r="C9" s="408"/>
      <c r="D9" s="586">
        <f>COUNTIF(capex2015!$C$3:$C$65536,'14.1-Capex 2015'!B9)</f>
        <v>13</v>
      </c>
      <c r="E9" s="408"/>
      <c r="F9" s="587">
        <f t="array" ref="F9">SUM(IF((capex2015!$A$3:$A$65536='14.1-Capex 2015'!$F$4)*(capex2015!$C$3:$C$65536='14.1-Capex 2015'!$B9),capex2015!$F$3:$F$65536))/1000</f>
        <v>6571.3992799999996</v>
      </c>
      <c r="G9" s="408"/>
      <c r="H9" s="587">
        <f t="array" ref="H9">SUM(IF((capex2015!$A$3:$A$65536='14.1-Capex 2015'!$H$4)*(capex2015!$C$3:$C$65536='14.1-Capex 2015'!$B9),capex2015!$F$3:$F$65536))/1000</f>
        <v>0</v>
      </c>
      <c r="I9" s="408"/>
      <c r="J9" s="587">
        <f t="array" ref="J9">SUM(IF((capex2015!$A$3:$A$65536='14.1-Capex 2015'!$J$4)*(capex2015!$C$3:$C$65536='14.1-Capex 2015'!$B9),capex2015!$F$3:$F$65536))/1000</f>
        <v>0</v>
      </c>
      <c r="K9" s="408"/>
      <c r="L9" s="587">
        <f t="shared" si="0"/>
        <v>6571.3992799999996</v>
      </c>
      <c r="M9" s="408"/>
      <c r="N9" s="575">
        <f t="shared" si="1"/>
        <v>0.30533983046047031</v>
      </c>
    </row>
    <row r="10" spans="2:14">
      <c r="B10" s="629" t="s">
        <v>43</v>
      </c>
      <c r="C10" s="408"/>
      <c r="D10" s="586">
        <f>COUNTIF(capex2015!$C$3:$C$65536,'14.1-Capex 2015'!B10)</f>
        <v>30</v>
      </c>
      <c r="E10" s="408"/>
      <c r="F10" s="587">
        <f t="array" ref="F10">SUM(IF((capex2015!$A$3:$A$65536='14.1-Capex 2015'!$F$4)*(capex2015!$C$3:$C$65536='14.1-Capex 2015'!$B10),capex2015!$F$3:$F$65536))/1000</f>
        <v>65.355819999999994</v>
      </c>
      <c r="G10" s="408"/>
      <c r="H10" s="587">
        <f t="array" ref="H10">SUM(IF((capex2015!$A$3:$A$65536='14.1-Capex 2015'!$H$4)*(capex2015!$C$3:$C$65536='14.1-Capex 2015'!$B10),capex2015!$F$3:$F$65536))/1000</f>
        <v>4.4548800000000002</v>
      </c>
      <c r="I10" s="408"/>
      <c r="J10" s="587">
        <f t="array" ref="J10">SUM(IF((capex2015!$A$3:$A$65536='14.1-Capex 2015'!$J$4)*(capex2015!$C$3:$C$65536='14.1-Capex 2015'!$B10),capex2015!$F$3:$F$65536))/1000</f>
        <v>0</v>
      </c>
      <c r="K10" s="408"/>
      <c r="L10" s="587">
        <f t="shared" si="0"/>
        <v>69.810699999999997</v>
      </c>
      <c r="M10" s="408"/>
      <c r="N10" s="575">
        <f t="shared" si="1"/>
        <v>3.243751656850587E-3</v>
      </c>
    </row>
    <row r="11" spans="2:14">
      <c r="B11" s="629" t="s">
        <v>47</v>
      </c>
      <c r="C11" s="408"/>
      <c r="D11" s="586">
        <f>COUNTIF(capex2015!$C$3:$C$65536,'14.1-Capex 2015'!B11)</f>
        <v>4</v>
      </c>
      <c r="E11" s="408"/>
      <c r="F11" s="587">
        <f t="array" ref="F11">SUM(IF((capex2015!$A$3:$A$65536='14.1-Capex 2015'!$F$4)*(capex2015!$C$3:$C$65536='14.1-Capex 2015'!$B11),capex2015!$F$3:$F$65536))/1000</f>
        <v>0</v>
      </c>
      <c r="G11" s="408"/>
      <c r="H11" s="587">
        <f t="array" ref="H11">SUM(IF((capex2015!$A$3:$A$65536='14.1-Capex 2015'!$H$4)*(capex2015!$C$3:$C$65536='14.1-Capex 2015'!$B11),capex2015!$F$3:$F$65536))/1000</f>
        <v>4800</v>
      </c>
      <c r="I11" s="408"/>
      <c r="J11" s="587">
        <f t="array" ref="J11">SUM(IF((capex2015!$A$3:$A$65536='14.1-Capex 2015'!$J$4)*(capex2015!$C$3:$C$65536='14.1-Capex 2015'!$B11),capex2015!$F$3:$F$65536))/1000</f>
        <v>0</v>
      </c>
      <c r="K11" s="408"/>
      <c r="L11" s="587">
        <f t="shared" si="0"/>
        <v>4800</v>
      </c>
      <c r="M11" s="408"/>
      <c r="N11" s="575">
        <f t="shared" si="1"/>
        <v>0.22303182682429512</v>
      </c>
    </row>
    <row r="12" spans="2:14">
      <c r="B12" s="629" t="s">
        <v>51</v>
      </c>
      <c r="C12" s="408"/>
      <c r="D12" s="586">
        <f>COUNTIF(capex2015!$C$3:$C$65536,'14.1-Capex 2015'!B12)</f>
        <v>31</v>
      </c>
      <c r="E12" s="408"/>
      <c r="F12" s="587">
        <f t="array" ref="F12">SUM(IF((capex2015!$A$3:$A$65536='14.1-Capex 2015'!$F$4)*(capex2015!$C$3:$C$65536='14.1-Capex 2015'!$B12),capex2015!$F$3:$F$65536))/1000</f>
        <v>582.5789400000001</v>
      </c>
      <c r="G12" s="408"/>
      <c r="H12" s="587">
        <f t="array" ref="H12">SUM(IF((capex2015!$A$3:$A$65536='14.1-Capex 2015'!$H$4)*(capex2015!$C$3:$C$65536='14.1-Capex 2015'!$B12),capex2015!$F$3:$F$65536))/1000</f>
        <v>0</v>
      </c>
      <c r="I12" s="408"/>
      <c r="J12" s="587">
        <f t="array" ref="J12">SUM(IF((capex2015!$A$3:$A$65536='14.1-Capex 2015'!$J$4)*(capex2015!$C$3:$C$65536='14.1-Capex 2015'!$B12),capex2015!$F$3:$F$65536))/1000</f>
        <v>0</v>
      </c>
      <c r="K12" s="408"/>
      <c r="L12" s="587">
        <f t="shared" si="0"/>
        <v>582.5789400000001</v>
      </c>
      <c r="M12" s="408"/>
      <c r="N12" s="575">
        <f t="shared" si="1"/>
        <v>2.7069509428658631E-2</v>
      </c>
    </row>
    <row r="13" spans="2:14">
      <c r="B13" s="630" t="s">
        <v>53</v>
      </c>
      <c r="C13" s="408"/>
      <c r="D13" s="586">
        <f>COUNTIF(capex2015!$C$3:$C$65536,'14.1-Capex 2015'!B13)</f>
        <v>12</v>
      </c>
      <c r="E13" s="408"/>
      <c r="F13" s="587">
        <f t="array" ref="F13">SUM(IF((capex2015!$A$3:$A$65536='14.1-Capex 2015'!$F$4)*(capex2015!$C$3:$C$65536='14.1-Capex 2015'!$B13),capex2015!$F$3:$F$65536))/1000</f>
        <v>16.465620000000001</v>
      </c>
      <c r="G13" s="408"/>
      <c r="H13" s="587">
        <f t="array" ref="H13">SUM(IF((capex2015!$A$3:$A$65536='14.1-Capex 2015'!$H$4)*(capex2015!$C$3:$C$65536='14.1-Capex 2015'!$B13),capex2015!$F$3:$F$65536))/1000</f>
        <v>0</v>
      </c>
      <c r="I13" s="408"/>
      <c r="J13" s="587">
        <f t="array" ref="J13">SUM(IF((capex2015!$A$3:$A$65536='14.1-Capex 2015'!$J$4)*(capex2015!$C$3:$C$65536='14.1-Capex 2015'!$B13),capex2015!$F$3:$F$65536))/1000</f>
        <v>0</v>
      </c>
      <c r="K13" s="408"/>
      <c r="L13" s="587">
        <f t="shared" si="0"/>
        <v>16.465620000000001</v>
      </c>
      <c r="M13" s="408"/>
      <c r="N13" s="575">
        <f t="shared" si="1"/>
        <v>7.6507443924888556E-4</v>
      </c>
    </row>
    <row r="14" spans="2:14">
      <c r="B14" s="629" t="s">
        <v>54</v>
      </c>
      <c r="C14" s="408"/>
      <c r="D14" s="586">
        <f>COUNTIF(capex2015!$C$3:$C$65536,'14.1-Capex 2015'!B14)</f>
        <v>3</v>
      </c>
      <c r="E14" s="408"/>
      <c r="F14" s="587">
        <f t="array" ref="F14">SUM(IF((capex2015!$A$3:$A$65536='14.1-Capex 2015'!$F$4)*(capex2015!$C$3:$C$65536='14.1-Capex 2015'!$B14),capex2015!$F$3:$F$65536))/1000</f>
        <v>6.7990000000000004</v>
      </c>
      <c r="G14" s="408"/>
      <c r="H14" s="587">
        <f t="array" ref="H14">SUM(IF((capex2015!$A$3:$A$65536='14.1-Capex 2015'!$H$4)*(capex2015!$C$3:$C$65536='14.1-Capex 2015'!$B14),capex2015!$F$3:$F$65536))/1000</f>
        <v>0</v>
      </c>
      <c r="I14" s="408"/>
      <c r="J14" s="587">
        <f t="array" ref="J14">SUM(IF((capex2015!$A$3:$A$65536='14.1-Capex 2015'!$J$4)*(capex2015!$C$3:$C$65536='14.1-Capex 2015'!$B14),capex2015!$F$3:$F$65536))/1000</f>
        <v>0</v>
      </c>
      <c r="K14" s="408"/>
      <c r="L14" s="587">
        <f t="shared" ref="L14:L19" si="2">SUM(F14:J14)</f>
        <v>6.7990000000000004</v>
      </c>
      <c r="M14" s="408"/>
      <c r="N14" s="575">
        <f t="shared" si="1"/>
        <v>3.1591528970382972E-4</v>
      </c>
    </row>
    <row r="15" spans="2:14">
      <c r="B15" s="630" t="s">
        <v>55</v>
      </c>
      <c r="C15" s="408"/>
      <c r="D15" s="586">
        <f>COUNTIF(capex2015!$C$3:$C$65536,'14.1-Capex 2015'!B15)</f>
        <v>68</v>
      </c>
      <c r="E15" s="408"/>
      <c r="F15" s="587">
        <f t="array" ref="F15">SUM(IF((capex2015!$A$3:$A$65536='14.1-Capex 2015'!$F$4)*(capex2015!$C$3:$C$65536='14.1-Capex 2015'!$B15),capex2015!$F$3:$F$65536))/1000</f>
        <v>45.472509999999993</v>
      </c>
      <c r="G15" s="408"/>
      <c r="H15" s="587">
        <f t="array" ref="H15">SUM(IF((capex2015!$A$3:$A$65536='14.1-Capex 2015'!$H$4)*(capex2015!$C$3:$C$65536='14.1-Capex 2015'!$B15),capex2015!$F$3:$F$65536))/1000</f>
        <v>0</v>
      </c>
      <c r="I15" s="408"/>
      <c r="J15" s="587">
        <f t="array" ref="J15">SUM(IF((capex2015!$A$3:$A$65536='14.1-Capex 2015'!$J$4)*(capex2015!$C$3:$C$65536='14.1-Capex 2015'!$B15),capex2015!$F$3:$F$65536))/1000</f>
        <v>0</v>
      </c>
      <c r="K15" s="408"/>
      <c r="L15" s="587">
        <f t="shared" si="2"/>
        <v>45.472509999999993</v>
      </c>
      <c r="M15" s="408"/>
      <c r="N15" s="575">
        <f t="shared" si="1"/>
        <v>2.1128785365804223E-3</v>
      </c>
    </row>
    <row r="16" spans="2:14">
      <c r="B16" s="630" t="s">
        <v>58</v>
      </c>
      <c r="C16" s="408"/>
      <c r="D16" s="586">
        <f>COUNTIF(capex2015!$C$3:$C$65536,'14.1-Capex 2015'!B16)</f>
        <v>6</v>
      </c>
      <c r="E16" s="408"/>
      <c r="F16" s="587">
        <f t="array" ref="F16">SUM(IF((capex2015!$A$3:$A$65536='14.1-Capex 2015'!$F$4)*(capex2015!$C$3:$C$65536='14.1-Capex 2015'!$B16),capex2015!$F$3:$F$65536))/1000</f>
        <v>1748</v>
      </c>
      <c r="G16" s="408"/>
      <c r="H16" s="587">
        <f t="array" ref="H16">SUM(IF((capex2015!$A$3:$A$65536='14.1-Capex 2015'!$H$4)*(capex2015!$C$3:$C$65536='14.1-Capex 2015'!$B16),capex2015!$F$3:$F$65536))/1000</f>
        <v>0</v>
      </c>
      <c r="I16" s="408"/>
      <c r="J16" s="587">
        <f t="array" ref="J16">SUM(IF((capex2015!$A$3:$A$65536='14.1-Capex 2015'!$J$4)*(capex2015!$C$3:$C$65536='14.1-Capex 2015'!$B16),capex2015!$F$3:$F$65536))/1000</f>
        <v>0</v>
      </c>
      <c r="K16" s="408"/>
      <c r="L16" s="587">
        <f t="shared" si="2"/>
        <v>1748</v>
      </c>
      <c r="M16" s="408"/>
      <c r="N16" s="575">
        <f t="shared" si="1"/>
        <v>8.1220756935180799E-2</v>
      </c>
    </row>
    <row r="17" spans="2:21">
      <c r="B17" s="630" t="s">
        <v>59</v>
      </c>
      <c r="C17" s="408"/>
      <c r="D17" s="586">
        <f>COUNTIF(capex2015!$C$3:$C$65536,'14.1-Capex 2015'!B17)</f>
        <v>15</v>
      </c>
      <c r="E17" s="408"/>
      <c r="F17" s="587">
        <f t="array" ref="F17">SUM(IF((capex2015!$A$3:$A$65536='14.1-Capex 2015'!$F$4)*(capex2015!$C$3:$C$65536='14.1-Capex 2015'!$B17),capex2015!$F$3:$F$65536))/1000</f>
        <v>1020.3314799999999</v>
      </c>
      <c r="G17" s="408"/>
      <c r="H17" s="587">
        <f t="array" ref="H17">SUM(IF((capex2015!$A$3:$A$65536='14.1-Capex 2015'!$H$4)*(capex2015!$C$3:$C$65536='14.1-Capex 2015'!$B17),capex2015!$F$3:$F$65536))/1000</f>
        <v>0</v>
      </c>
      <c r="I17" s="408"/>
      <c r="J17" s="587">
        <f t="array" ref="J17">SUM(IF((capex2015!$A$3:$A$65536='14.1-Capex 2015'!$J$4)*(capex2015!$C$3:$C$65536='14.1-Capex 2015'!$B17),capex2015!$F$3:$F$65536))/1000</f>
        <v>0</v>
      </c>
      <c r="K17" s="408"/>
      <c r="L17" s="587">
        <f t="shared" si="2"/>
        <v>1020.3314799999999</v>
      </c>
      <c r="M17" s="408"/>
      <c r="N17" s="575">
        <f t="shared" si="1"/>
        <v>4.7409665406403484E-2</v>
      </c>
    </row>
    <row r="18" spans="2:21">
      <c r="B18" s="629" t="s">
        <v>62</v>
      </c>
      <c r="C18" s="408"/>
      <c r="D18" s="586">
        <f>COUNTIF(capex2015!$C$3:$C$65536,'14.1-Capex 2015'!B18)</f>
        <v>2</v>
      </c>
      <c r="E18" s="408"/>
      <c r="F18" s="587">
        <f t="array" ref="F18">SUM(IF((capex2015!$A$3:$A$65536='14.1-Capex 2015'!$F$4)*(capex2015!$C$3:$C$65536='14.1-Capex 2015'!$B18),capex2015!$F$3:$F$65536))/1000</f>
        <v>1060</v>
      </c>
      <c r="G18" s="408"/>
      <c r="H18" s="587">
        <f t="array" ref="H18">SUM(IF((capex2015!$A$3:$A$65536='14.1-Capex 2015'!$H$4)*(capex2015!$C$3:$C$65536='14.1-Capex 2015'!$B18),capex2015!$F$3:$F$65536))/1000</f>
        <v>0</v>
      </c>
      <c r="I18" s="408"/>
      <c r="J18" s="587">
        <f t="array" ref="J18">SUM(IF((capex2015!$A$3:$A$65536='14.1-Capex 2015'!$J$4)*(capex2015!$C$3:$C$65536='14.1-Capex 2015'!$B18),capex2015!$F$3:$F$65536))/1000</f>
        <v>0</v>
      </c>
      <c r="K18" s="408"/>
      <c r="L18" s="587">
        <f t="shared" si="2"/>
        <v>1060</v>
      </c>
      <c r="M18" s="408"/>
      <c r="N18" s="575">
        <f t="shared" si="1"/>
        <v>4.9252861757031835E-2</v>
      </c>
    </row>
    <row r="19" spans="2:21">
      <c r="B19" s="630" t="s">
        <v>66</v>
      </c>
      <c r="C19" s="408"/>
      <c r="D19" s="586">
        <f>COUNTIF(capex2015!$C$3:$C$65536,'14.1-Capex 2015'!B19)</f>
        <v>9</v>
      </c>
      <c r="E19" s="408"/>
      <c r="F19" s="587">
        <f t="array" ref="F19">SUM(IF((capex2015!$A$3:$A$65536='14.1-Capex 2015'!$F$4)*(capex2015!$C$3:$C$65536='14.1-Capex 2015'!$B19),capex2015!$F$3:$F$65536))/1000</f>
        <v>2894.7230800000002</v>
      </c>
      <c r="G19" s="408"/>
      <c r="H19" s="587">
        <f t="array" ref="H19">SUM(IF((capex2015!$A$3:$A$65536='14.1-Capex 2015'!$H$4)*(capex2015!$C$3:$C$65536='14.1-Capex 2015'!$B19),capex2015!$F$3:$F$65536))/1000</f>
        <v>0</v>
      </c>
      <c r="I19" s="408"/>
      <c r="J19" s="587">
        <f t="array" ref="J19">SUM(IF((capex2015!$A$3:$A$65536='14.1-Capex 2015'!$J$4)*(capex2015!$C$3:$C$65536='14.1-Capex 2015'!$B19),capex2015!$F$3:$F$65536))/1000</f>
        <v>0</v>
      </c>
      <c r="K19" s="408"/>
      <c r="L19" s="587">
        <f t="shared" si="2"/>
        <v>2894.7230800000002</v>
      </c>
      <c r="M19" s="408"/>
      <c r="N19" s="575">
        <f t="shared" si="1"/>
        <v>0.1345032034755938</v>
      </c>
    </row>
    <row r="20" spans="2:21">
      <c r="B20" s="629" t="s">
        <v>67</v>
      </c>
      <c r="C20" s="408"/>
      <c r="D20" s="586">
        <f>COUNTIF(capex2015!$C$3:$C$65536,'14.1-Capex 2015'!B20)</f>
        <v>3</v>
      </c>
      <c r="E20" s="408"/>
      <c r="F20" s="587">
        <f t="array" ref="F20">SUM(IF((capex2015!$A$3:$A$65536='14.1-Capex 2015'!$F$4)*(capex2015!$C$3:$C$65536='14.1-Capex 2015'!$B20),capex2015!$F$3:$F$65536))/1000</f>
        <v>1890</v>
      </c>
      <c r="G20" s="408"/>
      <c r="H20" s="587">
        <f t="array" ref="H20">SUM(IF((capex2015!$A$3:$A$65536='14.1-Capex 2015'!$H$4)*(capex2015!$C$3:$C$65536='14.1-Capex 2015'!$B20),capex2015!$F$3:$F$65536))/1000</f>
        <v>0</v>
      </c>
      <c r="I20" s="408"/>
      <c r="J20" s="587">
        <f t="array" ref="J20">SUM(IF((capex2015!$A$3:$A$65536='14.1-Capex 2015'!$J$4)*(capex2015!$C$3:$C$65536='14.1-Capex 2015'!$B20),capex2015!$F$3:$F$65536))/1000</f>
        <v>0</v>
      </c>
      <c r="K20" s="408"/>
      <c r="L20" s="587">
        <f t="shared" si="0"/>
        <v>1890</v>
      </c>
      <c r="M20" s="408"/>
      <c r="N20" s="575">
        <f t="shared" si="1"/>
        <v>8.7818781812066204E-2</v>
      </c>
    </row>
    <row r="21" spans="2:21">
      <c r="B21" s="630" t="s">
        <v>68</v>
      </c>
      <c r="C21" s="408"/>
      <c r="D21" s="586">
        <f>COUNTIF(capex2015!$C$3:$C$65536,'14.1-Capex 2015'!B21)</f>
        <v>1</v>
      </c>
      <c r="E21" s="408"/>
      <c r="F21" s="587">
        <f t="array" ref="F21">SUM(IF((capex2015!$A$3:$A$65536='14.1-Capex 2015'!$F$4)*(capex2015!$C$3:$C$65536='14.1-Capex 2015'!$B21),capex2015!$F$3:$F$65536))/1000</f>
        <v>55</v>
      </c>
      <c r="G21" s="408"/>
      <c r="H21" s="587">
        <f t="array" ref="H21">SUM(IF((capex2015!$A$3:$A$65536='14.1-Capex 2015'!$H$4)*(capex2015!$C$3:$C$65536='14.1-Capex 2015'!$B21),capex2015!$F$3:$F$65536))/1000</f>
        <v>0</v>
      </c>
      <c r="I21" s="408"/>
      <c r="J21" s="587">
        <f t="array" ref="J21">SUM(IF((capex2015!$A$3:$A$65536='14.1-Capex 2015'!$J$4)*(capex2015!$C$3:$C$65536='14.1-Capex 2015'!$B21),capex2015!$F$3:$F$65536))/1000</f>
        <v>0</v>
      </c>
      <c r="K21" s="408"/>
      <c r="L21" s="587">
        <f t="shared" si="0"/>
        <v>55</v>
      </c>
      <c r="M21" s="408"/>
      <c r="N21" s="575">
        <f t="shared" si="1"/>
        <v>2.5555730156950483E-3</v>
      </c>
    </row>
    <row r="22" spans="2:21">
      <c r="B22" s="629" t="s">
        <v>69</v>
      </c>
      <c r="C22" s="408"/>
      <c r="D22" s="586">
        <f>COUNTIF(capex2015!$C$3:$C$65536,'14.1-Capex 2015'!B22)</f>
        <v>7</v>
      </c>
      <c r="E22" s="408"/>
      <c r="F22" s="587">
        <f t="array" ref="F22">SUM(IF((capex2015!$A$3:$A$65536='14.1-Capex 2015'!$F$4)*(capex2015!$C$3:$C$65536='14.1-Capex 2015'!$B22),capex2015!$F$3:$F$65536))/1000</f>
        <v>594.51148000000001</v>
      </c>
      <c r="G22" s="408"/>
      <c r="H22" s="587">
        <f t="array" ref="H22">SUM(IF((capex2015!$A$3:$A$65536='14.1-Capex 2015'!$H$4)*(capex2015!$C$3:$C$65536='14.1-Capex 2015'!$B22),capex2015!$F$3:$F$65536))/1000</f>
        <v>0</v>
      </c>
      <c r="I22" s="408"/>
      <c r="J22" s="587">
        <f t="array" ref="J22">SUM(IF((capex2015!$A$3:$A$65536='14.1-Capex 2015'!$J$4)*(capex2015!$C$3:$C$65536='14.1-Capex 2015'!$B22),capex2015!$F$3:$F$65536))/1000</f>
        <v>0</v>
      </c>
      <c r="K22" s="408"/>
      <c r="L22" s="587">
        <f>SUM(F22:J22)</f>
        <v>594.51148000000001</v>
      </c>
      <c r="M22" s="408"/>
      <c r="N22" s="575">
        <f>L22/$L$24</f>
        <v>2.7623954469253205E-2</v>
      </c>
    </row>
    <row r="23" spans="2:21">
      <c r="B23" s="629"/>
      <c r="C23" s="408"/>
      <c r="D23" s="410"/>
      <c r="E23" s="408"/>
      <c r="F23" s="631"/>
      <c r="G23" s="408"/>
      <c r="H23" s="631"/>
      <c r="I23" s="408"/>
      <c r="J23" s="631"/>
      <c r="K23" s="408"/>
      <c r="L23" s="631"/>
      <c r="M23" s="408"/>
      <c r="N23" s="631"/>
    </row>
    <row r="24" spans="2:21" s="249" customFormat="1">
      <c r="B24" s="955" t="s">
        <v>21</v>
      </c>
      <c r="C24" s="632"/>
      <c r="D24" s="589">
        <f>SUM(D7:D22)</f>
        <v>206</v>
      </c>
      <c r="E24" s="632"/>
      <c r="F24" s="589">
        <f>SUM(F7:F22)</f>
        <v>16717.137210000001</v>
      </c>
      <c r="G24" s="632"/>
      <c r="H24" s="589">
        <f>SUM(H7:H22)</f>
        <v>4804.4548800000002</v>
      </c>
      <c r="I24" s="632"/>
      <c r="J24" s="589">
        <f>SUM(J7:J22)</f>
        <v>0</v>
      </c>
      <c r="K24" s="632"/>
      <c r="L24" s="589">
        <f>SUM(L7:L22)</f>
        <v>21521.592090000002</v>
      </c>
      <c r="M24" s="632"/>
      <c r="N24" s="956">
        <f>L24/L24</f>
        <v>1</v>
      </c>
    </row>
    <row r="25" spans="2:21" s="249" customFormat="1">
      <c r="B25" s="955"/>
      <c r="C25" s="632"/>
      <c r="D25" s="590"/>
      <c r="E25" s="633"/>
      <c r="F25" s="592">
        <f>F24/L24</f>
        <v>0.77676117733722916</v>
      </c>
      <c r="G25" s="633"/>
      <c r="H25" s="592">
        <f>H24/L24</f>
        <v>0.22323882266277076</v>
      </c>
      <c r="I25" s="633"/>
      <c r="J25" s="592">
        <f>J24/L24</f>
        <v>0</v>
      </c>
      <c r="K25" s="633"/>
      <c r="L25" s="592">
        <f>L24/L24</f>
        <v>1</v>
      </c>
      <c r="M25" s="633"/>
      <c r="N25" s="956"/>
    </row>
    <row r="26" spans="2:21">
      <c r="D26" s="620"/>
      <c r="E26" s="620"/>
      <c r="F26" s="620"/>
      <c r="G26" s="620"/>
      <c r="H26" s="620">
        <v>27</v>
      </c>
      <c r="I26" s="620"/>
      <c r="J26" s="620"/>
      <c r="K26" s="620"/>
      <c r="L26" s="620"/>
      <c r="M26" s="620"/>
      <c r="N26" s="620"/>
      <c r="O26" s="620"/>
      <c r="P26" s="620"/>
    </row>
    <row r="27" spans="2:21" s="227" customFormat="1" ht="18.75">
      <c r="B27" s="381" t="s">
        <v>70</v>
      </c>
      <c r="C27" s="506"/>
      <c r="D27" s="616"/>
      <c r="E27" s="616"/>
      <c r="F27" s="615" t="s">
        <v>1230</v>
      </c>
      <c r="G27" s="616"/>
      <c r="H27" s="615" t="s">
        <v>1231</v>
      </c>
      <c r="I27" s="616"/>
      <c r="J27" s="615" t="s">
        <v>1405</v>
      </c>
      <c r="K27" s="616"/>
      <c r="L27" s="616"/>
      <c r="M27" s="616"/>
      <c r="N27" s="616"/>
      <c r="O27" s="616"/>
      <c r="P27" s="616"/>
    </row>
    <row r="28" spans="2:21">
      <c r="D28" s="429"/>
    </row>
    <row r="29" spans="2:21" ht="31.5">
      <c r="B29" s="581" t="s">
        <v>27</v>
      </c>
      <c r="C29" s="634"/>
      <c r="D29" s="581" t="s">
        <v>20</v>
      </c>
      <c r="E29" s="636"/>
      <c r="F29" s="583" t="s">
        <v>1172</v>
      </c>
      <c r="G29" s="636"/>
      <c r="H29" s="584" t="s">
        <v>5080</v>
      </c>
      <c r="I29" s="636">
        <v>43</v>
      </c>
      <c r="J29" s="581" t="s">
        <v>29</v>
      </c>
      <c r="K29" s="636"/>
      <c r="L29" s="581" t="s">
        <v>21</v>
      </c>
      <c r="M29" s="636"/>
      <c r="N29" s="581" t="s">
        <v>30</v>
      </c>
      <c r="U29" s="619"/>
    </row>
    <row r="30" spans="2:21">
      <c r="B30" s="409" t="s">
        <v>72</v>
      </c>
      <c r="C30" s="409"/>
      <c r="D30" s="586">
        <f>COUNTIF(capex2015!$B$3:$B$65536,'14.1-Capex 2015'!B30)</f>
        <v>61</v>
      </c>
      <c r="E30" s="409"/>
      <c r="F30" s="587">
        <f t="array" ref="F30">SUM(IF((capex2015!$B$3:$B$208='14.1-Capex 2015'!$B30)*(capex2015!$A$3:$A$208='14.1-Capex 2015'!$F$4),capex2015!$F$3:$F$208))/1000</f>
        <v>2105.6714200000001</v>
      </c>
      <c r="G30" s="409"/>
      <c r="H30" s="587">
        <f t="array" ref="H30">SUM(IF((capex2015!$B$3:$B$208='14.1-Capex 2015'!$B30)*(capex2015!$A$3:$A$208='14.1-Capex 2015'!$H$4),capex2015!$F$3:$F$208))/1000</f>
        <v>0</v>
      </c>
      <c r="I30" s="409"/>
      <c r="J30" s="587">
        <f t="array" ref="J30">SUM(IF((capex2015!$B$3:$B$208='14.1-Capex 2015'!$B30)*(capex2015!$A$3:$A$208='14.1-Capex 2015'!$J$4),capex2015!$F$3:$F$208))/1000</f>
        <v>0</v>
      </c>
      <c r="K30" s="409"/>
      <c r="L30" s="637">
        <f t="shared" ref="L30:L37" si="3">SUM(F30:J30)</f>
        <v>2105.6714200000001</v>
      </c>
      <c r="M30" s="409"/>
      <c r="N30" s="622">
        <f t="shared" ref="N30:N37" si="4">L30/$L$39</f>
        <v>9.783994656131409E-2</v>
      </c>
      <c r="U30" s="619"/>
    </row>
    <row r="31" spans="2:21">
      <c r="B31" s="409" t="s">
        <v>74</v>
      </c>
      <c r="C31" s="409"/>
      <c r="D31" s="586">
        <f>COUNTIF(capex2015!$B$3:$B$65536,'14.1-Capex 2015'!B31)</f>
        <v>12</v>
      </c>
      <c r="E31" s="409"/>
      <c r="F31" s="587">
        <f t="array" ref="F31">SUM(IF((capex2015!$B$3:$B$208='14.1-Capex 2015'!$B31)*(capex2015!$A$3:$A$208='14.1-Capex 2015'!$F$4),capex2015!$F$3:$F$208))/1000</f>
        <v>39.512199999999993</v>
      </c>
      <c r="G31" s="409"/>
      <c r="H31" s="587">
        <f t="array" ref="H31">SUM(IF((capex2015!$B$3:$B$208='14.1-Capex 2015'!$B31)*(capex2015!$A$3:$A$208='14.1-Capex 2015'!$H$4),capex2015!$F$3:$F$208))/1000</f>
        <v>0</v>
      </c>
      <c r="I31" s="409"/>
      <c r="J31" s="587">
        <f t="array" ref="J31">SUM(IF((capex2015!$B$3:$B$208='14.1-Capex 2015'!$B31)*(capex2015!$A$3:$A$208='14.1-Capex 2015'!$J$4),capex2015!$F$3:$F$208))/1000</f>
        <v>0</v>
      </c>
      <c r="K31" s="409"/>
      <c r="L31" s="637">
        <f t="shared" si="3"/>
        <v>39.512199999999993</v>
      </c>
      <c r="M31" s="409"/>
      <c r="N31" s="622">
        <f t="shared" si="4"/>
        <v>1.8359329474681065E-3</v>
      </c>
      <c r="U31" s="619"/>
    </row>
    <row r="32" spans="2:21">
      <c r="B32" s="594" t="s">
        <v>73</v>
      </c>
      <c r="C32" s="638"/>
      <c r="D32" s="586">
        <f>COUNTIF(capex2015!$B$3:$B$65536,'14.1-Capex 2015'!B32)</f>
        <v>71</v>
      </c>
      <c r="E32" s="638"/>
      <c r="F32" s="587">
        <f t="array" ref="F32">SUM(IF((capex2015!$B$3:$B$208='14.1-Capex 2015'!$B32)*(capex2015!$A$3:$A$208='14.1-Capex 2015'!$F$4),capex2015!$F$3:$F$208))/1000</f>
        <v>11818.589660000001</v>
      </c>
      <c r="G32" s="638"/>
      <c r="H32" s="587">
        <f t="array" ref="H32">SUM(IF((capex2015!$B$3:$B$208='14.1-Capex 2015'!$B32)*(capex2015!$A$3:$A$208='14.1-Capex 2015'!$H$4),capex2015!$F$3:$F$208))/1000</f>
        <v>0</v>
      </c>
      <c r="I32" s="638"/>
      <c r="J32" s="587">
        <f t="array" ref="J32">SUM(IF((capex2015!$B$3:$B$208='14.1-Capex 2015'!$B32)*(capex2015!$A$3:$A$208='14.1-Capex 2015'!$J$4),capex2015!$F$3:$F$208))/1000</f>
        <v>0</v>
      </c>
      <c r="K32" s="638"/>
      <c r="L32" s="637">
        <f t="shared" si="3"/>
        <v>11818.589660000001</v>
      </c>
      <c r="M32" s="638"/>
      <c r="N32" s="622">
        <f t="shared" si="4"/>
        <v>0.54915034215760938</v>
      </c>
      <c r="U32" s="618"/>
    </row>
    <row r="33" spans="2:21">
      <c r="B33" s="594" t="s">
        <v>75</v>
      </c>
      <c r="C33" s="638"/>
      <c r="D33" s="586">
        <f>COUNTIF(capex2015!$B$3:$B$65536,'14.1-Capex 2015'!B33)</f>
        <v>1</v>
      </c>
      <c r="E33" s="638"/>
      <c r="F33" s="587">
        <f t="array" ref="F33">SUM(IF((capex2015!$B$3:$B$208='14.1-Capex 2015'!$B33)*(capex2015!$A$3:$A$208='14.1-Capex 2015'!$F$4),capex2015!$F$3:$F$208))/1000</f>
        <v>10</v>
      </c>
      <c r="G33" s="638"/>
      <c r="H33" s="587">
        <f t="array" ref="H33">SUM(IF((capex2015!$B$3:$B$208='14.1-Capex 2015'!$B33)*(capex2015!$A$3:$A$208='14.1-Capex 2015'!$H$4),capex2015!$F$3:$F$208))/1000</f>
        <v>0</v>
      </c>
      <c r="I33" s="638"/>
      <c r="J33" s="587">
        <f t="array" ref="J33">SUM(IF((capex2015!$B$3:$B$208='14.1-Capex 2015'!$B33)*(capex2015!$A$3:$A$208='14.1-Capex 2015'!$J$4),capex2015!$F$3:$F$208))/1000</f>
        <v>0</v>
      </c>
      <c r="K33" s="638"/>
      <c r="L33" s="637">
        <f t="shared" si="3"/>
        <v>10</v>
      </c>
      <c r="M33" s="638"/>
      <c r="N33" s="622">
        <f t="shared" si="4"/>
        <v>4.6464963921728151E-4</v>
      </c>
      <c r="U33" s="618"/>
    </row>
    <row r="34" spans="2:21">
      <c r="B34" s="594" t="s">
        <v>1012</v>
      </c>
      <c r="C34" s="638"/>
      <c r="D34" s="586">
        <f>COUNTIF(capex2015!$B$3:$B$65536,'14.1-Capex 2015'!B34)</f>
        <v>5</v>
      </c>
      <c r="E34" s="638"/>
      <c r="F34" s="587">
        <f t="array" ref="F34">SUM(IF((capex2015!$B$3:$B$208='14.1-Capex 2015'!$B34)*(capex2015!$A$3:$A$208='14.1-Capex 2015'!$F$4),capex2015!$F$3:$F$208))/1000</f>
        <v>269.44373999999999</v>
      </c>
      <c r="G34" s="638"/>
      <c r="H34" s="587">
        <f t="array" ref="H34">SUM(IF((capex2015!$B$3:$B$208='14.1-Capex 2015'!$B34)*(capex2015!$A$3:$A$208='14.1-Capex 2015'!$H$4),capex2015!$F$3:$F$208))/1000</f>
        <v>0</v>
      </c>
      <c r="I34" s="638"/>
      <c r="J34" s="587">
        <f t="array" ref="J34">SUM(IF((capex2015!$B$3:$B$208='14.1-Capex 2015'!$B34)*(capex2015!$A$3:$A$208='14.1-Capex 2015'!$J$4),capex2015!$F$3:$F$208))/1000</f>
        <v>0</v>
      </c>
      <c r="K34" s="638"/>
      <c r="L34" s="637">
        <f t="shared" si="3"/>
        <v>269.44373999999999</v>
      </c>
      <c r="M34" s="638"/>
      <c r="N34" s="622">
        <f t="shared" si="4"/>
        <v>1.2519693658035499E-2</v>
      </c>
      <c r="U34" s="619"/>
    </row>
    <row r="35" spans="2:21">
      <c r="B35" s="594" t="s">
        <v>970</v>
      </c>
      <c r="C35" s="638"/>
      <c r="D35" s="586">
        <f>COUNTIF(capex2015!$B$3:$B$65536,'14.1-Capex 2015'!B35)</f>
        <v>4</v>
      </c>
      <c r="E35" s="638"/>
      <c r="F35" s="587">
        <f t="array" ref="F35">SUM(IF((capex2015!$B$3:$B$208='14.1-Capex 2015'!$B35)*(capex2015!$A$3:$A$208='14.1-Capex 2015'!$F$4),capex2015!$F$3:$F$208))/1000</f>
        <v>10.172559999999999</v>
      </c>
      <c r="G35" s="638"/>
      <c r="H35" s="587">
        <f t="array" ref="H35">SUM(IF((capex2015!$B$3:$B$208='14.1-Capex 2015'!$B35)*(capex2015!$A$3:$A$208='14.1-Capex 2015'!$H$4),capex2015!$F$3:$F$208))/1000</f>
        <v>0</v>
      </c>
      <c r="I35" s="638"/>
      <c r="J35" s="587">
        <f t="array" ref="J35">SUM(IF((capex2015!$B$3:$B$208='14.1-Capex 2015'!$B35)*(capex2015!$A$3:$A$208='14.1-Capex 2015'!$J$4),capex2015!$F$3:$F$208))/1000</f>
        <v>0</v>
      </c>
      <c r="K35" s="638"/>
      <c r="L35" s="637">
        <f t="shared" si="3"/>
        <v>10.172559999999999</v>
      </c>
      <c r="M35" s="638"/>
      <c r="N35" s="622">
        <f t="shared" si="4"/>
        <v>4.7266763339161484E-4</v>
      </c>
    </row>
    <row r="36" spans="2:21">
      <c r="B36" s="594" t="s">
        <v>71</v>
      </c>
      <c r="C36" s="638"/>
      <c r="D36" s="586">
        <f>COUNTIF(capex2015!$B$3:$B$65536,'14.1-Capex 2015'!B36)</f>
        <v>5</v>
      </c>
      <c r="E36" s="638"/>
      <c r="F36" s="587">
        <f t="array" ref="F36">SUM(IF((capex2015!$B$3:$B$208='14.1-Capex 2015'!$B36)*(capex2015!$A$3:$A$208='14.1-Capex 2015'!$F$4),capex2015!$F$3:$F$208))/1000</f>
        <v>12.622030000000001</v>
      </c>
      <c r="G36" s="638"/>
      <c r="H36" s="587">
        <f t="array" ref="H36">SUM(IF((capex2015!$B$3:$B$208='14.1-Capex 2015'!$B36)*(capex2015!$A$3:$A$208='14.1-Capex 2015'!$H$4),capex2015!$F$3:$F$208))/1000</f>
        <v>4.4548800000000002</v>
      </c>
      <c r="I36" s="638"/>
      <c r="J36" s="587">
        <f t="array" ref="J36">SUM(IF((capex2015!$B$3:$B$208='14.1-Capex 2015'!$B36)*(capex2015!$A$3:$A$208='14.1-Capex 2015'!$J$4),capex2015!$F$3:$F$208))/1000</f>
        <v>0</v>
      </c>
      <c r="K36" s="638"/>
      <c r="L36" s="637">
        <f>SUM(F36:J36)</f>
        <v>17.076910000000002</v>
      </c>
      <c r="M36" s="638"/>
      <c r="N36" s="622">
        <f t="shared" si="4"/>
        <v>7.9347800704459876E-4</v>
      </c>
    </row>
    <row r="37" spans="2:21">
      <c r="B37" s="594" t="s">
        <v>76</v>
      </c>
      <c r="C37" s="638"/>
      <c r="D37" s="586">
        <f>COUNTIF(capex2015!$B$3:$B$65536,'14.1-Capex 2015'!B37)</f>
        <v>47</v>
      </c>
      <c r="E37" s="638"/>
      <c r="F37" s="587">
        <f t="array" ref="F37">SUM(IF((capex2015!$B$3:$B$208='14.1-Capex 2015'!$B37)*(capex2015!$A$3:$A$208='14.1-Capex 2015'!$F$4),capex2015!$F$3:$F$208))/1000</f>
        <v>2451.1256000000003</v>
      </c>
      <c r="G37" s="638"/>
      <c r="H37" s="587">
        <f t="array" ref="H37">SUM(IF((capex2015!$B$3:$B$208='14.1-Capex 2015'!$B37)*(capex2015!$A$3:$A$208='14.1-Capex 2015'!$H$4),capex2015!$F$3:$F$208))/1000</f>
        <v>4800</v>
      </c>
      <c r="I37" s="638"/>
      <c r="J37" s="587">
        <f t="array" ref="J37">SUM(IF((capex2015!$B$3:$B$208='14.1-Capex 2015'!$B37)*(capex2015!$A$3:$A$208='14.1-Capex 2015'!$J$4),capex2015!$F$3:$F$208))/1000</f>
        <v>0</v>
      </c>
      <c r="K37" s="638"/>
      <c r="L37" s="637">
        <f t="shared" si="3"/>
        <v>7251.1256000000003</v>
      </c>
      <c r="M37" s="638"/>
      <c r="N37" s="622">
        <f t="shared" si="4"/>
        <v>0.33692328939591937</v>
      </c>
    </row>
    <row r="38" spans="2:21">
      <c r="B38" s="411"/>
      <c r="C38" s="409"/>
      <c r="D38" s="639"/>
      <c r="E38" s="409"/>
      <c r="F38" s="553"/>
      <c r="G38" s="409"/>
      <c r="H38" s="553"/>
      <c r="I38" s="409"/>
      <c r="J38" s="553"/>
      <c r="K38" s="409"/>
      <c r="L38" s="553"/>
      <c r="M38" s="409"/>
      <c r="N38" s="553"/>
    </row>
    <row r="39" spans="2:21" s="249" customFormat="1">
      <c r="B39" s="598" t="s">
        <v>21</v>
      </c>
      <c r="C39" s="642"/>
      <c r="D39" s="600">
        <f>SUM(D30:D37)</f>
        <v>206</v>
      </c>
      <c r="E39" s="642"/>
      <c r="F39" s="600">
        <f>SUM(F30:F37)</f>
        <v>16717.137210000004</v>
      </c>
      <c r="G39" s="643"/>
      <c r="H39" s="600">
        <f>SUM(H30:H37)</f>
        <v>4804.4548800000002</v>
      </c>
      <c r="I39" s="643"/>
      <c r="J39" s="600">
        <f>SUM(J30:J37)</f>
        <v>0</v>
      </c>
      <c r="K39" s="643"/>
      <c r="L39" s="600">
        <f>SUM(L30:L37)</f>
        <v>21521.592090000002</v>
      </c>
      <c r="M39" s="643"/>
      <c r="N39" s="602">
        <f>L39/L39</f>
        <v>1</v>
      </c>
    </row>
    <row r="40" spans="2:21">
      <c r="H40" s="245"/>
    </row>
    <row r="41" spans="2:21">
      <c r="D41" s="951"/>
      <c r="E41" s="951"/>
      <c r="F41" s="951"/>
      <c r="G41" s="405"/>
      <c r="H41" s="398"/>
      <c r="I41" s="405"/>
    </row>
    <row r="42" spans="2:21">
      <c r="D42" s="960"/>
      <c r="E42" s="960"/>
      <c r="F42" s="960"/>
      <c r="G42" s="960"/>
      <c r="H42" s="960"/>
      <c r="I42" s="960"/>
      <c r="J42" s="960"/>
    </row>
    <row r="69" spans="8:8">
      <c r="H69" s="399"/>
    </row>
    <row r="79" spans="8:8" hidden="1"/>
    <row r="80" spans="8:8" hidden="1"/>
    <row r="81" spans="2:12" hidden="1"/>
    <row r="87" spans="2:12">
      <c r="B87" s="225" t="s">
        <v>98</v>
      </c>
      <c r="C87" s="226" t="s">
        <v>6987</v>
      </c>
      <c r="D87" s="399">
        <v>42425</v>
      </c>
      <c r="E87" s="285">
        <v>42663</v>
      </c>
      <c r="F87" s="225" t="s">
        <v>22</v>
      </c>
      <c r="H87" s="225">
        <v>0</v>
      </c>
      <c r="I87" s="226">
        <v>18352</v>
      </c>
      <c r="J87" s="225">
        <v>0</v>
      </c>
      <c r="K87" s="226">
        <v>0</v>
      </c>
      <c r="L87" s="225">
        <v>0</v>
      </c>
    </row>
    <row r="101" spans="4:12">
      <c r="D101" s="399"/>
      <c r="E101" s="285"/>
    </row>
    <row r="103" spans="4:12">
      <c r="H103" s="226"/>
      <c r="J103" s="226"/>
      <c r="L103" s="226"/>
    </row>
  </sheetData>
  <mergeCells count="4">
    <mergeCell ref="B24:B25"/>
    <mergeCell ref="N24:N25"/>
    <mergeCell ref="D41:F41"/>
    <mergeCell ref="D42:J42"/>
  </mergeCells>
  <pageMargins left="0.25" right="0.25" top="0.75" bottom="0.75" header="0.3" footer="0.3"/>
  <pageSetup paperSize="9" scale="7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P93"/>
  <sheetViews>
    <sheetView showGridLines="0" topLeftCell="A13" zoomScale="85" zoomScaleNormal="85" workbookViewId="0">
      <selection activeCell="Q31" sqref="Q31"/>
    </sheetView>
  </sheetViews>
  <sheetFormatPr defaultRowHeight="15"/>
  <cols>
    <col min="1" max="1" width="1.7109375" style="225" customWidth="1"/>
    <col min="2" max="2" width="35.7109375" style="225" customWidth="1"/>
    <col min="3" max="3" width="0.85546875" style="226" customWidth="1"/>
    <col min="4" max="4" width="10.7109375" style="225" customWidth="1"/>
    <col min="5" max="5" width="1" style="226" customWidth="1"/>
    <col min="6" max="6" width="15.7109375" style="225" customWidth="1"/>
    <col min="7" max="7" width="0.85546875" style="226" customWidth="1"/>
    <col min="8" max="8" width="19.42578125" style="225" customWidth="1"/>
    <col min="9" max="9" width="0.85546875" style="226" customWidth="1"/>
    <col min="10" max="10" width="15.7109375" style="225" customWidth="1"/>
    <col min="11" max="11" width="0.85546875" style="226" customWidth="1"/>
    <col min="12" max="12" width="18.85546875" style="225" customWidth="1"/>
    <col min="13" max="13" width="0.85546875" style="226" customWidth="1"/>
    <col min="14" max="14" width="8.140625" style="225" customWidth="1"/>
    <col min="15" max="16384" width="9.140625" style="225"/>
  </cols>
  <sheetData>
    <row r="1" spans="2:14" ht="18.75">
      <c r="D1" s="293" t="s">
        <v>1445</v>
      </c>
    </row>
    <row r="2" spans="2:14" s="227" customFormat="1" ht="16.5" customHeight="1">
      <c r="B2" s="569"/>
      <c r="C2" s="651"/>
      <c r="D2" s="570" t="s">
        <v>6774</v>
      </c>
      <c r="E2" s="228"/>
      <c r="G2" s="228"/>
      <c r="I2" s="228"/>
      <c r="K2" s="228"/>
      <c r="M2" s="228"/>
    </row>
    <row r="3" spans="2:14" s="227" customFormat="1" ht="16.5" customHeight="1">
      <c r="B3" s="569"/>
      <c r="C3" s="651"/>
      <c r="D3" s="569"/>
      <c r="E3" s="228"/>
      <c r="G3" s="228"/>
      <c r="I3" s="228"/>
      <c r="K3" s="228"/>
      <c r="M3" s="228"/>
    </row>
    <row r="4" spans="2:14" s="227" customFormat="1">
      <c r="B4" s="229"/>
      <c r="C4" s="506"/>
      <c r="E4" s="228"/>
      <c r="F4" s="615" t="s">
        <v>1230</v>
      </c>
      <c r="G4" s="616"/>
      <c r="H4" s="615" t="s">
        <v>1231</v>
      </c>
      <c r="I4" s="616"/>
      <c r="J4" s="615" t="s">
        <v>1405</v>
      </c>
      <c r="K4" s="616"/>
      <c r="L4" s="616"/>
      <c r="M4" s="228"/>
      <c r="N4" s="228"/>
    </row>
    <row r="5" spans="2:14" s="227" customFormat="1" ht="31.5">
      <c r="B5" s="584" t="s">
        <v>27</v>
      </c>
      <c r="C5" s="652"/>
      <c r="D5" s="584" t="s">
        <v>20</v>
      </c>
      <c r="E5" s="652"/>
      <c r="F5" s="583" t="s">
        <v>1172</v>
      </c>
      <c r="G5" s="652"/>
      <c r="H5" s="584" t="s">
        <v>28</v>
      </c>
      <c r="I5" s="652"/>
      <c r="J5" s="584" t="s">
        <v>29</v>
      </c>
      <c r="K5" s="652"/>
      <c r="L5" s="584" t="s">
        <v>21</v>
      </c>
      <c r="M5" s="652"/>
      <c r="N5" s="584" t="s">
        <v>30</v>
      </c>
    </row>
    <row r="6" spans="2:14">
      <c r="D6" s="429"/>
    </row>
    <row r="7" spans="2:14">
      <c r="B7" s="646" t="s">
        <v>32</v>
      </c>
      <c r="C7" s="409"/>
      <c r="D7" s="647">
        <f>COUNTIF('BD Anexo 14'!$C$4:$C$50000,B7)</f>
        <v>3</v>
      </c>
      <c r="E7" s="409"/>
      <c r="F7" s="648">
        <f t="array" ref="F7">SUM(IF(('BD Anexo 14'!$C$4:$C$50000=$B7)*('BD Anexo 14'!$A$4:$A$50000=F$4),'BD Anexo 14'!$G$4:$G$50000))/1000</f>
        <v>313.00930999999997</v>
      </c>
      <c r="G7" s="409"/>
      <c r="H7" s="648">
        <f t="array" ref="H7">SUM(IF(('BD Anexo 14'!$C$4:$C$50000=$B7)*('BD Anexo 14'!$A$4:$A$50000=H$4),'BD Anexo 14'!$G$4:$G$50000))/1000</f>
        <v>0</v>
      </c>
      <c r="I7" s="409"/>
      <c r="J7" s="648">
        <f t="array" ref="J7">SUM(IF(('BD Anexo 14'!$C$4:$C$50000=$B7)*('BD Anexo 14'!$A$4:$A$50000=J$4),'BD Anexo 14'!$G$4:$G$50000))/1000</f>
        <v>0</v>
      </c>
      <c r="K7" s="409"/>
      <c r="L7" s="648">
        <f>SUM(F7:J7)</f>
        <v>313.00930999999997</v>
      </c>
      <c r="M7" s="409"/>
      <c r="N7" s="644">
        <f t="shared" ref="N7:N38" si="0">L7/$L$40</f>
        <v>7.8640953199896994E-3</v>
      </c>
    </row>
    <row r="8" spans="2:14">
      <c r="B8" s="649" t="s">
        <v>34</v>
      </c>
      <c r="C8" s="409"/>
      <c r="D8" s="586">
        <f>COUNTIF('BD Anexo 14'!$C$4:$C$50000,B8)</f>
        <v>4</v>
      </c>
      <c r="E8" s="409"/>
      <c r="F8" s="587">
        <f t="array" ref="F8">SUM(IF(('BD Anexo 14'!$C$4:$C$50000=$B8)*('BD Anexo 14'!$A$4:$A$50000=F$4),'BD Anexo 14'!$G$4:$G$50000))/1000</f>
        <v>514.69501000000002</v>
      </c>
      <c r="G8" s="409"/>
      <c r="H8" s="587">
        <f t="array" ref="H8">SUM(IF(('BD Anexo 14'!$C$4:$C$50000=$B8)*('BD Anexo 14'!$A$4:$A$50000=H$4),'BD Anexo 14'!$G$4:$G$50000))/1000</f>
        <v>0</v>
      </c>
      <c r="I8" s="409"/>
      <c r="J8" s="587">
        <f t="array" ref="J8">SUM(IF(('BD Anexo 14'!$C$4:$C$50000=$B8)*('BD Anexo 14'!$A$4:$A$50000=J$4),'BD Anexo 14'!$G$4:$G$50000))/1000</f>
        <v>0</v>
      </c>
      <c r="K8" s="409"/>
      <c r="L8" s="587">
        <f t="shared" ref="L8:L38" si="1">SUM(F8:J8)</f>
        <v>514.69501000000002</v>
      </c>
      <c r="M8" s="409"/>
      <c r="N8" s="575">
        <f t="shared" si="0"/>
        <v>1.293127868740726E-2</v>
      </c>
    </row>
    <row r="9" spans="2:14">
      <c r="B9" s="646" t="s">
        <v>35</v>
      </c>
      <c r="C9" s="409"/>
      <c r="D9" s="647">
        <f>COUNTIF('BD Anexo 14'!$C$4:$C$50000,B9)</f>
        <v>1</v>
      </c>
      <c r="E9" s="409"/>
      <c r="F9" s="648">
        <f t="array" ref="F9">SUM(IF(('BD Anexo 14'!$C$4:$C$50000=$B9)*('BD Anexo 14'!$A$4:$A$50000=F$4),'BD Anexo 14'!$G$4:$G$50000))/1000</f>
        <v>350</v>
      </c>
      <c r="G9" s="409"/>
      <c r="H9" s="648">
        <f t="array" ref="H9">SUM(IF(('BD Anexo 14'!$C$4:$C$50000=$B9)*('BD Anexo 14'!$A$4:$A$50000=H$4),'BD Anexo 14'!$G$4:$G$50000))/1000</f>
        <v>0</v>
      </c>
      <c r="I9" s="409"/>
      <c r="J9" s="648">
        <f t="array" ref="J9">SUM(IF(('BD Anexo 14'!$C$4:$C$50000=$B9)*('BD Anexo 14'!$A$4:$A$50000=J$4),'BD Anexo 14'!$G$4:$G$50000))/1000</f>
        <v>0</v>
      </c>
      <c r="K9" s="409"/>
      <c r="L9" s="648">
        <f t="shared" si="1"/>
        <v>350</v>
      </c>
      <c r="M9" s="409"/>
      <c r="N9" s="644">
        <f t="shared" si="0"/>
        <v>8.7934552553609185E-3</v>
      </c>
    </row>
    <row r="10" spans="2:14">
      <c r="B10" s="649" t="s">
        <v>36</v>
      </c>
      <c r="C10" s="409"/>
      <c r="D10" s="586">
        <f>COUNTIF('BD Anexo 14'!$C$4:$C$50000,B10)</f>
        <v>6</v>
      </c>
      <c r="E10" s="409"/>
      <c r="F10" s="587">
        <f t="array" ref="F10">SUM(IF(('BD Anexo 14'!$C$4:$C$50000=$B10)*('BD Anexo 14'!$A$4:$A$50000=F$4),'BD Anexo 14'!$G$4:$G$50000))/1000</f>
        <v>553.63099</v>
      </c>
      <c r="G10" s="409"/>
      <c r="H10" s="587">
        <f t="array" ref="H10">SUM(IF(('BD Anexo 14'!$C$4:$C$50000=$B10)*('BD Anexo 14'!$A$4:$A$50000=H$4),'BD Anexo 14'!$G$4:$G$50000))/1000</f>
        <v>0</v>
      </c>
      <c r="I10" s="409"/>
      <c r="J10" s="587">
        <f t="array" ref="J10">SUM(IF(('BD Anexo 14'!$C$4:$C$50000=$B10)*('BD Anexo 14'!$A$4:$A$50000=J$4),'BD Anexo 14'!$G$4:$G$50000))/1000</f>
        <v>0</v>
      </c>
      <c r="K10" s="409"/>
      <c r="L10" s="587">
        <f t="shared" si="1"/>
        <v>553.63099</v>
      </c>
      <c r="M10" s="409"/>
      <c r="N10" s="575">
        <f t="shared" si="0"/>
        <v>1.3909512395846195E-2</v>
      </c>
    </row>
    <row r="11" spans="2:14">
      <c r="B11" s="646" t="s">
        <v>38</v>
      </c>
      <c r="C11" s="409"/>
      <c r="D11" s="647">
        <f>COUNTIF('BD Anexo 14'!$C$4:$C$50000,B11)</f>
        <v>3</v>
      </c>
      <c r="E11" s="409"/>
      <c r="F11" s="648">
        <f t="array" ref="F11">SUM(IF(('BD Anexo 14'!$C$4:$C$50000=$B11)*('BD Anexo 14'!$A$4:$A$50000=F$4),'BD Anexo 14'!$G$4:$G$50000))/1000</f>
        <v>558.29100000000005</v>
      </c>
      <c r="G11" s="409"/>
      <c r="H11" s="648">
        <f t="array" ref="H11">SUM(IF(('BD Anexo 14'!$C$4:$C$50000=$B11)*('BD Anexo 14'!$A$4:$A$50000=H$4),'BD Anexo 14'!$G$4:$G$50000))/1000</f>
        <v>0</v>
      </c>
      <c r="I11" s="409"/>
      <c r="J11" s="648">
        <f t="array" ref="J11">SUM(IF(('BD Anexo 14'!$C$4:$C$50000=$B11)*('BD Anexo 14'!$A$4:$A$50000=J$4),'BD Anexo 14'!$G$4:$G$50000))/1000</f>
        <v>0</v>
      </c>
      <c r="K11" s="409"/>
      <c r="L11" s="648">
        <f t="shared" si="1"/>
        <v>558.29100000000005</v>
      </c>
      <c r="M11" s="409"/>
      <c r="N11" s="644">
        <f t="shared" si="0"/>
        <v>1.4026591222773438E-2</v>
      </c>
    </row>
    <row r="12" spans="2:14">
      <c r="B12" s="649" t="s">
        <v>39</v>
      </c>
      <c r="C12" s="409"/>
      <c r="D12" s="586">
        <f>COUNTIF('BD Anexo 14'!$C$4:$C$50000,B12)</f>
        <v>5</v>
      </c>
      <c r="E12" s="409"/>
      <c r="F12" s="587">
        <f t="array" ref="F12">SUM(IF(('BD Anexo 14'!$C$4:$C$50000=$B12)*('BD Anexo 14'!$A$4:$A$50000=F$4),'BD Anexo 14'!$G$4:$G$50000))/1000</f>
        <v>340.702</v>
      </c>
      <c r="G12" s="409"/>
      <c r="H12" s="587">
        <f t="array" ref="H12">SUM(IF(('BD Anexo 14'!$C$4:$C$50000=$B12)*('BD Anexo 14'!$A$4:$A$50000=H$4),'BD Anexo 14'!$G$4:$G$50000))/1000</f>
        <v>0</v>
      </c>
      <c r="I12" s="409"/>
      <c r="J12" s="587">
        <f t="array" ref="J12">SUM(IF(('BD Anexo 14'!$C$4:$C$50000=$B12)*('BD Anexo 14'!$A$4:$A$50000=J$4),'BD Anexo 14'!$G$4:$G$50000))/1000</f>
        <v>0</v>
      </c>
      <c r="K12" s="409"/>
      <c r="L12" s="587">
        <f t="shared" si="1"/>
        <v>340.702</v>
      </c>
      <c r="M12" s="409"/>
      <c r="N12" s="575">
        <f t="shared" si="0"/>
        <v>8.5598508354627883E-3</v>
      </c>
    </row>
    <row r="13" spans="2:14">
      <c r="B13" s="646" t="s">
        <v>40</v>
      </c>
      <c r="C13" s="409"/>
      <c r="D13" s="647">
        <f>COUNTIF('BD Anexo 14'!$C$4:$C$50000,B13)</f>
        <v>4</v>
      </c>
      <c r="E13" s="409"/>
      <c r="F13" s="648">
        <f t="array" ref="F13">SUM(IF(('BD Anexo 14'!$C$4:$C$50000=$B13)*('BD Anexo 14'!$A$4:$A$50000=F$4),'BD Anexo 14'!$G$4:$G$50000))/1000</f>
        <v>390.20699999999999</v>
      </c>
      <c r="G13" s="409"/>
      <c r="H13" s="648">
        <f t="array" ref="H13">SUM(IF(('BD Anexo 14'!$C$4:$C$50000=$B13)*('BD Anexo 14'!$A$4:$A$50000=H$4),'BD Anexo 14'!$G$4:$G$50000))/1000</f>
        <v>0</v>
      </c>
      <c r="I13" s="409"/>
      <c r="J13" s="648">
        <f t="array" ref="J13">SUM(IF(('BD Anexo 14'!$C$4:$C$50000=$B13)*('BD Anexo 14'!$A$4:$A$50000=J$4),'BD Anexo 14'!$G$4:$G$50000))/1000</f>
        <v>0</v>
      </c>
      <c r="K13" s="409"/>
      <c r="L13" s="648">
        <f t="shared" si="1"/>
        <v>390.20699999999999</v>
      </c>
      <c r="M13" s="409"/>
      <c r="N13" s="644">
        <f t="shared" si="0"/>
        <v>9.8036222709389099E-3</v>
      </c>
    </row>
    <row r="14" spans="2:14">
      <c r="B14" s="649" t="s">
        <v>41</v>
      </c>
      <c r="C14" s="409"/>
      <c r="D14" s="586">
        <f>COUNTIF('BD Anexo 14'!$C$4:$C$50000,B14)</f>
        <v>1</v>
      </c>
      <c r="E14" s="409"/>
      <c r="F14" s="587">
        <f t="array" ref="F14">SUM(IF(('BD Anexo 14'!$C$4:$C$50000=$B14)*('BD Anexo 14'!$A$4:$A$50000=F$4),'BD Anexo 14'!$G$4:$G$50000))/1000</f>
        <v>1642.52153</v>
      </c>
      <c r="G14" s="409"/>
      <c r="H14" s="587">
        <f t="array" ref="H14">SUM(IF(('BD Anexo 14'!$C$4:$C$50000=$B14)*('BD Anexo 14'!$A$4:$A$50000=H$4),'BD Anexo 14'!$G$4:$G$50000))/1000</f>
        <v>0</v>
      </c>
      <c r="I14" s="409"/>
      <c r="J14" s="587">
        <f t="array" ref="J14">SUM(IF(('BD Anexo 14'!$C$4:$C$50000=$B14)*('BD Anexo 14'!$A$4:$A$50000=J$4),'BD Anexo 14'!$G$4:$G$50000))/1000</f>
        <v>0</v>
      </c>
      <c r="K14" s="409"/>
      <c r="L14" s="587">
        <f t="shared" si="1"/>
        <v>1642.52153</v>
      </c>
      <c r="M14" s="409"/>
      <c r="N14" s="575">
        <f t="shared" si="0"/>
        <v>4.1266970228634167E-2</v>
      </c>
    </row>
    <row r="15" spans="2:14">
      <c r="B15" s="646" t="s">
        <v>42</v>
      </c>
      <c r="C15" s="409"/>
      <c r="D15" s="647">
        <f>COUNTIF('BD Anexo 14'!$C$4:$C$50000,B15)</f>
        <v>12</v>
      </c>
      <c r="E15" s="409"/>
      <c r="F15" s="648">
        <f t="array" ref="F15">SUM(IF(('BD Anexo 14'!$C$4:$C$50000=$B15)*('BD Anexo 14'!$A$4:$A$50000=F$4),'BD Anexo 14'!$G$4:$G$50000))/1000</f>
        <v>6175.5296700000008</v>
      </c>
      <c r="G15" s="409"/>
      <c r="H15" s="648">
        <f t="array" ref="H15">SUM(IF(('BD Anexo 14'!$C$4:$C$50000=$B15)*('BD Anexo 14'!$A$4:$A$50000=H$4),'BD Anexo 14'!$G$4:$G$50000))/1000</f>
        <v>0</v>
      </c>
      <c r="I15" s="409"/>
      <c r="J15" s="648">
        <f t="array" ref="J15">SUM(IF(('BD Anexo 14'!$C$4:$C$50000=$B15)*('BD Anexo 14'!$A$4:$A$50000=J$4),'BD Anexo 14'!$G$4:$G$50000))/1000</f>
        <v>0</v>
      </c>
      <c r="K15" s="409"/>
      <c r="L15" s="648">
        <f t="shared" si="1"/>
        <v>6175.5296700000008</v>
      </c>
      <c r="M15" s="409"/>
      <c r="N15" s="644">
        <f t="shared" si="0"/>
        <v>0.15515498237513939</v>
      </c>
    </row>
    <row r="16" spans="2:14">
      <c r="B16" s="649" t="s">
        <v>43</v>
      </c>
      <c r="C16" s="409"/>
      <c r="D16" s="586">
        <f>COUNTIF('BD Anexo 14'!$C$4:$C$50000,B16)</f>
        <v>38</v>
      </c>
      <c r="E16" s="409"/>
      <c r="F16" s="587">
        <f t="array" ref="F16">SUM(IF(('BD Anexo 14'!$C$4:$C$50000=$B16)*('BD Anexo 14'!$A$4:$A$50000=F$4),'BD Anexo 14'!$G$4:$G$50000))/1000</f>
        <v>64.296240000000012</v>
      </c>
      <c r="G16" s="409"/>
      <c r="H16" s="587">
        <f t="array" ref="H16">SUM(IF(('BD Anexo 14'!$C$4:$C$50000=$B16)*('BD Anexo 14'!$A$4:$A$50000=H$4),'BD Anexo 14'!$G$4:$G$50000))/1000</f>
        <v>2.76884</v>
      </c>
      <c r="I16" s="409"/>
      <c r="J16" s="587">
        <f t="array" ref="J16">SUM(IF(('BD Anexo 14'!$C$4:$C$50000=$B16)*('BD Anexo 14'!$A$4:$A$50000=J$4),'BD Anexo 14'!$G$4:$G$50000))/1000</f>
        <v>0</v>
      </c>
      <c r="K16" s="409"/>
      <c r="L16" s="587">
        <f t="shared" si="1"/>
        <v>67.065080000000009</v>
      </c>
      <c r="M16" s="409"/>
      <c r="N16" s="575">
        <f t="shared" si="0"/>
        <v>1.6849536576491444E-3</v>
      </c>
    </row>
    <row r="17" spans="2:14">
      <c r="B17" s="646" t="s">
        <v>45</v>
      </c>
      <c r="C17" s="409"/>
      <c r="D17" s="647">
        <f>COUNTIF('BD Anexo 14'!$C$4:$C$50000,B17)</f>
        <v>8</v>
      </c>
      <c r="E17" s="409"/>
      <c r="F17" s="648">
        <f t="array" ref="F17">SUM(IF(('BD Anexo 14'!$C$4:$C$50000=$B17)*('BD Anexo 14'!$A$4:$A$50000=F$4),'BD Anexo 14'!$G$4:$G$50000))/1000</f>
        <v>35.139000000000003</v>
      </c>
      <c r="G17" s="409"/>
      <c r="H17" s="648">
        <f t="array" ref="H17">SUM(IF(('BD Anexo 14'!$C$4:$C$50000=$B17)*('BD Anexo 14'!$A$4:$A$50000=H$4),'BD Anexo 14'!$G$4:$G$50000))/1000</f>
        <v>0</v>
      </c>
      <c r="I17" s="409"/>
      <c r="J17" s="648">
        <f t="array" ref="J17">SUM(IF(('BD Anexo 14'!$C$4:$C$50000=$B17)*('BD Anexo 14'!$A$4:$A$50000=J$4),'BD Anexo 14'!$G$4:$G$50000))/1000</f>
        <v>0</v>
      </c>
      <c r="K17" s="409"/>
      <c r="L17" s="648">
        <f t="shared" si="1"/>
        <v>35.139000000000003</v>
      </c>
      <c r="M17" s="409"/>
      <c r="N17" s="644">
        <f t="shared" si="0"/>
        <v>8.8283778348036395E-4</v>
      </c>
    </row>
    <row r="18" spans="2:14">
      <c r="B18" s="649" t="s">
        <v>47</v>
      </c>
      <c r="C18" s="409"/>
      <c r="D18" s="586">
        <f>COUNTIF('BD Anexo 14'!$C$4:$C$50000,B18)</f>
        <v>19</v>
      </c>
      <c r="E18" s="409"/>
      <c r="F18" s="587">
        <f t="array" ref="F18">SUM(IF(('BD Anexo 14'!$C$4:$C$50000=$B18)*('BD Anexo 14'!$A$4:$A$50000=F$4),'BD Anexo 14'!$G$4:$G$50000))/1000</f>
        <v>17150.41</v>
      </c>
      <c r="G18" s="409"/>
      <c r="H18" s="587">
        <f t="array" ref="H18">SUM(IF(('BD Anexo 14'!$C$4:$C$50000=$B18)*('BD Anexo 14'!$A$4:$A$50000=H$4),'BD Anexo 14'!$G$4:$G$50000))/1000</f>
        <v>1450</v>
      </c>
      <c r="I18" s="409"/>
      <c r="J18" s="587">
        <f t="array" ref="J18">SUM(IF(('BD Anexo 14'!$C$4:$C$50000=$B18)*('BD Anexo 14'!$A$4:$A$50000=J$4),'BD Anexo 14'!$G$4:$G$50000))/1000</f>
        <v>440</v>
      </c>
      <c r="K18" s="409"/>
      <c r="L18" s="587">
        <f t="shared" si="1"/>
        <v>19040.41</v>
      </c>
      <c r="M18" s="409"/>
      <c r="N18" s="575">
        <f t="shared" si="0"/>
        <v>0.47837426679636169</v>
      </c>
    </row>
    <row r="19" spans="2:14">
      <c r="B19" s="646" t="s">
        <v>49</v>
      </c>
      <c r="C19" s="409"/>
      <c r="D19" s="647">
        <f>COUNTIF('BD Anexo 14'!$C$4:$C$50000,B19)</f>
        <v>2</v>
      </c>
      <c r="E19" s="409"/>
      <c r="F19" s="648">
        <f t="array" ref="F19">SUM(IF(('BD Anexo 14'!$C$4:$C$50000=$B19)*('BD Anexo 14'!$A$4:$A$50000=F$4),'BD Anexo 14'!$G$4:$G$50000))/1000</f>
        <v>11.7</v>
      </c>
      <c r="G19" s="409"/>
      <c r="H19" s="648">
        <f t="array" ref="H19">SUM(IF(('BD Anexo 14'!$C$4:$C$50000=$B19)*('BD Anexo 14'!$A$4:$A$50000=H$4),'BD Anexo 14'!$G$4:$G$50000))/1000</f>
        <v>0</v>
      </c>
      <c r="I19" s="409"/>
      <c r="J19" s="648">
        <f t="array" ref="J19">SUM(IF(('BD Anexo 14'!$C$4:$C$50000=$B19)*('BD Anexo 14'!$A$4:$A$50000=J$4),'BD Anexo 14'!$G$4:$G$50000))/1000</f>
        <v>0</v>
      </c>
      <c r="K19" s="409"/>
      <c r="L19" s="648">
        <f t="shared" si="1"/>
        <v>11.7</v>
      </c>
      <c r="M19" s="409"/>
      <c r="N19" s="644">
        <f t="shared" si="0"/>
        <v>2.939526471077793E-4</v>
      </c>
    </row>
    <row r="20" spans="2:14">
      <c r="B20" s="649" t="s">
        <v>50</v>
      </c>
      <c r="C20" s="409"/>
      <c r="D20" s="586">
        <f>COUNTIF('BD Anexo 14'!$C$4:$C$50000,B20)</f>
        <v>1</v>
      </c>
      <c r="E20" s="409"/>
      <c r="F20" s="587">
        <f t="array" ref="F20">SUM(IF(('BD Anexo 14'!$C$4:$C$50000=$B20)*('BD Anexo 14'!$A$4:$A$50000=F$4),'BD Anexo 14'!$G$4:$G$50000))/1000</f>
        <v>1.349</v>
      </c>
      <c r="G20" s="409"/>
      <c r="H20" s="587">
        <f t="array" ref="H20">SUM(IF(('BD Anexo 14'!$C$4:$C$50000=$B20)*('BD Anexo 14'!$A$4:$A$50000=H$4),'BD Anexo 14'!$G$4:$G$50000))/1000</f>
        <v>0</v>
      </c>
      <c r="I20" s="409"/>
      <c r="J20" s="587">
        <f t="array" ref="J20">SUM(IF(('BD Anexo 14'!$C$4:$C$50000=$B20)*('BD Anexo 14'!$A$4:$A$50000=J$4),'BD Anexo 14'!$G$4:$G$50000))/1000</f>
        <v>0</v>
      </c>
      <c r="K20" s="409"/>
      <c r="L20" s="587">
        <f t="shared" si="1"/>
        <v>1.349</v>
      </c>
      <c r="M20" s="409"/>
      <c r="N20" s="575">
        <f t="shared" si="0"/>
        <v>3.3892488969948231E-5</v>
      </c>
    </row>
    <row r="21" spans="2:14">
      <c r="B21" s="646" t="s">
        <v>51</v>
      </c>
      <c r="C21" s="409"/>
      <c r="D21" s="647">
        <f>COUNTIF('BD Anexo 14'!$C$4:$C$50000,B21)</f>
        <v>75</v>
      </c>
      <c r="E21" s="409"/>
      <c r="F21" s="648">
        <f t="array" ref="F21">SUM(IF(('BD Anexo 14'!$C$4:$C$50000=$B21)*('BD Anexo 14'!$A$4:$A$50000=F$4),'BD Anexo 14'!$G$4:$G$50000))/1000</f>
        <v>1228.8296799999998</v>
      </c>
      <c r="G21" s="409"/>
      <c r="H21" s="648">
        <f t="array" ref="H21">SUM(IF(('BD Anexo 14'!$C$4:$C$50000=$B21)*('BD Anexo 14'!$A$4:$A$50000=H$4),'BD Anexo 14'!$G$4:$G$50000))/1000</f>
        <v>182</v>
      </c>
      <c r="I21" s="409"/>
      <c r="J21" s="648">
        <f t="array" ref="J21">SUM(IF(('BD Anexo 14'!$C$4:$C$50000=$B21)*('BD Anexo 14'!$A$4:$A$50000=J$4),'BD Anexo 14'!$G$4:$G$50000))/1000</f>
        <v>0</v>
      </c>
      <c r="K21" s="409"/>
      <c r="L21" s="648">
        <f t="shared" si="1"/>
        <v>1410.8296799999998</v>
      </c>
      <c r="M21" s="409"/>
      <c r="N21" s="644">
        <f t="shared" si="0"/>
        <v>3.5445907611471893E-2</v>
      </c>
    </row>
    <row r="22" spans="2:14">
      <c r="B22" s="649" t="s">
        <v>52</v>
      </c>
      <c r="C22" s="409"/>
      <c r="D22" s="586">
        <f>COUNTIF('BD Anexo 14'!$C$4:$C$50000,B22)</f>
        <v>2</v>
      </c>
      <c r="E22" s="409"/>
      <c r="F22" s="587">
        <f t="array" ref="F22">SUM(IF(('BD Anexo 14'!$C$4:$C$50000=$B22)*('BD Anexo 14'!$A$4:$A$50000=F$4),'BD Anexo 14'!$G$4:$G$50000))/1000</f>
        <v>16.79</v>
      </c>
      <c r="G22" s="409"/>
      <c r="H22" s="587">
        <f t="array" ref="H22">SUM(IF(('BD Anexo 14'!$C$4:$C$50000=$B22)*('BD Anexo 14'!$A$4:$A$50000=H$4),'BD Anexo 14'!$G$4:$G$50000))/1000</f>
        <v>0</v>
      </c>
      <c r="I22" s="409"/>
      <c r="J22" s="587">
        <f t="array" ref="J22">SUM(IF(('BD Anexo 14'!$C$4:$C$50000=$B22)*('BD Anexo 14'!$A$4:$A$50000=J$4),'BD Anexo 14'!$G$4:$G$50000))/1000</f>
        <v>0</v>
      </c>
      <c r="K22" s="409"/>
      <c r="L22" s="587">
        <f t="shared" si="1"/>
        <v>16.79</v>
      </c>
      <c r="M22" s="409"/>
      <c r="N22" s="575">
        <f t="shared" si="0"/>
        <v>4.2183461067859949E-4</v>
      </c>
    </row>
    <row r="23" spans="2:14">
      <c r="B23" s="646" t="s">
        <v>53</v>
      </c>
      <c r="C23" s="409"/>
      <c r="D23" s="647">
        <f>COUNTIF('BD Anexo 14'!$C$4:$C$50000,B23)</f>
        <v>5</v>
      </c>
      <c r="E23" s="409"/>
      <c r="F23" s="648">
        <f t="array" ref="F23">SUM(IF(('BD Anexo 14'!$C$4:$C$50000=$B23)*('BD Anexo 14'!$A$4:$A$50000=F$4),'BD Anexo 14'!$G$4:$G$50000))/1000</f>
        <v>7.5631400000000006</v>
      </c>
      <c r="G23" s="409"/>
      <c r="H23" s="648">
        <f t="array" ref="H23">SUM(IF(('BD Anexo 14'!$C$4:$C$50000=$B23)*('BD Anexo 14'!$A$4:$A$50000=H$4),'BD Anexo 14'!$G$4:$G$50000))/1000</f>
        <v>0</v>
      </c>
      <c r="I23" s="409"/>
      <c r="J23" s="648">
        <f t="array" ref="J23">SUM(IF(('BD Anexo 14'!$C$4:$C$50000=$B23)*('BD Anexo 14'!$A$4:$A$50000=J$4),'BD Anexo 14'!$G$4:$G$50000))/1000</f>
        <v>0</v>
      </c>
      <c r="K23" s="409"/>
      <c r="L23" s="648">
        <f t="array" ref="L23">SUM(IF(('BD Anexo 14'!$C$4:$C$50000=$B23)*('BD Anexo 14'!$A$4:$A$50000=L$4),'BD Anexo 14'!$G$4:$G$50000))/1000</f>
        <v>0</v>
      </c>
      <c r="M23" s="409"/>
      <c r="N23" s="644">
        <f t="shared" si="0"/>
        <v>0</v>
      </c>
    </row>
    <row r="24" spans="2:14">
      <c r="B24" s="649" t="s">
        <v>54</v>
      </c>
      <c r="C24" s="409"/>
      <c r="D24" s="586">
        <f>COUNTIF('BD Anexo 14'!$C$4:$C$50000,B24)</f>
        <v>32</v>
      </c>
      <c r="E24" s="409"/>
      <c r="F24" s="587">
        <f t="array" ref="F24">SUM(IF(('BD Anexo 14'!$C$4:$C$50000=$B24)*('BD Anexo 14'!$A$4:$A$50000=F$4),'BD Anexo 14'!$G$4:$G$50000))/1000</f>
        <v>118.59048999999999</v>
      </c>
      <c r="G24" s="409"/>
      <c r="H24" s="587">
        <f t="array" ref="H24">SUM(IF(('BD Anexo 14'!$C$4:$C$50000=$B24)*('BD Anexo 14'!$A$4:$A$50000=H$4),'BD Anexo 14'!$G$4:$G$50000))/1000</f>
        <v>0</v>
      </c>
      <c r="I24" s="409"/>
      <c r="J24" s="587">
        <f t="array" ref="J24">SUM(IF(('BD Anexo 14'!$C$4:$C$50000=$B24)*('BD Anexo 14'!$A$4:$A$50000=J$4),'BD Anexo 14'!$G$4:$G$50000))/1000</f>
        <v>0</v>
      </c>
      <c r="K24" s="409"/>
      <c r="L24" s="587">
        <f t="shared" si="1"/>
        <v>118.59048999999999</v>
      </c>
      <c r="M24" s="409"/>
      <c r="N24" s="575">
        <f t="shared" si="0"/>
        <v>2.9794861929323614E-3</v>
      </c>
    </row>
    <row r="25" spans="2:14">
      <c r="B25" s="646" t="s">
        <v>55</v>
      </c>
      <c r="C25" s="409"/>
      <c r="D25" s="647">
        <f>COUNTIF('BD Anexo 14'!$C$4:$C$50000,B25)</f>
        <v>108</v>
      </c>
      <c r="E25" s="409"/>
      <c r="F25" s="648">
        <f t="array" ref="F25">SUM(IF(('BD Anexo 14'!$C$4:$C$50000=$B25)*('BD Anexo 14'!$A$4:$A$50000=F$4),'BD Anexo 14'!$G$4:$G$50000))/1000</f>
        <v>102.64641999999999</v>
      </c>
      <c r="G25" s="409"/>
      <c r="H25" s="648">
        <f t="array" ref="H25">SUM(IF(('BD Anexo 14'!$C$4:$C$50000=$B25)*('BD Anexo 14'!$A$4:$A$50000=H$4),'BD Anexo 14'!$G$4:$G$50000))/1000</f>
        <v>0</v>
      </c>
      <c r="I25" s="409"/>
      <c r="J25" s="648">
        <f t="array" ref="J25">SUM(IF(('BD Anexo 14'!$C$4:$C$50000=$B25)*('BD Anexo 14'!$A$4:$A$50000=J$4),'BD Anexo 14'!$G$4:$G$50000))/1000</f>
        <v>0</v>
      </c>
      <c r="K25" s="409"/>
      <c r="L25" s="648">
        <f t="shared" si="1"/>
        <v>102.64641999999999</v>
      </c>
      <c r="M25" s="409"/>
      <c r="N25" s="644">
        <f t="shared" si="0"/>
        <v>2.5789048611228119E-3</v>
      </c>
    </row>
    <row r="26" spans="2:14">
      <c r="B26" s="649" t="s">
        <v>56</v>
      </c>
      <c r="C26" s="409"/>
      <c r="D26" s="586">
        <f>COUNTIF('BD Anexo 14'!$C$4:$C$50000,B26)</f>
        <v>5</v>
      </c>
      <c r="E26" s="409"/>
      <c r="F26" s="587">
        <f t="array" ref="F26">SUM(IF(('BD Anexo 14'!$C$4:$C$50000=$B26)*('BD Anexo 14'!$A$4:$A$50000=F$4),'BD Anexo 14'!$G$4:$G$50000))/1000</f>
        <v>0</v>
      </c>
      <c r="G26" s="409"/>
      <c r="H26" s="587">
        <f t="array" ref="H26">SUM(IF(('BD Anexo 14'!$C$4:$C$50000=$B26)*('BD Anexo 14'!$A$4:$A$50000=H$4),'BD Anexo 14'!$G$4:$G$50000))/1000</f>
        <v>1695</v>
      </c>
      <c r="I26" s="409"/>
      <c r="J26" s="587">
        <f t="array" ref="J26">SUM(IF(('BD Anexo 14'!$C$4:$C$50000=$B26)*('BD Anexo 14'!$A$4:$A$50000=J$4),'BD Anexo 14'!$G$4:$G$50000))/1000</f>
        <v>0</v>
      </c>
      <c r="K26" s="409"/>
      <c r="L26" s="587">
        <f t="shared" si="1"/>
        <v>1695</v>
      </c>
      <c r="M26" s="409"/>
      <c r="N26" s="575">
        <f t="shared" si="0"/>
        <v>4.2585447593819312E-2</v>
      </c>
    </row>
    <row r="27" spans="2:14">
      <c r="B27" s="646" t="s">
        <v>1024</v>
      </c>
      <c r="C27" s="409"/>
      <c r="D27" s="647">
        <f>COUNTIF('BD Anexo 14'!$C$4:$C$50000,B27)</f>
        <v>1</v>
      </c>
      <c r="E27" s="409"/>
      <c r="F27" s="648">
        <f t="array" ref="F27">SUM(IF(('BD Anexo 14'!$C$4:$C$50000=$B27)*('BD Anexo 14'!$A$4:$A$50000=F$4),'BD Anexo 14'!$G$4:$G$50000))/1000</f>
        <v>133.90426000000002</v>
      </c>
      <c r="G27" s="409"/>
      <c r="H27" s="648">
        <f t="array" ref="H27">SUM(IF(('BD Anexo 14'!$C$4:$C$50000=$B27)*('BD Anexo 14'!$A$4:$A$50000=H$4),'BD Anexo 14'!$G$4:$G$50000))/1000</f>
        <v>0</v>
      </c>
      <c r="I27" s="409"/>
      <c r="J27" s="648">
        <f t="array" ref="J27">SUM(IF(('BD Anexo 14'!$C$4:$C$50000=$B27)*('BD Anexo 14'!$A$4:$A$50000=J$4),'BD Anexo 14'!$G$4:$G$50000))/1000</f>
        <v>0</v>
      </c>
      <c r="K27" s="409"/>
      <c r="L27" s="648">
        <f t="shared" si="1"/>
        <v>133.90426000000002</v>
      </c>
      <c r="M27" s="409"/>
      <c r="N27" s="644">
        <f t="shared" si="0"/>
        <v>3.3642317680349005E-3</v>
      </c>
    </row>
    <row r="28" spans="2:14">
      <c r="B28" s="649" t="s">
        <v>58</v>
      </c>
      <c r="C28" s="409"/>
      <c r="D28" s="586">
        <f>COUNTIF('BD Anexo 14'!$C$4:$C$50000,B28)</f>
        <v>5</v>
      </c>
      <c r="E28" s="409"/>
      <c r="F28" s="587">
        <f t="array" ref="F28">SUM(IF(('BD Anexo 14'!$C$4:$C$50000=$B28)*('BD Anexo 14'!$A$4:$A$50000=F$4),'BD Anexo 14'!$G$4:$G$50000))/1000</f>
        <v>1015.8</v>
      </c>
      <c r="G28" s="409"/>
      <c r="H28" s="587">
        <f t="array" ref="H28">SUM(IF(('BD Anexo 14'!$C$4:$C$50000=$B28)*('BD Anexo 14'!$A$4:$A$50000=H$4),'BD Anexo 14'!$G$4:$G$50000))/1000</f>
        <v>0</v>
      </c>
      <c r="I28" s="409"/>
      <c r="J28" s="587">
        <f t="array" ref="J28">SUM(IF(('BD Anexo 14'!$C$4:$C$50000=$B28)*('BD Anexo 14'!$A$4:$A$50000=J$4),'BD Anexo 14'!$G$4:$G$50000))/1000</f>
        <v>0</v>
      </c>
      <c r="K28" s="409"/>
      <c r="L28" s="587">
        <f t="shared" si="1"/>
        <v>1015.8</v>
      </c>
      <c r="M28" s="409"/>
      <c r="N28" s="575">
        <f t="shared" si="0"/>
        <v>2.5521119566844632E-2</v>
      </c>
    </row>
    <row r="29" spans="2:14">
      <c r="B29" s="646" t="s">
        <v>59</v>
      </c>
      <c r="C29" s="409"/>
      <c r="D29" s="647">
        <f>COUNTIF('BD Anexo 14'!$C$4:$C$50000,B29)</f>
        <v>12</v>
      </c>
      <c r="E29" s="409"/>
      <c r="F29" s="648">
        <f t="array" ref="F29">SUM(IF(('BD Anexo 14'!$C$4:$C$50000=$B29)*('BD Anexo 14'!$A$4:$A$50000=F$4),'BD Anexo 14'!$G$4:$G$50000))/1000</f>
        <v>914.47033000000022</v>
      </c>
      <c r="G29" s="409"/>
      <c r="H29" s="648">
        <f t="array" ref="H29">SUM(IF(('BD Anexo 14'!$C$4:$C$50000=$B29)*('BD Anexo 14'!$A$4:$A$50000=H$4),'BD Anexo 14'!$G$4:$G$50000))/1000</f>
        <v>0</v>
      </c>
      <c r="I29" s="409"/>
      <c r="J29" s="648">
        <f t="array" ref="J29">SUM(IF(('BD Anexo 14'!$C$4:$C$50000=$B29)*('BD Anexo 14'!$A$4:$A$50000=J$4),'BD Anexo 14'!$G$4:$G$50000))/1000</f>
        <v>0</v>
      </c>
      <c r="K29" s="409"/>
      <c r="L29" s="648">
        <f t="shared" si="1"/>
        <v>914.47033000000022</v>
      </c>
      <c r="M29" s="409"/>
      <c r="N29" s="644">
        <f t="shared" si="0"/>
        <v>2.2975296940600388E-2</v>
      </c>
    </row>
    <row r="30" spans="2:14">
      <c r="B30" s="649" t="s">
        <v>60</v>
      </c>
      <c r="C30" s="409"/>
      <c r="D30" s="586">
        <f>COUNTIF('BD Anexo 14'!$C$4:$C$50000,B30)</f>
        <v>1</v>
      </c>
      <c r="E30" s="409"/>
      <c r="F30" s="587">
        <f t="array" ref="F30">SUM(IF(('BD Anexo 14'!$C$4:$C$50000=$B30)*('BD Anexo 14'!$A$4:$A$50000=F$4),'BD Anexo 14'!$G$4:$G$50000))/1000</f>
        <v>22</v>
      </c>
      <c r="G30" s="409"/>
      <c r="H30" s="587">
        <f t="array" ref="H30">SUM(IF(('BD Anexo 14'!$C$4:$C$50000=$B30)*('BD Anexo 14'!$A$4:$A$50000=H$4),'BD Anexo 14'!$G$4:$G$50000))/1000</f>
        <v>0</v>
      </c>
      <c r="I30" s="409"/>
      <c r="J30" s="587">
        <f t="array" ref="J30">SUM(IF(('BD Anexo 14'!$C$4:$C$50000=$B30)*('BD Anexo 14'!$A$4:$A$50000=J$4),'BD Anexo 14'!$G$4:$G$50000))/1000</f>
        <v>0</v>
      </c>
      <c r="K30" s="409"/>
      <c r="L30" s="587">
        <f t="shared" si="1"/>
        <v>22</v>
      </c>
      <c r="M30" s="409"/>
      <c r="N30" s="575">
        <f t="shared" si="0"/>
        <v>5.5273147319411496E-4</v>
      </c>
    </row>
    <row r="31" spans="2:14">
      <c r="B31" s="646" t="s">
        <v>62</v>
      </c>
      <c r="C31" s="409"/>
      <c r="D31" s="647">
        <f>COUNTIF('BD Anexo 14'!$C$4:$C$50000,B31)</f>
        <v>3</v>
      </c>
      <c r="E31" s="409"/>
      <c r="F31" s="648">
        <f t="array" ref="F31">SUM(IF(('BD Anexo 14'!$C$4:$C$50000=$B31)*('BD Anexo 14'!$A$4:$A$50000=F$4),'BD Anexo 14'!$G$4:$G$50000))/1000</f>
        <v>1040</v>
      </c>
      <c r="G31" s="409"/>
      <c r="H31" s="648">
        <f t="array" ref="H31">SUM(IF(('BD Anexo 14'!$C$4:$C$50000=$B31)*('BD Anexo 14'!$A$4:$A$50000=H$4),'BD Anexo 14'!$G$4:$G$50000))/1000</f>
        <v>0</v>
      </c>
      <c r="I31" s="409"/>
      <c r="J31" s="648">
        <f t="array" ref="J31">SUM(IF(('BD Anexo 14'!$C$4:$C$50000=$B31)*('BD Anexo 14'!$A$4:$A$50000=J$4),'BD Anexo 14'!$G$4:$G$50000))/1000</f>
        <v>0</v>
      </c>
      <c r="K31" s="409"/>
      <c r="L31" s="648">
        <f t="shared" si="1"/>
        <v>1040</v>
      </c>
      <c r="M31" s="409"/>
      <c r="N31" s="644">
        <f t="shared" si="0"/>
        <v>2.612912418735816E-2</v>
      </c>
    </row>
    <row r="32" spans="2:14">
      <c r="B32" s="649" t="s">
        <v>63</v>
      </c>
      <c r="C32" s="409"/>
      <c r="D32" s="586">
        <f>COUNTIF('BD Anexo 14'!$C$4:$C$50000,B32)</f>
        <v>7</v>
      </c>
      <c r="E32" s="409"/>
      <c r="F32" s="587">
        <f t="array" ref="F32">SUM(IF(('BD Anexo 14'!$C$4:$C$50000=$B32)*('BD Anexo 14'!$A$4:$A$50000=F$4),'BD Anexo 14'!$G$4:$G$50000))/1000</f>
        <v>626</v>
      </c>
      <c r="G32" s="409"/>
      <c r="H32" s="587">
        <f t="array" ref="H32">SUM(IF(('BD Anexo 14'!$C$4:$C$50000=$B32)*('BD Anexo 14'!$A$4:$A$50000=H$4),'BD Anexo 14'!$G$4:$G$50000))/1000</f>
        <v>0</v>
      </c>
      <c r="I32" s="409"/>
      <c r="J32" s="587">
        <f t="array" ref="J32">SUM(IF(('BD Anexo 14'!$C$4:$C$50000=$B32)*('BD Anexo 14'!$A$4:$A$50000=J$4),'BD Anexo 14'!$G$4:$G$50000))/1000</f>
        <v>0</v>
      </c>
      <c r="K32" s="409"/>
      <c r="L32" s="587">
        <f t="shared" si="1"/>
        <v>626</v>
      </c>
      <c r="M32" s="409"/>
      <c r="N32" s="575">
        <f t="shared" si="0"/>
        <v>1.5727722828159815E-2</v>
      </c>
    </row>
    <row r="33" spans="2:16">
      <c r="B33" s="646" t="s">
        <v>1430</v>
      </c>
      <c r="C33" s="409"/>
      <c r="D33" s="647">
        <f>COUNTIF('BD Anexo 14'!$C$4:$C$50000,B33)</f>
        <v>1</v>
      </c>
      <c r="E33" s="409"/>
      <c r="F33" s="648">
        <f t="array" ref="F33">SUM(IF(('BD Anexo 14'!$C$4:$C$50000=$B33)*('BD Anexo 14'!$A$4:$A$50000=F$4),'BD Anexo 14'!$G$4:$G$50000))/1000</f>
        <v>25</v>
      </c>
      <c r="G33" s="409"/>
      <c r="H33" s="648">
        <f t="array" ref="H33">SUM(IF(('BD Anexo 14'!$C$4:$C$50000=$B33)*('BD Anexo 14'!$A$4:$A$50000=H$4),'BD Anexo 14'!$G$4:$G$50000))/1000</f>
        <v>0</v>
      </c>
      <c r="I33" s="409"/>
      <c r="J33" s="648">
        <f t="array" ref="J33">SUM(IF(('BD Anexo 14'!$C$4:$C$50000=$B33)*('BD Anexo 14'!$A$4:$A$50000=J$4),'BD Anexo 14'!$G$4:$G$50000))/1000</f>
        <v>0</v>
      </c>
      <c r="K33" s="409"/>
      <c r="L33" s="648">
        <f t="shared" si="1"/>
        <v>25</v>
      </c>
      <c r="M33" s="409"/>
      <c r="N33" s="644">
        <f t="shared" si="0"/>
        <v>6.281039468114942E-4</v>
      </c>
    </row>
    <row r="34" spans="2:16">
      <c r="B34" s="649" t="s">
        <v>1267</v>
      </c>
      <c r="C34" s="409"/>
      <c r="D34" s="586">
        <f>COUNTIF('BD Anexo 14'!$C$4:$C$50000,B34)</f>
        <v>4</v>
      </c>
      <c r="E34" s="409"/>
      <c r="F34" s="587">
        <f t="array" ref="F34">SUM(IF(('BD Anexo 14'!$C$4:$C$50000=$B34)*('BD Anexo 14'!$A$4:$A$50000=F$4),'BD Anexo 14'!$G$4:$G$50000))/1000</f>
        <v>1427.3424199999999</v>
      </c>
      <c r="G34" s="409"/>
      <c r="H34" s="587">
        <f t="array" ref="H34">SUM(IF(('BD Anexo 14'!$C$4:$C$50000=$B34)*('BD Anexo 14'!$A$4:$A$50000=H$4),'BD Anexo 14'!$G$4:$G$50000))/1000</f>
        <v>0</v>
      </c>
      <c r="I34" s="409"/>
      <c r="J34" s="587">
        <f t="array" ref="J34">SUM(IF(('BD Anexo 14'!$C$4:$C$50000=$B34)*('BD Anexo 14'!$A$4:$A$50000=J$4),'BD Anexo 14'!$G$4:$G$50000))/1000</f>
        <v>0</v>
      </c>
      <c r="K34" s="409"/>
      <c r="L34" s="587">
        <f t="shared" si="1"/>
        <v>1427.3424199999999</v>
      </c>
      <c r="M34" s="409"/>
      <c r="N34" s="575">
        <f t="shared" si="0"/>
        <v>3.5860776298138775E-2</v>
      </c>
    </row>
    <row r="35" spans="2:16">
      <c r="B35" s="646" t="s">
        <v>64</v>
      </c>
      <c r="C35" s="409"/>
      <c r="D35" s="647">
        <f>COUNTIF('BD Anexo 14'!$C$4:$C$50000,B35)</f>
        <v>1</v>
      </c>
      <c r="E35" s="409"/>
      <c r="F35" s="648">
        <f t="array" ref="F35">SUM(IF(('BD Anexo 14'!$C$4:$C$50000=$B35)*('BD Anexo 14'!$A$4:$A$50000=F$4),'BD Anexo 14'!$G$4:$G$50000))/1000</f>
        <v>0</v>
      </c>
      <c r="G35" s="409"/>
      <c r="H35" s="648">
        <f t="array" ref="H35">SUM(IF(('BD Anexo 14'!$C$4:$C$50000=$B35)*('BD Anexo 14'!$A$4:$A$50000=H$4),'BD Anexo 14'!$G$4:$G$50000))/1000</f>
        <v>26.16</v>
      </c>
      <c r="I35" s="409"/>
      <c r="J35" s="648">
        <f t="array" ref="J35">SUM(IF(('BD Anexo 14'!$C$4:$C$50000=$B35)*('BD Anexo 14'!$A$4:$A$50000=J$4),'BD Anexo 14'!$G$4:$G$50000))/1000</f>
        <v>0</v>
      </c>
      <c r="K35" s="409"/>
      <c r="L35" s="648">
        <f t="shared" si="1"/>
        <v>26.16</v>
      </c>
      <c r="M35" s="409"/>
      <c r="N35" s="644">
        <f t="shared" si="0"/>
        <v>6.5724796994354759E-4</v>
      </c>
    </row>
    <row r="36" spans="2:16">
      <c r="B36" s="649" t="s">
        <v>65</v>
      </c>
      <c r="C36" s="409"/>
      <c r="D36" s="586">
        <f>COUNTIF('BD Anexo 14'!$C$4:$C$50000,B36)</f>
        <v>2</v>
      </c>
      <c r="E36" s="409"/>
      <c r="F36" s="587">
        <f t="array" ref="F36">SUM(IF(('BD Anexo 14'!$C$4:$C$50000=$B36)*('BD Anexo 14'!$A$4:$A$50000=F$4),'BD Anexo 14'!$G$4:$G$50000))/1000</f>
        <v>27.5</v>
      </c>
      <c r="G36" s="409"/>
      <c r="H36" s="587">
        <f t="array" ref="H36">SUM(IF(('BD Anexo 14'!$C$4:$C$50000=$B36)*('BD Anexo 14'!$A$4:$A$50000=H$4),'BD Anexo 14'!$G$4:$G$50000))/1000</f>
        <v>0</v>
      </c>
      <c r="I36" s="409"/>
      <c r="J36" s="587">
        <f t="array" ref="J36">SUM(IF(('BD Anexo 14'!$C$4:$C$50000=$B36)*('BD Anexo 14'!$A$4:$A$50000=J$4),'BD Anexo 14'!$G$4:$G$50000))/1000</f>
        <v>0</v>
      </c>
      <c r="K36" s="409"/>
      <c r="L36" s="587">
        <f t="shared" si="1"/>
        <v>27.5</v>
      </c>
      <c r="M36" s="409"/>
      <c r="N36" s="575">
        <f t="shared" si="0"/>
        <v>6.9091434149264367E-4</v>
      </c>
    </row>
    <row r="37" spans="2:16">
      <c r="B37" s="646" t="s">
        <v>66</v>
      </c>
      <c r="C37" s="409"/>
      <c r="D37" s="647">
        <f>COUNTIF('BD Anexo 14'!$C$4:$C$50000,B37)</f>
        <v>1</v>
      </c>
      <c r="E37" s="409"/>
      <c r="F37" s="648">
        <f t="array" ref="F37">SUM(IF(('BD Anexo 14'!$C$4:$C$50000=$B37)*('BD Anexo 14'!$A$4:$A$50000=F$4),'BD Anexo 14'!$G$4:$G$50000))/1000</f>
        <v>531.22966000000008</v>
      </c>
      <c r="G37" s="409"/>
      <c r="H37" s="648">
        <f t="array" ref="H37">SUM(IF(('BD Anexo 14'!$C$4:$C$50000=$B37)*('BD Anexo 14'!$A$4:$A$50000=H$4),'BD Anexo 14'!$G$4:$G$50000))/1000</f>
        <v>0</v>
      </c>
      <c r="I37" s="409"/>
      <c r="J37" s="648">
        <f t="array" ref="J37">SUM(IF(('BD Anexo 14'!$C$4:$C$50000=$B37)*('BD Anexo 14'!$A$4:$A$50000=J$4),'BD Anexo 14'!$G$4:$G$50000))/1000</f>
        <v>0</v>
      </c>
      <c r="K37" s="409"/>
      <c r="L37" s="648">
        <f t="shared" si="1"/>
        <v>531.22966000000008</v>
      </c>
      <c r="M37" s="409"/>
      <c r="N37" s="644">
        <f t="shared" si="0"/>
        <v>1.3346697844373128E-2</v>
      </c>
    </row>
    <row r="38" spans="2:16">
      <c r="B38" s="649" t="s">
        <v>69</v>
      </c>
      <c r="C38" s="409"/>
      <c r="D38" s="586">
        <f>COUNTIF('BD Anexo 14'!$C$4:$C$50000,B38)</f>
        <v>12</v>
      </c>
      <c r="E38" s="409"/>
      <c r="F38" s="587">
        <f t="array" ref="F38">SUM(IF(('BD Anexo 14'!$C$4:$C$50000=$B38)*('BD Anexo 14'!$A$4:$A$50000=F$4),'BD Anexo 14'!$G$4:$G$50000))/1000</f>
        <v>673.81624999999997</v>
      </c>
      <c r="G38" s="409"/>
      <c r="H38" s="587">
        <f t="array" ref="H38">SUM(IF(('BD Anexo 14'!$C$4:$C$50000=$B38)*('BD Anexo 14'!$A$4:$A$50000=H$4),'BD Anexo 14'!$G$4:$G$50000))/1000</f>
        <v>0</v>
      </c>
      <c r="I38" s="409"/>
      <c r="J38" s="587">
        <f t="array" ref="J38">SUM(IF(('BD Anexo 14'!$C$4:$C$50000=$B38)*('BD Anexo 14'!$A$4:$A$50000=J$4),'BD Anexo 14'!$G$4:$G$50000))/1000</f>
        <v>0</v>
      </c>
      <c r="K38" s="409"/>
      <c r="L38" s="587">
        <f t="shared" si="1"/>
        <v>673.81624999999997</v>
      </c>
      <c r="M38" s="409"/>
      <c r="N38" s="575">
        <f t="shared" si="0"/>
        <v>1.6929065842028818E-2</v>
      </c>
    </row>
    <row r="39" spans="2:16">
      <c r="B39" s="402"/>
      <c r="C39" s="409"/>
      <c r="D39" s="595"/>
      <c r="E39" s="409"/>
      <c r="F39" s="553"/>
      <c r="G39" s="409"/>
      <c r="H39" s="553"/>
      <c r="I39" s="409"/>
      <c r="J39" s="553"/>
      <c r="K39" s="409"/>
      <c r="L39" s="553"/>
      <c r="M39" s="409"/>
      <c r="N39" s="553"/>
    </row>
    <row r="40" spans="2:16" s="249" customFormat="1">
      <c r="B40" s="955" t="s">
        <v>21</v>
      </c>
      <c r="C40" s="632"/>
      <c r="D40" s="589">
        <f>SUM(D7:D38)</f>
        <v>384</v>
      </c>
      <c r="E40" s="632"/>
      <c r="F40" s="589">
        <f>SUM(F7:F38)</f>
        <v>36012.963399999993</v>
      </c>
      <c r="G40" s="632"/>
      <c r="H40" s="589">
        <f>SUM(H7:H38)</f>
        <v>3355.9288399999996</v>
      </c>
      <c r="I40" s="632"/>
      <c r="J40" s="589">
        <f>SUM(J7:J38)</f>
        <v>440</v>
      </c>
      <c r="K40" s="632"/>
      <c r="L40" s="589">
        <f>SUM(L7:L38)+1</f>
        <v>39802.329100000017</v>
      </c>
      <c r="M40" s="632"/>
      <c r="N40" s="956">
        <f>L40/L40</f>
        <v>1</v>
      </c>
    </row>
    <row r="41" spans="2:16" s="249" customFormat="1">
      <c r="B41" s="955"/>
      <c r="C41" s="632"/>
      <c r="D41" s="590"/>
      <c r="E41" s="633"/>
      <c r="F41" s="592">
        <f>F40/L40</f>
        <v>0.90479537791671538</v>
      </c>
      <c r="G41" s="633"/>
      <c r="H41" s="592">
        <f>H40/L40</f>
        <v>8.4314885984900778E-2</v>
      </c>
      <c r="I41" s="633"/>
      <c r="J41" s="592">
        <f>J40/L40</f>
        <v>1.1054629463882299E-2</v>
      </c>
      <c r="K41" s="633"/>
      <c r="L41" s="592">
        <f>L40/L40</f>
        <v>1</v>
      </c>
      <c r="M41" s="633"/>
      <c r="N41" s="956"/>
    </row>
    <row r="42" spans="2:16">
      <c r="D42" s="620"/>
      <c r="E42" s="620"/>
      <c r="F42" s="620"/>
      <c r="G42" s="620"/>
      <c r="H42" s="620"/>
      <c r="I42" s="620"/>
      <c r="J42" s="620"/>
      <c r="K42" s="620"/>
      <c r="L42" s="620"/>
      <c r="M42" s="620"/>
      <c r="N42" s="620"/>
      <c r="O42" s="620"/>
      <c r="P42" s="620"/>
    </row>
    <row r="43" spans="2:16" s="227" customFormat="1" ht="18.75">
      <c r="B43" s="381" t="s">
        <v>70</v>
      </c>
      <c r="C43" s="506"/>
      <c r="D43" s="616"/>
      <c r="E43" s="616"/>
      <c r="F43" s="615" t="s">
        <v>1230</v>
      </c>
      <c r="G43" s="616"/>
      <c r="H43" s="615" t="s">
        <v>1231</v>
      </c>
      <c r="I43" s="616"/>
      <c r="J43" s="615" t="s">
        <v>1405</v>
      </c>
      <c r="K43" s="616"/>
      <c r="L43" s="616"/>
      <c r="M43" s="616"/>
      <c r="N43" s="616"/>
      <c r="O43" s="616"/>
      <c r="P43" s="616"/>
    </row>
    <row r="44" spans="2:16">
      <c r="D44" s="429"/>
    </row>
    <row r="45" spans="2:16" ht="31.5">
      <c r="B45" s="581" t="s">
        <v>27</v>
      </c>
      <c r="C45" s="634"/>
      <c r="D45" s="581" t="s">
        <v>20</v>
      </c>
      <c r="E45" s="636"/>
      <c r="F45" s="583" t="s">
        <v>1172</v>
      </c>
      <c r="G45" s="636"/>
      <c r="H45" s="584" t="s">
        <v>28</v>
      </c>
      <c r="I45" s="636"/>
      <c r="J45" s="581" t="s">
        <v>29</v>
      </c>
      <c r="K45" s="636"/>
      <c r="L45" s="581" t="s">
        <v>21</v>
      </c>
      <c r="M45" s="636"/>
      <c r="N45" s="581" t="s">
        <v>30</v>
      </c>
    </row>
    <row r="46" spans="2:16">
      <c r="B46" s="646" t="s">
        <v>72</v>
      </c>
      <c r="C46" s="409"/>
      <c r="D46" s="648">
        <f t="array" ref="D46">COUNTIF('BD Anexo 14'!$B$4:$B$50000,B46)</f>
        <v>130</v>
      </c>
      <c r="E46" s="409"/>
      <c r="F46" s="648">
        <f t="array" ref="F46">SUM(IF(('BD Anexo 14'!$B$4:$B$50000=$B46)*('BD Anexo 14'!$A$4:$A$50000=F$4),'BD Anexo 14'!$G$4:$G$50000))/1000</f>
        <v>8729.2767700000004</v>
      </c>
      <c r="G46" s="409"/>
      <c r="H46" s="648">
        <f t="array" ref="H46">SUM(IF(('BD Anexo 14'!$B$4:$B$50000=$B46)*('BD Anexo 14'!$A$4:$A$50000=H$43),'BD Anexo 14'!$G$4:$G$50000))/1000</f>
        <v>1903.16</v>
      </c>
      <c r="I46" s="409"/>
      <c r="J46" s="648">
        <f t="array" ref="J46">SUM(IF(('BD Anexo 14'!$B$4:$B$50000=$B46)*('BD Anexo 14'!$A$4:$A$50000=J$43),'BD Anexo 14'!$G$4:$G$50000))/1000</f>
        <v>0</v>
      </c>
      <c r="K46" s="409"/>
      <c r="L46" s="648">
        <f t="shared" ref="L46:L54" si="2">SUM(F46:J46)</f>
        <v>10632.43677</v>
      </c>
      <c r="M46" s="409"/>
      <c r="N46" s="644">
        <f t="shared" ref="N46:N54" si="3">L46/$L$56</f>
        <v>0.2670802700469706</v>
      </c>
    </row>
    <row r="47" spans="2:16">
      <c r="B47" s="649" t="s">
        <v>74</v>
      </c>
      <c r="C47" s="409"/>
      <c r="D47" s="587">
        <f>COUNTIF('BD Anexo 14'!$B$4:$B$50000,B47)</f>
        <v>34</v>
      </c>
      <c r="E47" s="409"/>
      <c r="F47" s="587">
        <f t="array" ref="F47">SUM(IF(('BD Anexo 14'!$B$4:$B$50000=$B47)*('BD Anexo 14'!$A$4:$A$50000=F$4),'BD Anexo 14'!$G$4:$G$50000))/1000</f>
        <v>5172.3929800000014</v>
      </c>
      <c r="G47" s="409"/>
      <c r="H47" s="587">
        <f t="array" ref="H47">SUM(IF(('BD Anexo 14'!$B$4:$B$50000=$B47)*('BD Anexo 14'!$A$4:$A$50000=H$43),'BD Anexo 14'!$G$4:$G$50000))/1000</f>
        <v>0</v>
      </c>
      <c r="I47" s="409"/>
      <c r="J47" s="587">
        <f t="array" ref="J47">SUM(IF(('BD Anexo 14'!$B$4:$B$50000=$B47)*('BD Anexo 14'!$A$4:$A$50000=J$43),'BD Anexo 14'!$G$4:$G$50000))/1000</f>
        <v>0</v>
      </c>
      <c r="K47" s="409"/>
      <c r="L47" s="587">
        <f t="shared" si="2"/>
        <v>5172.3929800000014</v>
      </c>
      <c r="M47" s="409"/>
      <c r="N47" s="575">
        <f t="shared" si="3"/>
        <v>0.12992732933858353</v>
      </c>
    </row>
    <row r="48" spans="2:16">
      <c r="B48" s="646" t="s">
        <v>73</v>
      </c>
      <c r="C48" s="409"/>
      <c r="D48" s="648">
        <f>COUNTIF('BD Anexo 14'!$B$4:$B$50000,B48)</f>
        <v>55</v>
      </c>
      <c r="E48" s="409"/>
      <c r="F48" s="648">
        <f t="array" ref="F48">SUM(IF(('BD Anexo 14'!$B$4:$B$50000=$B48)*('BD Anexo 14'!$A$4:$A$50000=F$4),'BD Anexo 14'!$G$4:$G$50000))/1000</f>
        <v>2842.46866</v>
      </c>
      <c r="G48" s="409"/>
      <c r="H48" s="648">
        <f t="array" ref="H48">SUM(IF(('BD Anexo 14'!$B$4:$B$50000=$B48)*('BD Anexo 14'!$A$4:$A$50000=H$43),'BD Anexo 14'!$G$4:$G$50000))/1000</f>
        <v>0</v>
      </c>
      <c r="I48" s="409"/>
      <c r="J48" s="648">
        <f t="array" ref="J48">SUM(IF(('BD Anexo 14'!$B$4:$B$50000=$B48)*('BD Anexo 14'!$A$4:$A$50000=J$43),'BD Anexo 14'!$G$4:$G$50000))/1000</f>
        <v>0</v>
      </c>
      <c r="K48" s="409"/>
      <c r="L48" s="648">
        <f t="shared" si="2"/>
        <v>2842.46866</v>
      </c>
      <c r="M48" s="409"/>
      <c r="N48" s="644">
        <f t="shared" si="3"/>
        <v>7.1401063908029305E-2</v>
      </c>
    </row>
    <row r="49" spans="2:14">
      <c r="B49" s="649" t="s">
        <v>75</v>
      </c>
      <c r="C49" s="409"/>
      <c r="D49" s="587">
        <f>COUNTIF('BD Anexo 14'!$B$4:$B$50000,B49)</f>
        <v>5</v>
      </c>
      <c r="E49" s="409"/>
      <c r="F49" s="587">
        <f t="array" ref="F49">SUM(IF(('BD Anexo 14'!$B$4:$B$50000=$B49)*('BD Anexo 14'!$A$4:$A$50000=F$4),'BD Anexo 14'!$G$4:$G$50000))/1000</f>
        <v>25.94614</v>
      </c>
      <c r="G49" s="409"/>
      <c r="H49" s="587">
        <f t="array" ref="H49">SUM(IF(('BD Anexo 14'!$B$4:$B$50000=$B49)*('BD Anexo 14'!$A$4:$A$50000=H$43),'BD Anexo 14'!$G$4:$G$50000))/1000</f>
        <v>0</v>
      </c>
      <c r="I49" s="409"/>
      <c r="J49" s="587">
        <f t="array" ref="J49">SUM(IF(('BD Anexo 14'!$B$4:$B$50000=$B49)*('BD Anexo 14'!$A$4:$A$50000=J$43),'BD Anexo 14'!$G$4:$G$50000))/1000</f>
        <v>0</v>
      </c>
      <c r="K49" s="409"/>
      <c r="L49" s="587">
        <f t="shared" si="2"/>
        <v>25.94614</v>
      </c>
      <c r="M49" s="409"/>
      <c r="N49" s="575">
        <f t="shared" si="3"/>
        <v>6.5175107341611835E-4</v>
      </c>
    </row>
    <row r="50" spans="2:14">
      <c r="B50" s="646" t="s">
        <v>1012</v>
      </c>
      <c r="C50" s="409"/>
      <c r="D50" s="648">
        <f>COUNTIF('BD Anexo 14'!$B$4:$B$50000,B50)</f>
        <v>9</v>
      </c>
      <c r="E50" s="409"/>
      <c r="F50" s="648">
        <f t="array" ref="F50">SUM(IF(('BD Anexo 14'!$B$4:$B$50000=$B50)*('BD Anexo 14'!$A$4:$A$50000=F$4),'BD Anexo 14'!$G$4:$G$50000))/1000</f>
        <v>393.04240000000004</v>
      </c>
      <c r="G50" s="409"/>
      <c r="H50" s="648">
        <f t="array" ref="H50">SUM(IF(('BD Anexo 14'!$B$4:$B$50000=$B50)*('BD Anexo 14'!$A$4:$A$50000=H$43),'BD Anexo 14'!$G$4:$G$50000))/1000</f>
        <v>0</v>
      </c>
      <c r="I50" s="409"/>
      <c r="J50" s="648">
        <f t="array" ref="J50">SUM(IF(('BD Anexo 14'!$B$4:$B$50000=$B50)*('BD Anexo 14'!$A$4:$A$50000=J$43),'BD Anexo 14'!$G$4:$G$50000))/1000</f>
        <v>0</v>
      </c>
      <c r="K50" s="409"/>
      <c r="L50" s="648">
        <f t="shared" si="2"/>
        <v>393.04240000000004</v>
      </c>
      <c r="M50" s="409"/>
      <c r="N50" s="644">
        <f t="shared" si="3"/>
        <v>9.8729832683415487E-3</v>
      </c>
    </row>
    <row r="51" spans="2:14">
      <c r="B51" s="649" t="s">
        <v>970</v>
      </c>
      <c r="C51" s="409"/>
      <c r="D51" s="587">
        <f>COUNTIF('BD Anexo 14'!$B$4:$B$50000,B51)</f>
        <v>7</v>
      </c>
      <c r="E51" s="409"/>
      <c r="F51" s="587">
        <f t="array" ref="F51">SUM(IF(('BD Anexo 14'!$B$4:$B$50000=$B51)*('BD Anexo 14'!$A$4:$A$50000=F$4),'BD Anexo 14'!$G$4:$G$50000))/1000</f>
        <v>650.18359999999996</v>
      </c>
      <c r="G51" s="409"/>
      <c r="H51" s="587">
        <f t="array" ref="H51">SUM(IF(('BD Anexo 14'!$B$4:$B$50000=$B51)*('BD Anexo 14'!$A$4:$A$50000=H$43),'BD Anexo 14'!$G$4:$G$50000))/1000</f>
        <v>0</v>
      </c>
      <c r="I51" s="409"/>
      <c r="J51" s="587">
        <f t="array" ref="J51">SUM(IF(('BD Anexo 14'!$B$4:$B$50000=$B51)*('BD Anexo 14'!$A$4:$A$50000=J$43),'BD Anexo 14'!$G$4:$G$50000))/1000</f>
        <v>0</v>
      </c>
      <c r="K51" s="409"/>
      <c r="L51" s="587">
        <f t="shared" si="2"/>
        <v>650.18359999999996</v>
      </c>
      <c r="M51" s="409"/>
      <c r="N51" s="575">
        <f t="shared" si="3"/>
        <v>1.6332212006007679E-2</v>
      </c>
    </row>
    <row r="52" spans="2:14">
      <c r="B52" s="646" t="s">
        <v>71</v>
      </c>
      <c r="C52" s="409"/>
      <c r="D52" s="648">
        <f>COUNTIF('BD Anexo 14'!$B$4:$B$50000,B52)</f>
        <v>62</v>
      </c>
      <c r="E52" s="409"/>
      <c r="F52" s="648">
        <f t="array" ref="F52">SUM(IF(('BD Anexo 14'!$B$4:$B$50000=$B52)*('BD Anexo 14'!$A$4:$A$50000=F$4),'BD Anexo 14'!$G$4:$G$50000))/1000</f>
        <v>301.55179000000004</v>
      </c>
      <c r="G52" s="409"/>
      <c r="H52" s="648">
        <f t="array" ref="H52">SUM(IF(('BD Anexo 14'!$B$4:$B$50000=$B52)*('BD Anexo 14'!$A$4:$A$50000=H$43),'BD Anexo 14'!$G$4:$G$50000))/1000</f>
        <v>2.76884</v>
      </c>
      <c r="I52" s="409"/>
      <c r="J52" s="648">
        <f t="array" ref="J52">SUM(IF(('BD Anexo 14'!$B$4:$B$50000=$B52)*('BD Anexo 14'!$A$4:$A$50000=J$43),'BD Anexo 14'!$G$4:$G$50000))/1000</f>
        <v>440</v>
      </c>
      <c r="K52" s="409"/>
      <c r="L52" s="648">
        <f t="shared" si="2"/>
        <v>744.32063000000005</v>
      </c>
      <c r="M52" s="409"/>
      <c r="N52" s="644">
        <f t="shared" si="3"/>
        <v>1.8696876281722886E-2</v>
      </c>
    </row>
    <row r="53" spans="2:14">
      <c r="B53" s="649" t="s">
        <v>968</v>
      </c>
      <c r="C53" s="409"/>
      <c r="D53" s="587">
        <f>COUNTIF('BD Anexo 14'!$B$4:$B$50000,B53)</f>
        <v>1</v>
      </c>
      <c r="E53" s="409"/>
      <c r="F53" s="587">
        <f t="array" ref="F53">SUM(IF(('BD Anexo 14'!$B$4:$B$50000=$B53)*('BD Anexo 14'!$A$4:$A$50000=F$4),'BD Anexo 14'!$G$4:$G$50000))/1000</f>
        <v>133.90426000000002</v>
      </c>
      <c r="G53" s="409"/>
      <c r="H53" s="587">
        <f t="array" ref="H53">SUM(IF(('BD Anexo 14'!$B$4:$B$50000=$B53)*('BD Anexo 14'!$A$4:$A$50000=H$43),'BD Anexo 14'!$G$4:$G$50000))/1000</f>
        <v>0</v>
      </c>
      <c r="I53" s="409"/>
      <c r="J53" s="587">
        <f t="array" ref="J53">SUM(IF(('BD Anexo 14'!$B$4:$B$50000=$B53)*('BD Anexo 14'!$A$4:$A$50000=J$43),'BD Anexo 14'!$G$4:$G$50000))/1000</f>
        <v>0</v>
      </c>
      <c r="K53" s="409"/>
      <c r="L53" s="587">
        <f t="shared" si="2"/>
        <v>133.90426000000002</v>
      </c>
      <c r="M53" s="409"/>
      <c r="N53" s="575">
        <f t="shared" si="3"/>
        <v>3.3635926264943845E-3</v>
      </c>
    </row>
    <row r="54" spans="2:14">
      <c r="B54" s="646" t="s">
        <v>76</v>
      </c>
      <c r="C54" s="409"/>
      <c r="D54" s="648">
        <f>COUNTIF('BD Anexo 14'!$B$4:$B$50000,B54)</f>
        <v>81</v>
      </c>
      <c r="E54" s="409"/>
      <c r="F54" s="648">
        <f t="array" ref="F54">SUM(IF(('BD Anexo 14'!$B$4:$B$50000=$B54)*('BD Anexo 14'!$A$4:$A$50000=F$4),'BD Anexo 14'!$G$4:$G$50000))/1000</f>
        <v>17764.196800000002</v>
      </c>
      <c r="G54" s="409"/>
      <c r="H54" s="648">
        <f t="array" ref="H54">SUM(IF(('BD Anexo 14'!$B$4:$B$50000=$B54)*('BD Anexo 14'!$A$4:$A$50000=H$43),'BD Anexo 14'!$G$4:$G$50000))/1000</f>
        <v>1450</v>
      </c>
      <c r="I54" s="409"/>
      <c r="J54" s="648">
        <f t="array" ref="J54">SUM(IF(('BD Anexo 14'!$B$4:$B$50000=$B54)*('BD Anexo 14'!$A$4:$A$50000=J$43),'BD Anexo 14'!$G$4:$G$50000))/1000</f>
        <v>0</v>
      </c>
      <c r="K54" s="409"/>
      <c r="L54" s="648">
        <f t="shared" si="2"/>
        <v>19214.196800000002</v>
      </c>
      <c r="M54" s="409"/>
      <c r="N54" s="644">
        <f t="shared" si="3"/>
        <v>0.48264880206568478</v>
      </c>
    </row>
    <row r="55" spans="2:14">
      <c r="B55" s="402"/>
      <c r="C55" s="409"/>
      <c r="D55" s="595"/>
      <c r="E55" s="409"/>
      <c r="F55" s="553"/>
      <c r="G55" s="409"/>
      <c r="H55" s="553"/>
      <c r="I55" s="409"/>
      <c r="J55" s="553"/>
      <c r="K55" s="409"/>
      <c r="L55" s="553"/>
      <c r="M55" s="409"/>
      <c r="N55" s="553"/>
    </row>
    <row r="56" spans="2:14" s="249" customFormat="1">
      <c r="B56" s="596" t="s">
        <v>21</v>
      </c>
      <c r="C56" s="640"/>
      <c r="D56" s="597">
        <f>SUM(D46:D54)</f>
        <v>384</v>
      </c>
      <c r="E56" s="640"/>
      <c r="F56" s="597">
        <f>SUM(F46:F54)</f>
        <v>36012.963400000001</v>
      </c>
      <c r="G56" s="641"/>
      <c r="H56" s="597">
        <f>SUM(H46:H54)</f>
        <v>3355.92884</v>
      </c>
      <c r="I56" s="641"/>
      <c r="J56" s="597">
        <f>SUM(J46:J54)</f>
        <v>440</v>
      </c>
      <c r="K56" s="641"/>
      <c r="L56" s="597">
        <f>SUM(L46:L54)+1</f>
        <v>39809.892240000001</v>
      </c>
      <c r="M56" s="641"/>
      <c r="N56" s="650">
        <f>SUM(N46:N54)</f>
        <v>0.99997488061525086</v>
      </c>
    </row>
    <row r="57" spans="2:14">
      <c r="H57" s="245"/>
    </row>
    <row r="58" spans="2:14">
      <c r="D58" s="951"/>
      <c r="E58" s="951"/>
      <c r="F58" s="951"/>
      <c r="G58" s="405"/>
      <c r="H58" s="398"/>
      <c r="I58" s="405"/>
    </row>
    <row r="69" spans="8:8">
      <c r="H69" s="399"/>
    </row>
    <row r="79" spans="8:8" hidden="1"/>
    <row r="80" spans="8:8" hidden="1"/>
    <row r="81" spans="2:12" hidden="1"/>
    <row r="87" spans="2:12">
      <c r="B87" s="225" t="s">
        <v>98</v>
      </c>
      <c r="C87" s="226" t="s">
        <v>6987</v>
      </c>
      <c r="D87" s="399">
        <v>42425</v>
      </c>
      <c r="E87" s="285">
        <v>42663</v>
      </c>
      <c r="F87" s="225" t="s">
        <v>22</v>
      </c>
      <c r="H87" s="225">
        <v>0</v>
      </c>
      <c r="I87" s="226">
        <v>18352</v>
      </c>
      <c r="J87" s="225">
        <v>0</v>
      </c>
      <c r="K87" s="226">
        <v>0</v>
      </c>
      <c r="L87" s="225">
        <v>0</v>
      </c>
    </row>
    <row r="93" spans="2:12">
      <c r="D93" s="399"/>
      <c r="E93" s="285"/>
    </row>
  </sheetData>
  <sheetProtection selectLockedCells="1" selectUnlockedCells="1"/>
  <mergeCells count="3">
    <mergeCell ref="B40:B41"/>
    <mergeCell ref="N40:N41"/>
    <mergeCell ref="D58:F58"/>
  </mergeCells>
  <pageMargins left="0.511811024" right="0.511811024" top="0.78740157499999996" bottom="0.78740157499999996" header="0.31496062000000002" footer="0.31496062000000002"/>
  <pageSetup paperSize="9" scale="70" firstPageNumber="0" orientation="portrait" horizontalDpi="200" verticalDpi="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5"/>
  <sheetData/>
  <pageMargins left="0.511811024" right="0.511811024" top="0.78740157499999996" bottom="0.78740157499999996" header="0.31496062000000002" footer="0.31496062000000002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J387"/>
  <sheetViews>
    <sheetView showGridLines="0" zoomScale="90" zoomScaleNormal="90" workbookViewId="0">
      <pane ySplit="3" topLeftCell="A84" activePane="bottomLeft" state="frozen"/>
      <selection activeCell="I11" sqref="I11"/>
      <selection pane="bottomLeft" activeCell="D112" sqref="D112"/>
    </sheetView>
  </sheetViews>
  <sheetFormatPr defaultRowHeight="15"/>
  <cols>
    <col min="2" max="2" width="26.140625" customWidth="1"/>
    <col min="3" max="3" width="34.42578125" customWidth="1"/>
    <col min="4" max="4" width="51.5703125" customWidth="1"/>
    <col min="5" max="5" width="8.5703125" customWidth="1"/>
    <col min="6" max="6" width="14.85546875" customWidth="1"/>
    <col min="7" max="7" width="15.42578125" customWidth="1"/>
    <col min="8" max="8" width="18.7109375" style="1" customWidth="1"/>
    <col min="9" max="9" width="12.5703125" bestFit="1" customWidth="1"/>
    <col min="10" max="10" width="11.140625" bestFit="1" customWidth="1"/>
  </cols>
  <sheetData>
    <row r="1" spans="1:10">
      <c r="A1" s="22" t="s">
        <v>1027</v>
      </c>
      <c r="B1" s="2"/>
      <c r="C1" s="2"/>
      <c r="G1" s="17"/>
    </row>
    <row r="2" spans="1:10">
      <c r="A2" s="114" t="s">
        <v>1187</v>
      </c>
      <c r="B2" s="2"/>
      <c r="F2" s="3">
        <f>SUBTOTAL(9,F4:F2144)</f>
        <v>39068931.050000012</v>
      </c>
      <c r="G2" s="3">
        <f>SUBTOTAL(9,G4:G2144)</f>
        <v>39808892.24000001</v>
      </c>
      <c r="H2" s="4"/>
      <c r="J2" s="18">
        <f>SUBTOTAL(9,J4:J2144)</f>
        <v>5108</v>
      </c>
    </row>
    <row r="3" spans="1:10">
      <c r="A3" s="15" t="s">
        <v>106</v>
      </c>
      <c r="B3" s="15" t="s">
        <v>23</v>
      </c>
      <c r="C3" s="15" t="s">
        <v>1013</v>
      </c>
      <c r="D3" s="15" t="s">
        <v>331</v>
      </c>
      <c r="E3" s="15" t="s">
        <v>332</v>
      </c>
      <c r="F3" s="15" t="s">
        <v>333</v>
      </c>
      <c r="G3" s="15" t="s">
        <v>334</v>
      </c>
      <c r="H3" s="16" t="s">
        <v>335</v>
      </c>
      <c r="I3" s="15" t="s">
        <v>1014</v>
      </c>
      <c r="J3" s="15" t="s">
        <v>1015</v>
      </c>
    </row>
    <row r="4" spans="1:10">
      <c r="A4" s="124" t="s">
        <v>1230</v>
      </c>
      <c r="B4" s="124" t="s">
        <v>72</v>
      </c>
      <c r="C4" s="124" t="s">
        <v>51</v>
      </c>
      <c r="D4" s="124" t="s">
        <v>496</v>
      </c>
      <c r="E4" s="124">
        <v>752</v>
      </c>
      <c r="F4" s="21">
        <v>103855</v>
      </c>
      <c r="G4" s="21">
        <v>103855</v>
      </c>
      <c r="H4" s="124" t="s">
        <v>396</v>
      </c>
      <c r="I4" s="125" t="s">
        <v>1232</v>
      </c>
      <c r="J4" s="124"/>
    </row>
    <row r="5" spans="1:10">
      <c r="A5" s="124" t="s">
        <v>1230</v>
      </c>
      <c r="B5" s="124" t="s">
        <v>76</v>
      </c>
      <c r="C5" s="124" t="s">
        <v>69</v>
      </c>
      <c r="D5" s="124" t="s">
        <v>314</v>
      </c>
      <c r="E5" s="124">
        <v>904</v>
      </c>
      <c r="F5" s="21">
        <v>25189.98</v>
      </c>
      <c r="G5" s="21">
        <v>25189.98</v>
      </c>
      <c r="H5" s="124">
        <v>2149</v>
      </c>
      <c r="I5" s="125" t="s">
        <v>1234</v>
      </c>
      <c r="J5" s="124"/>
    </row>
    <row r="6" spans="1:10">
      <c r="A6" s="124" t="s">
        <v>1230</v>
      </c>
      <c r="B6" s="124" t="s">
        <v>73</v>
      </c>
      <c r="C6" s="124" t="s">
        <v>69</v>
      </c>
      <c r="D6" s="124" t="s">
        <v>320</v>
      </c>
      <c r="E6" s="124">
        <v>905</v>
      </c>
      <c r="F6" s="21">
        <v>100367.33</v>
      </c>
      <c r="G6" s="21">
        <v>100367.33</v>
      </c>
      <c r="H6" s="124">
        <v>1750</v>
      </c>
      <c r="I6" s="125" t="s">
        <v>1234</v>
      </c>
      <c r="J6" s="124"/>
    </row>
    <row r="7" spans="1:10">
      <c r="A7" s="124" t="s">
        <v>1230</v>
      </c>
      <c r="B7" s="124" t="s">
        <v>73</v>
      </c>
      <c r="C7" s="124" t="s">
        <v>51</v>
      </c>
      <c r="D7" s="124" t="s">
        <v>1028</v>
      </c>
      <c r="E7" s="124">
        <v>906</v>
      </c>
      <c r="F7" s="21">
        <v>6500</v>
      </c>
      <c r="G7" s="21">
        <v>6500</v>
      </c>
      <c r="H7" s="124" t="s">
        <v>457</v>
      </c>
      <c r="I7" s="125" t="s">
        <v>1235</v>
      </c>
      <c r="J7" s="124"/>
    </row>
    <row r="8" spans="1:10">
      <c r="A8" s="124" t="s">
        <v>1230</v>
      </c>
      <c r="B8" s="124" t="s">
        <v>76</v>
      </c>
      <c r="C8" s="124" t="s">
        <v>60</v>
      </c>
      <c r="D8" s="124" t="s">
        <v>1029</v>
      </c>
      <c r="E8" s="124">
        <v>907</v>
      </c>
      <c r="F8" s="21">
        <v>22000</v>
      </c>
      <c r="G8" s="21">
        <v>22000</v>
      </c>
      <c r="H8" s="124" t="s">
        <v>875</v>
      </c>
      <c r="I8" s="125" t="s">
        <v>1236</v>
      </c>
      <c r="J8" s="124"/>
    </row>
    <row r="9" spans="1:10">
      <c r="A9" s="124" t="s">
        <v>1230</v>
      </c>
      <c r="B9" s="124" t="s">
        <v>74</v>
      </c>
      <c r="C9" s="124" t="s">
        <v>42</v>
      </c>
      <c r="D9" s="124" t="s">
        <v>167</v>
      </c>
      <c r="E9" s="124">
        <v>908</v>
      </c>
      <c r="F9" s="21">
        <v>618787.43999999994</v>
      </c>
      <c r="G9" s="21">
        <v>618787.43999999994</v>
      </c>
      <c r="H9" s="124">
        <v>604</v>
      </c>
      <c r="I9" s="125" t="s">
        <v>1236</v>
      </c>
      <c r="J9" s="124"/>
    </row>
    <row r="10" spans="1:10">
      <c r="A10" s="124" t="s">
        <v>1230</v>
      </c>
      <c r="B10" s="124" t="s">
        <v>74</v>
      </c>
      <c r="C10" s="124" t="s">
        <v>59</v>
      </c>
      <c r="D10" s="124" t="s">
        <v>227</v>
      </c>
      <c r="E10" s="124">
        <v>909</v>
      </c>
      <c r="F10" s="21">
        <v>201212.56</v>
      </c>
      <c r="G10" s="21">
        <v>201212.56</v>
      </c>
      <c r="H10" s="124">
        <v>909</v>
      </c>
      <c r="I10" s="125" t="s">
        <v>1236</v>
      </c>
      <c r="J10" s="124"/>
    </row>
    <row r="11" spans="1:10">
      <c r="A11" s="124" t="s">
        <v>1230</v>
      </c>
      <c r="B11" s="124" t="s">
        <v>74</v>
      </c>
      <c r="C11" s="124" t="s">
        <v>42</v>
      </c>
      <c r="D11" s="124" t="s">
        <v>167</v>
      </c>
      <c r="E11" s="124">
        <v>910</v>
      </c>
      <c r="F11" s="21">
        <v>633930.18000000005</v>
      </c>
      <c r="G11" s="21">
        <v>633930.18000000005</v>
      </c>
      <c r="H11" s="124">
        <v>605</v>
      </c>
      <c r="I11" s="125" t="s">
        <v>1236</v>
      </c>
      <c r="J11" s="124"/>
    </row>
    <row r="12" spans="1:10">
      <c r="A12" s="124" t="s">
        <v>1230</v>
      </c>
      <c r="B12" s="124" t="s">
        <v>74</v>
      </c>
      <c r="C12" s="124" t="s">
        <v>59</v>
      </c>
      <c r="D12" s="124" t="s">
        <v>1030</v>
      </c>
      <c r="E12" s="124">
        <v>911</v>
      </c>
      <c r="F12" s="21">
        <v>86069.82</v>
      </c>
      <c r="G12" s="21">
        <v>86069.82</v>
      </c>
      <c r="H12" s="124" t="s">
        <v>452</v>
      </c>
      <c r="I12" s="125" t="s">
        <v>1236</v>
      </c>
      <c r="J12" s="124"/>
    </row>
    <row r="13" spans="1:10">
      <c r="A13" s="124" t="s">
        <v>1231</v>
      </c>
      <c r="B13" s="124" t="s">
        <v>72</v>
      </c>
      <c r="C13" s="124" t="s">
        <v>56</v>
      </c>
      <c r="D13" s="124" t="s">
        <v>209</v>
      </c>
      <c r="E13" s="124">
        <v>912</v>
      </c>
      <c r="F13" s="21">
        <v>490000</v>
      </c>
      <c r="G13" s="21">
        <v>490000</v>
      </c>
      <c r="H13" s="124">
        <v>912</v>
      </c>
      <c r="I13" s="125" t="s">
        <v>1237</v>
      </c>
      <c r="J13" s="124"/>
    </row>
    <row r="14" spans="1:10">
      <c r="A14" s="124" t="s">
        <v>1231</v>
      </c>
      <c r="B14" s="124" t="s">
        <v>72</v>
      </c>
      <c r="C14" s="124" t="s">
        <v>56</v>
      </c>
      <c r="D14" s="124" t="s">
        <v>1046</v>
      </c>
      <c r="E14" s="124">
        <v>914</v>
      </c>
      <c r="F14" s="21">
        <v>305000</v>
      </c>
      <c r="G14" s="21">
        <v>305000</v>
      </c>
      <c r="H14" s="124">
        <v>914</v>
      </c>
      <c r="I14" s="125" t="s">
        <v>1237</v>
      </c>
      <c r="J14" s="124"/>
    </row>
    <row r="15" spans="1:10">
      <c r="A15" s="124" t="s">
        <v>1230</v>
      </c>
      <c r="B15" s="124" t="s">
        <v>74</v>
      </c>
      <c r="C15" s="124" t="s">
        <v>58</v>
      </c>
      <c r="D15" s="124" t="s">
        <v>217</v>
      </c>
      <c r="E15" s="124">
        <v>915</v>
      </c>
      <c r="F15" s="21">
        <v>167700</v>
      </c>
      <c r="G15" s="21">
        <v>167700</v>
      </c>
      <c r="H15" s="124">
        <v>2671</v>
      </c>
      <c r="I15" s="125" t="s">
        <v>1238</v>
      </c>
      <c r="J15" s="124"/>
    </row>
    <row r="16" spans="1:10">
      <c r="A16" s="124" t="s">
        <v>1230</v>
      </c>
      <c r="B16" s="124" t="s">
        <v>74</v>
      </c>
      <c r="C16" s="124" t="s">
        <v>58</v>
      </c>
      <c r="D16" s="124" t="s">
        <v>217</v>
      </c>
      <c r="E16" s="124">
        <v>916</v>
      </c>
      <c r="F16" s="21">
        <v>167700</v>
      </c>
      <c r="G16" s="21">
        <v>167700</v>
      </c>
      <c r="H16" s="124">
        <v>916</v>
      </c>
      <c r="I16" s="125" t="s">
        <v>1238</v>
      </c>
      <c r="J16" s="124"/>
    </row>
    <row r="17" spans="1:10">
      <c r="A17" s="124" t="s">
        <v>1230</v>
      </c>
      <c r="B17" s="124" t="s">
        <v>72</v>
      </c>
      <c r="C17" s="124" t="s">
        <v>51</v>
      </c>
      <c r="D17" s="124" t="s">
        <v>478</v>
      </c>
      <c r="E17" s="124">
        <v>917</v>
      </c>
      <c r="F17" s="21">
        <v>7000</v>
      </c>
      <c r="G17" s="21">
        <v>7000</v>
      </c>
      <c r="H17" s="124" t="s">
        <v>1233</v>
      </c>
      <c r="I17" s="125" t="s">
        <v>1239</v>
      </c>
      <c r="J17" s="115"/>
    </row>
    <row r="18" spans="1:10">
      <c r="A18" s="124" t="s">
        <v>1230</v>
      </c>
      <c r="B18" s="124" t="s">
        <v>74</v>
      </c>
      <c r="C18" s="124" t="s">
        <v>58</v>
      </c>
      <c r="D18" s="124" t="s">
        <v>217</v>
      </c>
      <c r="E18" s="124">
        <v>918</v>
      </c>
      <c r="F18" s="21">
        <v>167700</v>
      </c>
      <c r="G18" s="21">
        <v>167700</v>
      </c>
      <c r="H18" s="124">
        <v>918</v>
      </c>
      <c r="I18" s="125" t="s">
        <v>1240</v>
      </c>
      <c r="J18" s="115"/>
    </row>
    <row r="19" spans="1:10">
      <c r="A19" s="124" t="s">
        <v>1230</v>
      </c>
      <c r="B19" s="124" t="s">
        <v>74</v>
      </c>
      <c r="C19" s="124" t="s">
        <v>58</v>
      </c>
      <c r="D19" s="124" t="s">
        <v>217</v>
      </c>
      <c r="E19" s="124">
        <v>919</v>
      </c>
      <c r="F19" s="21">
        <v>167700</v>
      </c>
      <c r="G19" s="21">
        <v>167700</v>
      </c>
      <c r="H19" s="124">
        <v>919</v>
      </c>
      <c r="I19" s="125" t="s">
        <v>1240</v>
      </c>
      <c r="J19" s="115"/>
    </row>
    <row r="20" spans="1:10">
      <c r="A20" s="124" t="s">
        <v>1230</v>
      </c>
      <c r="B20" s="124" t="s">
        <v>72</v>
      </c>
      <c r="C20" s="124" t="s">
        <v>49</v>
      </c>
      <c r="D20" s="124" t="s">
        <v>1047</v>
      </c>
      <c r="E20" s="124">
        <v>920</v>
      </c>
      <c r="F20" s="21">
        <v>5700</v>
      </c>
      <c r="G20" s="21">
        <v>5700</v>
      </c>
      <c r="H20" s="124" t="s">
        <v>452</v>
      </c>
      <c r="I20" s="125" t="s">
        <v>1241</v>
      </c>
      <c r="J20" s="115"/>
    </row>
    <row r="21" spans="1:10">
      <c r="A21" s="124" t="s">
        <v>1230</v>
      </c>
      <c r="B21" s="124" t="s">
        <v>74</v>
      </c>
      <c r="C21" s="124" t="s">
        <v>62</v>
      </c>
      <c r="D21" s="124" t="s">
        <v>242</v>
      </c>
      <c r="E21" s="124">
        <v>921</v>
      </c>
      <c r="F21" s="21">
        <v>520000</v>
      </c>
      <c r="G21" s="21">
        <v>520000</v>
      </c>
      <c r="H21" s="124">
        <v>1242</v>
      </c>
      <c r="I21" s="125" t="s">
        <v>1242</v>
      </c>
      <c r="J21" s="115"/>
    </row>
    <row r="22" spans="1:10">
      <c r="A22" s="124" t="s">
        <v>1230</v>
      </c>
      <c r="B22" s="124" t="s">
        <v>74</v>
      </c>
      <c r="C22" s="124" t="s">
        <v>63</v>
      </c>
      <c r="D22" s="124" t="s">
        <v>1048</v>
      </c>
      <c r="E22" s="124">
        <v>923</v>
      </c>
      <c r="F22" s="21">
        <v>96000</v>
      </c>
      <c r="G22" s="21">
        <v>96000</v>
      </c>
      <c r="H22" s="124" t="s">
        <v>452</v>
      </c>
      <c r="I22" s="125" t="s">
        <v>1243</v>
      </c>
      <c r="J22" s="115"/>
    </row>
    <row r="23" spans="1:10">
      <c r="A23" s="124" t="s">
        <v>1230</v>
      </c>
      <c r="B23" s="124" t="s">
        <v>73</v>
      </c>
      <c r="C23" s="124" t="s">
        <v>51</v>
      </c>
      <c r="D23" s="124" t="s">
        <v>1049</v>
      </c>
      <c r="E23" s="124">
        <v>924</v>
      </c>
      <c r="F23" s="21">
        <v>3300</v>
      </c>
      <c r="G23" s="21">
        <v>3300</v>
      </c>
      <c r="H23" s="124" t="s">
        <v>452</v>
      </c>
      <c r="I23" s="125" t="s">
        <v>1243</v>
      </c>
      <c r="J23" s="115"/>
    </row>
    <row r="24" spans="1:10">
      <c r="A24" s="124" t="s">
        <v>1230</v>
      </c>
      <c r="B24" s="124" t="s">
        <v>72</v>
      </c>
      <c r="C24" s="124" t="s">
        <v>51</v>
      </c>
      <c r="D24" s="124" t="s">
        <v>1050</v>
      </c>
      <c r="E24" s="124">
        <v>925</v>
      </c>
      <c r="F24" s="21">
        <v>20870</v>
      </c>
      <c r="G24" s="21">
        <v>20870</v>
      </c>
      <c r="H24" s="124" t="s">
        <v>396</v>
      </c>
      <c r="I24" s="125" t="s">
        <v>1244</v>
      </c>
      <c r="J24" s="115"/>
    </row>
    <row r="25" spans="1:10">
      <c r="A25" s="124" t="s">
        <v>1230</v>
      </c>
      <c r="B25" s="124" t="s">
        <v>72</v>
      </c>
      <c r="C25" s="124" t="s">
        <v>51</v>
      </c>
      <c r="D25" s="124" t="s">
        <v>481</v>
      </c>
      <c r="E25" s="124">
        <v>926</v>
      </c>
      <c r="F25" s="21">
        <v>2900</v>
      </c>
      <c r="G25" s="21">
        <v>2900</v>
      </c>
      <c r="H25" s="124" t="s">
        <v>396</v>
      </c>
      <c r="I25" s="125" t="s">
        <v>1245</v>
      </c>
      <c r="J25" s="115"/>
    </row>
    <row r="26" spans="1:10">
      <c r="A26" s="124" t="s">
        <v>1230</v>
      </c>
      <c r="B26" s="124" t="s">
        <v>72</v>
      </c>
      <c r="C26" s="124" t="s">
        <v>51</v>
      </c>
      <c r="D26" s="124" t="s">
        <v>1051</v>
      </c>
      <c r="E26" s="124">
        <v>927</v>
      </c>
      <c r="F26" s="21">
        <v>7000</v>
      </c>
      <c r="G26" s="21">
        <v>7000</v>
      </c>
      <c r="H26" s="124" t="s">
        <v>517</v>
      </c>
      <c r="I26" s="125" t="s">
        <v>1245</v>
      </c>
      <c r="J26" s="115"/>
    </row>
    <row r="27" spans="1:10">
      <c r="A27" s="124" t="s">
        <v>1230</v>
      </c>
      <c r="B27" s="124" t="s">
        <v>75</v>
      </c>
      <c r="C27" s="124" t="s">
        <v>51</v>
      </c>
      <c r="D27" s="124" t="s">
        <v>1052</v>
      </c>
      <c r="E27" s="124">
        <v>928</v>
      </c>
      <c r="F27" s="21">
        <v>4700</v>
      </c>
      <c r="G27" s="21">
        <v>4700</v>
      </c>
      <c r="H27" s="124" t="s">
        <v>460</v>
      </c>
      <c r="I27" s="125" t="s">
        <v>1246</v>
      </c>
      <c r="J27" s="115"/>
    </row>
    <row r="28" spans="1:10">
      <c r="A28" s="124" t="s">
        <v>1230</v>
      </c>
      <c r="B28" s="124" t="s">
        <v>73</v>
      </c>
      <c r="C28" s="124" t="s">
        <v>51</v>
      </c>
      <c r="D28" s="124" t="s">
        <v>1053</v>
      </c>
      <c r="E28" s="124">
        <v>929</v>
      </c>
      <c r="F28" s="21">
        <v>5400</v>
      </c>
      <c r="G28" s="21">
        <v>5400</v>
      </c>
      <c r="H28" s="124" t="s">
        <v>460</v>
      </c>
      <c r="I28" s="125" t="s">
        <v>1246</v>
      </c>
      <c r="J28" s="115"/>
    </row>
    <row r="29" spans="1:10">
      <c r="A29" s="124" t="s">
        <v>1230</v>
      </c>
      <c r="B29" s="124" t="s">
        <v>72</v>
      </c>
      <c r="C29" s="124" t="s">
        <v>51</v>
      </c>
      <c r="D29" s="124" t="s">
        <v>502</v>
      </c>
      <c r="E29" s="124">
        <v>930</v>
      </c>
      <c r="F29" s="21">
        <v>17000</v>
      </c>
      <c r="G29" s="21">
        <v>17000</v>
      </c>
      <c r="H29" s="124">
        <v>4018</v>
      </c>
      <c r="I29" s="125" t="s">
        <v>1247</v>
      </c>
      <c r="J29" s="115"/>
    </row>
    <row r="30" spans="1:10">
      <c r="A30" s="124" t="s">
        <v>1230</v>
      </c>
      <c r="B30" s="124" t="s">
        <v>72</v>
      </c>
      <c r="C30" s="124" t="s">
        <v>51</v>
      </c>
      <c r="D30" s="124" t="s">
        <v>502</v>
      </c>
      <c r="E30" s="124">
        <v>931</v>
      </c>
      <c r="F30" s="21">
        <v>17000</v>
      </c>
      <c r="G30" s="21">
        <v>17000</v>
      </c>
      <c r="H30" s="124">
        <v>4017</v>
      </c>
      <c r="I30" s="125" t="s">
        <v>1247</v>
      </c>
      <c r="J30" s="115"/>
    </row>
    <row r="31" spans="1:10">
      <c r="A31" s="124" t="s">
        <v>1230</v>
      </c>
      <c r="B31" s="124" t="s">
        <v>72</v>
      </c>
      <c r="C31" s="124" t="s">
        <v>51</v>
      </c>
      <c r="D31" s="124" t="s">
        <v>1054</v>
      </c>
      <c r="E31" s="124">
        <v>932</v>
      </c>
      <c r="F31" s="21">
        <v>21000</v>
      </c>
      <c r="G31" s="21">
        <v>21000</v>
      </c>
      <c r="H31" s="124" t="s">
        <v>517</v>
      </c>
      <c r="I31" s="125" t="s">
        <v>1248</v>
      </c>
      <c r="J31" s="115"/>
    </row>
    <row r="32" spans="1:10">
      <c r="A32" s="124" t="s">
        <v>1230</v>
      </c>
      <c r="B32" s="124" t="s">
        <v>71</v>
      </c>
      <c r="C32" s="124" t="s">
        <v>69</v>
      </c>
      <c r="D32" s="124" t="s">
        <v>1055</v>
      </c>
      <c r="E32" s="124">
        <v>933</v>
      </c>
      <c r="F32" s="21">
        <v>80000</v>
      </c>
      <c r="G32" s="21">
        <v>80000</v>
      </c>
      <c r="H32" s="124">
        <v>1751</v>
      </c>
      <c r="I32" s="125" t="s">
        <v>1245</v>
      </c>
      <c r="J32" s="115"/>
    </row>
    <row r="33" spans="1:10">
      <c r="A33" s="124" t="s">
        <v>1230</v>
      </c>
      <c r="B33" s="124" t="s">
        <v>970</v>
      </c>
      <c r="C33" s="124" t="s">
        <v>51</v>
      </c>
      <c r="D33" s="124" t="s">
        <v>1113</v>
      </c>
      <c r="E33" s="124">
        <v>934</v>
      </c>
      <c r="F33" s="21">
        <v>18500</v>
      </c>
      <c r="G33" s="21">
        <v>18500</v>
      </c>
      <c r="H33" s="124" t="s">
        <v>1181</v>
      </c>
      <c r="I33" s="125" t="s">
        <v>1249</v>
      </c>
      <c r="J33" s="115"/>
    </row>
    <row r="34" spans="1:10">
      <c r="A34" s="124" t="s">
        <v>1230</v>
      </c>
      <c r="B34" s="124" t="s">
        <v>71</v>
      </c>
      <c r="C34" s="124" t="s">
        <v>69</v>
      </c>
      <c r="D34" s="124" t="s">
        <v>322</v>
      </c>
      <c r="E34" s="124">
        <v>935</v>
      </c>
      <c r="F34" s="21">
        <v>144000</v>
      </c>
      <c r="G34" s="21">
        <v>144000</v>
      </c>
      <c r="H34" s="124">
        <v>1754</v>
      </c>
      <c r="I34" s="125" t="s">
        <v>1250</v>
      </c>
      <c r="J34" s="115"/>
    </row>
    <row r="35" spans="1:10">
      <c r="A35" s="124" t="s">
        <v>1230</v>
      </c>
      <c r="B35" s="124" t="s">
        <v>75</v>
      </c>
      <c r="C35" s="124" t="s">
        <v>51</v>
      </c>
      <c r="D35" s="124" t="s">
        <v>1113</v>
      </c>
      <c r="E35" s="124">
        <v>936</v>
      </c>
      <c r="F35" s="21">
        <v>18500</v>
      </c>
      <c r="G35" s="21">
        <v>18500</v>
      </c>
      <c r="H35" s="124" t="s">
        <v>460</v>
      </c>
      <c r="I35" s="125" t="s">
        <v>1251</v>
      </c>
      <c r="J35" s="115"/>
    </row>
    <row r="36" spans="1:10">
      <c r="A36" s="124" t="s">
        <v>1230</v>
      </c>
      <c r="B36" s="124" t="s">
        <v>72</v>
      </c>
      <c r="C36" s="124" t="s">
        <v>51</v>
      </c>
      <c r="D36" s="124" t="s">
        <v>1114</v>
      </c>
      <c r="E36" s="124">
        <v>937</v>
      </c>
      <c r="F36" s="21">
        <v>1300</v>
      </c>
      <c r="G36" s="21">
        <v>1300</v>
      </c>
      <c r="H36" s="124" t="s">
        <v>528</v>
      </c>
      <c r="I36" s="125" t="s">
        <v>1252</v>
      </c>
      <c r="J36" s="115"/>
    </row>
    <row r="37" spans="1:10">
      <c r="A37" s="124" t="s">
        <v>1230</v>
      </c>
      <c r="B37" s="124" t="s">
        <v>72</v>
      </c>
      <c r="C37" s="124" t="s">
        <v>51</v>
      </c>
      <c r="D37" s="124" t="s">
        <v>1114</v>
      </c>
      <c r="E37" s="124">
        <v>938</v>
      </c>
      <c r="F37" s="21">
        <v>1300</v>
      </c>
      <c r="G37" s="21">
        <v>1300</v>
      </c>
      <c r="H37" s="124" t="s">
        <v>528</v>
      </c>
      <c r="I37" s="125" t="s">
        <v>1252</v>
      </c>
      <c r="J37" s="115"/>
    </row>
    <row r="38" spans="1:10">
      <c r="A38" s="124" t="s">
        <v>1230</v>
      </c>
      <c r="B38" s="124" t="s">
        <v>72</v>
      </c>
      <c r="C38" s="124" t="s">
        <v>51</v>
      </c>
      <c r="D38" s="124" t="s">
        <v>1114</v>
      </c>
      <c r="E38" s="124">
        <v>939</v>
      </c>
      <c r="F38" s="21">
        <v>1300</v>
      </c>
      <c r="G38" s="21">
        <v>1300</v>
      </c>
      <c r="H38" s="124" t="s">
        <v>528</v>
      </c>
      <c r="I38" s="125" t="s">
        <v>1252</v>
      </c>
      <c r="J38" s="115"/>
    </row>
    <row r="39" spans="1:10">
      <c r="A39" s="124" t="s">
        <v>1230</v>
      </c>
      <c r="B39" s="124" t="s">
        <v>72</v>
      </c>
      <c r="C39" s="124" t="s">
        <v>51</v>
      </c>
      <c r="D39" s="124" t="s">
        <v>1114</v>
      </c>
      <c r="E39" s="124">
        <v>940</v>
      </c>
      <c r="F39" s="21">
        <v>1300</v>
      </c>
      <c r="G39" s="21">
        <v>1300</v>
      </c>
      <c r="H39" s="124" t="s">
        <v>528</v>
      </c>
      <c r="I39" s="125" t="s">
        <v>1252</v>
      </c>
      <c r="J39" s="115"/>
    </row>
    <row r="40" spans="1:10">
      <c r="A40" s="124" t="s">
        <v>1230</v>
      </c>
      <c r="B40" s="124" t="s">
        <v>73</v>
      </c>
      <c r="C40" s="124" t="s">
        <v>51</v>
      </c>
      <c r="D40" s="124" t="s">
        <v>1115</v>
      </c>
      <c r="E40" s="124">
        <v>941</v>
      </c>
      <c r="F40" s="21">
        <v>5899</v>
      </c>
      <c r="G40" s="21">
        <v>5898.99</v>
      </c>
      <c r="H40" s="124" t="s">
        <v>1116</v>
      </c>
      <c r="I40" s="125" t="s">
        <v>1251</v>
      </c>
      <c r="J40" s="115"/>
    </row>
    <row r="41" spans="1:10">
      <c r="A41" s="124" t="s">
        <v>1230</v>
      </c>
      <c r="B41" s="124" t="s">
        <v>72</v>
      </c>
      <c r="C41" s="124" t="s">
        <v>39</v>
      </c>
      <c r="D41" s="124" t="s">
        <v>1117</v>
      </c>
      <c r="E41" s="124">
        <v>942</v>
      </c>
      <c r="F41" s="21">
        <v>85000</v>
      </c>
      <c r="G41" s="21">
        <v>85000</v>
      </c>
      <c r="H41" s="124">
        <v>2953</v>
      </c>
      <c r="I41" s="125" t="s">
        <v>1253</v>
      </c>
      <c r="J41" s="115"/>
    </row>
    <row r="42" spans="1:10">
      <c r="A42" s="124" t="s">
        <v>1230</v>
      </c>
      <c r="B42" s="124" t="s">
        <v>72</v>
      </c>
      <c r="C42" s="124" t="s">
        <v>39</v>
      </c>
      <c r="D42" s="124" t="s">
        <v>1118</v>
      </c>
      <c r="E42" s="124">
        <v>943</v>
      </c>
      <c r="F42" s="21">
        <v>85000</v>
      </c>
      <c r="G42" s="21">
        <v>85000</v>
      </c>
      <c r="H42" s="124">
        <v>2954</v>
      </c>
      <c r="I42" s="125" t="s">
        <v>1253</v>
      </c>
      <c r="J42" s="115"/>
    </row>
    <row r="43" spans="1:10">
      <c r="A43" s="124" t="s">
        <v>1230</v>
      </c>
      <c r="B43" s="124" t="s">
        <v>72</v>
      </c>
      <c r="C43" s="124" t="s">
        <v>39</v>
      </c>
      <c r="D43" s="124" t="s">
        <v>1117</v>
      </c>
      <c r="E43" s="124">
        <v>944</v>
      </c>
      <c r="F43" s="21">
        <v>85000</v>
      </c>
      <c r="G43" s="21">
        <v>85000</v>
      </c>
      <c r="H43" s="124">
        <v>2955</v>
      </c>
      <c r="I43" s="125" t="s">
        <v>1253</v>
      </c>
      <c r="J43" s="115"/>
    </row>
    <row r="44" spans="1:10">
      <c r="A44" s="124" t="s">
        <v>1230</v>
      </c>
      <c r="B44" s="124" t="s">
        <v>72</v>
      </c>
      <c r="C44" s="124" t="s">
        <v>39</v>
      </c>
      <c r="D44" s="124" t="s">
        <v>1118</v>
      </c>
      <c r="E44" s="124">
        <v>945</v>
      </c>
      <c r="F44" s="21">
        <v>85000</v>
      </c>
      <c r="G44" s="21">
        <v>85000</v>
      </c>
      <c r="H44" s="124">
        <v>2956</v>
      </c>
      <c r="I44" s="125" t="s">
        <v>1253</v>
      </c>
      <c r="J44" s="115"/>
    </row>
    <row r="45" spans="1:10">
      <c r="A45" s="124" t="s">
        <v>1230</v>
      </c>
      <c r="B45" s="124" t="s">
        <v>74</v>
      </c>
      <c r="C45" s="124" t="s">
        <v>51</v>
      </c>
      <c r="D45" s="124" t="s">
        <v>1119</v>
      </c>
      <c r="E45" s="124">
        <v>946</v>
      </c>
      <c r="F45" s="21">
        <v>100000</v>
      </c>
      <c r="G45" s="21">
        <v>100000</v>
      </c>
      <c r="H45" s="124" t="s">
        <v>398</v>
      </c>
      <c r="I45" s="125" t="s">
        <v>1254</v>
      </c>
      <c r="J45" s="115"/>
    </row>
    <row r="46" spans="1:10">
      <c r="A46" s="124" t="s">
        <v>1230</v>
      </c>
      <c r="B46" s="124" t="s">
        <v>72</v>
      </c>
      <c r="C46" s="124" t="s">
        <v>69</v>
      </c>
      <c r="D46" s="124" t="s">
        <v>320</v>
      </c>
      <c r="E46" s="124">
        <v>947</v>
      </c>
      <c r="F46" s="21">
        <v>68000</v>
      </c>
      <c r="G46" s="21">
        <v>68000</v>
      </c>
      <c r="H46" s="124">
        <v>1752</v>
      </c>
      <c r="I46" s="125" t="s">
        <v>1255</v>
      </c>
      <c r="J46" s="115"/>
    </row>
    <row r="47" spans="1:10">
      <c r="A47" s="124" t="s">
        <v>1230</v>
      </c>
      <c r="B47" s="124" t="s">
        <v>74</v>
      </c>
      <c r="C47" s="124" t="s">
        <v>41</v>
      </c>
      <c r="D47" s="124" t="s">
        <v>159</v>
      </c>
      <c r="E47" s="124">
        <v>948</v>
      </c>
      <c r="F47" s="21">
        <v>1642521.53</v>
      </c>
      <c r="G47" s="21">
        <v>1642521.53</v>
      </c>
      <c r="H47" s="124">
        <v>128</v>
      </c>
      <c r="I47" s="125" t="s">
        <v>1256</v>
      </c>
      <c r="J47" s="115"/>
    </row>
    <row r="48" spans="1:10">
      <c r="A48" s="124" t="s">
        <v>1230</v>
      </c>
      <c r="B48" s="124" t="s">
        <v>74</v>
      </c>
      <c r="C48" s="124" t="s">
        <v>51</v>
      </c>
      <c r="D48" s="124" t="s">
        <v>1120</v>
      </c>
      <c r="E48" s="124">
        <v>949</v>
      </c>
      <c r="F48" s="21">
        <v>13500</v>
      </c>
      <c r="G48" s="21">
        <v>13500</v>
      </c>
      <c r="H48" s="124" t="s">
        <v>1121</v>
      </c>
      <c r="I48" s="125" t="s">
        <v>1257</v>
      </c>
      <c r="J48" s="115"/>
    </row>
    <row r="49" spans="1:10">
      <c r="A49" s="124" t="s">
        <v>1230</v>
      </c>
      <c r="B49" s="124" t="s">
        <v>74</v>
      </c>
      <c r="C49" s="124" t="s">
        <v>51</v>
      </c>
      <c r="D49" s="124" t="s">
        <v>1120</v>
      </c>
      <c r="E49" s="124">
        <v>950</v>
      </c>
      <c r="F49" s="21">
        <v>13500</v>
      </c>
      <c r="G49" s="21">
        <v>13500</v>
      </c>
      <c r="H49" s="124" t="s">
        <v>1121</v>
      </c>
      <c r="I49" s="125" t="s">
        <v>1257</v>
      </c>
      <c r="J49" s="115"/>
    </row>
    <row r="50" spans="1:10">
      <c r="A50" s="124" t="s">
        <v>1230</v>
      </c>
      <c r="B50" s="124" t="s">
        <v>74</v>
      </c>
      <c r="C50" s="124" t="s">
        <v>51</v>
      </c>
      <c r="D50" s="124" t="s">
        <v>1120</v>
      </c>
      <c r="E50" s="124">
        <v>951</v>
      </c>
      <c r="F50" s="21">
        <v>13500</v>
      </c>
      <c r="G50" s="21">
        <v>13500</v>
      </c>
      <c r="H50" s="124" t="s">
        <v>1121</v>
      </c>
      <c r="I50" s="125" t="s">
        <v>1257</v>
      </c>
      <c r="J50" s="115"/>
    </row>
    <row r="51" spans="1:10">
      <c r="A51" s="124" t="s">
        <v>1230</v>
      </c>
      <c r="B51" s="124" t="s">
        <v>74</v>
      </c>
      <c r="C51" s="124" t="s">
        <v>51</v>
      </c>
      <c r="D51" s="124" t="s">
        <v>1120</v>
      </c>
      <c r="E51" s="124">
        <v>952</v>
      </c>
      <c r="F51" s="21">
        <v>13500</v>
      </c>
      <c r="G51" s="21">
        <v>13500</v>
      </c>
      <c r="H51" s="124" t="s">
        <v>1121</v>
      </c>
      <c r="I51" s="125" t="s">
        <v>1257</v>
      </c>
      <c r="J51" s="115"/>
    </row>
    <row r="52" spans="1:10">
      <c r="A52" s="124" t="s">
        <v>1230</v>
      </c>
      <c r="B52" s="124" t="s">
        <v>72</v>
      </c>
      <c r="C52" s="124" t="s">
        <v>51</v>
      </c>
      <c r="D52" s="124" t="s">
        <v>1122</v>
      </c>
      <c r="E52" s="124">
        <v>953</v>
      </c>
      <c r="F52" s="21">
        <v>28500</v>
      </c>
      <c r="G52" s="21">
        <v>28500</v>
      </c>
      <c r="H52" s="124" t="s">
        <v>1123</v>
      </c>
      <c r="I52" s="125" t="s">
        <v>1258</v>
      </c>
      <c r="J52" s="115"/>
    </row>
    <row r="53" spans="1:10">
      <c r="A53" s="124" t="s">
        <v>1230</v>
      </c>
      <c r="B53" s="124" t="s">
        <v>73</v>
      </c>
      <c r="C53" s="124" t="s">
        <v>51</v>
      </c>
      <c r="D53" s="124" t="s">
        <v>1124</v>
      </c>
      <c r="E53" s="124">
        <v>954</v>
      </c>
      <c r="F53" s="21">
        <v>43320</v>
      </c>
      <c r="G53" s="21">
        <v>43320</v>
      </c>
      <c r="H53" s="124" t="s">
        <v>1125</v>
      </c>
      <c r="I53" s="125" t="s">
        <v>1259</v>
      </c>
      <c r="J53" s="115"/>
    </row>
    <row r="54" spans="1:10">
      <c r="A54" s="124" t="s">
        <v>1230</v>
      </c>
      <c r="B54" s="124" t="s">
        <v>76</v>
      </c>
      <c r="C54" s="124" t="s">
        <v>51</v>
      </c>
      <c r="D54" s="124" t="s">
        <v>1126</v>
      </c>
      <c r="E54" s="124">
        <v>955</v>
      </c>
      <c r="F54" s="21">
        <v>3334.2</v>
      </c>
      <c r="G54" s="21">
        <v>3334.2</v>
      </c>
      <c r="H54" s="124" t="s">
        <v>875</v>
      </c>
      <c r="I54" s="125" t="s">
        <v>1260</v>
      </c>
      <c r="J54" s="115"/>
    </row>
    <row r="55" spans="1:10">
      <c r="A55" s="124" t="s">
        <v>1230</v>
      </c>
      <c r="B55" s="124" t="s">
        <v>76</v>
      </c>
      <c r="C55" s="124" t="s">
        <v>51</v>
      </c>
      <c r="D55" s="124" t="s">
        <v>1127</v>
      </c>
      <c r="E55" s="124">
        <v>956</v>
      </c>
      <c r="F55" s="21">
        <v>1086.75</v>
      </c>
      <c r="G55" s="21">
        <v>1086.75</v>
      </c>
      <c r="H55" s="124" t="s">
        <v>875</v>
      </c>
      <c r="I55" s="125" t="s">
        <v>1260</v>
      </c>
      <c r="J55" s="115"/>
    </row>
    <row r="56" spans="1:10">
      <c r="A56" s="124" t="s">
        <v>1231</v>
      </c>
      <c r="B56" s="124" t="s">
        <v>72</v>
      </c>
      <c r="C56" s="124" t="s">
        <v>51</v>
      </c>
      <c r="D56" s="124" t="s">
        <v>1128</v>
      </c>
      <c r="E56" s="124">
        <v>957</v>
      </c>
      <c r="F56" s="21">
        <v>91000</v>
      </c>
      <c r="G56" s="21">
        <v>91000</v>
      </c>
      <c r="H56" s="124" t="s">
        <v>528</v>
      </c>
      <c r="I56" s="125" t="s">
        <v>1261</v>
      </c>
      <c r="J56" s="115"/>
    </row>
    <row r="57" spans="1:10">
      <c r="A57" s="124" t="s">
        <v>1231</v>
      </c>
      <c r="B57" s="124" t="s">
        <v>72</v>
      </c>
      <c r="C57" s="124" t="s">
        <v>51</v>
      </c>
      <c r="D57" s="124" t="s">
        <v>1128</v>
      </c>
      <c r="E57" s="124">
        <v>958</v>
      </c>
      <c r="F57" s="21">
        <v>91000</v>
      </c>
      <c r="G57" s="21">
        <v>91000</v>
      </c>
      <c r="H57" s="124" t="s">
        <v>528</v>
      </c>
      <c r="I57" s="125" t="s">
        <v>1261</v>
      </c>
      <c r="J57" s="115"/>
    </row>
    <row r="58" spans="1:10">
      <c r="A58" s="124" t="s">
        <v>1230</v>
      </c>
      <c r="B58" s="124" t="s">
        <v>74</v>
      </c>
      <c r="C58" s="124" t="s">
        <v>51</v>
      </c>
      <c r="D58" s="124" t="s">
        <v>1129</v>
      </c>
      <c r="E58" s="124">
        <v>959</v>
      </c>
      <c r="F58" s="21">
        <v>27900</v>
      </c>
      <c r="G58" s="21">
        <v>27900</v>
      </c>
      <c r="H58" s="124" t="s">
        <v>1130</v>
      </c>
      <c r="I58" s="125" t="s">
        <v>1262</v>
      </c>
      <c r="J58" s="115"/>
    </row>
    <row r="59" spans="1:10">
      <c r="A59" s="124" t="s">
        <v>1230</v>
      </c>
      <c r="B59" s="124" t="s">
        <v>72</v>
      </c>
      <c r="C59" s="124" t="s">
        <v>51</v>
      </c>
      <c r="D59" s="124" t="s">
        <v>1131</v>
      </c>
      <c r="E59" s="124">
        <v>960</v>
      </c>
      <c r="F59" s="21">
        <v>28000</v>
      </c>
      <c r="G59" s="21">
        <v>28000</v>
      </c>
      <c r="H59" s="124" t="s">
        <v>517</v>
      </c>
      <c r="I59" s="125" t="s">
        <v>1263</v>
      </c>
      <c r="J59" s="115"/>
    </row>
    <row r="60" spans="1:10">
      <c r="A60" s="124" t="s">
        <v>1230</v>
      </c>
      <c r="B60" s="124" t="s">
        <v>73</v>
      </c>
      <c r="C60" s="124" t="s">
        <v>51</v>
      </c>
      <c r="D60" s="124" t="s">
        <v>1132</v>
      </c>
      <c r="E60" s="124">
        <v>961</v>
      </c>
      <c r="F60" s="21">
        <v>1400</v>
      </c>
      <c r="G60" s="21">
        <v>1400</v>
      </c>
      <c r="H60" s="124" t="s">
        <v>1133</v>
      </c>
      <c r="I60" s="125" t="s">
        <v>1264</v>
      </c>
      <c r="J60" s="115"/>
    </row>
    <row r="61" spans="1:10">
      <c r="A61" s="124" t="s">
        <v>1230</v>
      </c>
      <c r="B61" s="124" t="s">
        <v>76</v>
      </c>
      <c r="C61" s="124" t="s">
        <v>65</v>
      </c>
      <c r="D61" s="124" t="s">
        <v>488</v>
      </c>
      <c r="E61" s="124">
        <v>962</v>
      </c>
      <c r="F61" s="21">
        <v>11900</v>
      </c>
      <c r="G61" s="21">
        <v>11900</v>
      </c>
      <c r="H61" s="124" t="s">
        <v>875</v>
      </c>
      <c r="I61" s="125" t="s">
        <v>1265</v>
      </c>
      <c r="J61" s="115"/>
    </row>
    <row r="62" spans="1:10">
      <c r="A62" s="124" t="s">
        <v>1230</v>
      </c>
      <c r="B62" s="124" t="s">
        <v>76</v>
      </c>
      <c r="C62" s="124" t="s">
        <v>65</v>
      </c>
      <c r="D62" s="124" t="s">
        <v>488</v>
      </c>
      <c r="E62" s="124">
        <v>963</v>
      </c>
      <c r="F62" s="21">
        <v>15600</v>
      </c>
      <c r="G62" s="21">
        <v>15600</v>
      </c>
      <c r="H62" s="124" t="s">
        <v>875</v>
      </c>
      <c r="I62" s="125" t="s">
        <v>1265</v>
      </c>
      <c r="J62" s="115"/>
    </row>
    <row r="63" spans="1:10">
      <c r="A63" s="124" t="s">
        <v>1231</v>
      </c>
      <c r="B63" s="124" t="s">
        <v>72</v>
      </c>
      <c r="C63" s="124" t="s">
        <v>56</v>
      </c>
      <c r="D63" s="124" t="s">
        <v>1134</v>
      </c>
      <c r="E63" s="124">
        <v>964</v>
      </c>
      <c r="F63" s="21">
        <v>300000</v>
      </c>
      <c r="G63" s="21">
        <v>300000</v>
      </c>
      <c r="H63" s="124">
        <v>1322</v>
      </c>
      <c r="I63" s="125" t="s">
        <v>1266</v>
      </c>
      <c r="J63" s="115"/>
    </row>
    <row r="64" spans="1:10">
      <c r="A64" s="124" t="s">
        <v>1231</v>
      </c>
      <c r="B64" s="124" t="s">
        <v>72</v>
      </c>
      <c r="C64" s="124" t="s">
        <v>56</v>
      </c>
      <c r="D64" s="124" t="s">
        <v>1134</v>
      </c>
      <c r="E64" s="124">
        <v>965</v>
      </c>
      <c r="F64" s="21">
        <v>300000</v>
      </c>
      <c r="G64" s="21">
        <v>300000</v>
      </c>
      <c r="H64" s="124">
        <v>1321</v>
      </c>
      <c r="I64" s="125" t="s">
        <v>1266</v>
      </c>
      <c r="J64" s="115"/>
    </row>
    <row r="65" spans="1:10">
      <c r="A65" s="124" t="s">
        <v>1231</v>
      </c>
      <c r="B65" s="124" t="s">
        <v>72</v>
      </c>
      <c r="C65" s="124" t="s">
        <v>56</v>
      </c>
      <c r="D65" s="124" t="s">
        <v>1134</v>
      </c>
      <c r="E65" s="124">
        <v>966</v>
      </c>
      <c r="F65" s="21">
        <v>300000</v>
      </c>
      <c r="G65" s="21">
        <v>300000</v>
      </c>
      <c r="H65" s="124">
        <v>1323</v>
      </c>
      <c r="I65" s="125" t="s">
        <v>1266</v>
      </c>
      <c r="J65" s="115"/>
    </row>
    <row r="66" spans="1:10">
      <c r="A66" s="124" t="s">
        <v>1230</v>
      </c>
      <c r="B66" s="124" t="s">
        <v>73</v>
      </c>
      <c r="C66" s="124" t="s">
        <v>1267</v>
      </c>
      <c r="D66" s="124" t="s">
        <v>1268</v>
      </c>
      <c r="E66" s="124">
        <v>967</v>
      </c>
      <c r="F66" s="21">
        <v>500000</v>
      </c>
      <c r="G66" s="21">
        <v>500000</v>
      </c>
      <c r="H66" s="124" t="s">
        <v>457</v>
      </c>
      <c r="I66" s="125" t="s">
        <v>1269</v>
      </c>
      <c r="J66" s="115"/>
    </row>
    <row r="67" spans="1:10">
      <c r="A67" s="124" t="s">
        <v>1230</v>
      </c>
      <c r="B67" s="124" t="s">
        <v>73</v>
      </c>
      <c r="C67" s="124" t="s">
        <v>1267</v>
      </c>
      <c r="D67" s="124" t="s">
        <v>1268</v>
      </c>
      <c r="E67" s="124">
        <v>968</v>
      </c>
      <c r="F67" s="21">
        <v>685000</v>
      </c>
      <c r="G67" s="21">
        <v>685000</v>
      </c>
      <c r="H67" s="124" t="s">
        <v>457</v>
      </c>
      <c r="I67" s="125" t="s">
        <v>1269</v>
      </c>
      <c r="J67" s="115"/>
    </row>
    <row r="68" spans="1:10">
      <c r="A68" s="124" t="s">
        <v>1230</v>
      </c>
      <c r="B68" s="124" t="s">
        <v>76</v>
      </c>
      <c r="C68" s="124" t="s">
        <v>51</v>
      </c>
      <c r="D68" s="124" t="s">
        <v>393</v>
      </c>
      <c r="E68" s="124">
        <v>969</v>
      </c>
      <c r="F68" s="21">
        <v>4950</v>
      </c>
      <c r="G68" s="21">
        <v>4950</v>
      </c>
      <c r="H68" s="124" t="s">
        <v>875</v>
      </c>
      <c r="I68" s="125" t="s">
        <v>1270</v>
      </c>
      <c r="J68" s="115"/>
    </row>
    <row r="69" spans="1:10">
      <c r="A69" s="124" t="s">
        <v>1230</v>
      </c>
      <c r="B69" s="124" t="s">
        <v>72</v>
      </c>
      <c r="C69" s="124" t="s">
        <v>51</v>
      </c>
      <c r="D69" s="124" t="s">
        <v>891</v>
      </c>
      <c r="E69" s="124">
        <v>970</v>
      </c>
      <c r="F69" s="21">
        <v>2250</v>
      </c>
      <c r="G69" s="21">
        <v>2250</v>
      </c>
      <c r="H69" s="124" t="s">
        <v>528</v>
      </c>
      <c r="I69" s="125" t="s">
        <v>1271</v>
      </c>
      <c r="J69" s="115"/>
    </row>
    <row r="70" spans="1:10">
      <c r="A70" s="124" t="s">
        <v>1230</v>
      </c>
      <c r="B70" s="124" t="s">
        <v>970</v>
      </c>
      <c r="C70" s="124" t="s">
        <v>51</v>
      </c>
      <c r="D70" s="124" t="s">
        <v>1272</v>
      </c>
      <c r="E70" s="124">
        <v>971</v>
      </c>
      <c r="F70" s="21">
        <v>11000</v>
      </c>
      <c r="G70" s="21">
        <v>11000</v>
      </c>
      <c r="H70" s="124" t="s">
        <v>1181</v>
      </c>
      <c r="I70" s="125" t="s">
        <v>1271</v>
      </c>
      <c r="J70" s="115"/>
    </row>
    <row r="71" spans="1:10">
      <c r="A71" s="124" t="s">
        <v>1230</v>
      </c>
      <c r="B71" s="124" t="s">
        <v>72</v>
      </c>
      <c r="C71" s="124" t="s">
        <v>45</v>
      </c>
      <c r="D71" s="124" t="s">
        <v>1273</v>
      </c>
      <c r="E71" s="124">
        <v>972</v>
      </c>
      <c r="F71" s="21">
        <v>9707</v>
      </c>
      <c r="G71" s="21">
        <v>9707</v>
      </c>
      <c r="H71" s="124" t="s">
        <v>528</v>
      </c>
      <c r="I71" s="125" t="s">
        <v>1271</v>
      </c>
      <c r="J71" s="115"/>
    </row>
    <row r="72" spans="1:10">
      <c r="A72" s="124" t="s">
        <v>1230</v>
      </c>
      <c r="B72" s="124" t="s">
        <v>72</v>
      </c>
      <c r="C72" s="124" t="s">
        <v>45</v>
      </c>
      <c r="D72" s="124" t="s">
        <v>1273</v>
      </c>
      <c r="E72" s="124">
        <v>973</v>
      </c>
      <c r="F72" s="21">
        <v>9707</v>
      </c>
      <c r="G72" s="21">
        <v>9707</v>
      </c>
      <c r="H72" s="124" t="s">
        <v>528</v>
      </c>
      <c r="I72" s="125" t="s">
        <v>1271</v>
      </c>
      <c r="J72" s="115"/>
    </row>
    <row r="73" spans="1:10">
      <c r="A73" s="124" t="s">
        <v>1230</v>
      </c>
      <c r="B73" s="124" t="s">
        <v>74</v>
      </c>
      <c r="C73" s="124" t="s">
        <v>51</v>
      </c>
      <c r="D73" s="124" t="s">
        <v>1113</v>
      </c>
      <c r="E73" s="124">
        <v>974</v>
      </c>
      <c r="F73" s="21">
        <v>18500</v>
      </c>
      <c r="G73" s="21">
        <v>18500</v>
      </c>
      <c r="H73" s="124" t="s">
        <v>452</v>
      </c>
      <c r="I73" s="125" t="s">
        <v>1274</v>
      </c>
      <c r="J73" s="115"/>
    </row>
    <row r="74" spans="1:10">
      <c r="A74" s="124" t="s">
        <v>1230</v>
      </c>
      <c r="B74" s="124" t="s">
        <v>72</v>
      </c>
      <c r="C74" s="124" t="s">
        <v>63</v>
      </c>
      <c r="D74" s="124" t="s">
        <v>1048</v>
      </c>
      <c r="E74" s="124">
        <v>975</v>
      </c>
      <c r="F74" s="21">
        <v>85000</v>
      </c>
      <c r="G74" s="21">
        <v>85000</v>
      </c>
      <c r="H74" s="124" t="s">
        <v>396</v>
      </c>
      <c r="I74" s="125" t="s">
        <v>1271</v>
      </c>
      <c r="J74" s="115"/>
    </row>
    <row r="75" spans="1:10">
      <c r="A75" s="124" t="s">
        <v>1230</v>
      </c>
      <c r="B75" s="124" t="s">
        <v>76</v>
      </c>
      <c r="C75" s="124" t="s">
        <v>69</v>
      </c>
      <c r="D75" s="124" t="s">
        <v>315</v>
      </c>
      <c r="E75" s="124">
        <v>976</v>
      </c>
      <c r="F75" s="21">
        <v>37164.620000000003</v>
      </c>
      <c r="G75" s="21">
        <v>37164.620000000003</v>
      </c>
      <c r="H75" s="124">
        <v>2150</v>
      </c>
      <c r="I75" s="125" t="s">
        <v>1275</v>
      </c>
      <c r="J75" s="115"/>
    </row>
    <row r="76" spans="1:10">
      <c r="A76" s="124" t="s">
        <v>1230</v>
      </c>
      <c r="B76" s="124" t="s">
        <v>76</v>
      </c>
      <c r="C76" s="124" t="s">
        <v>69</v>
      </c>
      <c r="D76" s="124" t="s">
        <v>315</v>
      </c>
      <c r="E76" s="124">
        <v>977</v>
      </c>
      <c r="F76" s="21">
        <v>37164.620000000003</v>
      </c>
      <c r="G76" s="21">
        <v>37164.620000000003</v>
      </c>
      <c r="H76" s="124">
        <v>2151</v>
      </c>
      <c r="I76" s="125" t="s">
        <v>1275</v>
      </c>
      <c r="J76" s="115"/>
    </row>
    <row r="77" spans="1:10">
      <c r="A77" s="124" t="s">
        <v>1230</v>
      </c>
      <c r="B77" s="124" t="s">
        <v>76</v>
      </c>
      <c r="C77" s="124" t="s">
        <v>69</v>
      </c>
      <c r="D77" s="124" t="s">
        <v>315</v>
      </c>
      <c r="E77" s="124">
        <v>978</v>
      </c>
      <c r="F77" s="21">
        <v>37164.620000000003</v>
      </c>
      <c r="G77" s="21">
        <v>37164.620000000003</v>
      </c>
      <c r="H77" s="124">
        <v>2148</v>
      </c>
      <c r="I77" s="125" t="s">
        <v>1276</v>
      </c>
      <c r="J77" s="115"/>
    </row>
    <row r="78" spans="1:10">
      <c r="A78" s="124" t="s">
        <v>1230</v>
      </c>
      <c r="B78" s="124" t="s">
        <v>76</v>
      </c>
      <c r="C78" s="124" t="s">
        <v>69</v>
      </c>
      <c r="D78" s="124" t="s">
        <v>315</v>
      </c>
      <c r="E78" s="124">
        <v>979</v>
      </c>
      <c r="F78" s="21">
        <v>37164.620000000003</v>
      </c>
      <c r="G78" s="21">
        <v>37164.620000000003</v>
      </c>
      <c r="H78" s="124">
        <v>2156</v>
      </c>
      <c r="I78" s="125" t="s">
        <v>1276</v>
      </c>
      <c r="J78" s="115"/>
    </row>
    <row r="79" spans="1:10">
      <c r="A79" s="124" t="s">
        <v>1230</v>
      </c>
      <c r="B79" s="124" t="s">
        <v>76</v>
      </c>
      <c r="C79" s="124" t="s">
        <v>69</v>
      </c>
      <c r="D79" s="124" t="s">
        <v>315</v>
      </c>
      <c r="E79" s="124">
        <v>980</v>
      </c>
      <c r="F79" s="21">
        <v>37164.620000000003</v>
      </c>
      <c r="G79" s="21">
        <v>37164.620000000003</v>
      </c>
      <c r="H79" s="124">
        <v>2152</v>
      </c>
      <c r="I79" s="125" t="s">
        <v>1276</v>
      </c>
      <c r="J79" s="115"/>
    </row>
    <row r="80" spans="1:10">
      <c r="A80" s="124" t="s">
        <v>1230</v>
      </c>
      <c r="B80" s="124" t="s">
        <v>1012</v>
      </c>
      <c r="C80" s="124" t="s">
        <v>52</v>
      </c>
      <c r="D80" s="124" t="s">
        <v>197</v>
      </c>
      <c r="E80" s="124">
        <v>981</v>
      </c>
      <c r="F80" s="21">
        <v>8890</v>
      </c>
      <c r="G80" s="21">
        <v>8890</v>
      </c>
      <c r="H80" s="124">
        <v>2324</v>
      </c>
      <c r="I80" s="125" t="s">
        <v>1277</v>
      </c>
      <c r="J80" s="115"/>
    </row>
    <row r="81" spans="1:10">
      <c r="A81" s="124" t="s">
        <v>1230</v>
      </c>
      <c r="B81" s="124" t="s">
        <v>72</v>
      </c>
      <c r="C81" s="124" t="s">
        <v>42</v>
      </c>
      <c r="D81" s="124" t="s">
        <v>1278</v>
      </c>
      <c r="E81" s="124">
        <v>982</v>
      </c>
      <c r="F81" s="21">
        <v>492386.46</v>
      </c>
      <c r="G81" s="21">
        <v>492386.46</v>
      </c>
      <c r="H81" s="124">
        <v>595</v>
      </c>
      <c r="I81" s="125" t="s">
        <v>1279</v>
      </c>
      <c r="J81" s="115"/>
    </row>
    <row r="82" spans="1:10">
      <c r="A82" s="124" t="s">
        <v>1230</v>
      </c>
      <c r="B82" s="124" t="s">
        <v>72</v>
      </c>
      <c r="C82" s="124" t="s">
        <v>42</v>
      </c>
      <c r="D82" s="124" t="s">
        <v>1278</v>
      </c>
      <c r="E82" s="124">
        <v>983</v>
      </c>
      <c r="F82" s="21">
        <v>492386.46</v>
      </c>
      <c r="G82" s="21">
        <v>492386.46</v>
      </c>
      <c r="H82" s="124">
        <v>596</v>
      </c>
      <c r="I82" s="125" t="s">
        <v>1279</v>
      </c>
      <c r="J82" s="115"/>
    </row>
    <row r="83" spans="1:10">
      <c r="A83" s="124" t="s">
        <v>1230</v>
      </c>
      <c r="B83" s="124" t="s">
        <v>72</v>
      </c>
      <c r="C83" s="124" t="s">
        <v>42</v>
      </c>
      <c r="D83" s="124" t="s">
        <v>1278</v>
      </c>
      <c r="E83" s="124">
        <v>984</v>
      </c>
      <c r="F83" s="21">
        <v>492386.46</v>
      </c>
      <c r="G83" s="21">
        <v>492386.46</v>
      </c>
      <c r="H83" s="124">
        <v>597</v>
      </c>
      <c r="I83" s="125" t="s">
        <v>1279</v>
      </c>
      <c r="J83" s="115"/>
    </row>
    <row r="84" spans="1:10">
      <c r="A84" s="124" t="s">
        <v>1230</v>
      </c>
      <c r="B84" s="124" t="s">
        <v>72</v>
      </c>
      <c r="C84" s="124" t="s">
        <v>42</v>
      </c>
      <c r="D84" s="124" t="s">
        <v>1278</v>
      </c>
      <c r="E84" s="124">
        <v>985</v>
      </c>
      <c r="F84" s="21">
        <v>492175.95</v>
      </c>
      <c r="G84" s="21">
        <v>492175.95</v>
      </c>
      <c r="H84" s="124">
        <v>598</v>
      </c>
      <c r="I84" s="125" t="s">
        <v>1279</v>
      </c>
      <c r="J84" s="115"/>
    </row>
    <row r="85" spans="1:10">
      <c r="A85" s="124" t="s">
        <v>1230</v>
      </c>
      <c r="B85" s="124" t="s">
        <v>72</v>
      </c>
      <c r="C85" s="124" t="s">
        <v>42</v>
      </c>
      <c r="D85" s="124" t="s">
        <v>1278</v>
      </c>
      <c r="E85" s="124">
        <v>986</v>
      </c>
      <c r="F85" s="21">
        <v>492175.95</v>
      </c>
      <c r="G85" s="21">
        <v>492175.95</v>
      </c>
      <c r="H85" s="124">
        <v>599</v>
      </c>
      <c r="I85" s="125" t="s">
        <v>1279</v>
      </c>
      <c r="J85" s="115"/>
    </row>
    <row r="86" spans="1:10">
      <c r="A86" s="124" t="s">
        <v>1230</v>
      </c>
      <c r="B86" s="124" t="s">
        <v>72</v>
      </c>
      <c r="C86" s="124" t="s">
        <v>66</v>
      </c>
      <c r="D86" s="124" t="s">
        <v>280</v>
      </c>
      <c r="E86" s="124">
        <v>987</v>
      </c>
      <c r="F86" s="21">
        <v>531229.66</v>
      </c>
      <c r="G86" s="21">
        <v>531229.66</v>
      </c>
      <c r="H86" s="124">
        <v>133</v>
      </c>
      <c r="I86" s="125" t="s">
        <v>1280</v>
      </c>
      <c r="J86" s="115"/>
    </row>
    <row r="87" spans="1:10">
      <c r="A87" s="124" t="s">
        <v>1230</v>
      </c>
      <c r="B87" s="124" t="s">
        <v>72</v>
      </c>
      <c r="C87" s="124" t="s">
        <v>58</v>
      </c>
      <c r="D87" s="124" t="s">
        <v>216</v>
      </c>
      <c r="E87" s="124">
        <v>988</v>
      </c>
      <c r="F87" s="21">
        <v>345000</v>
      </c>
      <c r="G87" s="21">
        <v>345000</v>
      </c>
      <c r="H87" s="124">
        <v>2670</v>
      </c>
      <c r="I87" s="125" t="s">
        <v>1281</v>
      </c>
      <c r="J87" s="115"/>
    </row>
    <row r="88" spans="1:10">
      <c r="A88" s="124" t="s">
        <v>1230</v>
      </c>
      <c r="B88" s="124" t="s">
        <v>72</v>
      </c>
      <c r="C88" s="124" t="s">
        <v>62</v>
      </c>
      <c r="D88" s="124" t="s">
        <v>242</v>
      </c>
      <c r="E88" s="124">
        <v>989</v>
      </c>
      <c r="F88" s="21">
        <v>507400</v>
      </c>
      <c r="G88" s="21">
        <v>507400</v>
      </c>
      <c r="H88" s="124">
        <v>1241</v>
      </c>
      <c r="I88" s="125" t="s">
        <v>1282</v>
      </c>
      <c r="J88" s="115"/>
    </row>
    <row r="89" spans="1:10">
      <c r="A89" s="124" t="s">
        <v>1230</v>
      </c>
      <c r="B89" s="124" t="s">
        <v>72</v>
      </c>
      <c r="C89" s="124" t="s">
        <v>62</v>
      </c>
      <c r="D89" s="124" t="s">
        <v>1283</v>
      </c>
      <c r="E89" s="124">
        <v>989</v>
      </c>
      <c r="F89" s="21">
        <v>12600</v>
      </c>
      <c r="G89" s="21">
        <v>12600</v>
      </c>
      <c r="H89" s="124">
        <v>1241</v>
      </c>
      <c r="I89" s="125" t="s">
        <v>1280</v>
      </c>
      <c r="J89" s="115"/>
    </row>
    <row r="90" spans="1:10">
      <c r="A90" s="124" t="s">
        <v>1230</v>
      </c>
      <c r="B90" s="124" t="s">
        <v>72</v>
      </c>
      <c r="C90" s="124" t="s">
        <v>59</v>
      </c>
      <c r="D90" s="124" t="s">
        <v>232</v>
      </c>
      <c r="E90" s="124">
        <v>990</v>
      </c>
      <c r="F90" s="21">
        <v>62613.54</v>
      </c>
      <c r="G90" s="21">
        <v>62613.54</v>
      </c>
      <c r="H90" s="124">
        <v>3692</v>
      </c>
      <c r="I90" s="125" t="s">
        <v>1279</v>
      </c>
      <c r="J90" s="115"/>
    </row>
    <row r="91" spans="1:10">
      <c r="A91" s="124" t="s">
        <v>1230</v>
      </c>
      <c r="B91" s="124" t="s">
        <v>72</v>
      </c>
      <c r="C91" s="124" t="s">
        <v>59</v>
      </c>
      <c r="D91" s="124" t="s">
        <v>232</v>
      </c>
      <c r="E91" s="124">
        <v>991</v>
      </c>
      <c r="F91" s="21">
        <v>62613.54</v>
      </c>
      <c r="G91" s="21">
        <v>62613.54</v>
      </c>
      <c r="H91" s="124">
        <v>3693</v>
      </c>
      <c r="I91" s="125" t="s">
        <v>1279</v>
      </c>
      <c r="J91" s="115"/>
    </row>
    <row r="92" spans="1:10">
      <c r="A92" s="124" t="s">
        <v>1230</v>
      </c>
      <c r="B92" s="124" t="s">
        <v>72</v>
      </c>
      <c r="C92" s="124" t="s">
        <v>59</v>
      </c>
      <c r="D92" s="124" t="s">
        <v>232</v>
      </c>
      <c r="E92" s="124">
        <v>992</v>
      </c>
      <c r="F92" s="21">
        <v>62613.54</v>
      </c>
      <c r="G92" s="21">
        <v>62613.54</v>
      </c>
      <c r="H92" s="124">
        <v>3694</v>
      </c>
      <c r="I92" s="125" t="s">
        <v>1279</v>
      </c>
      <c r="J92" s="115"/>
    </row>
    <row r="93" spans="1:10">
      <c r="A93" s="124" t="s">
        <v>1230</v>
      </c>
      <c r="B93" s="124" t="s">
        <v>72</v>
      </c>
      <c r="C93" s="124" t="s">
        <v>59</v>
      </c>
      <c r="D93" s="124" t="s">
        <v>232</v>
      </c>
      <c r="E93" s="124">
        <v>993</v>
      </c>
      <c r="F93" s="21">
        <v>62824.05</v>
      </c>
      <c r="G93" s="21">
        <v>62824.05</v>
      </c>
      <c r="H93" s="124">
        <v>3695</v>
      </c>
      <c r="I93" s="125" t="s">
        <v>1279</v>
      </c>
      <c r="J93" s="115"/>
    </row>
    <row r="94" spans="1:10">
      <c r="A94" s="124" t="s">
        <v>1230</v>
      </c>
      <c r="B94" s="124" t="s">
        <v>72</v>
      </c>
      <c r="C94" s="124" t="s">
        <v>59</v>
      </c>
      <c r="D94" s="124" t="s">
        <v>232</v>
      </c>
      <c r="E94" s="124">
        <v>994</v>
      </c>
      <c r="F94" s="21">
        <v>62824.05</v>
      </c>
      <c r="G94" s="21">
        <v>62824.05</v>
      </c>
      <c r="H94" s="124" t="s">
        <v>396</v>
      </c>
      <c r="I94" s="125" t="s">
        <v>1279</v>
      </c>
      <c r="J94" s="115"/>
    </row>
    <row r="95" spans="1:10">
      <c r="A95" s="124" t="s">
        <v>1230</v>
      </c>
      <c r="B95" s="124" t="s">
        <v>72</v>
      </c>
      <c r="C95" s="124" t="s">
        <v>51</v>
      </c>
      <c r="D95" s="124" t="s">
        <v>527</v>
      </c>
      <c r="E95" s="124">
        <v>995</v>
      </c>
      <c r="F95" s="21">
        <v>2380</v>
      </c>
      <c r="G95" s="21">
        <v>2380</v>
      </c>
      <c r="H95" s="124" t="s">
        <v>396</v>
      </c>
      <c r="I95" s="125" t="s">
        <v>1279</v>
      </c>
      <c r="J95" s="115"/>
    </row>
    <row r="96" spans="1:10">
      <c r="A96" s="124" t="s">
        <v>1230</v>
      </c>
      <c r="B96" s="124" t="s">
        <v>72</v>
      </c>
      <c r="C96" s="124" t="s">
        <v>51</v>
      </c>
      <c r="D96" s="124" t="s">
        <v>527</v>
      </c>
      <c r="E96" s="124">
        <v>996</v>
      </c>
      <c r="F96" s="21">
        <v>2380</v>
      </c>
      <c r="G96" s="21">
        <v>2380</v>
      </c>
      <c r="H96" s="124" t="s">
        <v>396</v>
      </c>
      <c r="I96" s="125" t="s">
        <v>1279</v>
      </c>
      <c r="J96" s="115"/>
    </row>
    <row r="97" spans="1:10">
      <c r="A97" s="124" t="s">
        <v>1230</v>
      </c>
      <c r="B97" s="124" t="s">
        <v>72</v>
      </c>
      <c r="C97" s="124" t="s">
        <v>51</v>
      </c>
      <c r="D97" s="124" t="s">
        <v>527</v>
      </c>
      <c r="E97" s="124">
        <v>997</v>
      </c>
      <c r="F97" s="21">
        <v>2380</v>
      </c>
      <c r="G97" s="21">
        <v>2380</v>
      </c>
      <c r="H97" s="124" t="s">
        <v>396</v>
      </c>
      <c r="I97" s="125" t="s">
        <v>1279</v>
      </c>
      <c r="J97" s="115"/>
    </row>
    <row r="98" spans="1:10">
      <c r="A98" s="124" t="s">
        <v>1230</v>
      </c>
      <c r="B98" s="124" t="s">
        <v>72</v>
      </c>
      <c r="C98" s="124" t="s">
        <v>63</v>
      </c>
      <c r="D98" s="124" t="s">
        <v>1048</v>
      </c>
      <c r="E98" s="124">
        <v>998</v>
      </c>
      <c r="F98" s="21">
        <v>85000</v>
      </c>
      <c r="G98" s="21">
        <v>85000</v>
      </c>
      <c r="H98" s="124" t="s">
        <v>396</v>
      </c>
      <c r="I98" s="125" t="s">
        <v>1279</v>
      </c>
      <c r="J98" s="115"/>
    </row>
    <row r="99" spans="1:10">
      <c r="A99" s="124" t="s">
        <v>1230</v>
      </c>
      <c r="B99" s="124" t="s">
        <v>76</v>
      </c>
      <c r="C99" s="124" t="s">
        <v>69</v>
      </c>
      <c r="D99" s="124" t="s">
        <v>1284</v>
      </c>
      <c r="E99" s="124">
        <v>999</v>
      </c>
      <c r="F99" s="21">
        <v>31491.84</v>
      </c>
      <c r="G99" s="21">
        <v>31491.84</v>
      </c>
      <c r="H99" s="124">
        <v>2153</v>
      </c>
      <c r="I99" s="125" t="s">
        <v>1282</v>
      </c>
      <c r="J99" s="115"/>
    </row>
    <row r="100" spans="1:10">
      <c r="A100" s="124" t="s">
        <v>1230</v>
      </c>
      <c r="B100" s="124" t="s">
        <v>73</v>
      </c>
      <c r="C100" s="124" t="s">
        <v>51</v>
      </c>
      <c r="D100" s="124" t="s">
        <v>1285</v>
      </c>
      <c r="E100" s="124">
        <v>1000</v>
      </c>
      <c r="F100" s="122">
        <v>529.01</v>
      </c>
      <c r="G100" s="122">
        <v>529.01</v>
      </c>
      <c r="H100" s="124" t="s">
        <v>452</v>
      </c>
      <c r="I100" s="125" t="s">
        <v>1282</v>
      </c>
      <c r="J100" s="115"/>
    </row>
    <row r="101" spans="1:10">
      <c r="A101" s="124" t="s">
        <v>1230</v>
      </c>
      <c r="B101" s="124" t="s">
        <v>72</v>
      </c>
      <c r="C101" s="124" t="s">
        <v>51</v>
      </c>
      <c r="D101" s="124" t="s">
        <v>1286</v>
      </c>
      <c r="E101" s="124">
        <v>1001</v>
      </c>
      <c r="F101" s="21">
        <v>19404.21</v>
      </c>
      <c r="G101" s="21">
        <v>19404.21</v>
      </c>
      <c r="H101" s="124" t="s">
        <v>834</v>
      </c>
      <c r="I101" s="125" t="s">
        <v>1287</v>
      </c>
      <c r="J101" s="115"/>
    </row>
    <row r="102" spans="1:10">
      <c r="A102" s="124" t="s">
        <v>1230</v>
      </c>
      <c r="B102" s="124" t="s">
        <v>72</v>
      </c>
      <c r="C102" s="124" t="s">
        <v>42</v>
      </c>
      <c r="D102" s="124" t="s">
        <v>1278</v>
      </c>
      <c r="E102" s="124">
        <v>1002</v>
      </c>
      <c r="F102" s="21">
        <v>492175.95</v>
      </c>
      <c r="G102" s="21">
        <v>492175.95</v>
      </c>
      <c r="H102" s="124">
        <v>600</v>
      </c>
      <c r="I102" s="125" t="s">
        <v>1288</v>
      </c>
      <c r="J102" s="115"/>
    </row>
    <row r="103" spans="1:10">
      <c r="A103" s="124" t="s">
        <v>1230</v>
      </c>
      <c r="B103" s="124" t="s">
        <v>72</v>
      </c>
      <c r="C103" s="124" t="s">
        <v>59</v>
      </c>
      <c r="D103" s="124" t="s">
        <v>232</v>
      </c>
      <c r="E103" s="124">
        <v>1003</v>
      </c>
      <c r="F103" s="21">
        <v>62824.05</v>
      </c>
      <c r="G103" s="21">
        <v>62824.05</v>
      </c>
      <c r="H103" s="124">
        <v>3696</v>
      </c>
      <c r="I103" s="125" t="s">
        <v>1288</v>
      </c>
      <c r="J103" s="115"/>
    </row>
    <row r="104" spans="1:10">
      <c r="A104" s="124" t="s">
        <v>1230</v>
      </c>
      <c r="B104" s="124" t="s">
        <v>72</v>
      </c>
      <c r="C104" s="124" t="s">
        <v>42</v>
      </c>
      <c r="D104" s="124" t="s">
        <v>1278</v>
      </c>
      <c r="E104" s="124">
        <v>1004</v>
      </c>
      <c r="F104" s="21">
        <v>492386.46</v>
      </c>
      <c r="G104" s="21">
        <v>492386.46</v>
      </c>
      <c r="H104" s="124">
        <v>601</v>
      </c>
      <c r="I104" s="125" t="s">
        <v>1288</v>
      </c>
      <c r="J104" s="115"/>
    </row>
    <row r="105" spans="1:10">
      <c r="A105" s="124" t="s">
        <v>1230</v>
      </c>
      <c r="B105" s="124" t="s">
        <v>72</v>
      </c>
      <c r="C105" s="124" t="s">
        <v>59</v>
      </c>
      <c r="D105" s="124" t="s">
        <v>232</v>
      </c>
      <c r="E105" s="124">
        <v>1005</v>
      </c>
      <c r="F105" s="21">
        <v>62613.54</v>
      </c>
      <c r="G105" s="21">
        <v>62613.54</v>
      </c>
      <c r="H105" s="124">
        <v>3697</v>
      </c>
      <c r="I105" s="125" t="s">
        <v>1288</v>
      </c>
      <c r="J105" s="115"/>
    </row>
    <row r="106" spans="1:10">
      <c r="A106" s="124" t="s">
        <v>1230</v>
      </c>
      <c r="B106" s="124" t="s">
        <v>72</v>
      </c>
      <c r="C106" s="124" t="s">
        <v>42</v>
      </c>
      <c r="D106" s="124" t="s">
        <v>1278</v>
      </c>
      <c r="E106" s="124">
        <v>1006</v>
      </c>
      <c r="F106" s="21">
        <v>492175.95</v>
      </c>
      <c r="G106" s="21">
        <v>492175.95</v>
      </c>
      <c r="H106" s="124">
        <v>603</v>
      </c>
      <c r="I106" s="125" t="s">
        <v>1289</v>
      </c>
      <c r="J106" s="115"/>
    </row>
    <row r="107" spans="1:10">
      <c r="A107" s="124" t="s">
        <v>1230</v>
      </c>
      <c r="B107" s="124" t="s">
        <v>72</v>
      </c>
      <c r="C107" s="124" t="s">
        <v>59</v>
      </c>
      <c r="D107" s="124" t="s">
        <v>232</v>
      </c>
      <c r="E107" s="124">
        <v>1007</v>
      </c>
      <c r="F107" s="21">
        <v>62824.05</v>
      </c>
      <c r="G107" s="21">
        <v>62824.05</v>
      </c>
      <c r="H107" s="124">
        <v>3698</v>
      </c>
      <c r="I107" s="125" t="s">
        <v>1289</v>
      </c>
      <c r="J107" s="115"/>
    </row>
    <row r="108" spans="1:10">
      <c r="A108" s="124" t="s">
        <v>1230</v>
      </c>
      <c r="B108" s="124" t="s">
        <v>72</v>
      </c>
      <c r="C108" s="124" t="s">
        <v>42</v>
      </c>
      <c r="D108" s="124" t="s">
        <v>1278</v>
      </c>
      <c r="E108" s="124">
        <v>1008</v>
      </c>
      <c r="F108" s="21">
        <v>492386.46</v>
      </c>
      <c r="G108" s="21">
        <v>492386.46</v>
      </c>
      <c r="H108" s="124">
        <v>602</v>
      </c>
      <c r="I108" s="125" t="s">
        <v>1289</v>
      </c>
      <c r="J108" s="115"/>
    </row>
    <row r="109" spans="1:10">
      <c r="A109" s="124" t="s">
        <v>1230</v>
      </c>
      <c r="B109" s="124" t="s">
        <v>72</v>
      </c>
      <c r="C109" s="124" t="s">
        <v>59</v>
      </c>
      <c r="D109" s="124" t="s">
        <v>232</v>
      </c>
      <c r="E109" s="124">
        <v>1009</v>
      </c>
      <c r="F109" s="21">
        <v>62613.54</v>
      </c>
      <c r="G109" s="21">
        <v>62613.54</v>
      </c>
      <c r="H109" s="124">
        <v>3699</v>
      </c>
      <c r="I109" s="125" t="s">
        <v>1289</v>
      </c>
      <c r="J109" s="115"/>
    </row>
    <row r="110" spans="1:10">
      <c r="A110" s="124" t="s">
        <v>1230</v>
      </c>
      <c r="B110" s="124" t="s">
        <v>72</v>
      </c>
      <c r="C110" s="124" t="s">
        <v>42</v>
      </c>
      <c r="D110" s="124" t="s">
        <v>1278</v>
      </c>
      <c r="E110" s="124">
        <v>1010</v>
      </c>
      <c r="F110" s="21">
        <v>492175.95</v>
      </c>
      <c r="G110" s="21">
        <v>492175.95</v>
      </c>
      <c r="H110" s="124">
        <v>607</v>
      </c>
      <c r="I110" s="125" t="s">
        <v>1289</v>
      </c>
      <c r="J110" s="115"/>
    </row>
    <row r="111" spans="1:10">
      <c r="A111" s="124" t="s">
        <v>1230</v>
      </c>
      <c r="B111" s="124" t="s">
        <v>72</v>
      </c>
      <c r="C111" s="124" t="s">
        <v>59</v>
      </c>
      <c r="D111" s="124" t="s">
        <v>232</v>
      </c>
      <c r="E111" s="124">
        <v>1011</v>
      </c>
      <c r="F111" s="21">
        <v>62824.05</v>
      </c>
      <c r="G111" s="21">
        <v>62824.05</v>
      </c>
      <c r="H111" s="124">
        <v>4201</v>
      </c>
      <c r="I111" s="125" t="s">
        <v>1289</v>
      </c>
      <c r="J111" s="115"/>
    </row>
    <row r="112" spans="1:10">
      <c r="A112" s="124" t="s">
        <v>1230</v>
      </c>
      <c r="B112" s="124" t="s">
        <v>72</v>
      </c>
      <c r="C112" s="124" t="s">
        <v>63</v>
      </c>
      <c r="D112" s="124" t="s">
        <v>1048</v>
      </c>
      <c r="E112" s="124">
        <v>1012</v>
      </c>
      <c r="F112" s="21">
        <v>85000</v>
      </c>
      <c r="G112" s="21">
        <v>85000</v>
      </c>
      <c r="H112" s="124" t="s">
        <v>458</v>
      </c>
      <c r="I112" s="125" t="s">
        <v>1289</v>
      </c>
      <c r="J112" s="115"/>
    </row>
    <row r="113" spans="1:10">
      <c r="A113" s="124" t="s">
        <v>1230</v>
      </c>
      <c r="B113" s="124" t="s">
        <v>72</v>
      </c>
      <c r="C113" s="124" t="s">
        <v>63</v>
      </c>
      <c r="D113" s="124" t="s">
        <v>1048</v>
      </c>
      <c r="E113" s="124">
        <v>1013</v>
      </c>
      <c r="F113" s="21">
        <v>85000</v>
      </c>
      <c r="G113" s="21">
        <v>85000</v>
      </c>
      <c r="H113" s="124" t="s">
        <v>875</v>
      </c>
      <c r="I113" s="125" t="s">
        <v>1289</v>
      </c>
      <c r="J113" s="115"/>
    </row>
    <row r="114" spans="1:10">
      <c r="A114" s="124" t="s">
        <v>1230</v>
      </c>
      <c r="B114" s="124" t="s">
        <v>72</v>
      </c>
      <c r="C114" s="124" t="s">
        <v>63</v>
      </c>
      <c r="D114" s="124" t="s">
        <v>1048</v>
      </c>
      <c r="E114" s="124">
        <v>1014</v>
      </c>
      <c r="F114" s="21">
        <v>85000</v>
      </c>
      <c r="G114" s="21">
        <v>85000</v>
      </c>
      <c r="H114" s="124" t="s">
        <v>460</v>
      </c>
      <c r="I114" s="125" t="s">
        <v>1289</v>
      </c>
      <c r="J114" s="115"/>
    </row>
    <row r="115" spans="1:10">
      <c r="A115" s="124" t="s">
        <v>1230</v>
      </c>
      <c r="B115" s="124" t="s">
        <v>72</v>
      </c>
      <c r="C115" s="124" t="s">
        <v>51</v>
      </c>
      <c r="D115" s="124" t="s">
        <v>1290</v>
      </c>
      <c r="E115" s="124">
        <v>1015</v>
      </c>
      <c r="F115" s="21">
        <v>3411.28</v>
      </c>
      <c r="G115" s="21">
        <v>3411.28</v>
      </c>
      <c r="H115" s="124" t="s">
        <v>396</v>
      </c>
      <c r="I115" s="125" t="s">
        <v>1289</v>
      </c>
      <c r="J115" s="115"/>
    </row>
    <row r="116" spans="1:10">
      <c r="A116" s="124" t="s">
        <v>1230</v>
      </c>
      <c r="B116" s="124" t="s">
        <v>72</v>
      </c>
      <c r="C116" s="124" t="s">
        <v>51</v>
      </c>
      <c r="D116" s="124" t="s">
        <v>456</v>
      </c>
      <c r="E116" s="124">
        <v>1016</v>
      </c>
      <c r="F116" s="21">
        <v>2700</v>
      </c>
      <c r="G116" s="21">
        <v>2700</v>
      </c>
      <c r="H116" s="124" t="s">
        <v>396</v>
      </c>
      <c r="I116" s="125" t="s">
        <v>1288</v>
      </c>
      <c r="J116" s="115"/>
    </row>
    <row r="117" spans="1:10">
      <c r="A117" s="124" t="s">
        <v>1230</v>
      </c>
      <c r="B117" s="124" t="s">
        <v>72</v>
      </c>
      <c r="C117" s="124" t="s">
        <v>51</v>
      </c>
      <c r="D117" s="124" t="s">
        <v>456</v>
      </c>
      <c r="E117" s="124">
        <v>1017</v>
      </c>
      <c r="F117" s="21">
        <v>1500.08</v>
      </c>
      <c r="G117" s="21">
        <v>1500.08</v>
      </c>
      <c r="H117" s="124" t="s">
        <v>396</v>
      </c>
      <c r="I117" s="125" t="s">
        <v>1291</v>
      </c>
      <c r="J117" s="115"/>
    </row>
    <row r="118" spans="1:10">
      <c r="A118" s="124" t="s">
        <v>1230</v>
      </c>
      <c r="B118" s="124" t="s">
        <v>1012</v>
      </c>
      <c r="C118" s="124" t="s">
        <v>51</v>
      </c>
      <c r="D118" s="124" t="s">
        <v>1113</v>
      </c>
      <c r="E118" s="124">
        <v>1018</v>
      </c>
      <c r="F118" s="21">
        <v>20000</v>
      </c>
      <c r="G118" s="21">
        <v>20000</v>
      </c>
      <c r="H118" s="124" t="s">
        <v>1292</v>
      </c>
      <c r="I118" s="125" t="s">
        <v>1291</v>
      </c>
      <c r="J118" s="115"/>
    </row>
    <row r="119" spans="1:10">
      <c r="A119" s="124" t="s">
        <v>1230</v>
      </c>
      <c r="B119" s="124" t="s">
        <v>73</v>
      </c>
      <c r="C119" s="124" t="s">
        <v>1267</v>
      </c>
      <c r="D119" s="124" t="s">
        <v>1293</v>
      </c>
      <c r="E119" s="124">
        <v>1019</v>
      </c>
      <c r="F119" s="21">
        <v>215000</v>
      </c>
      <c r="G119" s="21">
        <v>215000</v>
      </c>
      <c r="H119" s="124" t="s">
        <v>457</v>
      </c>
      <c r="I119" s="125" t="s">
        <v>1294</v>
      </c>
      <c r="J119" s="115"/>
    </row>
    <row r="120" spans="1:10">
      <c r="A120" s="124" t="s">
        <v>1230</v>
      </c>
      <c r="B120" s="124" t="s">
        <v>72</v>
      </c>
      <c r="C120" s="124" t="s">
        <v>45</v>
      </c>
      <c r="D120" s="124" t="s">
        <v>1295</v>
      </c>
      <c r="E120" s="124">
        <v>1020</v>
      </c>
      <c r="F120" s="21">
        <v>3045</v>
      </c>
      <c r="G120" s="21">
        <v>3045</v>
      </c>
      <c r="H120" s="124" t="s">
        <v>528</v>
      </c>
      <c r="I120" s="125" t="s">
        <v>1296</v>
      </c>
      <c r="J120" s="115"/>
    </row>
    <row r="121" spans="1:10">
      <c r="A121" s="124" t="s">
        <v>1230</v>
      </c>
      <c r="B121" s="124" t="s">
        <v>72</v>
      </c>
      <c r="C121" s="124" t="s">
        <v>45</v>
      </c>
      <c r="D121" s="124" t="s">
        <v>1297</v>
      </c>
      <c r="E121" s="124">
        <v>1021</v>
      </c>
      <c r="F121" s="21">
        <v>4900</v>
      </c>
      <c r="G121" s="21">
        <v>4900</v>
      </c>
      <c r="H121" s="124" t="s">
        <v>528</v>
      </c>
      <c r="I121" s="125" t="s">
        <v>1298</v>
      </c>
      <c r="J121" s="115"/>
    </row>
    <row r="122" spans="1:10">
      <c r="A122" s="124" t="s">
        <v>1230</v>
      </c>
      <c r="B122" s="124" t="s">
        <v>72</v>
      </c>
      <c r="C122" s="124" t="s">
        <v>51</v>
      </c>
      <c r="D122" s="124" t="s">
        <v>1299</v>
      </c>
      <c r="E122" s="124">
        <v>1022</v>
      </c>
      <c r="F122" s="21">
        <v>13595.3</v>
      </c>
      <c r="G122" s="21">
        <v>13595.3</v>
      </c>
      <c r="H122" s="124" t="s">
        <v>474</v>
      </c>
      <c r="I122" s="125" t="s">
        <v>1298</v>
      </c>
      <c r="J122" s="115"/>
    </row>
    <row r="123" spans="1:10">
      <c r="A123" s="124" t="s">
        <v>1230</v>
      </c>
      <c r="B123" s="124" t="s">
        <v>75</v>
      </c>
      <c r="C123" s="124" t="s">
        <v>39</v>
      </c>
      <c r="D123" s="124" t="s">
        <v>1300</v>
      </c>
      <c r="E123" s="124">
        <v>1023</v>
      </c>
      <c r="F123" s="122">
        <v>702</v>
      </c>
      <c r="G123" s="122">
        <v>702</v>
      </c>
      <c r="H123" s="124" t="s">
        <v>460</v>
      </c>
      <c r="I123" s="125" t="s">
        <v>1301</v>
      </c>
      <c r="J123" s="115"/>
    </row>
    <row r="124" spans="1:10">
      <c r="A124" s="124" t="s">
        <v>1230</v>
      </c>
      <c r="B124" s="124" t="s">
        <v>72</v>
      </c>
      <c r="C124" s="124" t="s">
        <v>51</v>
      </c>
      <c r="D124" s="124" t="s">
        <v>1302</v>
      </c>
      <c r="E124" s="124">
        <v>1024</v>
      </c>
      <c r="F124" s="21">
        <v>45000</v>
      </c>
      <c r="G124" s="21">
        <v>45000</v>
      </c>
      <c r="H124" s="124" t="s">
        <v>396</v>
      </c>
      <c r="I124" s="125" t="s">
        <v>1303</v>
      </c>
      <c r="J124" s="115"/>
    </row>
    <row r="125" spans="1:10">
      <c r="A125" s="124" t="s">
        <v>1230</v>
      </c>
      <c r="B125" s="124" t="s">
        <v>72</v>
      </c>
      <c r="C125" s="124" t="s">
        <v>45</v>
      </c>
      <c r="D125" s="124" t="s">
        <v>1295</v>
      </c>
      <c r="E125" s="124">
        <v>1025</v>
      </c>
      <c r="F125" s="21">
        <v>3045</v>
      </c>
      <c r="G125" s="21">
        <v>3045</v>
      </c>
      <c r="H125" s="124" t="s">
        <v>528</v>
      </c>
      <c r="I125" s="125" t="s">
        <v>1296</v>
      </c>
      <c r="J125" s="115"/>
    </row>
    <row r="126" spans="1:10">
      <c r="A126" s="124" t="s">
        <v>1230</v>
      </c>
      <c r="B126" s="124" t="s">
        <v>72</v>
      </c>
      <c r="C126" s="124" t="s">
        <v>45</v>
      </c>
      <c r="D126" s="124" t="s">
        <v>1295</v>
      </c>
      <c r="E126" s="124">
        <v>1026</v>
      </c>
      <c r="F126" s="21">
        <v>3045</v>
      </c>
      <c r="G126" s="21">
        <v>3045</v>
      </c>
      <c r="H126" s="124" t="s">
        <v>528</v>
      </c>
      <c r="I126" s="125" t="s">
        <v>1296</v>
      </c>
      <c r="J126" s="115"/>
    </row>
    <row r="127" spans="1:10">
      <c r="A127" s="124" t="s">
        <v>1230</v>
      </c>
      <c r="B127" s="124" t="s">
        <v>72</v>
      </c>
      <c r="C127" s="124" t="s">
        <v>35</v>
      </c>
      <c r="D127" s="124" t="s">
        <v>1304</v>
      </c>
      <c r="E127" s="124">
        <v>1027</v>
      </c>
      <c r="F127" s="21">
        <v>350000</v>
      </c>
      <c r="G127" s="21">
        <v>350000</v>
      </c>
      <c r="H127" s="124" t="s">
        <v>1305</v>
      </c>
      <c r="I127" s="125" t="s">
        <v>1306</v>
      </c>
      <c r="J127" s="115"/>
    </row>
    <row r="128" spans="1:10">
      <c r="A128" s="124" t="s">
        <v>1230</v>
      </c>
      <c r="B128" s="124" t="s">
        <v>72</v>
      </c>
      <c r="C128" s="124" t="s">
        <v>51</v>
      </c>
      <c r="D128" s="124" t="s">
        <v>1307</v>
      </c>
      <c r="E128" s="124">
        <v>1028</v>
      </c>
      <c r="F128" s="21">
        <v>52965.15</v>
      </c>
      <c r="G128" s="21">
        <v>53346.47</v>
      </c>
      <c r="H128" s="124" t="s">
        <v>396</v>
      </c>
      <c r="I128" s="125" t="s">
        <v>1308</v>
      </c>
      <c r="J128" s="115"/>
    </row>
    <row r="129" spans="1:10">
      <c r="A129" s="124" t="s">
        <v>1230</v>
      </c>
      <c r="B129" s="124" t="s">
        <v>72</v>
      </c>
      <c r="C129" s="124" t="s">
        <v>51</v>
      </c>
      <c r="D129" s="124" t="s">
        <v>1307</v>
      </c>
      <c r="E129" s="124">
        <v>1029</v>
      </c>
      <c r="F129" s="21">
        <v>52965.16</v>
      </c>
      <c r="G129" s="21">
        <v>53346.47</v>
      </c>
      <c r="H129" s="124" t="s">
        <v>396</v>
      </c>
      <c r="I129" s="125" t="s">
        <v>1308</v>
      </c>
      <c r="J129" s="115"/>
    </row>
    <row r="130" spans="1:10">
      <c r="A130" s="124" t="s">
        <v>1230</v>
      </c>
      <c r="B130" s="124" t="s">
        <v>74</v>
      </c>
      <c r="C130" s="124" t="s">
        <v>69</v>
      </c>
      <c r="D130" s="124" t="s">
        <v>317</v>
      </c>
      <c r="E130" s="124">
        <v>1030</v>
      </c>
      <c r="F130" s="21">
        <v>38944</v>
      </c>
      <c r="G130" s="21">
        <v>38944</v>
      </c>
      <c r="H130" s="124">
        <v>1704</v>
      </c>
      <c r="I130" s="125" t="s">
        <v>1309</v>
      </c>
      <c r="J130" s="115"/>
    </row>
    <row r="131" spans="1:10">
      <c r="A131" s="124" t="s">
        <v>1230</v>
      </c>
      <c r="B131" s="124" t="s">
        <v>76</v>
      </c>
      <c r="C131" s="124" t="s">
        <v>51</v>
      </c>
      <c r="D131" s="124" t="s">
        <v>1310</v>
      </c>
      <c r="E131" s="124">
        <v>1031</v>
      </c>
      <c r="F131" s="21">
        <v>48750</v>
      </c>
      <c r="G131" s="21">
        <v>48750</v>
      </c>
      <c r="H131" s="124" t="s">
        <v>875</v>
      </c>
      <c r="I131" s="125" t="s">
        <v>1311</v>
      </c>
      <c r="J131" s="115"/>
    </row>
    <row r="132" spans="1:10">
      <c r="A132" s="124" t="s">
        <v>1230</v>
      </c>
      <c r="B132" s="124" t="s">
        <v>1012</v>
      </c>
      <c r="C132" s="124" t="s">
        <v>51</v>
      </c>
      <c r="D132" s="124" t="s">
        <v>1312</v>
      </c>
      <c r="E132" s="124">
        <v>1032</v>
      </c>
      <c r="F132" s="21">
        <v>20500</v>
      </c>
      <c r="G132" s="21">
        <v>20500</v>
      </c>
      <c r="H132" s="124" t="s">
        <v>458</v>
      </c>
      <c r="I132" s="125" t="s">
        <v>1311</v>
      </c>
      <c r="J132" s="115"/>
    </row>
    <row r="133" spans="1:10">
      <c r="A133" s="124" t="s">
        <v>1230</v>
      </c>
      <c r="B133" s="124" t="s">
        <v>72</v>
      </c>
      <c r="C133" s="124" t="s">
        <v>51</v>
      </c>
      <c r="D133" s="124" t="s">
        <v>1313</v>
      </c>
      <c r="E133" s="124">
        <v>1033</v>
      </c>
      <c r="F133" s="21">
        <v>2250</v>
      </c>
      <c r="G133" s="21">
        <v>2250</v>
      </c>
      <c r="H133" s="124" t="s">
        <v>396</v>
      </c>
      <c r="I133" s="125" t="s">
        <v>1314</v>
      </c>
      <c r="J133" s="115"/>
    </row>
    <row r="134" spans="1:10">
      <c r="A134" s="124" t="s">
        <v>1230</v>
      </c>
      <c r="B134" s="124" t="s">
        <v>72</v>
      </c>
      <c r="C134" s="124" t="s">
        <v>51</v>
      </c>
      <c r="D134" s="124" t="s">
        <v>1315</v>
      </c>
      <c r="E134" s="124">
        <v>1034</v>
      </c>
      <c r="F134" s="21">
        <v>11980</v>
      </c>
      <c r="G134" s="21">
        <v>11980</v>
      </c>
      <c r="H134" s="124" t="s">
        <v>517</v>
      </c>
      <c r="I134" s="125" t="s">
        <v>1316</v>
      </c>
      <c r="J134" s="115"/>
    </row>
    <row r="135" spans="1:10">
      <c r="A135" s="124" t="s">
        <v>1230</v>
      </c>
      <c r="B135" s="124" t="s">
        <v>72</v>
      </c>
      <c r="C135" s="124" t="s">
        <v>52</v>
      </c>
      <c r="D135" s="124" t="s">
        <v>1317</v>
      </c>
      <c r="E135" s="124">
        <v>1035</v>
      </c>
      <c r="F135" s="21">
        <v>7900</v>
      </c>
      <c r="G135" s="21">
        <v>7900</v>
      </c>
      <c r="H135" s="124">
        <v>2327</v>
      </c>
      <c r="I135" s="125" t="s">
        <v>1318</v>
      </c>
      <c r="J135" s="115"/>
    </row>
    <row r="136" spans="1:10">
      <c r="A136" s="124" t="s">
        <v>1230</v>
      </c>
      <c r="B136" s="124" t="s">
        <v>73</v>
      </c>
      <c r="C136" s="124" t="s">
        <v>51</v>
      </c>
      <c r="D136" s="124" t="s">
        <v>1319</v>
      </c>
      <c r="E136" s="124">
        <v>1036</v>
      </c>
      <c r="F136" s="21">
        <v>1750</v>
      </c>
      <c r="G136" s="21">
        <v>1750</v>
      </c>
      <c r="H136" s="124" t="s">
        <v>452</v>
      </c>
      <c r="I136" s="125" t="s">
        <v>1320</v>
      </c>
      <c r="J136" s="115"/>
    </row>
    <row r="137" spans="1:10">
      <c r="A137" s="124" t="s">
        <v>1230</v>
      </c>
      <c r="B137" s="124" t="s">
        <v>72</v>
      </c>
      <c r="C137" s="124" t="s">
        <v>51</v>
      </c>
      <c r="D137" s="124" t="s">
        <v>1321</v>
      </c>
      <c r="E137" s="124">
        <v>1037</v>
      </c>
      <c r="F137" s="21">
        <v>3543.44</v>
      </c>
      <c r="G137" s="21">
        <v>3543.44</v>
      </c>
      <c r="H137" s="124" t="s">
        <v>1322</v>
      </c>
      <c r="I137" s="125" t="s">
        <v>1323</v>
      </c>
      <c r="J137" s="115"/>
    </row>
    <row r="138" spans="1:10">
      <c r="A138" s="124" t="s">
        <v>1230</v>
      </c>
      <c r="B138" s="124" t="s">
        <v>1012</v>
      </c>
      <c r="C138" s="124" t="s">
        <v>51</v>
      </c>
      <c r="D138" s="124" t="s">
        <v>887</v>
      </c>
      <c r="E138" s="124">
        <v>1038</v>
      </c>
      <c r="F138" s="21">
        <v>189434.4</v>
      </c>
      <c r="G138" s="21">
        <v>189434.4</v>
      </c>
      <c r="H138" s="124" t="s">
        <v>875</v>
      </c>
      <c r="I138" s="125" t="s">
        <v>1323</v>
      </c>
      <c r="J138" s="115"/>
    </row>
    <row r="139" spans="1:10">
      <c r="A139" s="124" t="s">
        <v>1230</v>
      </c>
      <c r="B139" s="124" t="s">
        <v>73</v>
      </c>
      <c r="C139" s="124" t="s">
        <v>63</v>
      </c>
      <c r="D139" s="124" t="s">
        <v>1324</v>
      </c>
      <c r="E139" s="124">
        <v>1039</v>
      </c>
      <c r="F139" s="21">
        <v>105000</v>
      </c>
      <c r="G139" s="21">
        <v>105000</v>
      </c>
      <c r="H139" s="124" t="s">
        <v>457</v>
      </c>
      <c r="I139" s="125" t="s">
        <v>1325</v>
      </c>
      <c r="J139" s="115"/>
    </row>
    <row r="140" spans="1:10">
      <c r="A140" s="124" t="s">
        <v>1230</v>
      </c>
      <c r="B140" s="124" t="s">
        <v>76</v>
      </c>
      <c r="C140" s="124" t="s">
        <v>51</v>
      </c>
      <c r="D140" s="124" t="s">
        <v>1326</v>
      </c>
      <c r="E140" s="124">
        <v>1040</v>
      </c>
      <c r="F140" s="21">
        <v>3700</v>
      </c>
      <c r="G140" s="21">
        <v>3700</v>
      </c>
      <c r="H140" s="124" t="s">
        <v>875</v>
      </c>
      <c r="I140" s="125" t="s">
        <v>1327</v>
      </c>
      <c r="J140" s="115"/>
    </row>
    <row r="141" spans="1:10">
      <c r="A141" s="124" t="s">
        <v>1230</v>
      </c>
      <c r="B141" s="124" t="s">
        <v>76</v>
      </c>
      <c r="C141" s="124" t="s">
        <v>51</v>
      </c>
      <c r="D141" s="124" t="s">
        <v>1113</v>
      </c>
      <c r="E141" s="124">
        <v>1041</v>
      </c>
      <c r="F141" s="21">
        <v>20000</v>
      </c>
      <c r="G141" s="21">
        <v>20000</v>
      </c>
      <c r="H141" s="124" t="s">
        <v>875</v>
      </c>
      <c r="I141" s="125" t="s">
        <v>1328</v>
      </c>
      <c r="J141" s="115"/>
    </row>
    <row r="142" spans="1:10">
      <c r="A142" s="124" t="s">
        <v>1230</v>
      </c>
      <c r="B142" s="124" t="s">
        <v>74</v>
      </c>
      <c r="C142" s="124" t="s">
        <v>51</v>
      </c>
      <c r="D142" s="124" t="s">
        <v>1329</v>
      </c>
      <c r="E142" s="124">
        <v>1042</v>
      </c>
      <c r="F142" s="21">
        <v>6370</v>
      </c>
      <c r="G142" s="21">
        <v>6370</v>
      </c>
      <c r="H142" s="124" t="s">
        <v>452</v>
      </c>
      <c r="I142" s="125" t="s">
        <v>1330</v>
      </c>
      <c r="J142" s="115"/>
    </row>
    <row r="143" spans="1:10">
      <c r="A143" s="124" t="s">
        <v>1230</v>
      </c>
      <c r="B143" s="124" t="s">
        <v>74</v>
      </c>
      <c r="C143" s="124" t="s">
        <v>51</v>
      </c>
      <c r="D143" s="124" t="s">
        <v>1329</v>
      </c>
      <c r="E143" s="124">
        <v>1043</v>
      </c>
      <c r="F143" s="21">
        <v>6370</v>
      </c>
      <c r="G143" s="21">
        <v>6370</v>
      </c>
      <c r="H143" s="124" t="s">
        <v>457</v>
      </c>
      <c r="I143" s="125" t="s">
        <v>1330</v>
      </c>
      <c r="J143" s="115"/>
    </row>
    <row r="144" spans="1:10">
      <c r="A144" s="124" t="s">
        <v>1230</v>
      </c>
      <c r="B144" s="124" t="s">
        <v>72</v>
      </c>
      <c r="C144" s="124" t="s">
        <v>51</v>
      </c>
      <c r="D144" s="124" t="s">
        <v>475</v>
      </c>
      <c r="E144" s="124">
        <v>1044</v>
      </c>
      <c r="F144" s="21">
        <v>1586.67</v>
      </c>
      <c r="G144" s="21">
        <v>1586.67</v>
      </c>
      <c r="H144" s="124" t="s">
        <v>396</v>
      </c>
      <c r="I144" s="125" t="s">
        <v>1328</v>
      </c>
      <c r="J144" s="115"/>
    </row>
    <row r="145" spans="1:10">
      <c r="A145" s="124" t="s">
        <v>1230</v>
      </c>
      <c r="B145" s="124" t="s">
        <v>72</v>
      </c>
      <c r="C145" s="124" t="s">
        <v>51</v>
      </c>
      <c r="D145" s="124" t="s">
        <v>472</v>
      </c>
      <c r="E145" s="124">
        <v>1045</v>
      </c>
      <c r="F145" s="21">
        <v>1901.85</v>
      </c>
      <c r="G145" s="21">
        <v>1901.85</v>
      </c>
      <c r="H145" s="124" t="s">
        <v>396</v>
      </c>
      <c r="I145" s="125" t="s">
        <v>1328</v>
      </c>
      <c r="J145" s="115"/>
    </row>
    <row r="146" spans="1:10">
      <c r="A146" s="124" t="s">
        <v>1230</v>
      </c>
      <c r="B146" s="124" t="s">
        <v>72</v>
      </c>
      <c r="C146" s="124" t="s">
        <v>51</v>
      </c>
      <c r="D146" s="124" t="s">
        <v>472</v>
      </c>
      <c r="E146" s="124">
        <v>1046</v>
      </c>
      <c r="F146" s="21">
        <v>1901.85</v>
      </c>
      <c r="G146" s="21">
        <v>1901.85</v>
      </c>
      <c r="H146" s="124" t="s">
        <v>396</v>
      </c>
      <c r="I146" s="125" t="s">
        <v>1328</v>
      </c>
      <c r="J146" s="115"/>
    </row>
    <row r="147" spans="1:10">
      <c r="A147" s="124" t="s">
        <v>1230</v>
      </c>
      <c r="B147" s="124" t="s">
        <v>72</v>
      </c>
      <c r="C147" s="124" t="s">
        <v>51</v>
      </c>
      <c r="D147" s="124" t="s">
        <v>1331</v>
      </c>
      <c r="E147" s="124">
        <v>1047</v>
      </c>
      <c r="F147" s="21">
        <v>1173.44</v>
      </c>
      <c r="G147" s="21">
        <v>1173.44</v>
      </c>
      <c r="H147" s="124" t="s">
        <v>396</v>
      </c>
      <c r="I147" s="125" t="s">
        <v>1332</v>
      </c>
      <c r="J147" s="115"/>
    </row>
    <row r="148" spans="1:10">
      <c r="A148" s="124" t="s">
        <v>1230</v>
      </c>
      <c r="B148" s="124" t="s">
        <v>72</v>
      </c>
      <c r="C148" s="124" t="s">
        <v>51</v>
      </c>
      <c r="D148" s="124" t="s">
        <v>1333</v>
      </c>
      <c r="E148" s="124">
        <v>1048</v>
      </c>
      <c r="F148" s="21">
        <v>5500</v>
      </c>
      <c r="G148" s="21">
        <v>5500</v>
      </c>
      <c r="H148" s="124" t="s">
        <v>396</v>
      </c>
      <c r="I148" s="125" t="s">
        <v>1334</v>
      </c>
      <c r="J148" s="115"/>
    </row>
    <row r="149" spans="1:10">
      <c r="A149" s="124" t="s">
        <v>1230</v>
      </c>
      <c r="B149" s="124" t="s">
        <v>72</v>
      </c>
      <c r="C149" s="124" t="s">
        <v>51</v>
      </c>
      <c r="D149" s="124" t="s">
        <v>451</v>
      </c>
      <c r="E149" s="124">
        <v>1049</v>
      </c>
      <c r="F149" s="21">
        <v>4850</v>
      </c>
      <c r="G149" s="21">
        <v>4850</v>
      </c>
      <c r="H149" s="124" t="s">
        <v>396</v>
      </c>
      <c r="I149" s="125" t="s">
        <v>1334</v>
      </c>
      <c r="J149" s="115"/>
    </row>
    <row r="150" spans="1:10">
      <c r="A150" s="124" t="s">
        <v>1230</v>
      </c>
      <c r="B150" s="124" t="s">
        <v>72</v>
      </c>
      <c r="C150" s="124" t="s">
        <v>49</v>
      </c>
      <c r="D150" s="124" t="s">
        <v>1335</v>
      </c>
      <c r="E150" s="124">
        <v>1050</v>
      </c>
      <c r="F150" s="21">
        <v>6000</v>
      </c>
      <c r="G150" s="21">
        <v>6000</v>
      </c>
      <c r="H150" s="124" t="s">
        <v>925</v>
      </c>
      <c r="I150" s="125" t="s">
        <v>1336</v>
      </c>
      <c r="J150" s="115"/>
    </row>
    <row r="151" spans="1:10">
      <c r="A151" s="124" t="s">
        <v>1230</v>
      </c>
      <c r="B151" s="124" t="s">
        <v>1012</v>
      </c>
      <c r="C151" s="124" t="s">
        <v>51</v>
      </c>
      <c r="D151" s="124" t="s">
        <v>1337</v>
      </c>
      <c r="E151" s="124">
        <v>1051</v>
      </c>
      <c r="F151" s="21">
        <v>75000</v>
      </c>
      <c r="G151" s="21">
        <v>75000</v>
      </c>
      <c r="H151" s="124" t="s">
        <v>1338</v>
      </c>
      <c r="I151" s="125" t="s">
        <v>1339</v>
      </c>
      <c r="J151" s="115"/>
    </row>
    <row r="152" spans="1:10">
      <c r="A152" s="124" t="s">
        <v>1230</v>
      </c>
      <c r="B152" s="124" t="s">
        <v>1012</v>
      </c>
      <c r="C152" s="124" t="s">
        <v>51</v>
      </c>
      <c r="D152" s="124" t="s">
        <v>1319</v>
      </c>
      <c r="E152" s="124">
        <v>1052</v>
      </c>
      <c r="F152" s="21">
        <v>2476</v>
      </c>
      <c r="G152" s="21">
        <v>2476</v>
      </c>
      <c r="H152" s="124" t="s">
        <v>458</v>
      </c>
      <c r="I152" s="125" t="s">
        <v>1339</v>
      </c>
      <c r="J152" s="115"/>
    </row>
    <row r="153" spans="1:10">
      <c r="A153" s="124" t="s">
        <v>1230</v>
      </c>
      <c r="B153" s="124" t="s">
        <v>76</v>
      </c>
      <c r="C153" s="124" t="s">
        <v>55</v>
      </c>
      <c r="D153" s="124" t="s">
        <v>461</v>
      </c>
      <c r="E153" s="124">
        <v>4619</v>
      </c>
      <c r="F153" s="21">
        <v>1715</v>
      </c>
      <c r="G153" s="21">
        <v>1715</v>
      </c>
      <c r="H153" s="124" t="s">
        <v>875</v>
      </c>
      <c r="I153" s="125" t="s">
        <v>1340</v>
      </c>
      <c r="J153" s="115"/>
    </row>
    <row r="154" spans="1:10">
      <c r="A154" s="124" t="s">
        <v>1230</v>
      </c>
      <c r="B154" s="124" t="s">
        <v>76</v>
      </c>
      <c r="C154" s="124" t="s">
        <v>55</v>
      </c>
      <c r="D154" s="124" t="s">
        <v>461</v>
      </c>
      <c r="E154" s="124">
        <v>4620</v>
      </c>
      <c r="F154" s="21">
        <v>1715</v>
      </c>
      <c r="G154" s="21">
        <v>1715</v>
      </c>
      <c r="H154" s="124" t="s">
        <v>875</v>
      </c>
      <c r="I154" s="125" t="s">
        <v>1340</v>
      </c>
      <c r="J154" s="115"/>
    </row>
    <row r="155" spans="1:10">
      <c r="A155" s="124" t="s">
        <v>1230</v>
      </c>
      <c r="B155" s="124" t="s">
        <v>73</v>
      </c>
      <c r="C155" s="124" t="s">
        <v>53</v>
      </c>
      <c r="D155" s="124" t="s">
        <v>964</v>
      </c>
      <c r="E155" s="124">
        <v>4621</v>
      </c>
      <c r="F155" s="21">
        <v>1500</v>
      </c>
      <c r="G155" s="21">
        <v>1500</v>
      </c>
      <c r="H155" s="124" t="s">
        <v>457</v>
      </c>
      <c r="I155" s="125" t="s">
        <v>1340</v>
      </c>
      <c r="J155" s="115"/>
    </row>
    <row r="156" spans="1:10">
      <c r="A156" s="124" t="s">
        <v>1230</v>
      </c>
      <c r="B156" s="124" t="s">
        <v>76</v>
      </c>
      <c r="C156" s="124" t="s">
        <v>55</v>
      </c>
      <c r="D156" s="124" t="s">
        <v>774</v>
      </c>
      <c r="E156" s="124">
        <v>4622</v>
      </c>
      <c r="F156" s="122">
        <v>475</v>
      </c>
      <c r="G156" s="122">
        <v>475</v>
      </c>
      <c r="H156" s="124" t="s">
        <v>875</v>
      </c>
      <c r="I156" s="125" t="s">
        <v>1341</v>
      </c>
      <c r="J156" s="115"/>
    </row>
    <row r="157" spans="1:10">
      <c r="A157" s="124" t="s">
        <v>1230</v>
      </c>
      <c r="B157" s="124" t="s">
        <v>76</v>
      </c>
      <c r="C157" s="124" t="s">
        <v>55</v>
      </c>
      <c r="D157" s="124" t="s">
        <v>774</v>
      </c>
      <c r="E157" s="124">
        <v>4623</v>
      </c>
      <c r="F157" s="122">
        <v>475</v>
      </c>
      <c r="G157" s="122">
        <v>475</v>
      </c>
      <c r="H157" s="124" t="s">
        <v>875</v>
      </c>
      <c r="I157" s="125" t="s">
        <v>1341</v>
      </c>
      <c r="J157" s="115"/>
    </row>
    <row r="158" spans="1:10">
      <c r="A158" s="124" t="s">
        <v>1230</v>
      </c>
      <c r="B158" s="124" t="s">
        <v>76</v>
      </c>
      <c r="C158" s="124" t="s">
        <v>55</v>
      </c>
      <c r="D158" s="124" t="s">
        <v>774</v>
      </c>
      <c r="E158" s="124">
        <v>4624</v>
      </c>
      <c r="F158" s="122">
        <v>475</v>
      </c>
      <c r="G158" s="122">
        <v>475</v>
      </c>
      <c r="H158" s="124" t="s">
        <v>875</v>
      </c>
      <c r="I158" s="125" t="s">
        <v>1341</v>
      </c>
      <c r="J158" s="115"/>
    </row>
    <row r="159" spans="1:10">
      <c r="A159" s="124" t="s">
        <v>1230</v>
      </c>
      <c r="B159" s="124" t="s">
        <v>76</v>
      </c>
      <c r="C159" s="124" t="s">
        <v>55</v>
      </c>
      <c r="D159" s="124" t="s">
        <v>774</v>
      </c>
      <c r="E159" s="124">
        <v>4625</v>
      </c>
      <c r="F159" s="122">
        <v>475</v>
      </c>
      <c r="G159" s="122">
        <v>475</v>
      </c>
      <c r="H159" s="124" t="s">
        <v>875</v>
      </c>
      <c r="I159" s="125" t="s">
        <v>1341</v>
      </c>
      <c r="J159" s="115"/>
    </row>
    <row r="160" spans="1:10">
      <c r="A160" s="124" t="s">
        <v>1230</v>
      </c>
      <c r="B160" s="124" t="s">
        <v>76</v>
      </c>
      <c r="C160" s="124" t="s">
        <v>55</v>
      </c>
      <c r="D160" s="124" t="s">
        <v>774</v>
      </c>
      <c r="E160" s="124">
        <v>4626</v>
      </c>
      <c r="F160" s="122">
        <v>475</v>
      </c>
      <c r="G160" s="122">
        <v>475</v>
      </c>
      <c r="H160" s="124" t="s">
        <v>875</v>
      </c>
      <c r="I160" s="125" t="s">
        <v>1341</v>
      </c>
      <c r="J160" s="115"/>
    </row>
    <row r="161" spans="1:10">
      <c r="A161" s="124" t="s">
        <v>1230</v>
      </c>
      <c r="B161" s="124" t="s">
        <v>76</v>
      </c>
      <c r="C161" s="124" t="s">
        <v>55</v>
      </c>
      <c r="D161" s="124" t="s">
        <v>774</v>
      </c>
      <c r="E161" s="124">
        <v>4627</v>
      </c>
      <c r="F161" s="122">
        <v>475</v>
      </c>
      <c r="G161" s="122">
        <v>475</v>
      </c>
      <c r="H161" s="124" t="s">
        <v>875</v>
      </c>
      <c r="I161" s="125" t="s">
        <v>1341</v>
      </c>
      <c r="J161" s="115"/>
    </row>
    <row r="162" spans="1:10">
      <c r="A162" s="124" t="s">
        <v>1230</v>
      </c>
      <c r="B162" s="124" t="s">
        <v>76</v>
      </c>
      <c r="C162" s="124" t="s">
        <v>55</v>
      </c>
      <c r="D162" s="124" t="s">
        <v>774</v>
      </c>
      <c r="E162" s="124">
        <v>4628</v>
      </c>
      <c r="F162" s="122">
        <v>475</v>
      </c>
      <c r="G162" s="122">
        <v>475</v>
      </c>
      <c r="H162" s="124" t="s">
        <v>875</v>
      </c>
      <c r="I162" s="125" t="s">
        <v>1341</v>
      </c>
      <c r="J162" s="115"/>
    </row>
    <row r="163" spans="1:10">
      <c r="A163" s="124" t="s">
        <v>1230</v>
      </c>
      <c r="B163" s="124" t="s">
        <v>76</v>
      </c>
      <c r="C163" s="124" t="s">
        <v>55</v>
      </c>
      <c r="D163" s="124" t="s">
        <v>774</v>
      </c>
      <c r="E163" s="124">
        <v>4629</v>
      </c>
      <c r="F163" s="122">
        <v>475</v>
      </c>
      <c r="G163" s="122">
        <v>475</v>
      </c>
      <c r="H163" s="124" t="s">
        <v>875</v>
      </c>
      <c r="I163" s="125" t="s">
        <v>1341</v>
      </c>
      <c r="J163" s="115"/>
    </row>
    <row r="164" spans="1:10">
      <c r="A164" s="124" t="s">
        <v>1230</v>
      </c>
      <c r="B164" s="124" t="s">
        <v>76</v>
      </c>
      <c r="C164" s="124" t="s">
        <v>55</v>
      </c>
      <c r="D164" s="124" t="s">
        <v>774</v>
      </c>
      <c r="E164" s="124">
        <v>4630</v>
      </c>
      <c r="F164" s="122">
        <v>475</v>
      </c>
      <c r="G164" s="122">
        <v>475</v>
      </c>
      <c r="H164" s="124" t="s">
        <v>875</v>
      </c>
      <c r="I164" s="125" t="s">
        <v>1341</v>
      </c>
      <c r="J164" s="115"/>
    </row>
    <row r="165" spans="1:10">
      <c r="A165" s="124" t="s">
        <v>1230</v>
      </c>
      <c r="B165" s="124" t="s">
        <v>76</v>
      </c>
      <c r="C165" s="124" t="s">
        <v>55</v>
      </c>
      <c r="D165" s="124" t="s">
        <v>774</v>
      </c>
      <c r="E165" s="124">
        <v>4631</v>
      </c>
      <c r="F165" s="122">
        <v>475</v>
      </c>
      <c r="G165" s="122">
        <v>475</v>
      </c>
      <c r="H165" s="124" t="s">
        <v>875</v>
      </c>
      <c r="I165" s="125" t="s">
        <v>1341</v>
      </c>
      <c r="J165" s="115"/>
    </row>
    <row r="166" spans="1:10">
      <c r="A166" s="124" t="s">
        <v>1230</v>
      </c>
      <c r="B166" s="124" t="s">
        <v>76</v>
      </c>
      <c r="C166" s="124" t="s">
        <v>55</v>
      </c>
      <c r="D166" s="124" t="s">
        <v>774</v>
      </c>
      <c r="E166" s="124">
        <v>4632</v>
      </c>
      <c r="F166" s="122">
        <v>475</v>
      </c>
      <c r="G166" s="122">
        <v>475</v>
      </c>
      <c r="H166" s="124" t="s">
        <v>875</v>
      </c>
      <c r="I166" s="125" t="s">
        <v>1341</v>
      </c>
      <c r="J166" s="115"/>
    </row>
    <row r="167" spans="1:10">
      <c r="A167" s="124" t="s">
        <v>1230</v>
      </c>
      <c r="B167" s="124" t="s">
        <v>76</v>
      </c>
      <c r="C167" s="124" t="s">
        <v>55</v>
      </c>
      <c r="D167" s="124" t="s">
        <v>774</v>
      </c>
      <c r="E167" s="124">
        <v>4633</v>
      </c>
      <c r="F167" s="122">
        <v>475</v>
      </c>
      <c r="G167" s="122">
        <v>475</v>
      </c>
      <c r="H167" s="124" t="s">
        <v>875</v>
      </c>
      <c r="I167" s="125" t="s">
        <v>1341</v>
      </c>
      <c r="J167" s="115"/>
    </row>
    <row r="168" spans="1:10">
      <c r="A168" s="124" t="s">
        <v>1230</v>
      </c>
      <c r="B168" s="124" t="s">
        <v>76</v>
      </c>
      <c r="C168" s="124" t="s">
        <v>55</v>
      </c>
      <c r="D168" s="124" t="s">
        <v>774</v>
      </c>
      <c r="E168" s="124">
        <v>4634</v>
      </c>
      <c r="F168" s="122">
        <v>475</v>
      </c>
      <c r="G168" s="122">
        <v>475</v>
      </c>
      <c r="H168" s="124" t="s">
        <v>875</v>
      </c>
      <c r="I168" s="125" t="s">
        <v>1341</v>
      </c>
      <c r="J168" s="115"/>
    </row>
    <row r="169" spans="1:10">
      <c r="A169" s="124" t="s">
        <v>1230</v>
      </c>
      <c r="B169" s="124" t="s">
        <v>76</v>
      </c>
      <c r="C169" s="124" t="s">
        <v>55</v>
      </c>
      <c r="D169" s="124" t="s">
        <v>774</v>
      </c>
      <c r="E169" s="124">
        <v>4635</v>
      </c>
      <c r="F169" s="122">
        <v>475</v>
      </c>
      <c r="G169" s="122">
        <v>475</v>
      </c>
      <c r="H169" s="124" t="s">
        <v>875</v>
      </c>
      <c r="I169" s="125" t="s">
        <v>1341</v>
      </c>
      <c r="J169" s="115"/>
    </row>
    <row r="170" spans="1:10">
      <c r="A170" s="124" t="s">
        <v>1230</v>
      </c>
      <c r="B170" s="124" t="s">
        <v>76</v>
      </c>
      <c r="C170" s="124" t="s">
        <v>55</v>
      </c>
      <c r="D170" s="124" t="s">
        <v>774</v>
      </c>
      <c r="E170" s="124">
        <v>4636</v>
      </c>
      <c r="F170" s="122">
        <v>475</v>
      </c>
      <c r="G170" s="122">
        <v>475</v>
      </c>
      <c r="H170" s="124" t="s">
        <v>875</v>
      </c>
      <c r="I170" s="125" t="s">
        <v>1341</v>
      </c>
      <c r="J170" s="115"/>
    </row>
    <row r="171" spans="1:10">
      <c r="A171" s="124" t="s">
        <v>1230</v>
      </c>
      <c r="B171" s="124" t="s">
        <v>76</v>
      </c>
      <c r="C171" s="124" t="s">
        <v>55</v>
      </c>
      <c r="D171" s="124" t="s">
        <v>774</v>
      </c>
      <c r="E171" s="124">
        <v>4637</v>
      </c>
      <c r="F171" s="122">
        <v>475</v>
      </c>
      <c r="G171" s="122">
        <v>475</v>
      </c>
      <c r="H171" s="124" t="s">
        <v>875</v>
      </c>
      <c r="I171" s="125" t="s">
        <v>1341</v>
      </c>
      <c r="J171" s="115"/>
    </row>
    <row r="172" spans="1:10">
      <c r="A172" s="124" t="s">
        <v>1230</v>
      </c>
      <c r="B172" s="124" t="s">
        <v>76</v>
      </c>
      <c r="C172" s="124" t="s">
        <v>55</v>
      </c>
      <c r="D172" s="124" t="s">
        <v>774</v>
      </c>
      <c r="E172" s="124">
        <v>4638</v>
      </c>
      <c r="F172" s="122">
        <v>475</v>
      </c>
      <c r="G172" s="122">
        <v>475</v>
      </c>
      <c r="H172" s="124" t="s">
        <v>875</v>
      </c>
      <c r="I172" s="125" t="s">
        <v>1341</v>
      </c>
      <c r="J172" s="115"/>
    </row>
    <row r="173" spans="1:10">
      <c r="A173" s="124" t="s">
        <v>1230</v>
      </c>
      <c r="B173" s="124" t="s">
        <v>76</v>
      </c>
      <c r="C173" s="124" t="s">
        <v>55</v>
      </c>
      <c r="D173" s="124" t="s">
        <v>774</v>
      </c>
      <c r="E173" s="124">
        <v>4639</v>
      </c>
      <c r="F173" s="122">
        <v>475</v>
      </c>
      <c r="G173" s="122">
        <v>475</v>
      </c>
      <c r="H173" s="124" t="s">
        <v>875</v>
      </c>
      <c r="I173" s="125" t="s">
        <v>1341</v>
      </c>
      <c r="J173" s="115"/>
    </row>
    <row r="174" spans="1:10">
      <c r="A174" s="124" t="s">
        <v>1230</v>
      </c>
      <c r="B174" s="124" t="s">
        <v>76</v>
      </c>
      <c r="C174" s="124" t="s">
        <v>55</v>
      </c>
      <c r="D174" s="124" t="s">
        <v>774</v>
      </c>
      <c r="E174" s="124">
        <v>4640</v>
      </c>
      <c r="F174" s="122">
        <v>475</v>
      </c>
      <c r="G174" s="122">
        <v>475</v>
      </c>
      <c r="H174" s="124" t="s">
        <v>875</v>
      </c>
      <c r="I174" s="125" t="s">
        <v>1341</v>
      </c>
      <c r="J174" s="115"/>
    </row>
    <row r="175" spans="1:10">
      <c r="A175" s="124" t="s">
        <v>1230</v>
      </c>
      <c r="B175" s="124" t="s">
        <v>76</v>
      </c>
      <c r="C175" s="124" t="s">
        <v>55</v>
      </c>
      <c r="D175" s="124" t="s">
        <v>774</v>
      </c>
      <c r="E175" s="124">
        <v>4641</v>
      </c>
      <c r="F175" s="122">
        <v>475</v>
      </c>
      <c r="G175" s="122">
        <v>475</v>
      </c>
      <c r="H175" s="124" t="s">
        <v>875</v>
      </c>
      <c r="I175" s="125" t="s">
        <v>1341</v>
      </c>
      <c r="J175" s="115"/>
    </row>
    <row r="176" spans="1:10">
      <c r="A176" s="124" t="s">
        <v>1230</v>
      </c>
      <c r="B176" s="124" t="s">
        <v>1012</v>
      </c>
      <c r="C176" s="124" t="s">
        <v>55</v>
      </c>
      <c r="D176" s="124" t="s">
        <v>796</v>
      </c>
      <c r="E176" s="124">
        <v>4642</v>
      </c>
      <c r="F176" s="122">
        <v>380</v>
      </c>
      <c r="G176" s="122">
        <v>380</v>
      </c>
      <c r="H176" s="124" t="s">
        <v>458</v>
      </c>
      <c r="I176" s="125" t="s">
        <v>1235</v>
      </c>
      <c r="J176" s="115"/>
    </row>
    <row r="177" spans="1:10">
      <c r="A177" s="124" t="s">
        <v>1230</v>
      </c>
      <c r="B177" s="124" t="s">
        <v>72</v>
      </c>
      <c r="C177" s="124" t="s">
        <v>55</v>
      </c>
      <c r="D177" s="124" t="s">
        <v>1031</v>
      </c>
      <c r="E177" s="124">
        <v>4643</v>
      </c>
      <c r="F177" s="122">
        <v>769</v>
      </c>
      <c r="G177" s="122">
        <v>769</v>
      </c>
      <c r="H177" s="124" t="s">
        <v>396</v>
      </c>
      <c r="I177" s="125" t="s">
        <v>1342</v>
      </c>
      <c r="J177" s="115"/>
    </row>
    <row r="178" spans="1:10">
      <c r="A178" s="124" t="s">
        <v>1230</v>
      </c>
      <c r="B178" s="124" t="s">
        <v>72</v>
      </c>
      <c r="C178" s="124" t="s">
        <v>55</v>
      </c>
      <c r="D178" s="124" t="s">
        <v>701</v>
      </c>
      <c r="E178" s="124">
        <v>4644</v>
      </c>
      <c r="F178" s="122">
        <v>399</v>
      </c>
      <c r="G178" s="122">
        <v>399</v>
      </c>
      <c r="H178" s="124" t="s">
        <v>396</v>
      </c>
      <c r="I178" s="125" t="s">
        <v>1342</v>
      </c>
      <c r="J178" s="115"/>
    </row>
    <row r="179" spans="1:10">
      <c r="A179" s="124" t="s">
        <v>1230</v>
      </c>
      <c r="B179" s="124" t="s">
        <v>76</v>
      </c>
      <c r="C179" s="124" t="s">
        <v>55</v>
      </c>
      <c r="D179" s="124" t="s">
        <v>740</v>
      </c>
      <c r="E179" s="124">
        <v>4648</v>
      </c>
      <c r="F179" s="122">
        <v>900</v>
      </c>
      <c r="G179" s="122">
        <v>900</v>
      </c>
      <c r="H179" s="124" t="s">
        <v>875</v>
      </c>
      <c r="I179" s="125" t="s">
        <v>1343</v>
      </c>
      <c r="J179" s="115"/>
    </row>
    <row r="180" spans="1:10">
      <c r="A180" s="124" t="s">
        <v>1230</v>
      </c>
      <c r="B180" s="124" t="s">
        <v>76</v>
      </c>
      <c r="C180" s="124" t="s">
        <v>55</v>
      </c>
      <c r="D180" s="124" t="s">
        <v>1032</v>
      </c>
      <c r="E180" s="124">
        <v>4649</v>
      </c>
      <c r="F180" s="122">
        <v>400</v>
      </c>
      <c r="G180" s="122">
        <v>400</v>
      </c>
      <c r="H180" s="124" t="s">
        <v>875</v>
      </c>
      <c r="I180" s="125" t="s">
        <v>1343</v>
      </c>
      <c r="J180" s="115"/>
    </row>
    <row r="181" spans="1:10">
      <c r="A181" s="124" t="s">
        <v>1230</v>
      </c>
      <c r="B181" s="124" t="s">
        <v>76</v>
      </c>
      <c r="C181" s="124" t="s">
        <v>55</v>
      </c>
      <c r="D181" s="124" t="s">
        <v>910</v>
      </c>
      <c r="E181" s="124">
        <v>4650</v>
      </c>
      <c r="F181" s="21">
        <v>1199</v>
      </c>
      <c r="G181" s="21">
        <v>1199</v>
      </c>
      <c r="H181" s="124" t="s">
        <v>875</v>
      </c>
      <c r="I181" s="125" t="s">
        <v>1343</v>
      </c>
      <c r="J181" s="115"/>
    </row>
    <row r="182" spans="1:10">
      <c r="A182" s="124" t="s">
        <v>1230</v>
      </c>
      <c r="B182" s="124" t="s">
        <v>76</v>
      </c>
      <c r="C182" s="124" t="s">
        <v>55</v>
      </c>
      <c r="D182" s="124" t="s">
        <v>910</v>
      </c>
      <c r="E182" s="124">
        <v>4651</v>
      </c>
      <c r="F182" s="21">
        <v>1199</v>
      </c>
      <c r="G182" s="21">
        <v>1199</v>
      </c>
      <c r="H182" s="124" t="s">
        <v>875</v>
      </c>
      <c r="I182" s="125" t="s">
        <v>1343</v>
      </c>
      <c r="J182" s="115"/>
    </row>
    <row r="183" spans="1:10">
      <c r="A183" s="124" t="s">
        <v>1230</v>
      </c>
      <c r="B183" s="124" t="s">
        <v>76</v>
      </c>
      <c r="C183" s="124" t="s">
        <v>55</v>
      </c>
      <c r="D183" s="124" t="s">
        <v>1033</v>
      </c>
      <c r="E183" s="124">
        <v>4652</v>
      </c>
      <c r="F183" s="21">
        <v>1099</v>
      </c>
      <c r="G183" s="21">
        <v>1099</v>
      </c>
      <c r="H183" s="124" t="s">
        <v>875</v>
      </c>
      <c r="I183" s="125" t="s">
        <v>1343</v>
      </c>
      <c r="J183" s="115"/>
    </row>
    <row r="184" spans="1:10">
      <c r="A184" s="124" t="s">
        <v>1230</v>
      </c>
      <c r="B184" s="124" t="s">
        <v>76</v>
      </c>
      <c r="C184" s="124" t="s">
        <v>55</v>
      </c>
      <c r="D184" s="124" t="s">
        <v>1033</v>
      </c>
      <c r="E184" s="124">
        <v>4653</v>
      </c>
      <c r="F184" s="21">
        <v>1099</v>
      </c>
      <c r="G184" s="21">
        <v>1099</v>
      </c>
      <c r="H184" s="124" t="s">
        <v>875</v>
      </c>
      <c r="I184" s="125" t="s">
        <v>1343</v>
      </c>
      <c r="J184" s="115"/>
    </row>
    <row r="185" spans="1:10">
      <c r="A185" s="124" t="s">
        <v>1230</v>
      </c>
      <c r="B185" s="124" t="s">
        <v>76</v>
      </c>
      <c r="C185" s="124" t="s">
        <v>55</v>
      </c>
      <c r="D185" s="124" t="s">
        <v>1033</v>
      </c>
      <c r="E185" s="124">
        <v>4654</v>
      </c>
      <c r="F185" s="21">
        <v>1099</v>
      </c>
      <c r="G185" s="21">
        <v>1099</v>
      </c>
      <c r="H185" s="124" t="s">
        <v>875</v>
      </c>
      <c r="I185" s="125" t="s">
        <v>1343</v>
      </c>
      <c r="J185" s="115"/>
    </row>
    <row r="186" spans="1:10">
      <c r="A186" s="124" t="s">
        <v>1230</v>
      </c>
      <c r="B186" s="124" t="s">
        <v>73</v>
      </c>
      <c r="C186" s="124" t="s">
        <v>43</v>
      </c>
      <c r="D186" s="124" t="s">
        <v>951</v>
      </c>
      <c r="E186" s="124">
        <v>4655</v>
      </c>
      <c r="F186" s="21">
        <v>2483.58</v>
      </c>
      <c r="G186" s="21">
        <v>2483.58</v>
      </c>
      <c r="H186" s="124" t="s">
        <v>442</v>
      </c>
      <c r="I186" s="125" t="s">
        <v>1344</v>
      </c>
      <c r="J186" s="115"/>
    </row>
    <row r="187" spans="1:10">
      <c r="A187" s="124" t="s">
        <v>1230</v>
      </c>
      <c r="B187" s="124" t="s">
        <v>72</v>
      </c>
      <c r="C187" s="124" t="s">
        <v>51</v>
      </c>
      <c r="D187" s="124" t="s">
        <v>534</v>
      </c>
      <c r="E187" s="124">
        <v>4656</v>
      </c>
      <c r="F187" s="21">
        <v>3097.24</v>
      </c>
      <c r="G187" s="21">
        <v>3097.24</v>
      </c>
      <c r="H187" s="124" t="s">
        <v>396</v>
      </c>
      <c r="I187" s="125" t="s">
        <v>1239</v>
      </c>
      <c r="J187" s="115"/>
    </row>
    <row r="188" spans="1:10">
      <c r="A188" s="124" t="s">
        <v>1230</v>
      </c>
      <c r="B188" s="124" t="s">
        <v>73</v>
      </c>
      <c r="C188" s="124" t="s">
        <v>55</v>
      </c>
      <c r="D188" s="124" t="s">
        <v>1056</v>
      </c>
      <c r="E188" s="124">
        <v>4657</v>
      </c>
      <c r="F188" s="122">
        <v>899</v>
      </c>
      <c r="G188" s="122">
        <v>899</v>
      </c>
      <c r="H188" s="124" t="s">
        <v>415</v>
      </c>
      <c r="I188" s="125" t="s">
        <v>1345</v>
      </c>
      <c r="J188" s="115"/>
    </row>
    <row r="189" spans="1:10">
      <c r="A189" s="124" t="s">
        <v>1230</v>
      </c>
      <c r="B189" s="124" t="s">
        <v>73</v>
      </c>
      <c r="C189" s="124" t="s">
        <v>55</v>
      </c>
      <c r="D189" s="124" t="s">
        <v>1057</v>
      </c>
      <c r="E189" s="124">
        <v>4658</v>
      </c>
      <c r="F189" s="21">
        <v>1689</v>
      </c>
      <c r="G189" s="21">
        <v>1689</v>
      </c>
      <c r="H189" s="124" t="s">
        <v>415</v>
      </c>
      <c r="I189" s="125" t="s">
        <v>1345</v>
      </c>
      <c r="J189" s="115"/>
    </row>
    <row r="190" spans="1:10">
      <c r="A190" s="124" t="s">
        <v>1230</v>
      </c>
      <c r="B190" s="124" t="s">
        <v>72</v>
      </c>
      <c r="C190" s="124" t="s">
        <v>51</v>
      </c>
      <c r="D190" s="124" t="s">
        <v>882</v>
      </c>
      <c r="E190" s="124">
        <v>4659</v>
      </c>
      <c r="F190" s="21">
        <v>2220</v>
      </c>
      <c r="G190" s="21">
        <v>2220</v>
      </c>
      <c r="H190" s="124" t="s">
        <v>396</v>
      </c>
      <c r="I190" s="125" t="s">
        <v>1241</v>
      </c>
      <c r="J190" s="115"/>
    </row>
    <row r="191" spans="1:10">
      <c r="A191" s="124" t="s">
        <v>1230</v>
      </c>
      <c r="B191" s="124" t="s">
        <v>73</v>
      </c>
      <c r="C191" s="124" t="s">
        <v>43</v>
      </c>
      <c r="D191" s="124" t="s">
        <v>1058</v>
      </c>
      <c r="E191" s="124">
        <v>4660</v>
      </c>
      <c r="F191" s="21">
        <v>3107</v>
      </c>
      <c r="G191" s="21">
        <v>3107</v>
      </c>
      <c r="H191" s="124" t="s">
        <v>442</v>
      </c>
      <c r="I191" s="125" t="s">
        <v>1346</v>
      </c>
      <c r="J191" s="115"/>
    </row>
    <row r="192" spans="1:10">
      <c r="A192" s="124" t="s">
        <v>1230</v>
      </c>
      <c r="B192" s="124" t="s">
        <v>73</v>
      </c>
      <c r="C192" s="124" t="s">
        <v>43</v>
      </c>
      <c r="D192" s="124" t="s">
        <v>1058</v>
      </c>
      <c r="E192" s="124">
        <v>4661</v>
      </c>
      <c r="F192" s="21">
        <v>1688</v>
      </c>
      <c r="G192" s="21">
        <v>1688</v>
      </c>
      <c r="H192" s="124" t="s">
        <v>442</v>
      </c>
      <c r="I192" s="125" t="s">
        <v>1346</v>
      </c>
      <c r="J192" s="115"/>
    </row>
    <row r="193" spans="1:10">
      <c r="A193" s="124" t="s">
        <v>1231</v>
      </c>
      <c r="B193" s="124" t="s">
        <v>72</v>
      </c>
      <c r="C193" s="124" t="s">
        <v>64</v>
      </c>
      <c r="D193" s="124" t="s">
        <v>1059</v>
      </c>
      <c r="E193" s="124">
        <v>4662</v>
      </c>
      <c r="F193" s="21">
        <v>26160</v>
      </c>
      <c r="G193" s="21">
        <v>26160</v>
      </c>
      <c r="H193" s="124" t="s">
        <v>649</v>
      </c>
      <c r="I193" s="125" t="s">
        <v>1347</v>
      </c>
      <c r="J193" s="115"/>
    </row>
    <row r="194" spans="1:10">
      <c r="A194" s="124" t="s">
        <v>1230</v>
      </c>
      <c r="B194" s="124" t="s">
        <v>73</v>
      </c>
      <c r="C194" s="124" t="s">
        <v>43</v>
      </c>
      <c r="D194" s="124" t="s">
        <v>1060</v>
      </c>
      <c r="E194" s="124">
        <v>4663</v>
      </c>
      <c r="F194" s="21">
        <v>1159.3900000000001</v>
      </c>
      <c r="G194" s="21">
        <v>1159.3900000000001</v>
      </c>
      <c r="H194" s="124" t="s">
        <v>457</v>
      </c>
      <c r="I194" s="125" t="s">
        <v>1245</v>
      </c>
      <c r="J194" s="115"/>
    </row>
    <row r="195" spans="1:10">
      <c r="A195" s="124" t="s">
        <v>1230</v>
      </c>
      <c r="B195" s="124" t="s">
        <v>76</v>
      </c>
      <c r="C195" s="124" t="s">
        <v>43</v>
      </c>
      <c r="D195" s="124" t="s">
        <v>1060</v>
      </c>
      <c r="E195" s="124">
        <v>4664</v>
      </c>
      <c r="F195" s="21">
        <v>1159.3900000000001</v>
      </c>
      <c r="G195" s="21">
        <v>1159.3900000000001</v>
      </c>
      <c r="H195" s="124" t="s">
        <v>875</v>
      </c>
      <c r="I195" s="125" t="s">
        <v>1245</v>
      </c>
      <c r="J195" s="115"/>
    </row>
    <row r="196" spans="1:10">
      <c r="A196" s="124" t="s">
        <v>1230</v>
      </c>
      <c r="B196" s="124" t="s">
        <v>71</v>
      </c>
      <c r="C196" s="124" t="s">
        <v>43</v>
      </c>
      <c r="D196" s="124" t="s">
        <v>1061</v>
      </c>
      <c r="E196" s="124">
        <v>4665</v>
      </c>
      <c r="F196" s="21">
        <v>2321</v>
      </c>
      <c r="G196" s="21">
        <v>2321</v>
      </c>
      <c r="H196" s="124" t="s">
        <v>1062</v>
      </c>
      <c r="I196" s="125" t="s">
        <v>1245</v>
      </c>
      <c r="J196" s="115"/>
    </row>
    <row r="197" spans="1:10">
      <c r="A197" s="124" t="s">
        <v>1230</v>
      </c>
      <c r="B197" s="124" t="s">
        <v>71</v>
      </c>
      <c r="C197" s="124" t="s">
        <v>43</v>
      </c>
      <c r="D197" s="124" t="s">
        <v>1061</v>
      </c>
      <c r="E197" s="124">
        <v>4666</v>
      </c>
      <c r="F197" s="21">
        <v>2321</v>
      </c>
      <c r="G197" s="21">
        <v>2321</v>
      </c>
      <c r="H197" s="124" t="s">
        <v>1062</v>
      </c>
      <c r="I197" s="125" t="s">
        <v>1245</v>
      </c>
      <c r="J197" s="115"/>
    </row>
    <row r="198" spans="1:10">
      <c r="A198" s="124" t="s">
        <v>1230</v>
      </c>
      <c r="B198" s="124" t="s">
        <v>72</v>
      </c>
      <c r="C198" s="124" t="s">
        <v>51</v>
      </c>
      <c r="D198" s="124" t="s">
        <v>1063</v>
      </c>
      <c r="E198" s="124">
        <v>4667</v>
      </c>
      <c r="F198" s="122">
        <v>499.01</v>
      </c>
      <c r="G198" s="122">
        <v>499.01</v>
      </c>
      <c r="H198" s="124" t="s">
        <v>1064</v>
      </c>
      <c r="I198" s="125" t="s">
        <v>1245</v>
      </c>
      <c r="J198" s="115"/>
    </row>
    <row r="199" spans="1:10">
      <c r="A199" s="124" t="s">
        <v>1230</v>
      </c>
      <c r="B199" s="124" t="s">
        <v>72</v>
      </c>
      <c r="C199" s="124" t="s">
        <v>53</v>
      </c>
      <c r="D199" s="124" t="s">
        <v>910</v>
      </c>
      <c r="E199" s="124">
        <v>4668</v>
      </c>
      <c r="F199" s="21">
        <v>1199</v>
      </c>
      <c r="G199" s="21">
        <v>1199</v>
      </c>
      <c r="H199" s="124" t="s">
        <v>1065</v>
      </c>
      <c r="I199" s="125" t="s">
        <v>1245</v>
      </c>
      <c r="J199" s="115"/>
    </row>
    <row r="200" spans="1:10">
      <c r="A200" s="124" t="s">
        <v>1230</v>
      </c>
      <c r="B200" s="124" t="s">
        <v>72</v>
      </c>
      <c r="C200" s="124" t="s">
        <v>55</v>
      </c>
      <c r="D200" s="124" t="s">
        <v>776</v>
      </c>
      <c r="E200" s="124">
        <v>4669</v>
      </c>
      <c r="F200" s="122">
        <v>249</v>
      </c>
      <c r="G200" s="122">
        <v>249</v>
      </c>
      <c r="H200" s="124" t="s">
        <v>396</v>
      </c>
      <c r="I200" s="125" t="s">
        <v>1245</v>
      </c>
      <c r="J200" s="115"/>
    </row>
    <row r="201" spans="1:10">
      <c r="A201" s="124" t="s">
        <v>1230</v>
      </c>
      <c r="B201" s="124" t="s">
        <v>72</v>
      </c>
      <c r="C201" s="124" t="s">
        <v>55</v>
      </c>
      <c r="D201" s="124" t="s">
        <v>776</v>
      </c>
      <c r="E201" s="124">
        <v>4670</v>
      </c>
      <c r="F201" s="122">
        <v>249</v>
      </c>
      <c r="G201" s="122">
        <v>249</v>
      </c>
      <c r="H201" s="124" t="s">
        <v>396</v>
      </c>
      <c r="I201" s="125" t="s">
        <v>1245</v>
      </c>
    </row>
    <row r="202" spans="1:10">
      <c r="A202" s="124" t="s">
        <v>1230</v>
      </c>
      <c r="B202" s="124" t="s">
        <v>72</v>
      </c>
      <c r="C202" s="124" t="s">
        <v>50</v>
      </c>
      <c r="D202" s="124" t="s">
        <v>783</v>
      </c>
      <c r="E202" s="124">
        <v>4671</v>
      </c>
      <c r="F202" s="21">
        <v>1349</v>
      </c>
      <c r="G202" s="21">
        <v>1349</v>
      </c>
      <c r="H202" s="124" t="s">
        <v>1066</v>
      </c>
      <c r="I202" s="125" t="s">
        <v>1348</v>
      </c>
    </row>
    <row r="203" spans="1:10">
      <c r="A203" s="124" t="s">
        <v>1230</v>
      </c>
      <c r="B203" s="124" t="s">
        <v>71</v>
      </c>
      <c r="C203" s="124" t="s">
        <v>54</v>
      </c>
      <c r="D203" s="124" t="s">
        <v>736</v>
      </c>
      <c r="E203" s="124">
        <v>4672</v>
      </c>
      <c r="F203" s="21">
        <v>1650</v>
      </c>
      <c r="G203" s="21">
        <v>1650</v>
      </c>
      <c r="H203" s="124" t="s">
        <v>442</v>
      </c>
      <c r="I203" s="125" t="s">
        <v>1247</v>
      </c>
    </row>
    <row r="204" spans="1:10">
      <c r="A204" s="124" t="s">
        <v>1230</v>
      </c>
      <c r="B204" s="124" t="s">
        <v>71</v>
      </c>
      <c r="C204" s="124" t="s">
        <v>54</v>
      </c>
      <c r="D204" s="124" t="s">
        <v>736</v>
      </c>
      <c r="E204" s="124">
        <v>4673</v>
      </c>
      <c r="F204" s="21">
        <v>1650</v>
      </c>
      <c r="G204" s="21">
        <v>1650</v>
      </c>
      <c r="H204" s="124" t="s">
        <v>442</v>
      </c>
      <c r="I204" s="125" t="s">
        <v>1247</v>
      </c>
    </row>
    <row r="205" spans="1:10">
      <c r="A205" s="124" t="s">
        <v>1230</v>
      </c>
      <c r="B205" s="124" t="s">
        <v>71</v>
      </c>
      <c r="C205" s="124" t="s">
        <v>54</v>
      </c>
      <c r="D205" s="124" t="s">
        <v>736</v>
      </c>
      <c r="E205" s="124">
        <v>4674</v>
      </c>
      <c r="F205" s="21">
        <v>1650</v>
      </c>
      <c r="G205" s="21">
        <v>1650</v>
      </c>
      <c r="H205" s="124" t="s">
        <v>442</v>
      </c>
      <c r="I205" s="125" t="s">
        <v>1247</v>
      </c>
    </row>
    <row r="206" spans="1:10">
      <c r="A206" s="124" t="s">
        <v>1230</v>
      </c>
      <c r="B206" s="124" t="s">
        <v>71</v>
      </c>
      <c r="C206" s="124" t="s">
        <v>54</v>
      </c>
      <c r="D206" s="124" t="s">
        <v>736</v>
      </c>
      <c r="E206" s="124">
        <v>4675</v>
      </c>
      <c r="F206" s="21">
        <v>1650</v>
      </c>
      <c r="G206" s="21">
        <v>1650</v>
      </c>
      <c r="H206" s="124" t="s">
        <v>442</v>
      </c>
      <c r="I206" s="125" t="s">
        <v>1247</v>
      </c>
    </row>
    <row r="207" spans="1:10">
      <c r="A207" s="124" t="s">
        <v>1230</v>
      </c>
      <c r="B207" s="124" t="s">
        <v>71</v>
      </c>
      <c r="C207" s="124" t="s">
        <v>54</v>
      </c>
      <c r="D207" s="124" t="s">
        <v>736</v>
      </c>
      <c r="E207" s="124">
        <v>4676</v>
      </c>
      <c r="F207" s="21">
        <v>1650</v>
      </c>
      <c r="G207" s="21">
        <v>1650</v>
      </c>
      <c r="H207" s="124" t="s">
        <v>442</v>
      </c>
      <c r="I207" s="125" t="s">
        <v>1247</v>
      </c>
    </row>
    <row r="208" spans="1:10">
      <c r="A208" s="124" t="s">
        <v>1230</v>
      </c>
      <c r="B208" s="124" t="s">
        <v>71</v>
      </c>
      <c r="C208" s="124" t="s">
        <v>54</v>
      </c>
      <c r="D208" s="124" t="s">
        <v>961</v>
      </c>
      <c r="E208" s="124">
        <v>4677</v>
      </c>
      <c r="F208" s="21">
        <v>2124.1999999999998</v>
      </c>
      <c r="G208" s="21">
        <v>2124.1999999999998</v>
      </c>
      <c r="H208" s="124" t="s">
        <v>442</v>
      </c>
      <c r="I208" s="125" t="s">
        <v>1247</v>
      </c>
    </row>
    <row r="209" spans="1:9">
      <c r="A209" s="124" t="s">
        <v>1230</v>
      </c>
      <c r="B209" s="124" t="s">
        <v>71</v>
      </c>
      <c r="C209" s="124" t="s">
        <v>54</v>
      </c>
      <c r="D209" s="124" t="s">
        <v>961</v>
      </c>
      <c r="E209" s="124">
        <v>4678</v>
      </c>
      <c r="F209" s="21">
        <v>2124.1999999999998</v>
      </c>
      <c r="G209" s="21">
        <v>2124.1999999999998</v>
      </c>
      <c r="H209" s="124" t="s">
        <v>442</v>
      </c>
      <c r="I209" s="125" t="s">
        <v>1247</v>
      </c>
    </row>
    <row r="210" spans="1:9">
      <c r="A210" s="124" t="s">
        <v>1230</v>
      </c>
      <c r="B210" s="124" t="s">
        <v>71</v>
      </c>
      <c r="C210" s="124" t="s">
        <v>54</v>
      </c>
      <c r="D210" s="124" t="s">
        <v>961</v>
      </c>
      <c r="E210" s="124">
        <v>4679</v>
      </c>
      <c r="F210" s="21">
        <v>2124.1999999999998</v>
      </c>
      <c r="G210" s="21">
        <v>2124.1999999999998</v>
      </c>
      <c r="H210" s="124" t="s">
        <v>442</v>
      </c>
      <c r="I210" s="125" t="s">
        <v>1247</v>
      </c>
    </row>
    <row r="211" spans="1:9">
      <c r="A211" s="124" t="s">
        <v>1230</v>
      </c>
      <c r="B211" s="124" t="s">
        <v>72</v>
      </c>
      <c r="C211" s="124" t="s">
        <v>51</v>
      </c>
      <c r="D211" s="124" t="s">
        <v>1063</v>
      </c>
      <c r="E211" s="124">
        <v>4680</v>
      </c>
      <c r="F211" s="122">
        <v>499.01</v>
      </c>
      <c r="G211" s="122">
        <v>499.01</v>
      </c>
      <c r="H211" s="124" t="s">
        <v>396</v>
      </c>
      <c r="I211" s="125" t="s">
        <v>1247</v>
      </c>
    </row>
    <row r="212" spans="1:9">
      <c r="A212" s="124" t="s">
        <v>1230</v>
      </c>
      <c r="B212" s="124" t="s">
        <v>71</v>
      </c>
      <c r="C212" s="124" t="s">
        <v>43</v>
      </c>
      <c r="D212" s="124" t="s">
        <v>700</v>
      </c>
      <c r="E212" s="124">
        <v>4681</v>
      </c>
      <c r="F212" s="122">
        <v>881.91</v>
      </c>
      <c r="G212" s="122">
        <v>881.91</v>
      </c>
      <c r="H212" s="124" t="s">
        <v>442</v>
      </c>
      <c r="I212" s="125" t="s">
        <v>1247</v>
      </c>
    </row>
    <row r="213" spans="1:9">
      <c r="A213" s="124" t="s">
        <v>1230</v>
      </c>
      <c r="B213" s="124" t="s">
        <v>71</v>
      </c>
      <c r="C213" s="124" t="s">
        <v>43</v>
      </c>
      <c r="D213" s="124" t="s">
        <v>700</v>
      </c>
      <c r="E213" s="124">
        <v>4682</v>
      </c>
      <c r="F213" s="122">
        <v>881.91</v>
      </c>
      <c r="G213" s="122">
        <v>881.91</v>
      </c>
      <c r="H213" s="124" t="s">
        <v>442</v>
      </c>
      <c r="I213" s="125" t="s">
        <v>1247</v>
      </c>
    </row>
    <row r="214" spans="1:9">
      <c r="A214" s="124" t="s">
        <v>1230</v>
      </c>
      <c r="B214" s="124" t="s">
        <v>72</v>
      </c>
      <c r="C214" s="124" t="s">
        <v>55</v>
      </c>
      <c r="D214" s="124" t="s">
        <v>701</v>
      </c>
      <c r="E214" s="124">
        <v>4683</v>
      </c>
      <c r="F214" s="122">
        <v>399</v>
      </c>
      <c r="G214" s="122">
        <v>399</v>
      </c>
      <c r="H214" s="124" t="s">
        <v>396</v>
      </c>
      <c r="I214" s="125" t="s">
        <v>1247</v>
      </c>
    </row>
    <row r="215" spans="1:9">
      <c r="A215" s="124" t="s">
        <v>1230</v>
      </c>
      <c r="B215" s="124" t="s">
        <v>72</v>
      </c>
      <c r="C215" s="124" t="s">
        <v>51</v>
      </c>
      <c r="D215" s="124" t="s">
        <v>1063</v>
      </c>
      <c r="E215" s="124">
        <v>4684</v>
      </c>
      <c r="F215" s="122">
        <v>499.01</v>
      </c>
      <c r="G215" s="122">
        <v>499.01</v>
      </c>
      <c r="H215" s="124" t="s">
        <v>396</v>
      </c>
      <c r="I215" s="125" t="s">
        <v>1247</v>
      </c>
    </row>
    <row r="216" spans="1:9">
      <c r="A216" s="124" t="s">
        <v>1230</v>
      </c>
      <c r="B216" s="124" t="s">
        <v>75</v>
      </c>
      <c r="C216" s="124" t="s">
        <v>55</v>
      </c>
      <c r="D216" s="124" t="s">
        <v>796</v>
      </c>
      <c r="E216" s="124">
        <v>4685</v>
      </c>
      <c r="F216" s="122">
        <v>380</v>
      </c>
      <c r="G216" s="122">
        <v>380</v>
      </c>
      <c r="H216" s="124" t="s">
        <v>460</v>
      </c>
      <c r="I216" s="125" t="s">
        <v>1248</v>
      </c>
    </row>
    <row r="217" spans="1:9">
      <c r="A217" s="124" t="s">
        <v>1230</v>
      </c>
      <c r="B217" s="124" t="s">
        <v>76</v>
      </c>
      <c r="C217" s="124" t="s">
        <v>43</v>
      </c>
      <c r="D217" s="124" t="s">
        <v>1067</v>
      </c>
      <c r="E217" s="124">
        <v>4686</v>
      </c>
      <c r="F217" s="122">
        <v>339</v>
      </c>
      <c r="G217" s="122">
        <v>339</v>
      </c>
      <c r="H217" s="124" t="s">
        <v>875</v>
      </c>
      <c r="I217" s="125" t="s">
        <v>1349</v>
      </c>
    </row>
    <row r="218" spans="1:9">
      <c r="A218" s="124" t="s">
        <v>1230</v>
      </c>
      <c r="B218" s="124" t="s">
        <v>76</v>
      </c>
      <c r="C218" s="124" t="s">
        <v>43</v>
      </c>
      <c r="D218" s="124" t="s">
        <v>1068</v>
      </c>
      <c r="E218" s="124">
        <v>4687</v>
      </c>
      <c r="F218" s="122">
        <v>339</v>
      </c>
      <c r="G218" s="122">
        <v>339</v>
      </c>
      <c r="H218" s="124" t="s">
        <v>875</v>
      </c>
      <c r="I218" s="125" t="s">
        <v>1347</v>
      </c>
    </row>
    <row r="219" spans="1:9">
      <c r="A219" s="124" t="s">
        <v>1231</v>
      </c>
      <c r="B219" s="124" t="s">
        <v>71</v>
      </c>
      <c r="C219" s="124" t="s">
        <v>43</v>
      </c>
      <c r="D219" s="124" t="s">
        <v>1135</v>
      </c>
      <c r="E219" s="124">
        <v>4688</v>
      </c>
      <c r="F219" s="21">
        <v>1384.42</v>
      </c>
      <c r="G219" s="21">
        <v>1384.42</v>
      </c>
      <c r="H219" s="124" t="s">
        <v>442</v>
      </c>
      <c r="I219" s="125" t="s">
        <v>1350</v>
      </c>
    </row>
    <row r="220" spans="1:9">
      <c r="A220" s="124" t="s">
        <v>1230</v>
      </c>
      <c r="B220" s="124" t="s">
        <v>72</v>
      </c>
      <c r="C220" s="124" t="s">
        <v>43</v>
      </c>
      <c r="D220" s="124" t="s">
        <v>700</v>
      </c>
      <c r="E220" s="124">
        <v>4689</v>
      </c>
      <c r="F220" s="122">
        <v>643.08000000000004</v>
      </c>
      <c r="G220" s="122">
        <v>643.08000000000004</v>
      </c>
      <c r="H220" s="124" t="s">
        <v>396</v>
      </c>
      <c r="I220" s="125" t="s">
        <v>1350</v>
      </c>
    </row>
    <row r="221" spans="1:9">
      <c r="A221" s="124" t="s">
        <v>1230</v>
      </c>
      <c r="B221" s="124" t="s">
        <v>72</v>
      </c>
      <c r="C221" s="124" t="s">
        <v>43</v>
      </c>
      <c r="D221" s="124" t="s">
        <v>700</v>
      </c>
      <c r="E221" s="124">
        <v>4690</v>
      </c>
      <c r="F221" s="122">
        <v>643.08000000000004</v>
      </c>
      <c r="G221" s="122">
        <v>643.08000000000004</v>
      </c>
      <c r="H221" s="124" t="s">
        <v>396</v>
      </c>
      <c r="I221" s="125" t="s">
        <v>1350</v>
      </c>
    </row>
    <row r="222" spans="1:9">
      <c r="A222" s="124" t="s">
        <v>1230</v>
      </c>
      <c r="B222" s="124" t="s">
        <v>72</v>
      </c>
      <c r="C222" s="124" t="s">
        <v>43</v>
      </c>
      <c r="D222" s="124" t="s">
        <v>1136</v>
      </c>
      <c r="E222" s="124">
        <v>4691</v>
      </c>
      <c r="F222" s="21">
        <v>1158.28</v>
      </c>
      <c r="G222" s="21">
        <v>1158.27</v>
      </c>
      <c r="H222" s="124" t="s">
        <v>396</v>
      </c>
      <c r="I222" s="125" t="s">
        <v>1350</v>
      </c>
    </row>
    <row r="223" spans="1:9">
      <c r="A223" s="124" t="s">
        <v>1230</v>
      </c>
      <c r="B223" s="124" t="s">
        <v>71</v>
      </c>
      <c r="C223" s="124" t="s">
        <v>54</v>
      </c>
      <c r="D223" s="124" t="s">
        <v>687</v>
      </c>
      <c r="E223" s="124">
        <v>4692</v>
      </c>
      <c r="F223" s="21">
        <v>5820</v>
      </c>
      <c r="G223" s="21">
        <v>5820</v>
      </c>
      <c r="H223" s="124" t="s">
        <v>442</v>
      </c>
      <c r="I223" s="125" t="s">
        <v>1351</v>
      </c>
    </row>
    <row r="224" spans="1:9">
      <c r="A224" s="124" t="s">
        <v>1230</v>
      </c>
      <c r="B224" s="124" t="s">
        <v>71</v>
      </c>
      <c r="C224" s="124" t="s">
        <v>54</v>
      </c>
      <c r="D224" s="124" t="s">
        <v>686</v>
      </c>
      <c r="E224" s="124">
        <v>4693</v>
      </c>
      <c r="F224" s="21">
        <v>2300</v>
      </c>
      <c r="G224" s="21">
        <v>2300</v>
      </c>
      <c r="H224" s="124" t="s">
        <v>442</v>
      </c>
      <c r="I224" s="125" t="s">
        <v>1351</v>
      </c>
    </row>
    <row r="225" spans="1:9">
      <c r="A225" s="124" t="s">
        <v>1230</v>
      </c>
      <c r="B225" s="124" t="s">
        <v>71</v>
      </c>
      <c r="C225" s="124" t="s">
        <v>54</v>
      </c>
      <c r="D225" s="124" t="s">
        <v>686</v>
      </c>
      <c r="E225" s="124">
        <v>4694</v>
      </c>
      <c r="F225" s="21">
        <v>2300</v>
      </c>
      <c r="G225" s="21">
        <v>2300</v>
      </c>
      <c r="H225" s="124" t="s">
        <v>442</v>
      </c>
      <c r="I225" s="125" t="s">
        <v>1351</v>
      </c>
    </row>
    <row r="226" spans="1:9">
      <c r="A226" s="124" t="s">
        <v>1230</v>
      </c>
      <c r="B226" s="124" t="s">
        <v>71</v>
      </c>
      <c r="C226" s="124" t="s">
        <v>54</v>
      </c>
      <c r="D226" s="124" t="s">
        <v>766</v>
      </c>
      <c r="E226" s="124">
        <v>4695</v>
      </c>
      <c r="F226" s="21">
        <v>5800</v>
      </c>
      <c r="G226" s="21">
        <v>5800</v>
      </c>
      <c r="H226" s="124" t="s">
        <v>442</v>
      </c>
      <c r="I226" s="125" t="s">
        <v>1351</v>
      </c>
    </row>
    <row r="227" spans="1:9">
      <c r="A227" s="124" t="s">
        <v>1230</v>
      </c>
      <c r="B227" s="124" t="s">
        <v>71</v>
      </c>
      <c r="C227" s="124" t="s">
        <v>54</v>
      </c>
      <c r="D227" s="124" t="s">
        <v>1137</v>
      </c>
      <c r="E227" s="124">
        <v>4696</v>
      </c>
      <c r="F227" s="21">
        <v>4730</v>
      </c>
      <c r="G227" s="21">
        <v>4730</v>
      </c>
      <c r="H227" s="124" t="s">
        <v>442</v>
      </c>
      <c r="I227" s="125" t="s">
        <v>1351</v>
      </c>
    </row>
    <row r="228" spans="1:9">
      <c r="A228" s="124" t="s">
        <v>1230</v>
      </c>
      <c r="B228" s="124" t="s">
        <v>71</v>
      </c>
      <c r="C228" s="124" t="s">
        <v>54</v>
      </c>
      <c r="D228" s="124" t="s">
        <v>1138</v>
      </c>
      <c r="E228" s="124">
        <v>4697</v>
      </c>
      <c r="F228" s="21">
        <v>2600</v>
      </c>
      <c r="G228" s="21">
        <v>2600</v>
      </c>
      <c r="H228" s="124" t="s">
        <v>442</v>
      </c>
      <c r="I228" s="125" t="s">
        <v>1351</v>
      </c>
    </row>
    <row r="229" spans="1:9">
      <c r="A229" s="124" t="s">
        <v>1230</v>
      </c>
      <c r="B229" s="124" t="s">
        <v>71</v>
      </c>
      <c r="C229" s="124" t="s">
        <v>54</v>
      </c>
      <c r="D229" s="124" t="s">
        <v>1138</v>
      </c>
      <c r="E229" s="124">
        <v>4698</v>
      </c>
      <c r="F229" s="21">
        <v>2600</v>
      </c>
      <c r="G229" s="21">
        <v>2600</v>
      </c>
      <c r="H229" s="124" t="s">
        <v>442</v>
      </c>
      <c r="I229" s="125" t="s">
        <v>1351</v>
      </c>
    </row>
    <row r="230" spans="1:9">
      <c r="A230" s="124" t="s">
        <v>1230</v>
      </c>
      <c r="B230" s="124" t="s">
        <v>71</v>
      </c>
      <c r="C230" s="124" t="s">
        <v>54</v>
      </c>
      <c r="D230" s="124" t="s">
        <v>1138</v>
      </c>
      <c r="E230" s="124">
        <v>4699</v>
      </c>
      <c r="F230" s="21">
        <v>2600</v>
      </c>
      <c r="G230" s="21">
        <v>2600</v>
      </c>
      <c r="H230" s="124" t="s">
        <v>442</v>
      </c>
      <c r="I230" s="125" t="s">
        <v>1351</v>
      </c>
    </row>
    <row r="231" spans="1:9">
      <c r="A231" s="124" t="s">
        <v>1230</v>
      </c>
      <c r="B231" s="124" t="s">
        <v>71</v>
      </c>
      <c r="C231" s="124" t="s">
        <v>54</v>
      </c>
      <c r="D231" s="124" t="s">
        <v>1138</v>
      </c>
      <c r="E231" s="124">
        <v>4700</v>
      </c>
      <c r="F231" s="21">
        <v>2600</v>
      </c>
      <c r="G231" s="21">
        <v>2600.04</v>
      </c>
      <c r="H231" s="124" t="s">
        <v>442</v>
      </c>
      <c r="I231" s="125" t="s">
        <v>1351</v>
      </c>
    </row>
    <row r="232" spans="1:9">
      <c r="A232" s="124" t="s">
        <v>1231</v>
      </c>
      <c r="B232" s="124" t="s">
        <v>71</v>
      </c>
      <c r="C232" s="124" t="s">
        <v>43</v>
      </c>
      <c r="D232" s="124" t="s">
        <v>1135</v>
      </c>
      <c r="E232" s="124">
        <v>4701</v>
      </c>
      <c r="F232" s="21">
        <v>1384.42</v>
      </c>
      <c r="G232" s="21">
        <v>1384.42</v>
      </c>
      <c r="H232" s="124" t="s">
        <v>442</v>
      </c>
      <c r="I232" s="125" t="s">
        <v>1350</v>
      </c>
    </row>
    <row r="233" spans="1:9">
      <c r="A233" s="124" t="s">
        <v>1230</v>
      </c>
      <c r="B233" s="124" t="s">
        <v>72</v>
      </c>
      <c r="C233" s="124" t="s">
        <v>55</v>
      </c>
      <c r="D233" s="124" t="s">
        <v>1139</v>
      </c>
      <c r="E233" s="124">
        <v>4702</v>
      </c>
      <c r="F233" s="21">
        <v>1020</v>
      </c>
      <c r="G233" s="21">
        <v>1020</v>
      </c>
      <c r="H233" s="124" t="s">
        <v>1140</v>
      </c>
      <c r="I233" s="125" t="s">
        <v>1352</v>
      </c>
    </row>
    <row r="234" spans="1:9">
      <c r="A234" s="124" t="s">
        <v>1230</v>
      </c>
      <c r="B234" s="124" t="s">
        <v>72</v>
      </c>
      <c r="C234" s="124" t="s">
        <v>55</v>
      </c>
      <c r="D234" s="124" t="s">
        <v>1141</v>
      </c>
      <c r="E234" s="124">
        <v>4703</v>
      </c>
      <c r="F234" s="21">
        <v>1750</v>
      </c>
      <c r="G234" s="21">
        <v>1750</v>
      </c>
      <c r="H234" s="124" t="s">
        <v>1142</v>
      </c>
      <c r="I234" s="125" t="s">
        <v>1352</v>
      </c>
    </row>
    <row r="235" spans="1:9">
      <c r="A235" s="124" t="s">
        <v>1230</v>
      </c>
      <c r="B235" s="124" t="s">
        <v>72</v>
      </c>
      <c r="C235" s="124" t="s">
        <v>55</v>
      </c>
      <c r="D235" s="124" t="s">
        <v>1141</v>
      </c>
      <c r="E235" s="124">
        <v>4704</v>
      </c>
      <c r="F235" s="21">
        <v>1750</v>
      </c>
      <c r="G235" s="21">
        <v>1750</v>
      </c>
      <c r="H235" s="124" t="s">
        <v>1143</v>
      </c>
      <c r="I235" s="125" t="s">
        <v>1352</v>
      </c>
    </row>
    <row r="236" spans="1:9">
      <c r="A236" s="124" t="s">
        <v>1230</v>
      </c>
      <c r="B236" s="124" t="s">
        <v>75</v>
      </c>
      <c r="C236" s="124" t="s">
        <v>53</v>
      </c>
      <c r="D236" s="124" t="s">
        <v>461</v>
      </c>
      <c r="E236" s="124">
        <v>4705</v>
      </c>
      <c r="F236" s="21">
        <v>1664.14</v>
      </c>
      <c r="G236" s="21">
        <v>1664.14</v>
      </c>
      <c r="H236" s="124" t="s">
        <v>460</v>
      </c>
      <c r="I236" s="125" t="s">
        <v>1249</v>
      </c>
    </row>
    <row r="237" spans="1:9">
      <c r="A237" s="124" t="s">
        <v>1230</v>
      </c>
      <c r="B237" s="124" t="s">
        <v>72</v>
      </c>
      <c r="C237" s="124" t="s">
        <v>55</v>
      </c>
      <c r="D237" s="124" t="s">
        <v>712</v>
      </c>
      <c r="E237" s="124">
        <v>4706</v>
      </c>
      <c r="F237" s="122">
        <v>259</v>
      </c>
      <c r="G237" s="122">
        <v>259</v>
      </c>
      <c r="H237" s="124" t="s">
        <v>1144</v>
      </c>
      <c r="I237" s="125" t="s">
        <v>1352</v>
      </c>
    </row>
    <row r="238" spans="1:9">
      <c r="A238" s="124" t="s">
        <v>1230</v>
      </c>
      <c r="B238" s="124" t="s">
        <v>72</v>
      </c>
      <c r="C238" s="124" t="s">
        <v>55</v>
      </c>
      <c r="D238" s="124" t="s">
        <v>1141</v>
      </c>
      <c r="E238" s="124">
        <v>4707</v>
      </c>
      <c r="F238" s="21">
        <v>1750</v>
      </c>
      <c r="G238" s="21">
        <v>1750</v>
      </c>
      <c r="H238" s="124" t="s">
        <v>1142</v>
      </c>
      <c r="I238" s="125" t="s">
        <v>1352</v>
      </c>
    </row>
    <row r="239" spans="1:9">
      <c r="A239" s="124" t="s">
        <v>1230</v>
      </c>
      <c r="B239" s="124" t="s">
        <v>72</v>
      </c>
      <c r="C239" s="124" t="s">
        <v>55</v>
      </c>
      <c r="D239" s="124" t="s">
        <v>1145</v>
      </c>
      <c r="E239" s="124">
        <v>4708</v>
      </c>
      <c r="F239" s="122">
        <v>500</v>
      </c>
      <c r="G239" s="122">
        <v>500</v>
      </c>
      <c r="H239" s="124" t="s">
        <v>1146</v>
      </c>
      <c r="I239" s="125" t="s">
        <v>1351</v>
      </c>
    </row>
    <row r="240" spans="1:9">
      <c r="A240" s="124" t="s">
        <v>1230</v>
      </c>
      <c r="B240" s="124" t="s">
        <v>72</v>
      </c>
      <c r="C240" s="124" t="s">
        <v>55</v>
      </c>
      <c r="D240" s="124" t="s">
        <v>1147</v>
      </c>
      <c r="E240" s="124">
        <v>4709</v>
      </c>
      <c r="F240" s="122">
        <v>500</v>
      </c>
      <c r="G240" s="122">
        <v>500</v>
      </c>
      <c r="H240" s="124" t="s">
        <v>1146</v>
      </c>
      <c r="I240" s="125" t="s">
        <v>1351</v>
      </c>
    </row>
    <row r="241" spans="1:9">
      <c r="A241" s="124" t="s">
        <v>1230</v>
      </c>
      <c r="B241" s="124" t="s">
        <v>72</v>
      </c>
      <c r="C241" s="124" t="s">
        <v>43</v>
      </c>
      <c r="D241" s="124" t="s">
        <v>1148</v>
      </c>
      <c r="E241" s="124">
        <v>4710</v>
      </c>
      <c r="F241" s="21">
        <v>4481</v>
      </c>
      <c r="G241" s="21">
        <v>4481</v>
      </c>
      <c r="H241" s="124" t="s">
        <v>875</v>
      </c>
      <c r="I241" s="125" t="s">
        <v>1352</v>
      </c>
    </row>
    <row r="242" spans="1:9">
      <c r="A242" s="124" t="s">
        <v>1230</v>
      </c>
      <c r="B242" s="124" t="s">
        <v>72</v>
      </c>
      <c r="C242" s="124" t="s">
        <v>43</v>
      </c>
      <c r="D242" s="124" t="s">
        <v>1148</v>
      </c>
      <c r="E242" s="124">
        <v>4711</v>
      </c>
      <c r="F242" s="21">
        <v>4481</v>
      </c>
      <c r="G242" s="21">
        <v>4481</v>
      </c>
      <c r="H242" s="124" t="s">
        <v>875</v>
      </c>
      <c r="I242" s="125" t="s">
        <v>1352</v>
      </c>
    </row>
    <row r="243" spans="1:9">
      <c r="A243" s="124" t="s">
        <v>1230</v>
      </c>
      <c r="B243" s="124" t="s">
        <v>72</v>
      </c>
      <c r="C243" s="124" t="s">
        <v>43</v>
      </c>
      <c r="D243" s="124" t="s">
        <v>1148</v>
      </c>
      <c r="E243" s="124">
        <v>4712</v>
      </c>
      <c r="F243" s="21">
        <v>5948</v>
      </c>
      <c r="G243" s="21">
        <v>5948</v>
      </c>
      <c r="H243" s="124" t="s">
        <v>875</v>
      </c>
      <c r="I243" s="125" t="s">
        <v>1352</v>
      </c>
    </row>
    <row r="244" spans="1:9">
      <c r="A244" s="124" t="s">
        <v>1230</v>
      </c>
      <c r="B244" s="124" t="s">
        <v>72</v>
      </c>
      <c r="C244" s="124" t="s">
        <v>43</v>
      </c>
      <c r="D244" s="124" t="s">
        <v>1149</v>
      </c>
      <c r="E244" s="124">
        <v>4713</v>
      </c>
      <c r="F244" s="21">
        <v>1490.01</v>
      </c>
      <c r="G244" s="21">
        <v>1490.01</v>
      </c>
      <c r="H244" s="124" t="s">
        <v>396</v>
      </c>
      <c r="I244" s="125" t="s">
        <v>1352</v>
      </c>
    </row>
    <row r="245" spans="1:9">
      <c r="A245" s="124" t="s">
        <v>1230</v>
      </c>
      <c r="B245" s="124" t="s">
        <v>72</v>
      </c>
      <c r="C245" s="124" t="s">
        <v>43</v>
      </c>
      <c r="D245" s="124" t="s">
        <v>812</v>
      </c>
      <c r="E245" s="124">
        <v>4714</v>
      </c>
      <c r="F245" s="122">
        <v>495</v>
      </c>
      <c r="G245" s="122">
        <v>495</v>
      </c>
      <c r="H245" s="124" t="s">
        <v>875</v>
      </c>
      <c r="I245" s="125" t="s">
        <v>1352</v>
      </c>
    </row>
    <row r="246" spans="1:9">
      <c r="A246" s="124" t="s">
        <v>1230</v>
      </c>
      <c r="B246" s="124" t="s">
        <v>72</v>
      </c>
      <c r="C246" s="124" t="s">
        <v>43</v>
      </c>
      <c r="D246" s="124" t="s">
        <v>812</v>
      </c>
      <c r="E246" s="124">
        <v>4715</v>
      </c>
      <c r="F246" s="122">
        <v>495</v>
      </c>
      <c r="G246" s="122">
        <v>495</v>
      </c>
      <c r="H246" s="124" t="s">
        <v>875</v>
      </c>
      <c r="I246" s="125" t="s">
        <v>1352</v>
      </c>
    </row>
    <row r="247" spans="1:9">
      <c r="A247" s="124" t="s">
        <v>1230</v>
      </c>
      <c r="B247" s="124" t="s">
        <v>74</v>
      </c>
      <c r="C247" s="124" t="s">
        <v>43</v>
      </c>
      <c r="D247" s="124" t="s">
        <v>1150</v>
      </c>
      <c r="E247" s="124">
        <v>4716</v>
      </c>
      <c r="F247" s="21">
        <v>9423</v>
      </c>
      <c r="G247" s="21">
        <v>9423</v>
      </c>
      <c r="H247" s="124" t="s">
        <v>519</v>
      </c>
      <c r="I247" s="125" t="s">
        <v>1353</v>
      </c>
    </row>
    <row r="248" spans="1:9">
      <c r="A248" s="124" t="s">
        <v>1230</v>
      </c>
      <c r="B248" s="124" t="s">
        <v>74</v>
      </c>
      <c r="C248" s="124" t="s">
        <v>43</v>
      </c>
      <c r="D248" s="124" t="s">
        <v>1061</v>
      </c>
      <c r="E248" s="124">
        <v>4717</v>
      </c>
      <c r="F248" s="21">
        <v>2899</v>
      </c>
      <c r="G248" s="21">
        <v>2899</v>
      </c>
      <c r="H248" s="124" t="s">
        <v>1151</v>
      </c>
      <c r="I248" s="125" t="s">
        <v>1354</v>
      </c>
    </row>
    <row r="249" spans="1:9">
      <c r="A249" s="124" t="s">
        <v>1230</v>
      </c>
      <c r="B249" s="124" t="s">
        <v>76</v>
      </c>
      <c r="C249" s="124" t="s">
        <v>55</v>
      </c>
      <c r="D249" s="124" t="s">
        <v>948</v>
      </c>
      <c r="E249" s="124">
        <v>4718</v>
      </c>
      <c r="F249" s="122">
        <v>890</v>
      </c>
      <c r="G249" s="122">
        <v>890</v>
      </c>
      <c r="H249" s="124" t="s">
        <v>875</v>
      </c>
      <c r="I249" s="125" t="s">
        <v>1353</v>
      </c>
    </row>
    <row r="250" spans="1:9">
      <c r="A250" s="124" t="s">
        <v>1230</v>
      </c>
      <c r="B250" s="124" t="s">
        <v>76</v>
      </c>
      <c r="C250" s="124" t="s">
        <v>55</v>
      </c>
      <c r="D250" s="124" t="s">
        <v>948</v>
      </c>
      <c r="E250" s="124">
        <v>4719</v>
      </c>
      <c r="F250" s="122">
        <v>890</v>
      </c>
      <c r="G250" s="122">
        <v>890</v>
      </c>
      <c r="H250" s="124" t="s">
        <v>875</v>
      </c>
      <c r="I250" s="125" t="s">
        <v>1353</v>
      </c>
    </row>
    <row r="251" spans="1:9">
      <c r="A251" s="124" t="s">
        <v>1230</v>
      </c>
      <c r="B251" s="124" t="s">
        <v>76</v>
      </c>
      <c r="C251" s="124" t="s">
        <v>55</v>
      </c>
      <c r="D251" s="124" t="s">
        <v>948</v>
      </c>
      <c r="E251" s="124">
        <v>4720</v>
      </c>
      <c r="F251" s="122">
        <v>890</v>
      </c>
      <c r="G251" s="122">
        <v>890</v>
      </c>
      <c r="H251" s="124" t="s">
        <v>875</v>
      </c>
      <c r="I251" s="125" t="s">
        <v>1353</v>
      </c>
    </row>
    <row r="252" spans="1:9">
      <c r="A252" s="124" t="s">
        <v>1230</v>
      </c>
      <c r="B252" s="124" t="s">
        <v>76</v>
      </c>
      <c r="C252" s="124" t="s">
        <v>55</v>
      </c>
      <c r="D252" s="124" t="s">
        <v>1152</v>
      </c>
      <c r="E252" s="124">
        <v>4721</v>
      </c>
      <c r="F252" s="122">
        <v>377.52</v>
      </c>
      <c r="G252" s="122">
        <v>377.52</v>
      </c>
      <c r="H252" s="124" t="s">
        <v>875</v>
      </c>
      <c r="I252" s="125" t="s">
        <v>1353</v>
      </c>
    </row>
    <row r="253" spans="1:9">
      <c r="A253" s="124" t="s">
        <v>1230</v>
      </c>
      <c r="B253" s="124" t="s">
        <v>76</v>
      </c>
      <c r="C253" s="124" t="s">
        <v>55</v>
      </c>
      <c r="D253" s="124" t="s">
        <v>958</v>
      </c>
      <c r="E253" s="124">
        <v>4722</v>
      </c>
      <c r="F253" s="21">
        <v>1628</v>
      </c>
      <c r="G253" s="21">
        <v>1628</v>
      </c>
      <c r="H253" s="124" t="s">
        <v>875</v>
      </c>
      <c r="I253" s="125" t="s">
        <v>1353</v>
      </c>
    </row>
    <row r="254" spans="1:9">
      <c r="A254" s="124" t="s">
        <v>1230</v>
      </c>
      <c r="B254" s="124" t="s">
        <v>76</v>
      </c>
      <c r="C254" s="124" t="s">
        <v>55</v>
      </c>
      <c r="D254" s="124" t="s">
        <v>1153</v>
      </c>
      <c r="E254" s="124">
        <v>4723</v>
      </c>
      <c r="F254" s="21">
        <v>1311.2</v>
      </c>
      <c r="G254" s="21">
        <v>1311.2</v>
      </c>
      <c r="H254" s="124" t="s">
        <v>875</v>
      </c>
      <c r="I254" s="125" t="s">
        <v>1353</v>
      </c>
    </row>
    <row r="255" spans="1:9">
      <c r="A255" s="124" t="s">
        <v>1230</v>
      </c>
      <c r="B255" s="124" t="s">
        <v>76</v>
      </c>
      <c r="C255" s="124" t="s">
        <v>55</v>
      </c>
      <c r="D255" s="124" t="s">
        <v>1154</v>
      </c>
      <c r="E255" s="124">
        <v>4724</v>
      </c>
      <c r="F255" s="21">
        <v>1575.2</v>
      </c>
      <c r="G255" s="21">
        <v>1575.2</v>
      </c>
      <c r="H255" s="124" t="s">
        <v>875</v>
      </c>
      <c r="I255" s="125" t="s">
        <v>1353</v>
      </c>
    </row>
    <row r="256" spans="1:9">
      <c r="A256" s="124" t="s">
        <v>1230</v>
      </c>
      <c r="B256" s="124" t="s">
        <v>76</v>
      </c>
      <c r="C256" s="124" t="s">
        <v>55</v>
      </c>
      <c r="D256" s="124" t="s">
        <v>1155</v>
      </c>
      <c r="E256" s="124">
        <v>4725</v>
      </c>
      <c r="F256" s="21">
        <v>2279.1999999999998</v>
      </c>
      <c r="G256" s="21">
        <v>2279.1999999999998</v>
      </c>
      <c r="H256" s="124" t="s">
        <v>875</v>
      </c>
      <c r="I256" s="125" t="s">
        <v>1353</v>
      </c>
    </row>
    <row r="257" spans="1:9">
      <c r="A257" s="124" t="s">
        <v>1230</v>
      </c>
      <c r="B257" s="124" t="s">
        <v>72</v>
      </c>
      <c r="C257" s="124" t="s">
        <v>55</v>
      </c>
      <c r="D257" s="124" t="s">
        <v>1156</v>
      </c>
      <c r="E257" s="124">
        <v>4726</v>
      </c>
      <c r="F257" s="21">
        <v>1049</v>
      </c>
      <c r="G257" s="21">
        <v>1049</v>
      </c>
      <c r="H257" s="124" t="s">
        <v>1157</v>
      </c>
      <c r="I257" s="125" t="s">
        <v>1355</v>
      </c>
    </row>
    <row r="258" spans="1:9">
      <c r="A258" s="124" t="s">
        <v>1230</v>
      </c>
      <c r="B258" s="124" t="s">
        <v>72</v>
      </c>
      <c r="C258" s="124" t="s">
        <v>55</v>
      </c>
      <c r="D258" s="124" t="s">
        <v>1156</v>
      </c>
      <c r="E258" s="124">
        <v>4727</v>
      </c>
      <c r="F258" s="21">
        <v>1049</v>
      </c>
      <c r="G258" s="21">
        <v>1049</v>
      </c>
      <c r="H258" s="124" t="s">
        <v>1157</v>
      </c>
      <c r="I258" s="125" t="s">
        <v>1355</v>
      </c>
    </row>
    <row r="259" spans="1:9">
      <c r="A259" s="124" t="s">
        <v>1230</v>
      </c>
      <c r="B259" s="124" t="s">
        <v>72</v>
      </c>
      <c r="C259" s="124" t="s">
        <v>55</v>
      </c>
      <c r="D259" s="124" t="s">
        <v>702</v>
      </c>
      <c r="E259" s="124">
        <v>4728</v>
      </c>
      <c r="F259" s="122">
        <v>299</v>
      </c>
      <c r="G259" s="122">
        <v>299</v>
      </c>
      <c r="H259" s="124" t="s">
        <v>517</v>
      </c>
      <c r="I259" s="125" t="s">
        <v>1356</v>
      </c>
    </row>
    <row r="260" spans="1:9">
      <c r="A260" s="124" t="s">
        <v>1230</v>
      </c>
      <c r="B260" s="124" t="s">
        <v>72</v>
      </c>
      <c r="C260" s="124" t="s">
        <v>43</v>
      </c>
      <c r="D260" s="124" t="s">
        <v>916</v>
      </c>
      <c r="E260" s="124">
        <v>4729</v>
      </c>
      <c r="F260" s="122">
        <v>429</v>
      </c>
      <c r="G260" s="122">
        <v>429</v>
      </c>
      <c r="H260" s="124" t="s">
        <v>1158</v>
      </c>
      <c r="I260" s="125" t="s">
        <v>1357</v>
      </c>
    </row>
    <row r="261" spans="1:9">
      <c r="A261" s="124" t="s">
        <v>1230</v>
      </c>
      <c r="B261" s="124" t="s">
        <v>72</v>
      </c>
      <c r="C261" s="124" t="s">
        <v>43</v>
      </c>
      <c r="D261" s="124" t="s">
        <v>914</v>
      </c>
      <c r="E261" s="124">
        <v>4730</v>
      </c>
      <c r="F261" s="21">
        <v>1194.42</v>
      </c>
      <c r="G261" s="21">
        <v>1194.42</v>
      </c>
      <c r="H261" s="124" t="s">
        <v>1158</v>
      </c>
      <c r="I261" s="125" t="s">
        <v>1357</v>
      </c>
    </row>
    <row r="262" spans="1:9">
      <c r="A262" s="124" t="s">
        <v>1230</v>
      </c>
      <c r="B262" s="124" t="s">
        <v>72</v>
      </c>
      <c r="C262" s="124" t="s">
        <v>43</v>
      </c>
      <c r="D262" s="124" t="s">
        <v>1112</v>
      </c>
      <c r="E262" s="124">
        <v>4731</v>
      </c>
      <c r="F262" s="122">
        <v>971.1</v>
      </c>
      <c r="G262" s="122">
        <v>971.1</v>
      </c>
      <c r="H262" s="124" t="s">
        <v>528</v>
      </c>
      <c r="I262" s="125" t="s">
        <v>1357</v>
      </c>
    </row>
    <row r="263" spans="1:9">
      <c r="A263" s="124" t="s">
        <v>1230</v>
      </c>
      <c r="B263" s="124" t="s">
        <v>72</v>
      </c>
      <c r="C263" s="124" t="s">
        <v>43</v>
      </c>
      <c r="D263" s="124" t="s">
        <v>1112</v>
      </c>
      <c r="E263" s="124">
        <v>4732</v>
      </c>
      <c r="F263" s="122">
        <v>971.1</v>
      </c>
      <c r="G263" s="122">
        <v>971.1</v>
      </c>
      <c r="H263" s="124" t="s">
        <v>528</v>
      </c>
      <c r="I263" s="125" t="s">
        <v>1357</v>
      </c>
    </row>
    <row r="264" spans="1:9">
      <c r="A264" s="124" t="s">
        <v>1230</v>
      </c>
      <c r="B264" s="124" t="s">
        <v>72</v>
      </c>
      <c r="C264" s="124" t="s">
        <v>55</v>
      </c>
      <c r="D264" s="124" t="s">
        <v>958</v>
      </c>
      <c r="E264" s="124">
        <v>4733</v>
      </c>
      <c r="F264" s="21">
        <v>1860</v>
      </c>
      <c r="G264" s="21">
        <v>1860</v>
      </c>
      <c r="H264" s="124" t="s">
        <v>875</v>
      </c>
      <c r="I264" s="125" t="s">
        <v>1259</v>
      </c>
    </row>
    <row r="265" spans="1:9">
      <c r="A265" s="124" t="s">
        <v>1230</v>
      </c>
      <c r="B265" s="124" t="s">
        <v>73</v>
      </c>
      <c r="C265" s="124" t="s">
        <v>43</v>
      </c>
      <c r="D265" s="124" t="s">
        <v>488</v>
      </c>
      <c r="E265" s="124">
        <v>4734</v>
      </c>
      <c r="F265" s="21">
        <v>5400</v>
      </c>
      <c r="G265" s="21">
        <v>5400</v>
      </c>
      <c r="H265" s="124" t="s">
        <v>442</v>
      </c>
      <c r="I265" s="125" t="s">
        <v>1262</v>
      </c>
    </row>
    <row r="266" spans="1:9">
      <c r="A266" s="124" t="s">
        <v>1230</v>
      </c>
      <c r="B266" s="124" t="s">
        <v>72</v>
      </c>
      <c r="C266" s="124" t="s">
        <v>55</v>
      </c>
      <c r="D266" s="124" t="s">
        <v>712</v>
      </c>
      <c r="E266" s="124">
        <v>4735</v>
      </c>
      <c r="F266" s="122">
        <v>500</v>
      </c>
      <c r="G266" s="122">
        <v>500</v>
      </c>
      <c r="H266" s="124" t="s">
        <v>834</v>
      </c>
      <c r="I266" s="125" t="s">
        <v>1358</v>
      </c>
    </row>
    <row r="267" spans="1:9">
      <c r="A267" s="124" t="s">
        <v>1230</v>
      </c>
      <c r="B267" s="124" t="s">
        <v>71</v>
      </c>
      <c r="C267" s="124" t="s">
        <v>55</v>
      </c>
      <c r="D267" s="124" t="s">
        <v>1359</v>
      </c>
      <c r="E267" s="124">
        <v>4736</v>
      </c>
      <c r="F267" s="21">
        <v>3650</v>
      </c>
      <c r="G267" s="21">
        <v>3650</v>
      </c>
      <c r="H267" s="124" t="s">
        <v>519</v>
      </c>
      <c r="I267" s="125" t="s">
        <v>1269</v>
      </c>
    </row>
    <row r="268" spans="1:9">
      <c r="A268" s="124" t="s">
        <v>1230</v>
      </c>
      <c r="B268" s="124" t="s">
        <v>71</v>
      </c>
      <c r="C268" s="124" t="s">
        <v>55</v>
      </c>
      <c r="D268" s="124" t="s">
        <v>961</v>
      </c>
      <c r="E268" s="124">
        <v>4737</v>
      </c>
      <c r="F268" s="21">
        <v>2068</v>
      </c>
      <c r="G268" s="21">
        <v>2068</v>
      </c>
      <c r="H268" s="124" t="s">
        <v>519</v>
      </c>
      <c r="I268" s="125" t="s">
        <v>1269</v>
      </c>
    </row>
    <row r="269" spans="1:9">
      <c r="A269" s="124" t="s">
        <v>1230</v>
      </c>
      <c r="B269" s="124" t="s">
        <v>72</v>
      </c>
      <c r="C269" s="124" t="s">
        <v>55</v>
      </c>
      <c r="D269" s="124" t="s">
        <v>740</v>
      </c>
      <c r="E269" s="124">
        <v>4738</v>
      </c>
      <c r="F269" s="122">
        <v>658</v>
      </c>
      <c r="G269" s="122">
        <v>658</v>
      </c>
      <c r="H269" s="124" t="s">
        <v>1360</v>
      </c>
      <c r="I269" s="125" t="s">
        <v>1361</v>
      </c>
    </row>
    <row r="270" spans="1:9">
      <c r="A270" s="124" t="s">
        <v>1230</v>
      </c>
      <c r="B270" s="124" t="s">
        <v>72</v>
      </c>
      <c r="C270" s="124" t="s">
        <v>55</v>
      </c>
      <c r="D270" s="124" t="s">
        <v>748</v>
      </c>
      <c r="E270" s="124">
        <v>4739</v>
      </c>
      <c r="F270" s="122">
        <v>259</v>
      </c>
      <c r="G270" s="122">
        <v>259</v>
      </c>
      <c r="H270" s="124" t="s">
        <v>396</v>
      </c>
      <c r="I270" s="125" t="s">
        <v>1266</v>
      </c>
    </row>
    <row r="271" spans="1:9">
      <c r="A271" s="124" t="s">
        <v>1230</v>
      </c>
      <c r="B271" s="124" t="s">
        <v>72</v>
      </c>
      <c r="C271" s="124" t="s">
        <v>55</v>
      </c>
      <c r="D271" s="124" t="s">
        <v>701</v>
      </c>
      <c r="E271" s="124">
        <v>4740</v>
      </c>
      <c r="F271" s="122">
        <v>399</v>
      </c>
      <c r="G271" s="122">
        <v>399</v>
      </c>
      <c r="H271" s="124" t="s">
        <v>396</v>
      </c>
      <c r="I271" s="125" t="s">
        <v>1271</v>
      </c>
    </row>
    <row r="272" spans="1:9">
      <c r="A272" s="124" t="s">
        <v>1230</v>
      </c>
      <c r="B272" s="124" t="s">
        <v>74</v>
      </c>
      <c r="C272" s="124" t="s">
        <v>43</v>
      </c>
      <c r="D272" s="124" t="s">
        <v>661</v>
      </c>
      <c r="E272" s="124">
        <v>4741</v>
      </c>
      <c r="F272" s="122">
        <v>721.65</v>
      </c>
      <c r="G272" s="122">
        <v>721.65</v>
      </c>
      <c r="H272" s="124" t="s">
        <v>875</v>
      </c>
      <c r="I272" s="125" t="s">
        <v>1362</v>
      </c>
    </row>
    <row r="273" spans="1:9">
      <c r="A273" s="124" t="s">
        <v>1230</v>
      </c>
      <c r="B273" s="124" t="s">
        <v>74</v>
      </c>
      <c r="C273" s="124" t="s">
        <v>43</v>
      </c>
      <c r="D273" s="124" t="s">
        <v>661</v>
      </c>
      <c r="E273" s="124">
        <v>4742</v>
      </c>
      <c r="F273" s="122">
        <v>721.65</v>
      </c>
      <c r="G273" s="122">
        <v>721.65</v>
      </c>
      <c r="H273" s="124" t="s">
        <v>1363</v>
      </c>
      <c r="I273" s="125" t="s">
        <v>1362</v>
      </c>
    </row>
    <row r="274" spans="1:9">
      <c r="A274" s="124" t="s">
        <v>1230</v>
      </c>
      <c r="B274" s="124" t="s">
        <v>74</v>
      </c>
      <c r="C274" s="124" t="s">
        <v>43</v>
      </c>
      <c r="D274" s="124" t="s">
        <v>661</v>
      </c>
      <c r="E274" s="124">
        <v>4743</v>
      </c>
      <c r="F274" s="122">
        <v>721.65</v>
      </c>
      <c r="G274" s="122">
        <v>721.65</v>
      </c>
      <c r="H274" s="124" t="s">
        <v>1364</v>
      </c>
      <c r="I274" s="125" t="s">
        <v>1362</v>
      </c>
    </row>
    <row r="275" spans="1:9">
      <c r="A275" s="124" t="s">
        <v>1230</v>
      </c>
      <c r="B275" s="124" t="s">
        <v>71</v>
      </c>
      <c r="C275" s="124" t="s">
        <v>55</v>
      </c>
      <c r="D275" s="124" t="s">
        <v>764</v>
      </c>
      <c r="E275" s="124">
        <v>4744</v>
      </c>
      <c r="F275" s="122">
        <v>518</v>
      </c>
      <c r="G275" s="122">
        <v>518</v>
      </c>
      <c r="H275" s="124" t="s">
        <v>945</v>
      </c>
      <c r="I275" s="125" t="s">
        <v>1271</v>
      </c>
    </row>
    <row r="276" spans="1:9">
      <c r="A276" s="124" t="s">
        <v>1230</v>
      </c>
      <c r="B276" s="124" t="s">
        <v>71</v>
      </c>
      <c r="C276" s="124" t="s">
        <v>55</v>
      </c>
      <c r="D276" s="124" t="s">
        <v>764</v>
      </c>
      <c r="E276" s="124">
        <v>4745</v>
      </c>
      <c r="F276" s="122">
        <v>518</v>
      </c>
      <c r="G276" s="122">
        <v>518</v>
      </c>
      <c r="H276" s="124" t="s">
        <v>945</v>
      </c>
      <c r="I276" s="125" t="s">
        <v>1271</v>
      </c>
    </row>
    <row r="277" spans="1:9">
      <c r="A277" s="124" t="s">
        <v>1230</v>
      </c>
      <c r="B277" s="124" t="s">
        <v>71</v>
      </c>
      <c r="C277" s="124" t="s">
        <v>55</v>
      </c>
      <c r="D277" s="124" t="s">
        <v>764</v>
      </c>
      <c r="E277" s="124">
        <v>4746</v>
      </c>
      <c r="F277" s="122">
        <v>518</v>
      </c>
      <c r="G277" s="122">
        <v>518</v>
      </c>
      <c r="H277" s="124" t="s">
        <v>945</v>
      </c>
      <c r="I277" s="125" t="s">
        <v>1271</v>
      </c>
    </row>
    <row r="278" spans="1:9">
      <c r="A278" s="124" t="s">
        <v>1230</v>
      </c>
      <c r="B278" s="124" t="s">
        <v>71</v>
      </c>
      <c r="C278" s="124" t="s">
        <v>55</v>
      </c>
      <c r="D278" s="124" t="s">
        <v>764</v>
      </c>
      <c r="E278" s="124">
        <v>4747</v>
      </c>
      <c r="F278" s="122">
        <v>518</v>
      </c>
      <c r="G278" s="122">
        <v>518</v>
      </c>
      <c r="H278" s="124" t="s">
        <v>945</v>
      </c>
      <c r="I278" s="125" t="s">
        <v>1271</v>
      </c>
    </row>
    <row r="279" spans="1:9">
      <c r="A279" s="124" t="s">
        <v>1230</v>
      </c>
      <c r="B279" s="124" t="s">
        <v>71</v>
      </c>
      <c r="C279" s="124" t="s">
        <v>55</v>
      </c>
      <c r="D279" s="124" t="s">
        <v>764</v>
      </c>
      <c r="E279" s="124">
        <v>4748</v>
      </c>
      <c r="F279" s="122">
        <v>518</v>
      </c>
      <c r="G279" s="122">
        <v>518</v>
      </c>
      <c r="H279" s="124" t="s">
        <v>1365</v>
      </c>
      <c r="I279" s="125" t="s">
        <v>1271</v>
      </c>
    </row>
    <row r="280" spans="1:9">
      <c r="A280" s="124" t="s">
        <v>1230</v>
      </c>
      <c r="B280" s="124" t="s">
        <v>71</v>
      </c>
      <c r="C280" s="124" t="s">
        <v>55</v>
      </c>
      <c r="D280" s="124" t="s">
        <v>764</v>
      </c>
      <c r="E280" s="124">
        <v>4749</v>
      </c>
      <c r="F280" s="122">
        <v>518</v>
      </c>
      <c r="G280" s="122">
        <v>518</v>
      </c>
      <c r="H280" s="124" t="s">
        <v>1365</v>
      </c>
      <c r="I280" s="125" t="s">
        <v>1271</v>
      </c>
    </row>
    <row r="281" spans="1:9">
      <c r="A281" s="124" t="s">
        <v>1230</v>
      </c>
      <c r="B281" s="124" t="s">
        <v>71</v>
      </c>
      <c r="C281" s="124" t="s">
        <v>55</v>
      </c>
      <c r="D281" s="124" t="s">
        <v>764</v>
      </c>
      <c r="E281" s="124">
        <v>4750</v>
      </c>
      <c r="F281" s="122">
        <v>518</v>
      </c>
      <c r="G281" s="122">
        <v>518</v>
      </c>
      <c r="H281" s="124" t="s">
        <v>1366</v>
      </c>
      <c r="I281" s="125" t="s">
        <v>1271</v>
      </c>
    </row>
    <row r="282" spans="1:9">
      <c r="A282" s="124" t="s">
        <v>1230</v>
      </c>
      <c r="B282" s="124" t="s">
        <v>71</v>
      </c>
      <c r="C282" s="124" t="s">
        <v>55</v>
      </c>
      <c r="D282" s="124" t="s">
        <v>764</v>
      </c>
      <c r="E282" s="124">
        <v>4751</v>
      </c>
      <c r="F282" s="122">
        <v>518</v>
      </c>
      <c r="G282" s="122">
        <v>518</v>
      </c>
      <c r="H282" s="124" t="s">
        <v>1367</v>
      </c>
      <c r="I282" s="125" t="s">
        <v>1271</v>
      </c>
    </row>
    <row r="283" spans="1:9">
      <c r="A283" s="124" t="s">
        <v>1230</v>
      </c>
      <c r="B283" s="124" t="s">
        <v>71</v>
      </c>
      <c r="C283" s="124" t="s">
        <v>55</v>
      </c>
      <c r="D283" s="124" t="s">
        <v>764</v>
      </c>
      <c r="E283" s="124">
        <v>4752</v>
      </c>
      <c r="F283" s="122">
        <v>518</v>
      </c>
      <c r="G283" s="122">
        <v>518</v>
      </c>
      <c r="H283" s="124" t="s">
        <v>1367</v>
      </c>
      <c r="I283" s="125" t="s">
        <v>1271</v>
      </c>
    </row>
    <row r="284" spans="1:9">
      <c r="A284" s="124" t="s">
        <v>1230</v>
      </c>
      <c r="B284" s="124" t="s">
        <v>71</v>
      </c>
      <c r="C284" s="124" t="s">
        <v>55</v>
      </c>
      <c r="D284" s="124" t="s">
        <v>764</v>
      </c>
      <c r="E284" s="124">
        <v>4753</v>
      </c>
      <c r="F284" s="122">
        <v>518</v>
      </c>
      <c r="G284" s="122">
        <v>518</v>
      </c>
      <c r="H284" s="124" t="s">
        <v>1367</v>
      </c>
      <c r="I284" s="125" t="s">
        <v>1271</v>
      </c>
    </row>
    <row r="285" spans="1:9">
      <c r="A285" s="124" t="s">
        <v>1230</v>
      </c>
      <c r="B285" s="124" t="s">
        <v>71</v>
      </c>
      <c r="C285" s="124" t="s">
        <v>55</v>
      </c>
      <c r="D285" s="124" t="s">
        <v>764</v>
      </c>
      <c r="E285" s="124">
        <v>4754</v>
      </c>
      <c r="F285" s="122">
        <v>518</v>
      </c>
      <c r="G285" s="122">
        <v>518</v>
      </c>
      <c r="H285" s="124" t="s">
        <v>946</v>
      </c>
      <c r="I285" s="125" t="s">
        <v>1271</v>
      </c>
    </row>
    <row r="286" spans="1:9">
      <c r="A286" s="124" t="s">
        <v>1230</v>
      </c>
      <c r="B286" s="124" t="s">
        <v>71</v>
      </c>
      <c r="C286" s="124" t="s">
        <v>55</v>
      </c>
      <c r="D286" s="124" t="s">
        <v>764</v>
      </c>
      <c r="E286" s="124">
        <v>4755</v>
      </c>
      <c r="F286" s="122">
        <v>518</v>
      </c>
      <c r="G286" s="122">
        <v>518</v>
      </c>
      <c r="H286" s="124" t="s">
        <v>946</v>
      </c>
      <c r="I286" s="125" t="s">
        <v>1271</v>
      </c>
    </row>
    <row r="287" spans="1:9">
      <c r="A287" s="124" t="s">
        <v>1230</v>
      </c>
      <c r="B287" s="124" t="s">
        <v>71</v>
      </c>
      <c r="C287" s="124" t="s">
        <v>55</v>
      </c>
      <c r="D287" s="124" t="s">
        <v>764</v>
      </c>
      <c r="E287" s="124">
        <v>4756</v>
      </c>
      <c r="F287" s="122">
        <v>518</v>
      </c>
      <c r="G287" s="122">
        <v>518</v>
      </c>
      <c r="H287" s="124" t="s">
        <v>907</v>
      </c>
      <c r="I287" s="125" t="s">
        <v>1271</v>
      </c>
    </row>
    <row r="288" spans="1:9">
      <c r="A288" s="124" t="s">
        <v>1230</v>
      </c>
      <c r="B288" s="124" t="s">
        <v>71</v>
      </c>
      <c r="C288" s="124" t="s">
        <v>55</v>
      </c>
      <c r="D288" s="124" t="s">
        <v>764</v>
      </c>
      <c r="E288" s="124">
        <v>4757</v>
      </c>
      <c r="F288" s="122">
        <v>518</v>
      </c>
      <c r="G288" s="122">
        <v>518</v>
      </c>
      <c r="H288" s="124" t="s">
        <v>907</v>
      </c>
      <c r="I288" s="125" t="s">
        <v>1271</v>
      </c>
    </row>
    <row r="289" spans="1:9">
      <c r="A289" s="124" t="s">
        <v>1230</v>
      </c>
      <c r="B289" s="124" t="s">
        <v>71</v>
      </c>
      <c r="C289" s="124" t="s">
        <v>55</v>
      </c>
      <c r="D289" s="124" t="s">
        <v>764</v>
      </c>
      <c r="E289" s="124">
        <v>4758</v>
      </c>
      <c r="F289" s="122">
        <v>518</v>
      </c>
      <c r="G289" s="122">
        <v>518</v>
      </c>
      <c r="H289" s="124" t="s">
        <v>1368</v>
      </c>
      <c r="I289" s="125" t="s">
        <v>1271</v>
      </c>
    </row>
    <row r="290" spans="1:9">
      <c r="A290" s="124" t="s">
        <v>1230</v>
      </c>
      <c r="B290" s="124" t="s">
        <v>71</v>
      </c>
      <c r="C290" s="124" t="s">
        <v>55</v>
      </c>
      <c r="D290" s="124" t="s">
        <v>764</v>
      </c>
      <c r="E290" s="124">
        <v>4759</v>
      </c>
      <c r="F290" s="122">
        <v>518</v>
      </c>
      <c r="G290" s="122">
        <v>518</v>
      </c>
      <c r="H290" s="124" t="s">
        <v>1368</v>
      </c>
      <c r="I290" s="125" t="s">
        <v>1271</v>
      </c>
    </row>
    <row r="291" spans="1:9">
      <c r="A291" s="124" t="s">
        <v>1230</v>
      </c>
      <c r="B291" s="124" t="s">
        <v>71</v>
      </c>
      <c r="C291" s="124" t="s">
        <v>55</v>
      </c>
      <c r="D291" s="124" t="s">
        <v>764</v>
      </c>
      <c r="E291" s="124">
        <v>4760</v>
      </c>
      <c r="F291" s="122">
        <v>518</v>
      </c>
      <c r="G291" s="122">
        <v>518</v>
      </c>
      <c r="H291" s="124" t="s">
        <v>1368</v>
      </c>
      <c r="I291" s="125" t="s">
        <v>1271</v>
      </c>
    </row>
    <row r="292" spans="1:9">
      <c r="A292" s="124" t="s">
        <v>1230</v>
      </c>
      <c r="B292" s="124" t="s">
        <v>71</v>
      </c>
      <c r="C292" s="124" t="s">
        <v>55</v>
      </c>
      <c r="D292" s="124" t="s">
        <v>764</v>
      </c>
      <c r="E292" s="124">
        <v>4761</v>
      </c>
      <c r="F292" s="122">
        <v>518</v>
      </c>
      <c r="G292" s="122">
        <v>518</v>
      </c>
      <c r="H292" s="124" t="s">
        <v>1369</v>
      </c>
      <c r="I292" s="125" t="s">
        <v>1271</v>
      </c>
    </row>
    <row r="293" spans="1:9">
      <c r="A293" s="124" t="s">
        <v>1230</v>
      </c>
      <c r="B293" s="124" t="s">
        <v>71</v>
      </c>
      <c r="C293" s="124" t="s">
        <v>55</v>
      </c>
      <c r="D293" s="124" t="s">
        <v>764</v>
      </c>
      <c r="E293" s="124">
        <v>4762</v>
      </c>
      <c r="F293" s="122">
        <v>518</v>
      </c>
      <c r="G293" s="122">
        <v>518</v>
      </c>
      <c r="H293" s="124" t="s">
        <v>1370</v>
      </c>
      <c r="I293" s="125" t="s">
        <v>1271</v>
      </c>
    </row>
    <row r="294" spans="1:9">
      <c r="A294" s="124" t="s">
        <v>1230</v>
      </c>
      <c r="B294" s="124" t="s">
        <v>71</v>
      </c>
      <c r="C294" s="124" t="s">
        <v>55</v>
      </c>
      <c r="D294" s="124" t="s">
        <v>764</v>
      </c>
      <c r="E294" s="124">
        <v>4763</v>
      </c>
      <c r="F294" s="122">
        <v>518</v>
      </c>
      <c r="G294" s="122">
        <v>518</v>
      </c>
      <c r="H294" s="124" t="s">
        <v>1370</v>
      </c>
      <c r="I294" s="125" t="s">
        <v>1271</v>
      </c>
    </row>
    <row r="295" spans="1:9">
      <c r="A295" s="124" t="s">
        <v>1230</v>
      </c>
      <c r="B295" s="124" t="s">
        <v>71</v>
      </c>
      <c r="C295" s="124" t="s">
        <v>55</v>
      </c>
      <c r="D295" s="124" t="s">
        <v>763</v>
      </c>
      <c r="E295" s="124">
        <v>4764</v>
      </c>
      <c r="F295" s="21">
        <v>1049</v>
      </c>
      <c r="G295" s="21">
        <v>1049</v>
      </c>
      <c r="H295" s="124" t="s">
        <v>1371</v>
      </c>
      <c r="I295" s="125" t="s">
        <v>1271</v>
      </c>
    </row>
    <row r="296" spans="1:9">
      <c r="A296" s="124" t="s">
        <v>1230</v>
      </c>
      <c r="B296" s="124" t="s">
        <v>71</v>
      </c>
      <c r="C296" s="124" t="s">
        <v>55</v>
      </c>
      <c r="D296" s="124" t="s">
        <v>763</v>
      </c>
      <c r="E296" s="124">
        <v>4765</v>
      </c>
      <c r="F296" s="21">
        <v>1049</v>
      </c>
      <c r="G296" s="21">
        <v>1049</v>
      </c>
      <c r="H296" s="124" t="s">
        <v>1371</v>
      </c>
      <c r="I296" s="125" t="s">
        <v>1271</v>
      </c>
    </row>
    <row r="297" spans="1:9">
      <c r="A297" s="124" t="s">
        <v>1230</v>
      </c>
      <c r="B297" s="124" t="s">
        <v>71</v>
      </c>
      <c r="C297" s="124" t="s">
        <v>55</v>
      </c>
      <c r="D297" s="124" t="s">
        <v>763</v>
      </c>
      <c r="E297" s="124">
        <v>4766</v>
      </c>
      <c r="F297" s="21">
        <v>1049</v>
      </c>
      <c r="G297" s="21">
        <v>1049</v>
      </c>
      <c r="H297" s="124" t="s">
        <v>1371</v>
      </c>
      <c r="I297" s="125" t="s">
        <v>1271</v>
      </c>
    </row>
    <row r="298" spans="1:9">
      <c r="A298" s="124" t="s">
        <v>1230</v>
      </c>
      <c r="B298" s="124" t="s">
        <v>71</v>
      </c>
      <c r="C298" s="124" t="s">
        <v>55</v>
      </c>
      <c r="D298" s="124" t="s">
        <v>763</v>
      </c>
      <c r="E298" s="124">
        <v>4767</v>
      </c>
      <c r="F298" s="21">
        <v>1049</v>
      </c>
      <c r="G298" s="21">
        <v>1049</v>
      </c>
      <c r="H298" s="124" t="s">
        <v>1371</v>
      </c>
      <c r="I298" s="125" t="s">
        <v>1271</v>
      </c>
    </row>
    <row r="299" spans="1:9">
      <c r="A299" s="124" t="s">
        <v>1230</v>
      </c>
      <c r="B299" s="124" t="s">
        <v>71</v>
      </c>
      <c r="C299" s="124" t="s">
        <v>55</v>
      </c>
      <c r="D299" s="124" t="s">
        <v>765</v>
      </c>
      <c r="E299" s="124">
        <v>4768</v>
      </c>
      <c r="F299" s="21">
        <v>1372</v>
      </c>
      <c r="G299" s="21">
        <v>1372</v>
      </c>
      <c r="H299" s="124" t="s">
        <v>1371</v>
      </c>
      <c r="I299" s="125" t="s">
        <v>1271</v>
      </c>
    </row>
    <row r="300" spans="1:9">
      <c r="A300" s="124" t="s">
        <v>1230</v>
      </c>
      <c r="B300" s="124" t="s">
        <v>71</v>
      </c>
      <c r="C300" s="124" t="s">
        <v>55</v>
      </c>
      <c r="D300" s="124" t="s">
        <v>765</v>
      </c>
      <c r="E300" s="124">
        <v>4769</v>
      </c>
      <c r="F300" s="21">
        <v>1372</v>
      </c>
      <c r="G300" s="21">
        <v>1372</v>
      </c>
      <c r="H300" s="124" t="s">
        <v>1371</v>
      </c>
      <c r="I300" s="125" t="s">
        <v>1271</v>
      </c>
    </row>
    <row r="301" spans="1:9">
      <c r="A301" s="124" t="s">
        <v>1230</v>
      </c>
      <c r="B301" s="124" t="s">
        <v>73</v>
      </c>
      <c r="C301" s="124" t="s">
        <v>55</v>
      </c>
      <c r="D301" s="124" t="s">
        <v>775</v>
      </c>
      <c r="E301" s="124">
        <v>4770</v>
      </c>
      <c r="F301" s="21">
        <v>1690.1</v>
      </c>
      <c r="G301" s="21">
        <v>1690.1</v>
      </c>
      <c r="H301" s="124" t="s">
        <v>1372</v>
      </c>
      <c r="I301" s="125" t="s">
        <v>1279</v>
      </c>
    </row>
    <row r="302" spans="1:9">
      <c r="A302" s="124" t="s">
        <v>1230</v>
      </c>
      <c r="B302" s="124" t="s">
        <v>72</v>
      </c>
      <c r="C302" s="124" t="s">
        <v>43</v>
      </c>
      <c r="D302" s="124" t="s">
        <v>689</v>
      </c>
      <c r="E302" s="124">
        <v>4771</v>
      </c>
      <c r="F302" s="21">
        <v>2172.7199999999998</v>
      </c>
      <c r="G302" s="21">
        <v>2172.7199999999998</v>
      </c>
      <c r="H302" s="124" t="s">
        <v>1373</v>
      </c>
      <c r="I302" s="125" t="s">
        <v>1281</v>
      </c>
    </row>
    <row r="303" spans="1:9">
      <c r="A303" s="124" t="s">
        <v>1230</v>
      </c>
      <c r="B303" s="124" t="s">
        <v>73</v>
      </c>
      <c r="C303" s="124" t="s">
        <v>54</v>
      </c>
      <c r="D303" s="124" t="s">
        <v>1374</v>
      </c>
      <c r="E303" s="124">
        <v>4772</v>
      </c>
      <c r="F303" s="21">
        <v>6634.4</v>
      </c>
      <c r="G303" s="21">
        <v>6634.4</v>
      </c>
      <c r="H303" s="124" t="s">
        <v>1375</v>
      </c>
      <c r="I303" s="125" t="s">
        <v>1279</v>
      </c>
    </row>
    <row r="304" spans="1:9">
      <c r="A304" s="124" t="s">
        <v>1230</v>
      </c>
      <c r="B304" s="124" t="s">
        <v>73</v>
      </c>
      <c r="C304" s="124" t="s">
        <v>54</v>
      </c>
      <c r="D304" s="124" t="s">
        <v>1374</v>
      </c>
      <c r="E304" s="124">
        <v>4773</v>
      </c>
      <c r="F304" s="21">
        <v>6634.38</v>
      </c>
      <c r="G304" s="21">
        <v>6634.38</v>
      </c>
      <c r="H304" s="124" t="s">
        <v>1376</v>
      </c>
      <c r="I304" s="125" t="s">
        <v>1279</v>
      </c>
    </row>
    <row r="305" spans="1:9">
      <c r="A305" s="124" t="s">
        <v>1230</v>
      </c>
      <c r="B305" s="124" t="s">
        <v>73</v>
      </c>
      <c r="C305" s="124" t="s">
        <v>54</v>
      </c>
      <c r="D305" s="124" t="s">
        <v>1374</v>
      </c>
      <c r="E305" s="124">
        <v>4774</v>
      </c>
      <c r="F305" s="21">
        <v>5307.5</v>
      </c>
      <c r="G305" s="21">
        <v>5307.5</v>
      </c>
      <c r="H305" s="124" t="s">
        <v>946</v>
      </c>
      <c r="I305" s="125" t="s">
        <v>1279</v>
      </c>
    </row>
    <row r="306" spans="1:9">
      <c r="A306" s="124" t="s">
        <v>1230</v>
      </c>
      <c r="B306" s="124" t="s">
        <v>73</v>
      </c>
      <c r="C306" s="124" t="s">
        <v>54</v>
      </c>
      <c r="D306" s="124" t="s">
        <v>1374</v>
      </c>
      <c r="E306" s="124">
        <v>4775</v>
      </c>
      <c r="F306" s="21">
        <v>6978.38</v>
      </c>
      <c r="G306" s="21">
        <v>6978.38</v>
      </c>
      <c r="H306" s="124" t="s">
        <v>945</v>
      </c>
      <c r="I306" s="125" t="s">
        <v>1279</v>
      </c>
    </row>
    <row r="307" spans="1:9">
      <c r="A307" s="124" t="s">
        <v>1230</v>
      </c>
      <c r="B307" s="124" t="s">
        <v>73</v>
      </c>
      <c r="C307" s="124" t="s">
        <v>54</v>
      </c>
      <c r="D307" s="124" t="s">
        <v>1374</v>
      </c>
      <c r="E307" s="124">
        <v>4776</v>
      </c>
      <c r="F307" s="21">
        <v>13563.62</v>
      </c>
      <c r="G307" s="21">
        <v>13563.62</v>
      </c>
      <c r="H307" s="124" t="s">
        <v>1377</v>
      </c>
      <c r="I307" s="125" t="s">
        <v>1279</v>
      </c>
    </row>
    <row r="308" spans="1:9">
      <c r="A308" s="124" t="s">
        <v>1230</v>
      </c>
      <c r="B308" s="124" t="s">
        <v>73</v>
      </c>
      <c r="C308" s="124" t="s">
        <v>54</v>
      </c>
      <c r="D308" s="124" t="s">
        <v>1374</v>
      </c>
      <c r="E308" s="124">
        <v>4777</v>
      </c>
      <c r="F308" s="21">
        <v>5995.51</v>
      </c>
      <c r="G308" s="21">
        <v>5995.51</v>
      </c>
      <c r="H308" s="124" t="s">
        <v>1378</v>
      </c>
      <c r="I308" s="125" t="s">
        <v>1279</v>
      </c>
    </row>
    <row r="309" spans="1:9">
      <c r="A309" s="124" t="s">
        <v>1230</v>
      </c>
      <c r="B309" s="124" t="s">
        <v>73</v>
      </c>
      <c r="C309" s="124" t="s">
        <v>54</v>
      </c>
      <c r="D309" s="124" t="s">
        <v>1374</v>
      </c>
      <c r="E309" s="124">
        <v>4778</v>
      </c>
      <c r="F309" s="21">
        <v>7076.67</v>
      </c>
      <c r="G309" s="21">
        <v>7076.67</v>
      </c>
      <c r="H309" s="124" t="s">
        <v>1379</v>
      </c>
      <c r="I309" s="125" t="s">
        <v>1279</v>
      </c>
    </row>
    <row r="310" spans="1:9">
      <c r="A310" s="124" t="s">
        <v>1230</v>
      </c>
      <c r="B310" s="124" t="s">
        <v>73</v>
      </c>
      <c r="C310" s="124" t="s">
        <v>54</v>
      </c>
      <c r="D310" s="124" t="s">
        <v>1374</v>
      </c>
      <c r="E310" s="124">
        <v>4779</v>
      </c>
      <c r="F310" s="21">
        <v>8059.54</v>
      </c>
      <c r="G310" s="21">
        <v>8059.54</v>
      </c>
      <c r="H310" s="124" t="s">
        <v>1370</v>
      </c>
      <c r="I310" s="125" t="s">
        <v>1279</v>
      </c>
    </row>
    <row r="311" spans="1:9">
      <c r="A311" s="124" t="s">
        <v>1230</v>
      </c>
      <c r="B311" s="124" t="s">
        <v>72</v>
      </c>
      <c r="C311" s="124" t="s">
        <v>45</v>
      </c>
      <c r="D311" s="124" t="s">
        <v>1380</v>
      </c>
      <c r="E311" s="124">
        <v>4780</v>
      </c>
      <c r="F311" s="122">
        <v>845</v>
      </c>
      <c r="G311" s="122">
        <v>845</v>
      </c>
      <c r="H311" s="124" t="s">
        <v>528</v>
      </c>
      <c r="I311" s="125" t="s">
        <v>1289</v>
      </c>
    </row>
    <row r="312" spans="1:9">
      <c r="A312" s="124" t="s">
        <v>1230</v>
      </c>
      <c r="B312" s="124" t="s">
        <v>72</v>
      </c>
      <c r="C312" s="124" t="s">
        <v>45</v>
      </c>
      <c r="D312" s="124" t="s">
        <v>1380</v>
      </c>
      <c r="E312" s="124">
        <v>4781</v>
      </c>
      <c r="F312" s="122">
        <v>845</v>
      </c>
      <c r="G312" s="122">
        <v>845</v>
      </c>
      <c r="H312" s="124" t="s">
        <v>528</v>
      </c>
      <c r="I312" s="125" t="s">
        <v>1289</v>
      </c>
    </row>
    <row r="313" spans="1:9">
      <c r="A313" s="124" t="s">
        <v>1230</v>
      </c>
      <c r="B313" s="124" t="s">
        <v>73</v>
      </c>
      <c r="C313" s="124" t="s">
        <v>54</v>
      </c>
      <c r="D313" s="124" t="s">
        <v>1381</v>
      </c>
      <c r="E313" s="124">
        <v>4782</v>
      </c>
      <c r="F313" s="122">
        <v>357</v>
      </c>
      <c r="G313" s="122">
        <v>357</v>
      </c>
      <c r="H313" s="124" t="s">
        <v>834</v>
      </c>
      <c r="I313" s="125" t="s">
        <v>1287</v>
      </c>
    </row>
    <row r="314" spans="1:9">
      <c r="A314" s="124" t="s">
        <v>1230</v>
      </c>
      <c r="B314" s="124" t="s">
        <v>71</v>
      </c>
      <c r="C314" s="124" t="s">
        <v>43</v>
      </c>
      <c r="D314" s="124" t="s">
        <v>1382</v>
      </c>
      <c r="E314" s="124">
        <v>4783</v>
      </c>
      <c r="F314" s="122">
        <v>325</v>
      </c>
      <c r="G314" s="122">
        <v>325</v>
      </c>
      <c r="H314" s="124" t="s">
        <v>442</v>
      </c>
      <c r="I314" s="125" t="s">
        <v>1383</v>
      </c>
    </row>
    <row r="315" spans="1:9">
      <c r="A315" s="124" t="s">
        <v>1230</v>
      </c>
      <c r="B315" s="124" t="s">
        <v>71</v>
      </c>
      <c r="C315" s="124" t="s">
        <v>43</v>
      </c>
      <c r="D315" s="124" t="s">
        <v>1384</v>
      </c>
      <c r="E315" s="124">
        <v>4784</v>
      </c>
      <c r="F315" s="122">
        <v>303</v>
      </c>
      <c r="G315" s="122">
        <v>303</v>
      </c>
      <c r="H315" s="124" t="s">
        <v>442</v>
      </c>
      <c r="I315" s="125" t="s">
        <v>1383</v>
      </c>
    </row>
    <row r="316" spans="1:9">
      <c r="A316" s="124" t="s">
        <v>1230</v>
      </c>
      <c r="B316" s="124" t="s">
        <v>71</v>
      </c>
      <c r="C316" s="124" t="s">
        <v>43</v>
      </c>
      <c r="D316" s="124" t="s">
        <v>1384</v>
      </c>
      <c r="E316" s="124">
        <v>4785</v>
      </c>
      <c r="F316" s="122">
        <v>303</v>
      </c>
      <c r="G316" s="122">
        <v>303</v>
      </c>
      <c r="H316" s="124" t="s">
        <v>442</v>
      </c>
      <c r="I316" s="125" t="s">
        <v>1383</v>
      </c>
    </row>
    <row r="317" spans="1:9">
      <c r="A317" s="124" t="s">
        <v>1230</v>
      </c>
      <c r="B317" s="124" t="s">
        <v>71</v>
      </c>
      <c r="C317" s="124" t="s">
        <v>43</v>
      </c>
      <c r="D317" s="124" t="s">
        <v>1384</v>
      </c>
      <c r="E317" s="124">
        <v>4786</v>
      </c>
      <c r="F317" s="122">
        <v>303</v>
      </c>
      <c r="G317" s="122">
        <v>303</v>
      </c>
      <c r="H317" s="124" t="s">
        <v>442</v>
      </c>
      <c r="I317" s="125" t="s">
        <v>1383</v>
      </c>
    </row>
    <row r="318" spans="1:9">
      <c r="A318" s="124" t="s">
        <v>1230</v>
      </c>
      <c r="B318" s="124" t="s">
        <v>74</v>
      </c>
      <c r="C318" s="124" t="s">
        <v>53</v>
      </c>
      <c r="D318" s="124" t="s">
        <v>1385</v>
      </c>
      <c r="E318" s="124">
        <v>4787</v>
      </c>
      <c r="F318" s="21">
        <v>2000</v>
      </c>
      <c r="G318" s="21">
        <v>2000</v>
      </c>
      <c r="H318" s="124" t="s">
        <v>1386</v>
      </c>
      <c r="I318" s="125" t="s">
        <v>1309</v>
      </c>
    </row>
    <row r="319" spans="1:9">
      <c r="A319" s="124" t="s">
        <v>1230</v>
      </c>
      <c r="B319" s="124" t="s">
        <v>73</v>
      </c>
      <c r="C319" s="124" t="s">
        <v>55</v>
      </c>
      <c r="D319" s="124" t="s">
        <v>1387</v>
      </c>
      <c r="E319" s="124">
        <v>4788</v>
      </c>
      <c r="F319" s="21">
        <v>6200</v>
      </c>
      <c r="G319" s="21">
        <v>6200</v>
      </c>
      <c r="H319" s="124" t="s">
        <v>1388</v>
      </c>
      <c r="I319" s="125" t="s">
        <v>1309</v>
      </c>
    </row>
    <row r="320" spans="1:9">
      <c r="A320" s="124" t="s">
        <v>1230</v>
      </c>
      <c r="B320" s="124" t="s">
        <v>73</v>
      </c>
      <c r="C320" s="124" t="s">
        <v>55</v>
      </c>
      <c r="D320" s="124" t="s">
        <v>1389</v>
      </c>
      <c r="E320" s="124">
        <v>4789</v>
      </c>
      <c r="F320" s="122">
        <v>680</v>
      </c>
      <c r="G320" s="122">
        <v>680</v>
      </c>
      <c r="H320" s="124" t="s">
        <v>1390</v>
      </c>
      <c r="I320" s="125" t="s">
        <v>1309</v>
      </c>
    </row>
    <row r="321" spans="1:9">
      <c r="A321" s="124" t="s">
        <v>1230</v>
      </c>
      <c r="B321" s="124" t="s">
        <v>73</v>
      </c>
      <c r="C321" s="124" t="s">
        <v>55</v>
      </c>
      <c r="D321" s="124" t="s">
        <v>740</v>
      </c>
      <c r="E321" s="124">
        <v>4790</v>
      </c>
      <c r="F321" s="21">
        <v>2116</v>
      </c>
      <c r="G321" s="21">
        <v>2116</v>
      </c>
      <c r="H321" s="124" t="s">
        <v>946</v>
      </c>
      <c r="I321" s="125" t="s">
        <v>1309</v>
      </c>
    </row>
    <row r="322" spans="1:9">
      <c r="A322" s="124" t="s">
        <v>1230</v>
      </c>
      <c r="B322" s="124" t="s">
        <v>73</v>
      </c>
      <c r="C322" s="124" t="s">
        <v>55</v>
      </c>
      <c r="D322" s="124" t="s">
        <v>1391</v>
      </c>
      <c r="E322" s="124">
        <v>4791</v>
      </c>
      <c r="F322" s="21">
        <v>3000</v>
      </c>
      <c r="G322" s="21">
        <v>3000</v>
      </c>
      <c r="H322" s="124" t="s">
        <v>1392</v>
      </c>
      <c r="I322" s="125" t="s">
        <v>1309</v>
      </c>
    </row>
    <row r="323" spans="1:9">
      <c r="A323" s="124" t="s">
        <v>1230</v>
      </c>
      <c r="B323" s="124" t="s">
        <v>73</v>
      </c>
      <c r="C323" s="124" t="s">
        <v>55</v>
      </c>
      <c r="D323" s="124" t="s">
        <v>1391</v>
      </c>
      <c r="E323" s="124">
        <v>4792</v>
      </c>
      <c r="F323" s="21">
        <v>3000</v>
      </c>
      <c r="G323" s="21">
        <v>3000</v>
      </c>
      <c r="H323" s="124" t="s">
        <v>1393</v>
      </c>
      <c r="I323" s="125" t="s">
        <v>1309</v>
      </c>
    </row>
    <row r="324" spans="1:9">
      <c r="A324" s="124" t="s">
        <v>1230</v>
      </c>
      <c r="B324" s="124" t="s">
        <v>73</v>
      </c>
      <c r="C324" s="124" t="s">
        <v>55</v>
      </c>
      <c r="D324" s="124" t="s">
        <v>1387</v>
      </c>
      <c r="E324" s="124">
        <v>4793</v>
      </c>
      <c r="F324" s="21">
        <v>1600</v>
      </c>
      <c r="G324" s="21">
        <v>1600</v>
      </c>
      <c r="H324" s="124" t="s">
        <v>519</v>
      </c>
      <c r="I324" s="125" t="s">
        <v>1309</v>
      </c>
    </row>
    <row r="325" spans="1:9">
      <c r="A325" s="124" t="s">
        <v>1230</v>
      </c>
      <c r="B325" s="124" t="s">
        <v>76</v>
      </c>
      <c r="C325" s="124" t="s">
        <v>55</v>
      </c>
      <c r="D325" s="124" t="s">
        <v>721</v>
      </c>
      <c r="E325" s="124">
        <v>4794</v>
      </c>
      <c r="F325" s="122">
        <v>990</v>
      </c>
      <c r="G325" s="122">
        <v>990</v>
      </c>
      <c r="H325" s="124" t="s">
        <v>875</v>
      </c>
      <c r="I325" s="125" t="s">
        <v>1296</v>
      </c>
    </row>
    <row r="326" spans="1:9">
      <c r="A326" s="124" t="s">
        <v>1230</v>
      </c>
      <c r="B326" s="124" t="s">
        <v>76</v>
      </c>
      <c r="C326" s="124" t="s">
        <v>55</v>
      </c>
      <c r="D326" s="124" t="s">
        <v>721</v>
      </c>
      <c r="E326" s="124">
        <v>4795</v>
      </c>
      <c r="F326" s="122">
        <v>990</v>
      </c>
      <c r="G326" s="122">
        <v>990</v>
      </c>
      <c r="H326" s="124" t="s">
        <v>875</v>
      </c>
      <c r="I326" s="125" t="s">
        <v>1296</v>
      </c>
    </row>
    <row r="327" spans="1:9">
      <c r="A327" s="124" t="s">
        <v>1230</v>
      </c>
      <c r="B327" s="124" t="s">
        <v>76</v>
      </c>
      <c r="C327" s="124" t="s">
        <v>55</v>
      </c>
      <c r="D327" s="124" t="s">
        <v>721</v>
      </c>
      <c r="E327" s="124">
        <v>4796</v>
      </c>
      <c r="F327" s="122">
        <v>990</v>
      </c>
      <c r="G327" s="122">
        <v>990</v>
      </c>
      <c r="H327" s="124" t="s">
        <v>875</v>
      </c>
      <c r="I327" s="125" t="s">
        <v>1296</v>
      </c>
    </row>
    <row r="328" spans="1:9">
      <c r="A328" s="124" t="s">
        <v>1230</v>
      </c>
      <c r="B328" s="124" t="s">
        <v>74</v>
      </c>
      <c r="C328" s="124" t="s">
        <v>53</v>
      </c>
      <c r="D328" s="124" t="s">
        <v>1394</v>
      </c>
      <c r="E328" s="124">
        <v>4797</v>
      </c>
      <c r="F328" s="21">
        <v>1200</v>
      </c>
      <c r="G328" s="21">
        <v>1200</v>
      </c>
      <c r="H328" s="124" t="s">
        <v>1395</v>
      </c>
      <c r="I328" s="125" t="s">
        <v>1309</v>
      </c>
    </row>
    <row r="329" spans="1:9">
      <c r="A329" s="124" t="s">
        <v>1230</v>
      </c>
      <c r="B329" s="124" t="s">
        <v>73</v>
      </c>
      <c r="C329" s="124" t="s">
        <v>55</v>
      </c>
      <c r="D329" s="124" t="s">
        <v>1396</v>
      </c>
      <c r="E329" s="124">
        <v>4798</v>
      </c>
      <c r="F329" s="122">
        <v>850</v>
      </c>
      <c r="G329" s="122">
        <v>850</v>
      </c>
      <c r="H329" s="124" t="s">
        <v>457</v>
      </c>
      <c r="I329" s="125" t="s">
        <v>1282</v>
      </c>
    </row>
    <row r="330" spans="1:9">
      <c r="A330" s="124" t="s">
        <v>1230</v>
      </c>
      <c r="B330" s="124" t="s">
        <v>71</v>
      </c>
      <c r="C330" s="124" t="s">
        <v>43</v>
      </c>
      <c r="D330" s="124" t="s">
        <v>1397</v>
      </c>
      <c r="E330" s="124">
        <v>4799</v>
      </c>
      <c r="F330" s="122">
        <v>921.33</v>
      </c>
      <c r="G330" s="122">
        <v>921.33</v>
      </c>
      <c r="H330" s="124" t="s">
        <v>946</v>
      </c>
      <c r="I330" s="125" t="s">
        <v>1328</v>
      </c>
    </row>
    <row r="331" spans="1:9">
      <c r="A331" s="124" t="s">
        <v>1230</v>
      </c>
      <c r="B331" s="124" t="s">
        <v>73</v>
      </c>
      <c r="C331" s="124" t="s">
        <v>54</v>
      </c>
      <c r="D331" s="124" t="s">
        <v>1398</v>
      </c>
      <c r="E331" s="124">
        <v>4800</v>
      </c>
      <c r="F331" s="122">
        <v>613.85</v>
      </c>
      <c r="G331" s="122">
        <v>613.85</v>
      </c>
      <c r="H331" s="124" t="s">
        <v>519</v>
      </c>
      <c r="I331" s="125" t="s">
        <v>1399</v>
      </c>
    </row>
    <row r="332" spans="1:9">
      <c r="A332" s="124" t="s">
        <v>1230</v>
      </c>
      <c r="B332" s="124" t="s">
        <v>73</v>
      </c>
      <c r="C332" s="124" t="s">
        <v>54</v>
      </c>
      <c r="D332" s="124" t="s">
        <v>1400</v>
      </c>
      <c r="E332" s="124">
        <v>4801</v>
      </c>
      <c r="F332" s="21">
        <v>1121</v>
      </c>
      <c r="G332" s="21">
        <v>1121</v>
      </c>
      <c r="H332" s="124" t="s">
        <v>834</v>
      </c>
      <c r="I332" s="125" t="s">
        <v>1399</v>
      </c>
    </row>
    <row r="333" spans="1:9">
      <c r="A333" s="124" t="s">
        <v>1230</v>
      </c>
      <c r="B333" s="124" t="s">
        <v>73</v>
      </c>
      <c r="C333" s="124" t="s">
        <v>54</v>
      </c>
      <c r="D333" s="124" t="s">
        <v>1401</v>
      </c>
      <c r="E333" s="124">
        <v>4802</v>
      </c>
      <c r="F333" s="21">
        <v>2569</v>
      </c>
      <c r="G333" s="21">
        <v>2569</v>
      </c>
      <c r="H333" s="124" t="s">
        <v>519</v>
      </c>
      <c r="I333" s="125" t="s">
        <v>1399</v>
      </c>
    </row>
    <row r="334" spans="1:9">
      <c r="A334" s="124" t="s">
        <v>1230</v>
      </c>
      <c r="B334" s="124" t="s">
        <v>73</v>
      </c>
      <c r="C334" s="124" t="s">
        <v>54</v>
      </c>
      <c r="D334" s="124" t="s">
        <v>1401</v>
      </c>
      <c r="E334" s="124">
        <v>4803</v>
      </c>
      <c r="F334" s="21">
        <v>2569</v>
      </c>
      <c r="G334" s="21">
        <v>2569</v>
      </c>
      <c r="H334" s="124" t="s">
        <v>519</v>
      </c>
      <c r="I334" s="125" t="s">
        <v>1399</v>
      </c>
    </row>
    <row r="335" spans="1:9">
      <c r="A335" s="124" t="s">
        <v>1230</v>
      </c>
      <c r="B335" s="124" t="s">
        <v>73</v>
      </c>
      <c r="C335" s="124" t="s">
        <v>54</v>
      </c>
      <c r="D335" s="124" t="s">
        <v>1401</v>
      </c>
      <c r="E335" s="124">
        <v>4804</v>
      </c>
      <c r="F335" s="21">
        <v>2569</v>
      </c>
      <c r="G335" s="21">
        <v>2569</v>
      </c>
      <c r="H335" s="124" t="s">
        <v>519</v>
      </c>
      <c r="I335" s="125" t="s">
        <v>1399</v>
      </c>
    </row>
    <row r="336" spans="1:9">
      <c r="A336" s="124" t="s">
        <v>1230</v>
      </c>
      <c r="B336" s="124" t="s">
        <v>73</v>
      </c>
      <c r="C336" s="124" t="s">
        <v>54</v>
      </c>
      <c r="D336" s="124" t="s">
        <v>1401</v>
      </c>
      <c r="E336" s="124">
        <v>4805</v>
      </c>
      <c r="F336" s="21">
        <v>2569</v>
      </c>
      <c r="G336" s="21">
        <v>2569</v>
      </c>
      <c r="H336" s="124" t="s">
        <v>519</v>
      </c>
      <c r="I336" s="125" t="s">
        <v>1399</v>
      </c>
    </row>
    <row r="337" spans="1:9">
      <c r="A337" s="124" t="s">
        <v>1230</v>
      </c>
      <c r="B337" s="124" t="s">
        <v>74</v>
      </c>
      <c r="C337" s="124" t="s">
        <v>51</v>
      </c>
      <c r="D337" s="124" t="s">
        <v>1051</v>
      </c>
      <c r="E337" s="124">
        <v>4806</v>
      </c>
      <c r="F337" s="21">
        <v>4140</v>
      </c>
      <c r="G337" s="21">
        <v>4140</v>
      </c>
      <c r="H337" s="124" t="s">
        <v>411</v>
      </c>
      <c r="I337" s="125" t="s">
        <v>1334</v>
      </c>
    </row>
    <row r="338" spans="1:9">
      <c r="A338" s="124" t="s">
        <v>1230</v>
      </c>
      <c r="B338" s="124" t="s">
        <v>76</v>
      </c>
      <c r="C338" s="124" t="s">
        <v>55</v>
      </c>
      <c r="D338" s="124" t="s">
        <v>910</v>
      </c>
      <c r="E338" s="124">
        <v>4807</v>
      </c>
      <c r="F338" s="21">
        <v>1099</v>
      </c>
      <c r="G338" s="21">
        <v>1099</v>
      </c>
      <c r="H338" s="124" t="s">
        <v>1402</v>
      </c>
      <c r="I338" s="125" t="s">
        <v>1332</v>
      </c>
    </row>
    <row r="339" spans="1:9">
      <c r="A339" s="124" t="s">
        <v>1230</v>
      </c>
      <c r="B339" s="124" t="s">
        <v>76</v>
      </c>
      <c r="C339" s="124" t="s">
        <v>55</v>
      </c>
      <c r="D339" s="124" t="s">
        <v>910</v>
      </c>
      <c r="E339" s="124">
        <v>4808</v>
      </c>
      <c r="F339" s="21">
        <v>1099</v>
      </c>
      <c r="G339" s="21">
        <v>1099</v>
      </c>
      <c r="H339" s="124" t="s">
        <v>1402</v>
      </c>
      <c r="I339" s="125" t="s">
        <v>1332</v>
      </c>
    </row>
    <row r="340" spans="1:9">
      <c r="A340" s="124" t="s">
        <v>1230</v>
      </c>
      <c r="B340" s="124" t="s">
        <v>73</v>
      </c>
      <c r="C340" s="124" t="s">
        <v>55</v>
      </c>
      <c r="D340" s="124" t="s">
        <v>721</v>
      </c>
      <c r="E340" s="124">
        <v>4809</v>
      </c>
      <c r="F340" s="21">
        <v>1049</v>
      </c>
      <c r="G340" s="21">
        <v>1049</v>
      </c>
      <c r="H340" s="124" t="s">
        <v>1181</v>
      </c>
      <c r="I340" s="125" t="s">
        <v>1332</v>
      </c>
    </row>
    <row r="341" spans="1:9">
      <c r="A341" s="124" t="s">
        <v>1230</v>
      </c>
      <c r="B341" s="124" t="s">
        <v>73</v>
      </c>
      <c r="C341" s="124" t="s">
        <v>55</v>
      </c>
      <c r="D341" s="124" t="s">
        <v>721</v>
      </c>
      <c r="E341" s="124">
        <v>4810</v>
      </c>
      <c r="F341" s="21">
        <v>1049</v>
      </c>
      <c r="G341" s="21">
        <v>1049</v>
      </c>
      <c r="H341" s="124" t="s">
        <v>1181</v>
      </c>
      <c r="I341" s="125" t="s">
        <v>1332</v>
      </c>
    </row>
    <row r="342" spans="1:9">
      <c r="A342" s="124" t="s">
        <v>1230</v>
      </c>
      <c r="B342" s="124" t="s">
        <v>73</v>
      </c>
      <c r="C342" s="124" t="s">
        <v>55</v>
      </c>
      <c r="D342" s="124" t="s">
        <v>721</v>
      </c>
      <c r="E342" s="124">
        <v>4811</v>
      </c>
      <c r="F342" s="21">
        <v>1049</v>
      </c>
      <c r="G342" s="21">
        <v>1049</v>
      </c>
      <c r="H342" s="124" t="s">
        <v>1181</v>
      </c>
      <c r="I342" s="125" t="s">
        <v>1332</v>
      </c>
    </row>
    <row r="343" spans="1:9">
      <c r="A343" s="124" t="s">
        <v>1230</v>
      </c>
      <c r="B343" s="124" t="s">
        <v>73</v>
      </c>
      <c r="C343" s="124" t="s">
        <v>55</v>
      </c>
      <c r="D343" s="124" t="s">
        <v>721</v>
      </c>
      <c r="E343" s="124">
        <v>4812</v>
      </c>
      <c r="F343" s="21">
        <v>1049</v>
      </c>
      <c r="G343" s="21">
        <v>1049</v>
      </c>
      <c r="H343" s="124" t="s">
        <v>1181</v>
      </c>
      <c r="I343" s="125" t="s">
        <v>1332</v>
      </c>
    </row>
    <row r="344" spans="1:9">
      <c r="A344" s="124" t="s">
        <v>1230</v>
      </c>
      <c r="B344" s="124" t="s">
        <v>76</v>
      </c>
      <c r="C344" s="124" t="s">
        <v>55</v>
      </c>
      <c r="D344" s="124" t="s">
        <v>1403</v>
      </c>
      <c r="E344" s="124">
        <v>4813</v>
      </c>
      <c r="F344" s="21">
        <v>1800</v>
      </c>
      <c r="G344" s="21">
        <v>1800</v>
      </c>
      <c r="H344" s="124" t="s">
        <v>875</v>
      </c>
      <c r="I344" s="125" t="s">
        <v>1339</v>
      </c>
    </row>
    <row r="345" spans="1:9">
      <c r="A345" s="124" t="s">
        <v>1230</v>
      </c>
      <c r="B345" s="124" t="s">
        <v>76</v>
      </c>
      <c r="C345" s="124" t="s">
        <v>55</v>
      </c>
      <c r="D345" s="124" t="s">
        <v>1404</v>
      </c>
      <c r="E345" s="124">
        <v>4814</v>
      </c>
      <c r="F345" s="122">
        <v>547.20000000000005</v>
      </c>
      <c r="G345" s="122">
        <v>547.20000000000005</v>
      </c>
      <c r="H345" s="124" t="s">
        <v>875</v>
      </c>
      <c r="I345" s="125" t="s">
        <v>1339</v>
      </c>
    </row>
    <row r="346" spans="1:9">
      <c r="A346" s="124" t="s">
        <v>1230</v>
      </c>
      <c r="B346" s="124" t="s">
        <v>73</v>
      </c>
      <c r="C346" s="124" t="s">
        <v>36</v>
      </c>
      <c r="D346" s="124" t="s">
        <v>1406</v>
      </c>
      <c r="E346" s="124">
        <v>15112</v>
      </c>
      <c r="F346" s="21">
        <v>90000</v>
      </c>
      <c r="G346" s="21">
        <v>90000</v>
      </c>
      <c r="H346" s="124">
        <v>15112</v>
      </c>
      <c r="I346" s="125" t="s">
        <v>1407</v>
      </c>
    </row>
    <row r="347" spans="1:9">
      <c r="A347" s="124" t="s">
        <v>1230</v>
      </c>
      <c r="B347" s="124" t="s">
        <v>74</v>
      </c>
      <c r="C347" s="124" t="s">
        <v>32</v>
      </c>
      <c r="D347" s="124" t="s">
        <v>1408</v>
      </c>
      <c r="E347" s="124">
        <v>15118</v>
      </c>
      <c r="F347" s="21">
        <v>5175.4399999999996</v>
      </c>
      <c r="G347" s="21">
        <v>5175.4399999999996</v>
      </c>
      <c r="H347" s="124">
        <v>15118</v>
      </c>
      <c r="I347" s="125" t="s">
        <v>1407</v>
      </c>
    </row>
    <row r="348" spans="1:9">
      <c r="A348" s="124" t="s">
        <v>1230</v>
      </c>
      <c r="B348" s="124" t="s">
        <v>74</v>
      </c>
      <c r="C348" s="124" t="s">
        <v>34</v>
      </c>
      <c r="D348" s="124" t="s">
        <v>1409</v>
      </c>
      <c r="E348" s="124">
        <v>15121</v>
      </c>
      <c r="F348" s="21">
        <v>77385.06</v>
      </c>
      <c r="G348" s="21">
        <v>77385.06</v>
      </c>
      <c r="H348" s="124">
        <v>15121</v>
      </c>
      <c r="I348" s="125" t="s">
        <v>1407</v>
      </c>
    </row>
    <row r="349" spans="1:9">
      <c r="A349" s="124" t="s">
        <v>1230</v>
      </c>
      <c r="B349" s="124" t="s">
        <v>74</v>
      </c>
      <c r="C349" s="124" t="s">
        <v>38</v>
      </c>
      <c r="D349" s="124" t="s">
        <v>1410</v>
      </c>
      <c r="E349" s="124">
        <v>15126</v>
      </c>
      <c r="F349" s="21">
        <v>232100</v>
      </c>
      <c r="G349" s="21">
        <v>232100</v>
      </c>
      <c r="H349" s="124">
        <v>15126</v>
      </c>
      <c r="I349" s="125" t="s">
        <v>1407</v>
      </c>
    </row>
    <row r="350" spans="1:9">
      <c r="A350" s="124" t="s">
        <v>1405</v>
      </c>
      <c r="B350" s="124" t="s">
        <v>71</v>
      </c>
      <c r="C350" s="124" t="s">
        <v>47</v>
      </c>
      <c r="D350" s="124" t="s">
        <v>1069</v>
      </c>
      <c r="E350" s="124">
        <v>15346</v>
      </c>
      <c r="F350" s="21">
        <v>140000</v>
      </c>
      <c r="G350" s="21">
        <v>140000</v>
      </c>
      <c r="H350" s="124">
        <v>15346</v>
      </c>
      <c r="I350" s="125" t="s">
        <v>1411</v>
      </c>
    </row>
    <row r="351" spans="1:9">
      <c r="A351" s="124" t="s">
        <v>1405</v>
      </c>
      <c r="B351" s="124" t="s">
        <v>71</v>
      </c>
      <c r="C351" s="124" t="s">
        <v>47</v>
      </c>
      <c r="D351" s="124" t="s">
        <v>1070</v>
      </c>
      <c r="E351" s="124">
        <v>15347</v>
      </c>
      <c r="F351" s="21">
        <v>100000</v>
      </c>
      <c r="G351" s="21">
        <v>100000</v>
      </c>
      <c r="H351" s="124">
        <v>15347</v>
      </c>
      <c r="I351" s="125" t="s">
        <v>1411</v>
      </c>
    </row>
    <row r="352" spans="1:9">
      <c r="A352" s="124" t="s">
        <v>1405</v>
      </c>
      <c r="B352" s="124" t="s">
        <v>71</v>
      </c>
      <c r="C352" s="124" t="s">
        <v>47</v>
      </c>
      <c r="D352" s="124" t="s">
        <v>1071</v>
      </c>
      <c r="E352" s="124">
        <v>15348</v>
      </c>
      <c r="F352" s="21">
        <v>100000</v>
      </c>
      <c r="G352" s="21">
        <v>100000</v>
      </c>
      <c r="H352" s="124">
        <v>15348</v>
      </c>
      <c r="I352" s="125" t="s">
        <v>1411</v>
      </c>
    </row>
    <row r="353" spans="1:10">
      <c r="A353" s="124" t="s">
        <v>1405</v>
      </c>
      <c r="B353" s="124" t="s">
        <v>71</v>
      </c>
      <c r="C353" s="124" t="s">
        <v>47</v>
      </c>
      <c r="D353" s="124" t="s">
        <v>1072</v>
      </c>
      <c r="E353" s="124">
        <v>15349</v>
      </c>
      <c r="F353" s="21">
        <v>100000</v>
      </c>
      <c r="G353" s="21">
        <v>100000</v>
      </c>
      <c r="H353" s="124">
        <v>15349</v>
      </c>
      <c r="I353" s="125" t="s">
        <v>1411</v>
      </c>
      <c r="J353" s="124"/>
    </row>
    <row r="354" spans="1:10">
      <c r="A354" s="124" t="s">
        <v>1230</v>
      </c>
      <c r="B354" s="124" t="s">
        <v>76</v>
      </c>
      <c r="C354" s="124" t="s">
        <v>34</v>
      </c>
      <c r="D354" s="124" t="s">
        <v>967</v>
      </c>
      <c r="E354" s="124">
        <v>15359</v>
      </c>
      <c r="F354" s="21">
        <v>81988.95</v>
      </c>
      <c r="G354" s="21">
        <v>81988.95</v>
      </c>
      <c r="H354" s="124">
        <v>15359</v>
      </c>
      <c r="I354" s="125" t="s">
        <v>1407</v>
      </c>
      <c r="J354" s="124"/>
    </row>
    <row r="355" spans="1:10">
      <c r="A355" s="124" t="s">
        <v>1230</v>
      </c>
      <c r="B355" s="124" t="s">
        <v>76</v>
      </c>
      <c r="C355" s="124" t="s">
        <v>47</v>
      </c>
      <c r="D355" s="124" t="s">
        <v>1159</v>
      </c>
      <c r="E355" s="124">
        <v>15374</v>
      </c>
      <c r="F355" s="21">
        <v>2760410</v>
      </c>
      <c r="G355" s="21">
        <v>2760410</v>
      </c>
      <c r="H355" s="124">
        <v>15374</v>
      </c>
      <c r="I355" s="125" t="s">
        <v>1412</v>
      </c>
      <c r="J355" s="124">
        <v>1172</v>
      </c>
    </row>
    <row r="356" spans="1:10">
      <c r="A356" s="124" t="s">
        <v>1230</v>
      </c>
      <c r="B356" s="124" t="s">
        <v>968</v>
      </c>
      <c r="C356" s="124" t="s">
        <v>1024</v>
      </c>
      <c r="D356" s="124" t="s">
        <v>1413</v>
      </c>
      <c r="E356" s="124">
        <v>15375</v>
      </c>
      <c r="F356" s="21">
        <v>133904.26</v>
      </c>
      <c r="G356" s="21">
        <v>133904.26</v>
      </c>
      <c r="H356" s="124" t="s">
        <v>969</v>
      </c>
      <c r="I356" s="125" t="s">
        <v>1266</v>
      </c>
      <c r="J356" s="124"/>
    </row>
    <row r="357" spans="1:10">
      <c r="A357" s="124" t="s">
        <v>1231</v>
      </c>
      <c r="B357" s="124" t="s">
        <v>76</v>
      </c>
      <c r="C357" s="124" t="s">
        <v>47</v>
      </c>
      <c r="D357" s="124" t="s">
        <v>1160</v>
      </c>
      <c r="E357" s="124">
        <v>15376</v>
      </c>
      <c r="F357" s="21">
        <v>350000</v>
      </c>
      <c r="G357" s="21">
        <v>350000</v>
      </c>
      <c r="H357" s="124">
        <v>15376</v>
      </c>
      <c r="I357" s="125" t="s">
        <v>1414</v>
      </c>
      <c r="J357" s="124"/>
    </row>
    <row r="358" spans="1:10">
      <c r="A358" s="124" t="s">
        <v>1231</v>
      </c>
      <c r="B358" s="124" t="s">
        <v>76</v>
      </c>
      <c r="C358" s="124" t="s">
        <v>47</v>
      </c>
      <c r="D358" s="124" t="s">
        <v>1161</v>
      </c>
      <c r="E358" s="124">
        <v>15376</v>
      </c>
      <c r="F358" s="21">
        <v>550000</v>
      </c>
      <c r="G358" s="21">
        <v>550000</v>
      </c>
      <c r="H358" s="124">
        <v>15376</v>
      </c>
      <c r="I358" s="125" t="s">
        <v>1414</v>
      </c>
      <c r="J358" s="124" t="s">
        <v>1415</v>
      </c>
    </row>
    <row r="359" spans="1:10">
      <c r="A359" s="124" t="s">
        <v>1231</v>
      </c>
      <c r="B359" s="124" t="s">
        <v>76</v>
      </c>
      <c r="C359" s="124" t="s">
        <v>47</v>
      </c>
      <c r="D359" s="124" t="s">
        <v>1162</v>
      </c>
      <c r="E359" s="124">
        <v>15377</v>
      </c>
      <c r="F359" s="21">
        <v>550000</v>
      </c>
      <c r="G359" s="21">
        <v>550000</v>
      </c>
      <c r="H359" s="124">
        <v>15377</v>
      </c>
      <c r="I359" s="125" t="s">
        <v>1414</v>
      </c>
      <c r="J359" s="124" t="s">
        <v>1416</v>
      </c>
    </row>
    <row r="360" spans="1:10">
      <c r="A360" s="124" t="s">
        <v>1230</v>
      </c>
      <c r="B360" s="124" t="s">
        <v>76</v>
      </c>
      <c r="C360" s="124" t="s">
        <v>47</v>
      </c>
      <c r="D360" s="124" t="s">
        <v>1163</v>
      </c>
      <c r="E360" s="124">
        <v>15378</v>
      </c>
      <c r="F360" s="21">
        <v>900000</v>
      </c>
      <c r="G360" s="21">
        <v>900000</v>
      </c>
      <c r="H360" s="124">
        <v>15378</v>
      </c>
      <c r="I360" s="125" t="s">
        <v>1417</v>
      </c>
      <c r="J360" s="124">
        <v>495</v>
      </c>
    </row>
    <row r="361" spans="1:10">
      <c r="A361" s="124" t="s">
        <v>1230</v>
      </c>
      <c r="B361" s="124" t="s">
        <v>76</v>
      </c>
      <c r="C361" s="124" t="s">
        <v>47</v>
      </c>
      <c r="D361" s="124" t="s">
        <v>1164</v>
      </c>
      <c r="E361" s="124">
        <v>15379</v>
      </c>
      <c r="F361" s="21">
        <v>990000</v>
      </c>
      <c r="G361" s="21">
        <v>990000</v>
      </c>
      <c r="H361" s="124">
        <v>15379</v>
      </c>
      <c r="I361" s="125" t="s">
        <v>1241</v>
      </c>
      <c r="J361" s="124">
        <v>320</v>
      </c>
    </row>
    <row r="362" spans="1:10">
      <c r="A362" s="124" t="s">
        <v>1230</v>
      </c>
      <c r="B362" s="124" t="s">
        <v>76</v>
      </c>
      <c r="C362" s="124" t="s">
        <v>47</v>
      </c>
      <c r="D362" s="124" t="s">
        <v>1418</v>
      </c>
      <c r="E362" s="124">
        <v>15380</v>
      </c>
      <c r="F362" s="21">
        <v>1748000</v>
      </c>
      <c r="G362" s="21">
        <v>1748000</v>
      </c>
      <c r="H362" s="124">
        <v>15380</v>
      </c>
      <c r="I362" s="125" t="s">
        <v>1419</v>
      </c>
      <c r="J362" s="124">
        <v>620</v>
      </c>
    </row>
    <row r="363" spans="1:10">
      <c r="A363" s="124" t="s">
        <v>1230</v>
      </c>
      <c r="B363" s="124" t="s">
        <v>76</v>
      </c>
      <c r="C363" s="124" t="s">
        <v>47</v>
      </c>
      <c r="D363" s="124" t="s">
        <v>1420</v>
      </c>
      <c r="E363" s="124">
        <v>15381</v>
      </c>
      <c r="F363" s="21">
        <v>1748000</v>
      </c>
      <c r="G363" s="21">
        <v>1748000</v>
      </c>
      <c r="H363" s="124">
        <v>15381</v>
      </c>
      <c r="I363" s="125" t="s">
        <v>1419</v>
      </c>
      <c r="J363" s="124">
        <v>620</v>
      </c>
    </row>
    <row r="364" spans="1:10">
      <c r="A364" s="124" t="s">
        <v>1230</v>
      </c>
      <c r="B364" s="124" t="s">
        <v>76</v>
      </c>
      <c r="C364" s="124" t="s">
        <v>47</v>
      </c>
      <c r="D364" s="124" t="s">
        <v>1421</v>
      </c>
      <c r="E364" s="124">
        <v>15382</v>
      </c>
      <c r="F364" s="21">
        <v>1748000</v>
      </c>
      <c r="G364" s="21">
        <v>1748000</v>
      </c>
      <c r="H364" s="124">
        <v>15382</v>
      </c>
      <c r="I364" s="125" t="s">
        <v>1419</v>
      </c>
      <c r="J364" s="124">
        <v>620</v>
      </c>
    </row>
    <row r="365" spans="1:10">
      <c r="A365" s="124" t="s">
        <v>1230</v>
      </c>
      <c r="B365" s="124" t="s">
        <v>76</v>
      </c>
      <c r="C365" s="124" t="s">
        <v>47</v>
      </c>
      <c r="D365" s="124" t="s">
        <v>1422</v>
      </c>
      <c r="E365" s="124">
        <v>15383</v>
      </c>
      <c r="F365" s="21">
        <v>1410000</v>
      </c>
      <c r="G365" s="21">
        <v>1410000</v>
      </c>
      <c r="H365" s="124">
        <v>15383</v>
      </c>
      <c r="I365" s="125" t="s">
        <v>1419</v>
      </c>
      <c r="J365" s="124">
        <v>500</v>
      </c>
    </row>
    <row r="366" spans="1:10">
      <c r="A366" s="124" t="s">
        <v>1230</v>
      </c>
      <c r="B366" s="124" t="s">
        <v>76</v>
      </c>
      <c r="C366" s="124" t="s">
        <v>47</v>
      </c>
      <c r="D366" s="124" t="s">
        <v>1423</v>
      </c>
      <c r="E366" s="124">
        <v>15384</v>
      </c>
      <c r="F366" s="21">
        <v>346000</v>
      </c>
      <c r="G366" s="21">
        <v>346000</v>
      </c>
      <c r="H366" s="124">
        <v>15384</v>
      </c>
      <c r="I366" s="125" t="s">
        <v>1419</v>
      </c>
      <c r="J366" s="124" t="s">
        <v>1424</v>
      </c>
    </row>
    <row r="367" spans="1:10">
      <c r="A367" s="124" t="s">
        <v>1230</v>
      </c>
      <c r="B367" s="124" t="s">
        <v>73</v>
      </c>
      <c r="C367" s="124" t="s">
        <v>34</v>
      </c>
      <c r="D367" s="124" t="s">
        <v>1182</v>
      </c>
      <c r="E367" s="124">
        <v>15386</v>
      </c>
      <c r="F367" s="122">
        <v>10</v>
      </c>
      <c r="G367" s="21">
        <v>330951</v>
      </c>
      <c r="H367" s="124">
        <v>15386</v>
      </c>
      <c r="I367" s="125" t="s">
        <v>1354</v>
      </c>
      <c r="J367" s="124"/>
    </row>
    <row r="368" spans="1:10">
      <c r="A368" s="124" t="s">
        <v>1230</v>
      </c>
      <c r="B368" s="124" t="s">
        <v>73</v>
      </c>
      <c r="C368" s="124" t="s">
        <v>40</v>
      </c>
      <c r="D368" s="124" t="s">
        <v>1183</v>
      </c>
      <c r="E368" s="124">
        <v>15387</v>
      </c>
      <c r="F368" s="122">
        <v>10</v>
      </c>
      <c r="G368" s="21">
        <v>167703</v>
      </c>
      <c r="H368" s="124">
        <v>15387</v>
      </c>
      <c r="I368" s="125" t="s">
        <v>1354</v>
      </c>
      <c r="J368" s="124"/>
    </row>
    <row r="369" spans="1:10">
      <c r="A369" s="124" t="s">
        <v>1230</v>
      </c>
      <c r="B369" s="124" t="s">
        <v>1012</v>
      </c>
      <c r="C369" s="124" t="s">
        <v>34</v>
      </c>
      <c r="D369" s="124" t="s">
        <v>1184</v>
      </c>
      <c r="E369" s="124">
        <v>15388</v>
      </c>
      <c r="F369" s="122">
        <v>10</v>
      </c>
      <c r="G369" s="21">
        <v>24370</v>
      </c>
      <c r="H369" s="124">
        <v>15388</v>
      </c>
      <c r="I369" s="125" t="s">
        <v>1354</v>
      </c>
      <c r="J369" s="124"/>
    </row>
    <row r="370" spans="1:10">
      <c r="A370" s="124" t="s">
        <v>1230</v>
      </c>
      <c r="B370" s="124" t="s">
        <v>1012</v>
      </c>
      <c r="C370" s="124" t="s">
        <v>40</v>
      </c>
      <c r="D370" s="124" t="s">
        <v>1185</v>
      </c>
      <c r="E370" s="124">
        <v>15390</v>
      </c>
      <c r="F370" s="122">
        <v>10</v>
      </c>
      <c r="G370" s="21">
        <v>51992</v>
      </c>
      <c r="H370" s="124">
        <v>15390</v>
      </c>
      <c r="I370" s="125" t="s">
        <v>1354</v>
      </c>
      <c r="J370" s="124"/>
    </row>
    <row r="371" spans="1:10">
      <c r="A371" s="124" t="s">
        <v>1230</v>
      </c>
      <c r="B371" s="124" t="s">
        <v>970</v>
      </c>
      <c r="C371" s="124" t="s">
        <v>38</v>
      </c>
      <c r="D371" s="124" t="s">
        <v>1425</v>
      </c>
      <c r="E371" s="124">
        <v>15391</v>
      </c>
      <c r="F371" s="21">
        <v>38970.46</v>
      </c>
      <c r="G371" s="21">
        <v>282691</v>
      </c>
      <c r="H371" s="124">
        <v>15391</v>
      </c>
      <c r="I371" s="125" t="s">
        <v>1266</v>
      </c>
      <c r="J371" s="124"/>
    </row>
    <row r="372" spans="1:10">
      <c r="A372" s="124" t="s">
        <v>1230</v>
      </c>
      <c r="B372" s="124" t="s">
        <v>970</v>
      </c>
      <c r="C372" s="124" t="s">
        <v>38</v>
      </c>
      <c r="D372" s="124" t="s">
        <v>1425</v>
      </c>
      <c r="E372" s="124">
        <v>15391</v>
      </c>
      <c r="F372" s="21">
        <v>43500</v>
      </c>
      <c r="G372" s="21">
        <v>43500</v>
      </c>
      <c r="H372" s="124">
        <v>15391</v>
      </c>
      <c r="I372" s="125" t="s">
        <v>1407</v>
      </c>
      <c r="J372" s="124"/>
    </row>
    <row r="373" spans="1:10">
      <c r="A373" s="124" t="s">
        <v>1230</v>
      </c>
      <c r="B373" s="124" t="s">
        <v>970</v>
      </c>
      <c r="C373" s="124" t="s">
        <v>40</v>
      </c>
      <c r="D373" s="124" t="s">
        <v>1186</v>
      </c>
      <c r="E373" s="124">
        <v>15392</v>
      </c>
      <c r="F373" s="122">
        <v>10</v>
      </c>
      <c r="G373" s="21">
        <v>70512</v>
      </c>
      <c r="H373" s="124">
        <v>15392</v>
      </c>
      <c r="I373" s="125" t="s">
        <v>1354</v>
      </c>
      <c r="J373" s="124"/>
    </row>
    <row r="374" spans="1:10">
      <c r="A374" s="124" t="s">
        <v>1230</v>
      </c>
      <c r="B374" s="124" t="s">
        <v>74</v>
      </c>
      <c r="C374" s="124" t="s">
        <v>36</v>
      </c>
      <c r="D374" s="124" t="s">
        <v>1426</v>
      </c>
      <c r="E374" s="124">
        <v>15393</v>
      </c>
      <c r="F374" s="21">
        <v>14500</v>
      </c>
      <c r="G374" s="21">
        <v>14500</v>
      </c>
      <c r="H374" s="124" t="s">
        <v>1116</v>
      </c>
      <c r="I374" s="125" t="s">
        <v>1407</v>
      </c>
      <c r="J374" s="124"/>
    </row>
    <row r="375" spans="1:10">
      <c r="A375" s="124" t="s">
        <v>1230</v>
      </c>
      <c r="B375" s="124" t="s">
        <v>74</v>
      </c>
      <c r="C375" s="124" t="s">
        <v>40</v>
      </c>
      <c r="D375" s="124" t="s">
        <v>1427</v>
      </c>
      <c r="E375" s="124">
        <v>15394</v>
      </c>
      <c r="F375" s="21">
        <v>100000</v>
      </c>
      <c r="G375" s="21">
        <v>100000</v>
      </c>
      <c r="H375" s="124" t="s">
        <v>1116</v>
      </c>
      <c r="I375" s="125" t="s">
        <v>1407</v>
      </c>
      <c r="J375" s="124"/>
    </row>
    <row r="376" spans="1:10">
      <c r="A376" s="124" t="s">
        <v>1230</v>
      </c>
      <c r="B376" s="124" t="s">
        <v>73</v>
      </c>
      <c r="C376" s="124" t="s">
        <v>36</v>
      </c>
      <c r="D376" s="124" t="s">
        <v>1428</v>
      </c>
      <c r="E376" s="124">
        <v>15395</v>
      </c>
      <c r="F376" s="21">
        <v>394130.99</v>
      </c>
      <c r="G376" s="21">
        <v>394130.99</v>
      </c>
      <c r="H376" s="124">
        <v>15395</v>
      </c>
      <c r="I376" s="125" t="s">
        <v>1407</v>
      </c>
      <c r="J376" s="124"/>
    </row>
    <row r="377" spans="1:10">
      <c r="A377" s="124" t="s">
        <v>1230</v>
      </c>
      <c r="B377" s="124" t="s">
        <v>73</v>
      </c>
      <c r="C377" s="124" t="s">
        <v>36</v>
      </c>
      <c r="D377" s="124" t="s">
        <v>1429</v>
      </c>
      <c r="E377" s="124">
        <v>15396</v>
      </c>
      <c r="F377" s="21">
        <v>20000</v>
      </c>
      <c r="G377" s="21">
        <v>20000</v>
      </c>
      <c r="H377" s="124">
        <v>15396</v>
      </c>
      <c r="I377" s="125" t="s">
        <v>1407</v>
      </c>
      <c r="J377" s="124"/>
    </row>
    <row r="378" spans="1:10">
      <c r="A378" s="124" t="s">
        <v>1230</v>
      </c>
      <c r="B378" s="124" t="s">
        <v>73</v>
      </c>
      <c r="C378" s="124" t="s">
        <v>1430</v>
      </c>
      <c r="D378" s="124" t="s">
        <v>1431</v>
      </c>
      <c r="E378" s="124">
        <v>15397</v>
      </c>
      <c r="F378" s="21">
        <v>25000</v>
      </c>
      <c r="G378" s="21">
        <v>25000</v>
      </c>
      <c r="H378" s="124">
        <v>15397</v>
      </c>
      <c r="I378" s="125" t="s">
        <v>1432</v>
      </c>
      <c r="J378" s="124"/>
    </row>
    <row r="379" spans="1:10">
      <c r="A379" s="124" t="s">
        <v>1230</v>
      </c>
      <c r="B379" s="124" t="s">
        <v>970</v>
      </c>
      <c r="C379" s="124" t="s">
        <v>36</v>
      </c>
      <c r="D379" s="124" t="s">
        <v>1433</v>
      </c>
      <c r="E379" s="124">
        <v>15398</v>
      </c>
      <c r="F379" s="21">
        <v>20000</v>
      </c>
      <c r="G379" s="21">
        <v>20000</v>
      </c>
      <c r="H379" s="124">
        <v>15398</v>
      </c>
      <c r="I379" s="125" t="s">
        <v>1407</v>
      </c>
      <c r="J379" s="124"/>
    </row>
    <row r="380" spans="1:10">
      <c r="A380" s="124" t="s">
        <v>1230</v>
      </c>
      <c r="B380" s="124" t="s">
        <v>970</v>
      </c>
      <c r="C380" s="124" t="s">
        <v>32</v>
      </c>
      <c r="D380" s="124" t="s">
        <v>1434</v>
      </c>
      <c r="E380" s="124">
        <v>15399</v>
      </c>
      <c r="F380" s="21">
        <v>203980.6</v>
      </c>
      <c r="G380" s="21">
        <v>203980.6</v>
      </c>
      <c r="H380" s="124">
        <v>15399</v>
      </c>
      <c r="I380" s="125" t="s">
        <v>1407</v>
      </c>
      <c r="J380" s="124"/>
    </row>
    <row r="381" spans="1:10">
      <c r="A381" s="124" t="s">
        <v>1230</v>
      </c>
      <c r="B381" s="124" t="s">
        <v>76</v>
      </c>
      <c r="C381" s="124" t="s">
        <v>32</v>
      </c>
      <c r="D381" s="124" t="s">
        <v>1435</v>
      </c>
      <c r="E381" s="124">
        <v>15400</v>
      </c>
      <c r="F381" s="21">
        <v>103853.27</v>
      </c>
      <c r="G381" s="21">
        <v>103853.27</v>
      </c>
      <c r="H381" s="124">
        <v>15400</v>
      </c>
      <c r="I381" s="125" t="s">
        <v>1407</v>
      </c>
      <c r="J381" s="124"/>
    </row>
    <row r="382" spans="1:10">
      <c r="A382" s="124" t="s">
        <v>1230</v>
      </c>
      <c r="B382" s="124" t="s">
        <v>76</v>
      </c>
      <c r="C382" s="124" t="s">
        <v>36</v>
      </c>
      <c r="D382" s="124" t="s">
        <v>1436</v>
      </c>
      <c r="E382" s="124">
        <v>15401</v>
      </c>
      <c r="F382" s="21">
        <v>15000</v>
      </c>
      <c r="G382" s="21">
        <v>15000</v>
      </c>
      <c r="H382" s="124">
        <v>15401</v>
      </c>
      <c r="I382" s="125" t="s">
        <v>1407</v>
      </c>
      <c r="J382" s="124"/>
    </row>
    <row r="383" spans="1:10">
      <c r="A383" s="124" t="s">
        <v>1230</v>
      </c>
      <c r="B383" s="124" t="s">
        <v>73</v>
      </c>
      <c r="C383" s="124" t="s">
        <v>1267</v>
      </c>
      <c r="D383" s="124" t="s">
        <v>1437</v>
      </c>
      <c r="E383" s="124">
        <v>15402</v>
      </c>
      <c r="F383" s="21">
        <v>27342.42</v>
      </c>
      <c r="G383" s="21">
        <v>27342.42</v>
      </c>
      <c r="H383" s="124">
        <v>15402</v>
      </c>
      <c r="I383" s="125" t="s">
        <v>1407</v>
      </c>
      <c r="J383" s="124"/>
    </row>
    <row r="384" spans="1:10">
      <c r="A384" s="124" t="s">
        <v>1230</v>
      </c>
      <c r="B384" s="124" t="s">
        <v>76</v>
      </c>
      <c r="C384" s="124" t="s">
        <v>47</v>
      </c>
      <c r="D384" s="124" t="s">
        <v>1438</v>
      </c>
      <c r="E384" s="124">
        <v>15403</v>
      </c>
      <c r="F384" s="21">
        <v>1834000</v>
      </c>
      <c r="G384" s="21">
        <v>1834000</v>
      </c>
      <c r="H384" s="124">
        <v>15403</v>
      </c>
      <c r="I384" s="125" t="s">
        <v>1439</v>
      </c>
      <c r="J384" s="124">
        <v>237</v>
      </c>
    </row>
    <row r="385" spans="1:10">
      <c r="A385" s="124" t="s">
        <v>1230</v>
      </c>
      <c r="B385" s="124" t="s">
        <v>76</v>
      </c>
      <c r="C385" s="124" t="s">
        <v>47</v>
      </c>
      <c r="D385" s="124" t="s">
        <v>1440</v>
      </c>
      <c r="E385" s="124">
        <v>15404</v>
      </c>
      <c r="F385" s="21">
        <v>1833000</v>
      </c>
      <c r="G385" s="21">
        <v>1833000</v>
      </c>
      <c r="H385" s="124">
        <v>15404</v>
      </c>
      <c r="I385" s="125" t="s">
        <v>1439</v>
      </c>
      <c r="J385" s="124">
        <v>237</v>
      </c>
    </row>
    <row r="386" spans="1:10">
      <c r="A386" s="124" t="s">
        <v>1230</v>
      </c>
      <c r="B386" s="124" t="s">
        <v>76</v>
      </c>
      <c r="C386" s="124" t="s">
        <v>47</v>
      </c>
      <c r="D386" s="124" t="s">
        <v>1441</v>
      </c>
      <c r="E386" s="124">
        <v>15405</v>
      </c>
      <c r="F386" s="21">
        <v>1833000</v>
      </c>
      <c r="G386" s="21">
        <v>1833000</v>
      </c>
      <c r="H386" s="124">
        <v>15405</v>
      </c>
      <c r="I386" s="125" t="s">
        <v>1439</v>
      </c>
      <c r="J386" s="124">
        <v>237</v>
      </c>
    </row>
    <row r="387" spans="1:10">
      <c r="A387" s="124" t="s">
        <v>1231</v>
      </c>
      <c r="B387" s="124" t="s">
        <v>76</v>
      </c>
      <c r="C387" s="124" t="s">
        <v>47</v>
      </c>
      <c r="D387" s="124" t="s">
        <v>1442</v>
      </c>
      <c r="E387" s="124">
        <v>15406</v>
      </c>
      <c r="F387" s="21">
        <v>150000</v>
      </c>
      <c r="G387" s="124"/>
      <c r="H387" s="124" t="s">
        <v>1443</v>
      </c>
      <c r="I387" s="125" t="s">
        <v>1444</v>
      </c>
      <c r="J387" s="124">
        <v>50</v>
      </c>
    </row>
  </sheetData>
  <sheetProtection selectLockedCells="1" selectUnlockedCells="1"/>
  <autoFilter ref="A3:J387"/>
  <pageMargins left="0.51180555555555551" right="0.51180555555555551" top="0.78749999999999998" bottom="0.78749999999999998" header="0.51180555555555551" footer="0.51180555555555551"/>
  <pageSetup paperSize="9" firstPageNumber="0" orientation="portrait" horizontalDpi="300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97"/>
  <sheetViews>
    <sheetView showGridLines="0" zoomScale="90" zoomScaleNormal="90" workbookViewId="0">
      <selection activeCell="T20" sqref="T20"/>
    </sheetView>
  </sheetViews>
  <sheetFormatPr defaultRowHeight="15"/>
  <cols>
    <col min="1" max="1" width="1.7109375" style="225" customWidth="1"/>
    <col min="2" max="2" width="68" style="225" customWidth="1"/>
    <col min="3" max="3" width="10.140625" style="225" customWidth="1"/>
    <col min="4" max="4" width="17.5703125" style="225" bestFit="1" customWidth="1"/>
    <col min="5" max="5" width="17.28515625" style="225" bestFit="1" customWidth="1"/>
    <col min="6" max="6" width="8.28515625" style="225" bestFit="1" customWidth="1"/>
    <col min="7" max="7" width="15.140625" style="225" bestFit="1" customWidth="1"/>
    <col min="8" max="8" width="17.85546875" style="225" bestFit="1" customWidth="1"/>
    <col min="9" max="9" width="18.42578125" style="225" bestFit="1" customWidth="1"/>
    <col min="10" max="10" width="19.140625" style="225" bestFit="1" customWidth="1"/>
    <col min="11" max="11" width="1.7109375" style="225" customWidth="1"/>
    <col min="12" max="12" width="13.28515625" style="225" bestFit="1" customWidth="1"/>
    <col min="13" max="16384" width="9.140625" style="225"/>
  </cols>
  <sheetData>
    <row r="1" spans="2:11" ht="18.75">
      <c r="C1" s="400" t="s">
        <v>1220</v>
      </c>
    </row>
    <row r="2" spans="2:11" s="227" customFormat="1" ht="17.25" customHeight="1">
      <c r="B2" s="425"/>
      <c r="C2" s="299" t="s">
        <v>5758</v>
      </c>
      <c r="K2" s="653"/>
    </row>
    <row r="3" spans="2:11" s="227" customFormat="1" ht="18.75" customHeight="1">
      <c r="B3" s="381"/>
      <c r="C3" s="381"/>
      <c r="K3" s="381"/>
    </row>
    <row r="4" spans="2:11" s="227" customFormat="1">
      <c r="B4" s="229"/>
      <c r="C4" s="229"/>
    </row>
    <row r="5" spans="2:11" ht="16.5" customHeight="1">
      <c r="B5" s="964" t="s">
        <v>1210</v>
      </c>
      <c r="C5" s="964" t="s">
        <v>1224</v>
      </c>
      <c r="D5" s="964" t="s">
        <v>1211</v>
      </c>
      <c r="E5" s="964"/>
      <c r="F5" s="961" t="s">
        <v>24</v>
      </c>
      <c r="G5" s="961" t="s">
        <v>1222</v>
      </c>
      <c r="H5" s="961" t="s">
        <v>1227</v>
      </c>
      <c r="I5" s="961" t="s">
        <v>1212</v>
      </c>
      <c r="J5" s="961" t="s">
        <v>1213</v>
      </c>
    </row>
    <row r="6" spans="2:11" ht="16.5" customHeight="1">
      <c r="B6" s="964"/>
      <c r="C6" s="964"/>
      <c r="D6" s="669" t="s">
        <v>1214</v>
      </c>
      <c r="E6" s="669" t="s">
        <v>1221</v>
      </c>
      <c r="F6" s="961"/>
      <c r="G6" s="961"/>
      <c r="H6" s="961"/>
      <c r="I6" s="961"/>
      <c r="J6" s="961"/>
    </row>
    <row r="7" spans="2:11" ht="16.5" customHeight="1">
      <c r="B7" s="433"/>
      <c r="C7" s="666"/>
      <c r="D7" s="666"/>
      <c r="E7" s="666"/>
      <c r="F7" s="667"/>
      <c r="G7" s="667"/>
      <c r="H7" s="667"/>
      <c r="I7" s="667"/>
      <c r="J7" s="667"/>
    </row>
    <row r="8" spans="2:11" ht="16.5" customHeight="1">
      <c r="B8" s="685" t="s">
        <v>1468</v>
      </c>
      <c r="C8" s="685" t="s">
        <v>1226</v>
      </c>
      <c r="D8" s="686">
        <v>887550</v>
      </c>
      <c r="E8" s="686">
        <v>1956692.73</v>
      </c>
      <c r="F8" s="685" t="s">
        <v>25</v>
      </c>
      <c r="G8" s="686">
        <v>1.8900027190268143</v>
      </c>
      <c r="H8" s="686">
        <v>62.50049991549772</v>
      </c>
      <c r="I8" s="686">
        <v>3698154.58</v>
      </c>
      <c r="J8" s="687">
        <f>IF(F8=$F$20,I8*$J$42,I8)</f>
        <v>3698154.58</v>
      </c>
    </row>
    <row r="9" spans="2:11" ht="16.5" customHeight="1">
      <c r="B9" s="673" t="s">
        <v>1469</v>
      </c>
      <c r="C9" s="673" t="s">
        <v>1225</v>
      </c>
      <c r="D9" s="674">
        <v>1000000</v>
      </c>
      <c r="E9" s="674">
        <v>2204600</v>
      </c>
      <c r="F9" s="673" t="s">
        <v>22</v>
      </c>
      <c r="G9" s="674">
        <v>0.80000907194048809</v>
      </c>
      <c r="H9" s="674">
        <v>26.455500000000001</v>
      </c>
      <c r="I9" s="674">
        <v>1763700</v>
      </c>
      <c r="J9" s="672">
        <f t="shared" ref="J9:J33" si="0">IF(F9=$F$20,I9*$J$42,I9)</f>
        <v>5467470</v>
      </c>
    </row>
    <row r="10" spans="2:11" s="297" customFormat="1" ht="16.5" customHeight="1">
      <c r="B10" s="685" t="s">
        <v>1469</v>
      </c>
      <c r="C10" s="685" t="s">
        <v>1225</v>
      </c>
      <c r="D10" s="686">
        <v>500000</v>
      </c>
      <c r="E10" s="686">
        <v>1102300</v>
      </c>
      <c r="F10" s="685" t="s">
        <v>22</v>
      </c>
      <c r="G10" s="686">
        <v>0.80000907194048809</v>
      </c>
      <c r="H10" s="686">
        <v>26.455500000000001</v>
      </c>
      <c r="I10" s="686">
        <v>881850</v>
      </c>
      <c r="J10" s="687">
        <f t="shared" si="0"/>
        <v>2733735</v>
      </c>
    </row>
    <row r="11" spans="2:11" ht="16.5" customHeight="1">
      <c r="B11" s="673" t="s">
        <v>1469</v>
      </c>
      <c r="C11" s="673" t="s">
        <v>1225</v>
      </c>
      <c r="D11" s="674">
        <v>1001460.45</v>
      </c>
      <c r="E11" s="674">
        <v>2207819.7080700002</v>
      </c>
      <c r="F11" s="673" t="s">
        <v>22</v>
      </c>
      <c r="G11" s="674">
        <v>0.78649187868602244</v>
      </c>
      <c r="H11" s="674">
        <v>26.008499936268077</v>
      </c>
      <c r="I11" s="674">
        <v>1736432.27</v>
      </c>
      <c r="J11" s="672">
        <f t="shared" si="0"/>
        <v>5382940.0370000005</v>
      </c>
    </row>
    <row r="12" spans="2:11" s="297" customFormat="1" ht="16.5" customHeight="1">
      <c r="B12" s="685" t="s">
        <v>1470</v>
      </c>
      <c r="C12" s="685" t="s">
        <v>1226</v>
      </c>
      <c r="D12" s="686">
        <v>57520</v>
      </c>
      <c r="E12" s="686">
        <v>126808.592</v>
      </c>
      <c r="F12" s="685" t="s">
        <v>25</v>
      </c>
      <c r="G12" s="686">
        <v>1.8143880976140796</v>
      </c>
      <c r="H12" s="686">
        <v>60</v>
      </c>
      <c r="I12" s="686">
        <v>230080</v>
      </c>
      <c r="J12" s="687">
        <f t="shared" si="0"/>
        <v>230080</v>
      </c>
    </row>
    <row r="13" spans="2:11" ht="16.5" customHeight="1">
      <c r="B13" s="673" t="s">
        <v>1471</v>
      </c>
      <c r="C13" s="673" t="s">
        <v>1226</v>
      </c>
      <c r="D13" s="674">
        <v>57505</v>
      </c>
      <c r="E13" s="674">
        <v>126775.523</v>
      </c>
      <c r="F13" s="673" t="s">
        <v>25</v>
      </c>
      <c r="G13" s="674">
        <v>1.6964528712691644</v>
      </c>
      <c r="H13" s="674">
        <v>56.1</v>
      </c>
      <c r="I13" s="674">
        <v>215068.7</v>
      </c>
      <c r="J13" s="672">
        <f t="shared" si="0"/>
        <v>215068.7</v>
      </c>
    </row>
    <row r="14" spans="2:11" ht="16.5" customHeight="1">
      <c r="B14" s="685" t="s">
        <v>1472</v>
      </c>
      <c r="C14" s="685" t="s">
        <v>1226</v>
      </c>
      <c r="D14" s="686">
        <v>1112450</v>
      </c>
      <c r="E14" s="686">
        <v>2452507.27</v>
      </c>
      <c r="F14" s="685" t="s">
        <v>25</v>
      </c>
      <c r="G14" s="686">
        <v>1.8900027236208763</v>
      </c>
      <c r="H14" s="686">
        <v>62.500500067418763</v>
      </c>
      <c r="I14" s="686">
        <v>4635245.42</v>
      </c>
      <c r="J14" s="687">
        <f t="shared" si="0"/>
        <v>4635245.42</v>
      </c>
    </row>
    <row r="15" spans="2:11" ht="16.5" customHeight="1">
      <c r="B15" s="673" t="s">
        <v>1469</v>
      </c>
      <c r="C15" s="673" t="s">
        <v>1225</v>
      </c>
      <c r="D15" s="674">
        <v>1001211.86</v>
      </c>
      <c r="E15" s="674">
        <v>2207271.6665559998</v>
      </c>
      <c r="F15" s="673" t="s">
        <v>22</v>
      </c>
      <c r="G15" s="674">
        <v>0.78499500820554757</v>
      </c>
      <c r="H15" s="674">
        <v>25.958999926349254</v>
      </c>
      <c r="I15" s="674">
        <v>1732697.24</v>
      </c>
      <c r="J15" s="672">
        <f t="shared" si="0"/>
        <v>5371361.4440000001</v>
      </c>
    </row>
    <row r="16" spans="2:11" s="297" customFormat="1" ht="16.5" customHeight="1">
      <c r="B16" s="685" t="s">
        <v>1471</v>
      </c>
      <c r="C16" s="685" t="s">
        <v>1226</v>
      </c>
      <c r="D16" s="686">
        <v>723998</v>
      </c>
      <c r="E16" s="686">
        <v>1596125.9908</v>
      </c>
      <c r="F16" s="685" t="s">
        <v>25</v>
      </c>
      <c r="G16" s="686">
        <v>1.7539236163912482</v>
      </c>
      <c r="H16" s="686">
        <v>58.000500070442186</v>
      </c>
      <c r="I16" s="686">
        <v>2799483.07</v>
      </c>
      <c r="J16" s="687">
        <f t="shared" si="0"/>
        <v>2799483.07</v>
      </c>
    </row>
    <row r="17" spans="2:10" ht="16.5" customHeight="1">
      <c r="B17" s="673" t="s">
        <v>1473</v>
      </c>
      <c r="C17" s="673" t="s">
        <v>1225</v>
      </c>
      <c r="D17" s="674">
        <v>2000000</v>
      </c>
      <c r="E17" s="674">
        <v>4409200</v>
      </c>
      <c r="F17" s="673" t="s">
        <v>22</v>
      </c>
      <c r="G17" s="674">
        <v>0.73999818561190234</v>
      </c>
      <c r="H17" s="674">
        <v>24.471</v>
      </c>
      <c r="I17" s="674">
        <v>3262800</v>
      </c>
      <c r="J17" s="672">
        <f t="shared" si="0"/>
        <v>10114680</v>
      </c>
    </row>
    <row r="18" spans="2:10" ht="16.5" customHeight="1">
      <c r="B18" s="685" t="s">
        <v>1469</v>
      </c>
      <c r="C18" s="685" t="s">
        <v>1225</v>
      </c>
      <c r="D18" s="686">
        <v>259258.9</v>
      </c>
      <c r="E18" s="686">
        <v>571562.17093999998</v>
      </c>
      <c r="F18" s="685" t="s">
        <v>22</v>
      </c>
      <c r="G18" s="686">
        <v>0.73999818655668148</v>
      </c>
      <c r="H18" s="686">
        <v>24.471000031242902</v>
      </c>
      <c r="I18" s="686">
        <v>422954.97</v>
      </c>
      <c r="J18" s="687">
        <f t="shared" si="0"/>
        <v>1311160.4069999999</v>
      </c>
    </row>
    <row r="19" spans="2:10" ht="16.5" customHeight="1">
      <c r="B19" s="673" t="s">
        <v>1474</v>
      </c>
      <c r="C19" s="673" t="s">
        <v>1225</v>
      </c>
      <c r="D19" s="674">
        <v>439000</v>
      </c>
      <c r="E19" s="674">
        <v>967819.4</v>
      </c>
      <c r="F19" s="673" t="s">
        <v>22</v>
      </c>
      <c r="G19" s="674">
        <v>0.69001179352263453</v>
      </c>
      <c r="H19" s="674">
        <v>22.818000000000001</v>
      </c>
      <c r="I19" s="674">
        <v>667806.80000000005</v>
      </c>
      <c r="J19" s="672">
        <f t="shared" si="0"/>
        <v>2070201.0800000003</v>
      </c>
    </row>
    <row r="20" spans="2:10" ht="16.5" customHeight="1">
      <c r="B20" s="685" t="s">
        <v>1469</v>
      </c>
      <c r="C20" s="685" t="s">
        <v>1225</v>
      </c>
      <c r="D20" s="686">
        <v>1500000</v>
      </c>
      <c r="E20" s="686">
        <v>3306900</v>
      </c>
      <c r="F20" s="685" t="s">
        <v>22</v>
      </c>
      <c r="G20" s="686">
        <v>0.75501224711965886</v>
      </c>
      <c r="H20" s="686">
        <v>24.967500000000001</v>
      </c>
      <c r="I20" s="686">
        <v>2496750</v>
      </c>
      <c r="J20" s="687">
        <f t="shared" si="0"/>
        <v>7739925</v>
      </c>
    </row>
    <row r="21" spans="2:10" ht="16.5" customHeight="1">
      <c r="B21" s="673" t="s">
        <v>1471</v>
      </c>
      <c r="C21" s="673" t="s">
        <v>1226</v>
      </c>
      <c r="D21" s="674">
        <v>116439</v>
      </c>
      <c r="E21" s="674">
        <v>256701.41940000001</v>
      </c>
      <c r="F21" s="673" t="s">
        <v>25</v>
      </c>
      <c r="G21" s="674">
        <v>1.6329492878526717</v>
      </c>
      <c r="H21" s="674">
        <v>54</v>
      </c>
      <c r="I21" s="674">
        <v>419180.4</v>
      </c>
      <c r="J21" s="672">
        <f t="shared" si="0"/>
        <v>419180.4</v>
      </c>
    </row>
    <row r="22" spans="2:10" ht="16.5" customHeight="1">
      <c r="B22" s="685" t="s">
        <v>1474</v>
      </c>
      <c r="C22" s="685" t="s">
        <v>1225</v>
      </c>
      <c r="D22" s="686">
        <v>2000978.38</v>
      </c>
      <c r="E22" s="686">
        <v>4411356.9365480002</v>
      </c>
      <c r="F22" s="685" t="s">
        <v>22</v>
      </c>
      <c r="G22" s="686">
        <v>0.73505727299804891</v>
      </c>
      <c r="H22" s="686">
        <v>24.30760896077248</v>
      </c>
      <c r="I22" s="686">
        <v>3242600</v>
      </c>
      <c r="J22" s="687">
        <f t="shared" si="0"/>
        <v>10052060</v>
      </c>
    </row>
    <row r="23" spans="2:10" ht="16.5" customHeight="1">
      <c r="B23" s="673" t="s">
        <v>1475</v>
      </c>
      <c r="C23" s="673" t="s">
        <v>1225</v>
      </c>
      <c r="D23" s="674">
        <v>2000000</v>
      </c>
      <c r="E23" s="674">
        <v>4409200</v>
      </c>
      <c r="F23" s="673" t="s">
        <v>22</v>
      </c>
      <c r="G23" s="674">
        <v>0.73999818561190234</v>
      </c>
      <c r="H23" s="674">
        <v>24.471</v>
      </c>
      <c r="I23" s="674">
        <v>3262800</v>
      </c>
      <c r="J23" s="672">
        <f t="shared" si="0"/>
        <v>10114680</v>
      </c>
    </row>
    <row r="24" spans="2:10" ht="16.5" customHeight="1">
      <c r="B24" s="685" t="s">
        <v>1469</v>
      </c>
      <c r="C24" s="685" t="s">
        <v>1225</v>
      </c>
      <c r="D24" s="686">
        <v>1000000</v>
      </c>
      <c r="E24" s="686">
        <v>2204600</v>
      </c>
      <c r="F24" s="685" t="s">
        <v>22</v>
      </c>
      <c r="G24" s="686">
        <v>0.73500861834346365</v>
      </c>
      <c r="H24" s="686">
        <v>24.306000000000001</v>
      </c>
      <c r="I24" s="686">
        <v>1620400</v>
      </c>
      <c r="J24" s="687">
        <f t="shared" si="0"/>
        <v>5023240</v>
      </c>
    </row>
    <row r="25" spans="2:10" ht="16.5" customHeight="1">
      <c r="B25" s="673" t="s">
        <v>1475</v>
      </c>
      <c r="C25" s="673" t="s">
        <v>1225</v>
      </c>
      <c r="D25" s="674">
        <v>1675448</v>
      </c>
      <c r="E25" s="674">
        <v>3693692.6608000002</v>
      </c>
      <c r="F25" s="673" t="s">
        <v>22</v>
      </c>
      <c r="G25" s="674">
        <v>0.70411866087329122</v>
      </c>
      <c r="H25" s="674">
        <v>23.284499996418869</v>
      </c>
      <c r="I25" s="674">
        <v>2600797.9300000002</v>
      </c>
      <c r="J25" s="672">
        <f t="shared" si="0"/>
        <v>8062473.5830000006</v>
      </c>
    </row>
    <row r="26" spans="2:10" ht="16.5" customHeight="1">
      <c r="B26" s="685" t="s">
        <v>1476</v>
      </c>
      <c r="C26" s="685" t="s">
        <v>1226</v>
      </c>
      <c r="D26" s="686">
        <v>28965</v>
      </c>
      <c r="E26" s="686">
        <v>63856.239000000001</v>
      </c>
      <c r="F26" s="685" t="s">
        <v>25</v>
      </c>
      <c r="G26" s="686">
        <v>1.6329492878526717</v>
      </c>
      <c r="H26" s="686">
        <v>54</v>
      </c>
      <c r="I26" s="686">
        <v>104274</v>
      </c>
      <c r="J26" s="687">
        <f t="shared" si="0"/>
        <v>104274</v>
      </c>
    </row>
    <row r="27" spans="2:10" ht="16.5" customHeight="1">
      <c r="B27" s="673" t="s">
        <v>1469</v>
      </c>
      <c r="C27" s="673" t="s">
        <v>1225</v>
      </c>
      <c r="D27" s="674">
        <v>1000000</v>
      </c>
      <c r="E27" s="674">
        <v>2204600</v>
      </c>
      <c r="F27" s="673" t="s">
        <v>22</v>
      </c>
      <c r="G27" s="674">
        <v>0.73001905107502496</v>
      </c>
      <c r="H27" s="674">
        <v>24.140999999999998</v>
      </c>
      <c r="I27" s="674">
        <v>1609400</v>
      </c>
      <c r="J27" s="672">
        <f t="shared" si="0"/>
        <v>4989140</v>
      </c>
    </row>
    <row r="28" spans="2:10" s="297" customFormat="1" ht="16.5" customHeight="1">
      <c r="B28" s="685" t="s">
        <v>1477</v>
      </c>
      <c r="C28" s="685" t="s">
        <v>1225</v>
      </c>
      <c r="D28" s="686">
        <v>617063.55000000005</v>
      </c>
      <c r="E28" s="686">
        <v>1360378.3023300001</v>
      </c>
      <c r="F28" s="685" t="s">
        <v>22</v>
      </c>
      <c r="G28" s="686">
        <v>0.60999727691827066</v>
      </c>
      <c r="H28" s="686">
        <v>20.171999950410296</v>
      </c>
      <c r="I28" s="686">
        <v>829827.06</v>
      </c>
      <c r="J28" s="687">
        <f t="shared" si="0"/>
        <v>2572463.8860000004</v>
      </c>
    </row>
    <row r="29" spans="2:10" ht="16.5" customHeight="1">
      <c r="B29" s="673" t="s">
        <v>1478</v>
      </c>
      <c r="C29" s="673" t="s">
        <v>1225</v>
      </c>
      <c r="D29" s="674">
        <v>551000</v>
      </c>
      <c r="E29" s="674">
        <v>1214734.6000000001</v>
      </c>
      <c r="F29" s="673" t="s">
        <v>22</v>
      </c>
      <c r="G29" s="674">
        <v>0.65000453597024399</v>
      </c>
      <c r="H29" s="674">
        <v>21.495000000000001</v>
      </c>
      <c r="I29" s="674">
        <v>789583</v>
      </c>
      <c r="J29" s="672">
        <f t="shared" si="0"/>
        <v>2447707.3000000003</v>
      </c>
    </row>
    <row r="30" spans="2:10" s="297" customFormat="1" ht="16.5" customHeight="1">
      <c r="B30" s="685" t="s">
        <v>1474</v>
      </c>
      <c r="C30" s="685" t="s">
        <v>1225</v>
      </c>
      <c r="D30" s="686">
        <v>925000</v>
      </c>
      <c r="E30" s="686">
        <v>2039255</v>
      </c>
      <c r="F30" s="685" t="s">
        <v>22</v>
      </c>
      <c r="G30" s="686">
        <v>0.6466086046129591</v>
      </c>
      <c r="H30" s="686">
        <v>21.382699945945944</v>
      </c>
      <c r="I30" s="686">
        <v>1318599.83</v>
      </c>
      <c r="J30" s="687">
        <f t="shared" si="0"/>
        <v>4087659.4730000002</v>
      </c>
    </row>
    <row r="31" spans="2:10" ht="16.5" customHeight="1">
      <c r="B31" s="673" t="s">
        <v>1474</v>
      </c>
      <c r="C31" s="673" t="s">
        <v>1225</v>
      </c>
      <c r="D31" s="674">
        <v>1043788</v>
      </c>
      <c r="E31" s="674">
        <v>2301135.0247999998</v>
      </c>
      <c r="F31" s="673" t="s">
        <v>22</v>
      </c>
      <c r="G31" s="674">
        <v>0.60531268916784342</v>
      </c>
      <c r="H31" s="674">
        <v>20.017085318091414</v>
      </c>
      <c r="I31" s="674">
        <v>1392906.23</v>
      </c>
      <c r="J31" s="672">
        <f t="shared" si="0"/>
        <v>4318009.3130000001</v>
      </c>
    </row>
    <row r="32" spans="2:10" s="297" customFormat="1" ht="16.5" customHeight="1">
      <c r="B32" s="685" t="s">
        <v>1479</v>
      </c>
      <c r="C32" s="685" t="s">
        <v>1225</v>
      </c>
      <c r="D32" s="686">
        <v>2259100</v>
      </c>
      <c r="E32" s="686">
        <v>4980411.8600000003</v>
      </c>
      <c r="F32" s="685" t="s">
        <v>22</v>
      </c>
      <c r="G32" s="686">
        <v>0.58497818491661857</v>
      </c>
      <c r="H32" s="686">
        <v>19.344643597007657</v>
      </c>
      <c r="I32" s="686">
        <v>2913432.29</v>
      </c>
      <c r="J32" s="687">
        <f t="shared" si="0"/>
        <v>9031640.0989999995</v>
      </c>
    </row>
    <row r="33" spans="1:10" s="297" customFormat="1" ht="16.5" customHeight="1">
      <c r="B33" s="673" t="s">
        <v>1477</v>
      </c>
      <c r="C33" s="673" t="s">
        <v>1225</v>
      </c>
      <c r="D33" s="674">
        <v>123500</v>
      </c>
      <c r="E33" s="674">
        <v>272268.09999999998</v>
      </c>
      <c r="F33" s="673" t="s">
        <v>22</v>
      </c>
      <c r="G33" s="674">
        <v>0.60001814388097618</v>
      </c>
      <c r="H33" s="674">
        <v>19.841999999999999</v>
      </c>
      <c r="I33" s="674">
        <v>163365.79999999999</v>
      </c>
      <c r="J33" s="672">
        <f t="shared" si="0"/>
        <v>506433.98</v>
      </c>
    </row>
    <row r="34" spans="1:10" s="297" customFormat="1" ht="16.5" customHeight="1">
      <c r="B34" s="685" t="s">
        <v>1475</v>
      </c>
      <c r="C34" s="685" t="s">
        <v>1225</v>
      </c>
      <c r="D34" s="686">
        <v>324552</v>
      </c>
      <c r="E34" s="686">
        <v>715507.33920000005</v>
      </c>
      <c r="F34" s="685" t="s">
        <v>22</v>
      </c>
      <c r="G34" s="686">
        <v>0.57978772162397407</v>
      </c>
      <c r="H34" s="686">
        <v>19.173000166383201</v>
      </c>
      <c r="I34" s="686">
        <v>414842.37</v>
      </c>
      <c r="J34" s="687">
        <f>IF(F34=$F$20,I34*$J$42,I34)</f>
        <v>1286011.3470000001</v>
      </c>
    </row>
    <row r="35" spans="1:10" s="297" customFormat="1" ht="16.5" customHeight="1">
      <c r="B35" s="673" t="s">
        <v>5462</v>
      </c>
      <c r="C35" s="673" t="s">
        <v>1226</v>
      </c>
      <c r="D35" s="674">
        <v>109200</v>
      </c>
      <c r="E35" s="674">
        <v>240742.32</v>
      </c>
      <c r="F35" s="673" t="s">
        <v>25</v>
      </c>
      <c r="G35" s="674">
        <v>2.0714415313435546</v>
      </c>
      <c r="H35" s="674">
        <v>68.500500000000002</v>
      </c>
      <c r="I35" s="674">
        <v>498683.64</v>
      </c>
      <c r="J35" s="672">
        <f>IF(F35=$F$20,I35*$J$42,I35)</f>
        <v>498683.64</v>
      </c>
    </row>
    <row r="36" spans="1:10" s="297" customFormat="1" ht="8.1" customHeight="1">
      <c r="B36" s="469"/>
      <c r="C36" s="469"/>
      <c r="D36" s="469"/>
      <c r="E36" s="469"/>
      <c r="F36" s="483"/>
      <c r="G36" s="675"/>
      <c r="H36" s="675"/>
      <c r="I36" s="676"/>
      <c r="J36" s="677"/>
    </row>
    <row r="37" spans="1:10" s="493" customFormat="1" ht="16.5" customHeight="1">
      <c r="B37" s="678" t="s">
        <v>1223</v>
      </c>
      <c r="C37" s="678"/>
      <c r="D37" s="679">
        <f>SUM(D8:D35)</f>
        <v>24314988.140000001</v>
      </c>
      <c r="E37" s="679">
        <f>SUM(E8:E35)</f>
        <v>53604822.85344401</v>
      </c>
      <c r="F37" s="680"/>
      <c r="G37" s="681"/>
      <c r="H37" s="682" t="s">
        <v>1448</v>
      </c>
      <c r="I37" s="683" t="s">
        <v>21</v>
      </c>
      <c r="J37" s="679">
        <f>SUM(J8:J35)</f>
        <v>115283161.759</v>
      </c>
    </row>
    <row r="38" spans="1:10" s="493" customFormat="1" ht="16.5" customHeight="1">
      <c r="B38" s="419"/>
      <c r="C38" s="419"/>
      <c r="D38" s="419"/>
      <c r="E38" s="419"/>
      <c r="F38" s="962" t="s">
        <v>1228</v>
      </c>
      <c r="G38" s="962"/>
      <c r="H38" s="684">
        <f>SUMIF(F8:F35,F34,D8:D35)</f>
        <v>21221361.140000001</v>
      </c>
      <c r="I38" s="684">
        <f>SUMIF(F8:F35,F34,I8:I35)</f>
        <v>33123545.790000003</v>
      </c>
      <c r="J38" s="419"/>
    </row>
    <row r="39" spans="1:10" s="493" customFormat="1" ht="16.5" customHeight="1">
      <c r="B39" s="419"/>
      <c r="C39" s="419"/>
      <c r="D39" s="419"/>
      <c r="E39" s="419"/>
      <c r="F39" s="962" t="s">
        <v>1229</v>
      </c>
      <c r="G39" s="962"/>
      <c r="H39" s="684">
        <f>SUMIF(F9:F35,F16,D8:D35)</f>
        <v>5617697.3100000005</v>
      </c>
      <c r="I39" s="684">
        <f>SUMIF(F8:F35,F26,I8:I35)</f>
        <v>12600169.810000001</v>
      </c>
      <c r="J39" s="419"/>
    </row>
    <row r="40" spans="1:10">
      <c r="D40" s="655"/>
    </row>
    <row r="41" spans="1:10" s="493" customFormat="1" ht="5.0999999999999996" customHeight="1">
      <c r="A41" s="656"/>
      <c r="B41" s="657"/>
      <c r="C41" s="657"/>
      <c r="D41" s="658"/>
      <c r="E41" s="658"/>
      <c r="F41" s="658"/>
      <c r="G41" s="659"/>
      <c r="H41" s="659"/>
      <c r="I41" s="660"/>
      <c r="J41" s="660"/>
    </row>
    <row r="42" spans="1:10" s="661" customFormat="1" ht="16.5" customHeight="1">
      <c r="D42" s="662"/>
      <c r="E42" s="662"/>
      <c r="F42" s="663"/>
      <c r="I42" s="661" t="s">
        <v>1103</v>
      </c>
      <c r="J42" s="664">
        <v>3.1</v>
      </c>
    </row>
    <row r="43" spans="1:10" s="661" customFormat="1" ht="16.5" customHeight="1">
      <c r="B43" s="297" t="s">
        <v>6</v>
      </c>
      <c r="C43" s="297"/>
      <c r="D43" s="963">
        <v>42270</v>
      </c>
      <c r="E43" s="963"/>
      <c r="F43" s="963"/>
      <c r="G43" s="963"/>
      <c r="H43" s="665"/>
    </row>
    <row r="44" spans="1:10" s="297" customFormat="1" ht="15.75">
      <c r="J44" s="551"/>
    </row>
    <row r="45" spans="1:10">
      <c r="D45" s="551"/>
    </row>
    <row r="49" spans="11:11">
      <c r="K49" s="225">
        <v>157</v>
      </c>
    </row>
    <row r="56" spans="11:11" ht="5.25" customHeight="1"/>
    <row r="57" spans="11:11" hidden="1"/>
    <row r="58" spans="11:11" hidden="1"/>
    <row r="59" spans="11:11" hidden="1"/>
    <row r="60" spans="11:11" hidden="1"/>
    <row r="65" spans="11:11">
      <c r="K65" s="225">
        <v>1524</v>
      </c>
    </row>
    <row r="72" spans="11:11">
      <c r="K72" s="225">
        <v>2561</v>
      </c>
    </row>
    <row r="73" spans="11:11">
      <c r="K73" s="225">
        <v>1658</v>
      </c>
    </row>
    <row r="83" spans="4:11">
      <c r="K83" s="225">
        <v>5079</v>
      </c>
    </row>
    <row r="84" spans="4:11">
      <c r="K84" s="225">
        <v>3553</v>
      </c>
    </row>
    <row r="93" spans="4:11" ht="6" customHeight="1"/>
    <row r="95" spans="4:11" ht="16.5" customHeight="1">
      <c r="D95" s="399"/>
      <c r="E95" s="399"/>
    </row>
    <row r="96" spans="4:11" ht="9" customHeight="1"/>
    <row r="97" spans="11:11">
      <c r="K97" s="225">
        <f>SUM(K94,K91,K80,K75,K71,K68,K64,K61,K54,K51,K48)</f>
        <v>0</v>
      </c>
    </row>
  </sheetData>
  <sheetProtection selectLockedCells="1" selectUnlockedCells="1"/>
  <mergeCells count="11">
    <mergeCell ref="B5:B6"/>
    <mergeCell ref="G5:G6"/>
    <mergeCell ref="I5:I6"/>
    <mergeCell ref="D5:E5"/>
    <mergeCell ref="C5:C6"/>
    <mergeCell ref="H5:H6"/>
    <mergeCell ref="F38:G38"/>
    <mergeCell ref="F39:G39"/>
    <mergeCell ref="F5:F6"/>
    <mergeCell ref="D43:G43"/>
    <mergeCell ref="J5:J6"/>
  </mergeCells>
  <pageMargins left="0.511811024" right="0.511811024" top="0.78740157499999996" bottom="0.78740157499999996" header="0.31496062000000002" footer="0.31496062000000002"/>
  <pageSetup paperSize="9" scale="70" firstPageNumber="0" orientation="landscape" horizontalDpi="200" verticalDpi="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F111" sqref="F111:F126"/>
    </sheetView>
  </sheetViews>
  <sheetFormatPr defaultRowHeight="15"/>
  <cols>
    <col min="1" max="1" width="22.140625" bestFit="1" customWidth="1"/>
    <col min="2" max="2" width="19" bestFit="1" customWidth="1"/>
    <col min="3" max="3" width="13.85546875" bestFit="1" customWidth="1"/>
    <col min="4" max="4" width="13.28515625" bestFit="1" customWidth="1"/>
    <col min="5" max="5" width="12" bestFit="1" customWidth="1"/>
    <col min="6" max="6" width="20.42578125" bestFit="1" customWidth="1"/>
    <col min="7" max="7" width="16.42578125" bestFit="1" customWidth="1"/>
    <col min="8" max="8" width="56.7109375" bestFit="1" customWidth="1"/>
    <col min="9" max="9" width="49.5703125" bestFit="1" customWidth="1"/>
    <col min="10" max="11" width="12" bestFit="1" customWidth="1"/>
    <col min="12" max="12" width="15.85546875" bestFit="1" customWidth="1"/>
  </cols>
  <sheetData>
    <row r="1" spans="1:12">
      <c r="A1" t="s">
        <v>5081</v>
      </c>
      <c r="B1" t="s">
        <v>5082</v>
      </c>
      <c r="C1" t="s">
        <v>5083</v>
      </c>
      <c r="D1" t="s">
        <v>5084</v>
      </c>
      <c r="E1" t="s">
        <v>5085</v>
      </c>
      <c r="F1" t="s">
        <v>5086</v>
      </c>
      <c r="G1" t="s">
        <v>4511</v>
      </c>
      <c r="H1" t="s">
        <v>5087</v>
      </c>
      <c r="I1" t="s">
        <v>5088</v>
      </c>
      <c r="J1" t="s">
        <v>5089</v>
      </c>
      <c r="K1" t="s">
        <v>5090</v>
      </c>
      <c r="L1" t="s">
        <v>5091</v>
      </c>
    </row>
    <row r="2" spans="1:12" hidden="1">
      <c r="A2" t="s">
        <v>5092</v>
      </c>
      <c r="B2" t="s">
        <v>5093</v>
      </c>
      <c r="C2">
        <v>1</v>
      </c>
      <c r="D2">
        <v>114073</v>
      </c>
      <c r="E2">
        <v>251485.3358</v>
      </c>
      <c r="F2">
        <v>339504</v>
      </c>
      <c r="G2" t="s">
        <v>25</v>
      </c>
      <c r="H2" t="s">
        <v>1468</v>
      </c>
      <c r="I2" t="s">
        <v>4767</v>
      </c>
      <c r="J2">
        <v>1.3499952151086816</v>
      </c>
      <c r="K2">
        <v>44.642991768428992</v>
      </c>
      <c r="L2" s="156">
        <v>40493</v>
      </c>
    </row>
    <row r="3" spans="1:12" hidden="1">
      <c r="A3" t="s">
        <v>5094</v>
      </c>
      <c r="B3" t="s">
        <v>5095</v>
      </c>
      <c r="C3">
        <v>1</v>
      </c>
      <c r="D3">
        <v>4328522</v>
      </c>
      <c r="E3">
        <v>9542659.6011999995</v>
      </c>
      <c r="F3">
        <v>8717100</v>
      </c>
      <c r="G3" t="s">
        <v>22</v>
      </c>
      <c r="H3" t="s">
        <v>1474</v>
      </c>
      <c r="I3" t="s">
        <v>4767</v>
      </c>
      <c r="J3">
        <v>0.91348747249706097</v>
      </c>
      <c r="K3">
        <v>30.20811722800531</v>
      </c>
      <c r="L3" s="156">
        <v>40729</v>
      </c>
    </row>
    <row r="4" spans="1:12" hidden="1">
      <c r="A4" t="s">
        <v>5096</v>
      </c>
      <c r="B4" t="s">
        <v>5097</v>
      </c>
      <c r="C4">
        <v>1</v>
      </c>
      <c r="D4">
        <v>86813</v>
      </c>
      <c r="E4">
        <v>191387.93979999999</v>
      </c>
      <c r="F4">
        <v>223536</v>
      </c>
      <c r="G4" t="s">
        <v>22</v>
      </c>
      <c r="H4" t="s">
        <v>1469</v>
      </c>
      <c r="I4" t="s">
        <v>4767</v>
      </c>
      <c r="J4">
        <v>1.1679732810416092</v>
      </c>
      <c r="K4">
        <v>38.623708430764978</v>
      </c>
      <c r="L4" s="156">
        <v>40729</v>
      </c>
    </row>
    <row r="5" spans="1:12" hidden="1">
      <c r="A5" t="s">
        <v>5098</v>
      </c>
      <c r="B5" t="s">
        <v>5099</v>
      </c>
      <c r="C5">
        <v>1</v>
      </c>
      <c r="D5">
        <v>4422776</v>
      </c>
      <c r="E5">
        <v>9750451.9695999995</v>
      </c>
      <c r="F5">
        <v>7440300</v>
      </c>
      <c r="G5" t="s">
        <v>22</v>
      </c>
      <c r="H5" t="s">
        <v>1475</v>
      </c>
      <c r="I5" t="s">
        <v>4767</v>
      </c>
      <c r="J5">
        <v>0.76307231943682186</v>
      </c>
      <c r="K5">
        <v>25.23403853145626</v>
      </c>
      <c r="L5" s="156">
        <v>40736</v>
      </c>
    </row>
    <row r="6" spans="1:12" hidden="1">
      <c r="A6" t="s">
        <v>5100</v>
      </c>
      <c r="B6" t="s">
        <v>5101</v>
      </c>
      <c r="C6">
        <v>1</v>
      </c>
      <c r="D6">
        <v>2425872</v>
      </c>
      <c r="E6">
        <v>5348077.4112</v>
      </c>
      <c r="F6">
        <v>4175756</v>
      </c>
      <c r="G6" t="s">
        <v>22</v>
      </c>
      <c r="H6" t="s">
        <v>5102</v>
      </c>
      <c r="I6" t="s">
        <v>4767</v>
      </c>
      <c r="J6">
        <v>0.78079572880809234</v>
      </c>
      <c r="K6">
        <v>25.820133955954809</v>
      </c>
      <c r="L6" s="156">
        <v>40744</v>
      </c>
    </row>
    <row r="7" spans="1:12" hidden="1">
      <c r="A7" t="s">
        <v>5103</v>
      </c>
      <c r="B7" t="s">
        <v>5104</v>
      </c>
      <c r="C7">
        <v>1</v>
      </c>
      <c r="D7">
        <v>141490</v>
      </c>
      <c r="E7">
        <v>311928.85399999999</v>
      </c>
      <c r="F7">
        <v>496035</v>
      </c>
      <c r="G7" t="s">
        <v>25</v>
      </c>
      <c r="H7" t="s">
        <v>5105</v>
      </c>
      <c r="I7" t="s">
        <v>4767</v>
      </c>
      <c r="J7">
        <v>1.5902183899922255</v>
      </c>
      <c r="K7">
        <v>52.58693193865291</v>
      </c>
      <c r="L7" s="156">
        <v>40744</v>
      </c>
    </row>
    <row r="8" spans="1:12" hidden="1">
      <c r="A8" t="s">
        <v>5106</v>
      </c>
      <c r="B8" t="s">
        <v>5107</v>
      </c>
      <c r="C8">
        <v>1</v>
      </c>
      <c r="D8">
        <v>189210</v>
      </c>
      <c r="E8">
        <v>417132.36599999998</v>
      </c>
      <c r="F8">
        <v>269610</v>
      </c>
      <c r="G8" t="s">
        <v>22</v>
      </c>
      <c r="H8" t="s">
        <v>5108</v>
      </c>
      <c r="I8" t="s">
        <v>4767</v>
      </c>
      <c r="J8">
        <v>0.64634159795694202</v>
      </c>
      <c r="K8">
        <v>21.373870302838117</v>
      </c>
      <c r="L8" s="156">
        <v>40744</v>
      </c>
    </row>
    <row r="9" spans="1:12" hidden="1">
      <c r="A9" t="s">
        <v>5109</v>
      </c>
      <c r="B9" t="s">
        <v>5110</v>
      </c>
      <c r="C9">
        <v>1</v>
      </c>
      <c r="D9">
        <v>986874</v>
      </c>
      <c r="E9">
        <v>2175662.4204000002</v>
      </c>
      <c r="F9">
        <v>1796000</v>
      </c>
      <c r="G9" t="s">
        <v>22</v>
      </c>
      <c r="H9" t="s">
        <v>1469</v>
      </c>
      <c r="I9" t="s">
        <v>4767</v>
      </c>
      <c r="J9">
        <v>0.82549571255167509</v>
      </c>
      <c r="K9">
        <v>27.298317718371344</v>
      </c>
      <c r="L9" s="156">
        <v>40744</v>
      </c>
    </row>
    <row r="10" spans="1:12" hidden="1">
      <c r="A10" t="s">
        <v>5111</v>
      </c>
      <c r="B10" t="s">
        <v>5112</v>
      </c>
      <c r="C10">
        <v>1</v>
      </c>
      <c r="D10">
        <v>72787</v>
      </c>
      <c r="E10">
        <v>160466.22020000001</v>
      </c>
      <c r="F10">
        <v>114609</v>
      </c>
      <c r="G10" t="s">
        <v>22</v>
      </c>
      <c r="H10" t="s">
        <v>5113</v>
      </c>
      <c r="I10" t="s">
        <v>4767</v>
      </c>
      <c r="J10">
        <v>0.71422508648334204</v>
      </c>
      <c r="K10">
        <v>23.618709384917636</v>
      </c>
      <c r="L10" s="156">
        <v>40744</v>
      </c>
    </row>
    <row r="11" spans="1:12" hidden="1">
      <c r="A11" t="s">
        <v>5114</v>
      </c>
      <c r="B11" t="s">
        <v>5115</v>
      </c>
      <c r="C11">
        <v>1</v>
      </c>
      <c r="D11">
        <v>724747</v>
      </c>
      <c r="E11">
        <v>1597777.2361999999</v>
      </c>
      <c r="F11">
        <v>2595000</v>
      </c>
      <c r="G11" t="s">
        <v>22</v>
      </c>
      <c r="H11" t="s">
        <v>5116</v>
      </c>
      <c r="I11" t="s">
        <v>4767</v>
      </c>
      <c r="J11">
        <v>1.6241312876453911</v>
      </c>
      <c r="K11">
        <v>53.708397551145431</v>
      </c>
      <c r="L11" s="156">
        <v>40744</v>
      </c>
    </row>
    <row r="12" spans="1:12" hidden="1">
      <c r="A12" t="s">
        <v>5117</v>
      </c>
      <c r="B12" t="s">
        <v>5118</v>
      </c>
      <c r="C12">
        <v>1</v>
      </c>
      <c r="D12">
        <v>1333121</v>
      </c>
      <c r="E12">
        <v>2938998.5565999998</v>
      </c>
      <c r="F12">
        <v>3618000</v>
      </c>
      <c r="G12" t="s">
        <v>22</v>
      </c>
      <c r="H12" t="s">
        <v>1469</v>
      </c>
      <c r="I12" t="s">
        <v>4767</v>
      </c>
      <c r="J12">
        <v>1.231031567496075</v>
      </c>
      <c r="K12">
        <v>40.708982905527705</v>
      </c>
      <c r="L12" s="156">
        <v>40744</v>
      </c>
    </row>
    <row r="13" spans="1:12" hidden="1">
      <c r="A13" t="s">
        <v>5119</v>
      </c>
      <c r="B13" t="s">
        <v>5120</v>
      </c>
      <c r="C13">
        <v>1</v>
      </c>
      <c r="D13">
        <v>530946</v>
      </c>
      <c r="E13">
        <v>1170523.5515999999</v>
      </c>
      <c r="F13">
        <v>4188000</v>
      </c>
      <c r="G13" t="s">
        <v>22</v>
      </c>
      <c r="H13" t="s">
        <v>5116</v>
      </c>
      <c r="I13" t="s">
        <v>4767</v>
      </c>
      <c r="J13">
        <v>3.5778861469941226</v>
      </c>
      <c r="K13">
        <v>118.31711699494863</v>
      </c>
      <c r="L13" s="156">
        <v>40744</v>
      </c>
    </row>
    <row r="14" spans="1:12" hidden="1">
      <c r="A14" t="s">
        <v>5121</v>
      </c>
      <c r="B14" t="s">
        <v>5122</v>
      </c>
      <c r="C14">
        <v>1</v>
      </c>
      <c r="D14">
        <v>724921</v>
      </c>
      <c r="E14">
        <v>1598160.8366</v>
      </c>
      <c r="F14">
        <v>728860</v>
      </c>
      <c r="G14" t="s">
        <v>25</v>
      </c>
      <c r="H14" t="s">
        <v>5123</v>
      </c>
      <c r="I14" t="s">
        <v>5123</v>
      </c>
      <c r="J14">
        <v>0.45606173252913013</v>
      </c>
      <c r="K14">
        <v>15.081505433005804</v>
      </c>
      <c r="L14" s="156">
        <v>40816</v>
      </c>
    </row>
    <row r="15" spans="1:12" hidden="1">
      <c r="A15" t="s">
        <v>5124</v>
      </c>
      <c r="B15" t="s">
        <v>5125</v>
      </c>
      <c r="C15">
        <v>1</v>
      </c>
      <c r="D15">
        <v>1314582</v>
      </c>
      <c r="E15">
        <v>2898127.4772000001</v>
      </c>
      <c r="F15">
        <v>5200052.71</v>
      </c>
      <c r="G15" t="s">
        <v>25</v>
      </c>
      <c r="H15" t="s">
        <v>1468</v>
      </c>
      <c r="I15" t="s">
        <v>4767</v>
      </c>
      <c r="J15">
        <v>1.7942801863995246</v>
      </c>
      <c r="K15">
        <v>59.335051484045877</v>
      </c>
      <c r="L15" s="156">
        <v>40829</v>
      </c>
    </row>
    <row r="16" spans="1:12" hidden="1">
      <c r="A16" t="s">
        <v>5126</v>
      </c>
      <c r="B16" t="s">
        <v>5127</v>
      </c>
      <c r="C16">
        <v>1</v>
      </c>
      <c r="D16">
        <v>1578414</v>
      </c>
      <c r="E16">
        <v>3479771.5044</v>
      </c>
      <c r="F16">
        <v>2894775.92</v>
      </c>
      <c r="G16" t="s">
        <v>22</v>
      </c>
      <c r="H16" t="s">
        <v>1469</v>
      </c>
      <c r="I16" t="s">
        <v>4767</v>
      </c>
      <c r="J16">
        <v>0.83188678231880975</v>
      </c>
      <c r="K16">
        <v>27.509664004500721</v>
      </c>
      <c r="L16" s="156">
        <v>40954</v>
      </c>
    </row>
    <row r="17" spans="1:12" hidden="1">
      <c r="A17" t="s">
        <v>5128</v>
      </c>
      <c r="B17" t="s">
        <v>5129</v>
      </c>
      <c r="C17">
        <v>1</v>
      </c>
      <c r="D17">
        <v>778006</v>
      </c>
      <c r="E17">
        <v>1715192.0275999999</v>
      </c>
      <c r="F17">
        <v>1373761.93</v>
      </c>
      <c r="G17" t="s">
        <v>22</v>
      </c>
      <c r="H17" t="s">
        <v>5102</v>
      </c>
      <c r="I17" t="s">
        <v>4767</v>
      </c>
      <c r="J17">
        <v>0.8009376838826906</v>
      </c>
      <c r="K17">
        <v>26.486208268316698</v>
      </c>
      <c r="L17" s="156">
        <v>40973</v>
      </c>
    </row>
    <row r="18" spans="1:12" hidden="1">
      <c r="A18" t="s">
        <v>5130</v>
      </c>
      <c r="B18" t="s">
        <v>5131</v>
      </c>
      <c r="C18">
        <v>1</v>
      </c>
      <c r="D18">
        <v>0.1</v>
      </c>
      <c r="E18">
        <v>0.22045999999999999</v>
      </c>
      <c r="F18">
        <v>7033.63</v>
      </c>
      <c r="G18" t="s">
        <v>22</v>
      </c>
      <c r="H18" t="s">
        <v>5113</v>
      </c>
      <c r="I18" t="s">
        <v>4767</v>
      </c>
      <c r="J18">
        <v>31904.336387553296</v>
      </c>
      <c r="K18">
        <v>1055044.5</v>
      </c>
      <c r="L18" s="156">
        <v>40980</v>
      </c>
    </row>
    <row r="19" spans="1:12" hidden="1">
      <c r="A19" t="s">
        <v>5132</v>
      </c>
      <c r="B19" t="s">
        <v>5133</v>
      </c>
      <c r="C19">
        <v>1</v>
      </c>
      <c r="D19">
        <v>2601554</v>
      </c>
      <c r="E19">
        <v>5735385.9484000001</v>
      </c>
      <c r="F19">
        <v>4598017.58</v>
      </c>
      <c r="G19" t="s">
        <v>22</v>
      </c>
      <c r="H19" t="s">
        <v>1474</v>
      </c>
      <c r="I19" t="s">
        <v>4767</v>
      </c>
      <c r="J19">
        <v>0.80169279301643304</v>
      </c>
      <c r="K19">
        <v>26.511178972260424</v>
      </c>
      <c r="L19" s="156">
        <v>40984</v>
      </c>
    </row>
    <row r="20" spans="1:12" hidden="1">
      <c r="A20" t="s">
        <v>5134</v>
      </c>
      <c r="B20" t="s">
        <v>5135</v>
      </c>
      <c r="C20">
        <v>2</v>
      </c>
      <c r="D20">
        <v>2995767</v>
      </c>
      <c r="E20">
        <v>6604467.9282</v>
      </c>
      <c r="F20">
        <v>6139289.1500000004</v>
      </c>
      <c r="G20" t="s">
        <v>22</v>
      </c>
      <c r="H20" t="s">
        <v>1474</v>
      </c>
      <c r="I20" t="s">
        <v>4767</v>
      </c>
      <c r="J20">
        <v>0.92956604782441865</v>
      </c>
      <c r="K20">
        <v>30.7398196355057</v>
      </c>
      <c r="L20" s="156">
        <v>40994</v>
      </c>
    </row>
    <row r="21" spans="1:12" hidden="1">
      <c r="A21" t="s">
        <v>5136</v>
      </c>
      <c r="B21" t="s">
        <v>5137</v>
      </c>
      <c r="C21">
        <v>1</v>
      </c>
      <c r="D21">
        <v>120313</v>
      </c>
      <c r="E21">
        <v>265242.03980000003</v>
      </c>
      <c r="F21">
        <v>403989.36</v>
      </c>
      <c r="G21" t="s">
        <v>25</v>
      </c>
      <c r="H21" t="s">
        <v>5138</v>
      </c>
      <c r="I21" t="s">
        <v>4767</v>
      </c>
      <c r="J21">
        <v>1.5230970184991015</v>
      </c>
      <c r="K21">
        <v>50.367295304746783</v>
      </c>
      <c r="L21" s="156">
        <v>41087</v>
      </c>
    </row>
    <row r="22" spans="1:12" hidden="1">
      <c r="A22" t="s">
        <v>5139</v>
      </c>
      <c r="B22" t="s">
        <v>5140</v>
      </c>
      <c r="C22">
        <v>2</v>
      </c>
      <c r="D22">
        <v>4660989.2</v>
      </c>
      <c r="E22">
        <v>10275616.79032</v>
      </c>
      <c r="F22">
        <v>18492993.899999999</v>
      </c>
      <c r="G22" t="s">
        <v>25</v>
      </c>
      <c r="H22" t="s">
        <v>5138</v>
      </c>
      <c r="I22" t="s">
        <v>4767</v>
      </c>
      <c r="J22">
        <v>1.7996967264700903</v>
      </c>
      <c r="K22">
        <v>59.514171047639415</v>
      </c>
      <c r="L22" s="156">
        <v>41183</v>
      </c>
    </row>
    <row r="23" spans="1:12" hidden="1">
      <c r="A23" t="s">
        <v>5141</v>
      </c>
      <c r="B23" t="s">
        <v>5142</v>
      </c>
      <c r="C23">
        <v>2</v>
      </c>
      <c r="D23">
        <v>406660.2</v>
      </c>
      <c r="E23">
        <v>896523.07692000002</v>
      </c>
      <c r="F23">
        <v>713519.32</v>
      </c>
      <c r="G23" t="s">
        <v>22</v>
      </c>
      <c r="H23" t="s">
        <v>5143</v>
      </c>
      <c r="I23" t="s">
        <v>4767</v>
      </c>
      <c r="J23">
        <v>0.79587390260080271</v>
      </c>
      <c r="K23">
        <v>26.318754085105944</v>
      </c>
      <c r="L23" s="156">
        <v>41198</v>
      </c>
    </row>
    <row r="24" spans="1:12" hidden="1">
      <c r="A24" t="s">
        <v>5144</v>
      </c>
      <c r="B24" t="s">
        <v>5145</v>
      </c>
      <c r="C24">
        <v>2</v>
      </c>
      <c r="D24">
        <v>2997530.7</v>
      </c>
      <c r="E24">
        <v>6608356.1812199997</v>
      </c>
      <c r="F24">
        <v>5092500</v>
      </c>
      <c r="G24" t="s">
        <v>22</v>
      </c>
      <c r="H24" t="s">
        <v>1469</v>
      </c>
      <c r="I24" t="s">
        <v>4767</v>
      </c>
      <c r="J24">
        <v>0.7706152423309377</v>
      </c>
      <c r="K24">
        <v>25.483475448641776</v>
      </c>
      <c r="L24" s="156">
        <v>41199</v>
      </c>
    </row>
    <row r="25" spans="1:12" hidden="1">
      <c r="A25" t="s">
        <v>5146</v>
      </c>
      <c r="B25" t="s">
        <v>5147</v>
      </c>
      <c r="C25">
        <v>2</v>
      </c>
      <c r="D25">
        <v>1648501.1</v>
      </c>
      <c r="E25">
        <v>3634285.5250599999</v>
      </c>
      <c r="F25">
        <v>3549400</v>
      </c>
      <c r="G25" t="s">
        <v>22</v>
      </c>
      <c r="H25" t="s">
        <v>1474</v>
      </c>
      <c r="I25" t="s">
        <v>4767</v>
      </c>
      <c r="J25">
        <v>0.97664313261171232</v>
      </c>
      <c r="K25">
        <v>32.296611752336716</v>
      </c>
      <c r="L25" s="156">
        <v>41204</v>
      </c>
    </row>
    <row r="26" spans="1:12" hidden="1">
      <c r="A26" t="s">
        <v>5148</v>
      </c>
      <c r="B26" t="s">
        <v>5149</v>
      </c>
      <c r="C26">
        <v>2</v>
      </c>
      <c r="D26">
        <v>886981</v>
      </c>
      <c r="E26">
        <v>1955438.3126000001</v>
      </c>
      <c r="F26">
        <v>3155476.4</v>
      </c>
      <c r="G26" t="s">
        <v>25</v>
      </c>
      <c r="H26" t="s">
        <v>1468</v>
      </c>
      <c r="I26" t="s">
        <v>4767</v>
      </c>
      <c r="J26">
        <v>1.613692633343365</v>
      </c>
      <c r="K26">
        <v>53.363201692031737</v>
      </c>
      <c r="L26" s="156">
        <v>41227</v>
      </c>
    </row>
    <row r="27" spans="1:12" hidden="1">
      <c r="A27" t="s">
        <v>5150</v>
      </c>
      <c r="B27" t="s">
        <v>5151</v>
      </c>
      <c r="C27">
        <v>2</v>
      </c>
      <c r="D27">
        <v>500406</v>
      </c>
      <c r="E27">
        <v>1103195.0676</v>
      </c>
      <c r="F27">
        <v>810357.82</v>
      </c>
      <c r="G27" t="s">
        <v>22</v>
      </c>
      <c r="H27" t="s">
        <v>5105</v>
      </c>
      <c r="I27" t="s">
        <v>4767</v>
      </c>
      <c r="J27">
        <v>0.73455533277803065</v>
      </c>
      <c r="K27">
        <v>24.291010299636696</v>
      </c>
      <c r="L27" s="156">
        <v>41261</v>
      </c>
    </row>
    <row r="28" spans="1:12" hidden="1">
      <c r="A28" t="s">
        <v>5152</v>
      </c>
      <c r="B28" t="s">
        <v>5153</v>
      </c>
      <c r="C28">
        <v>2</v>
      </c>
      <c r="D28">
        <v>205670</v>
      </c>
      <c r="E28">
        <v>453420.08199999999</v>
      </c>
      <c r="F28">
        <v>770810.02</v>
      </c>
      <c r="G28" t="s">
        <v>25</v>
      </c>
      <c r="H28" t="s">
        <v>5138</v>
      </c>
      <c r="I28" t="s">
        <v>4767</v>
      </c>
      <c r="J28">
        <v>1.69999091482675</v>
      </c>
      <c r="K28">
        <v>56.216999562405796</v>
      </c>
      <c r="L28" s="156">
        <v>41284</v>
      </c>
    </row>
    <row r="29" spans="1:12" hidden="1">
      <c r="A29" t="s">
        <v>5154</v>
      </c>
      <c r="B29" t="s">
        <v>5155</v>
      </c>
      <c r="C29">
        <v>2</v>
      </c>
      <c r="D29">
        <v>736864</v>
      </c>
      <c r="E29">
        <v>1624490.3744000001</v>
      </c>
      <c r="F29">
        <v>3968300</v>
      </c>
      <c r="G29" t="s">
        <v>25</v>
      </c>
      <c r="H29" t="s">
        <v>5138</v>
      </c>
      <c r="I29" t="s">
        <v>4767</v>
      </c>
      <c r="J29">
        <v>2.442796868812275</v>
      </c>
      <c r="K29">
        <v>80.780849654753112</v>
      </c>
      <c r="L29" s="156">
        <v>41311</v>
      </c>
    </row>
    <row r="30" spans="1:12" hidden="1">
      <c r="A30" t="s">
        <v>5156</v>
      </c>
      <c r="B30" t="s">
        <v>5157</v>
      </c>
      <c r="C30">
        <v>2</v>
      </c>
      <c r="D30">
        <v>58680</v>
      </c>
      <c r="E30">
        <v>129365.928</v>
      </c>
      <c r="F30">
        <v>232859.84</v>
      </c>
      <c r="G30" t="s">
        <v>25</v>
      </c>
      <c r="H30" t="s">
        <v>5138</v>
      </c>
      <c r="I30" t="s">
        <v>4767</v>
      </c>
      <c r="J30">
        <v>1.8000090410204455</v>
      </c>
      <c r="K30">
        <v>59.524498977505111</v>
      </c>
      <c r="L30" s="156">
        <v>41313</v>
      </c>
    </row>
    <row r="31" spans="1:12" hidden="1">
      <c r="A31" t="s">
        <v>5158</v>
      </c>
      <c r="B31" t="s">
        <v>5159</v>
      </c>
      <c r="C31">
        <v>2</v>
      </c>
      <c r="D31">
        <v>2790636.5</v>
      </c>
      <c r="E31">
        <v>6152237.2279000003</v>
      </c>
      <c r="F31">
        <v>11894429.460000001</v>
      </c>
      <c r="G31" t="s">
        <v>25</v>
      </c>
      <c r="H31" t="s">
        <v>5138</v>
      </c>
      <c r="I31" t="s">
        <v>4767</v>
      </c>
      <c r="J31">
        <v>1.9333502625775754</v>
      </c>
      <c r="K31">
        <v>63.933959833177845</v>
      </c>
      <c r="L31" s="156">
        <v>41330</v>
      </c>
    </row>
    <row r="32" spans="1:12" hidden="1">
      <c r="A32" t="s">
        <v>5160</v>
      </c>
      <c r="B32" t="s">
        <v>5161</v>
      </c>
      <c r="C32">
        <v>3</v>
      </c>
      <c r="D32">
        <v>1987494</v>
      </c>
      <c r="E32">
        <v>4381629.2724000001</v>
      </c>
      <c r="F32">
        <v>4056400</v>
      </c>
      <c r="G32" t="s">
        <v>22</v>
      </c>
      <c r="H32" t="s">
        <v>5162</v>
      </c>
      <c r="I32" t="s">
        <v>4767</v>
      </c>
      <c r="J32">
        <v>0.92577435191776081</v>
      </c>
      <c r="K32">
        <v>30.614432043568435</v>
      </c>
      <c r="L32" s="156">
        <v>41338</v>
      </c>
    </row>
    <row r="33" spans="1:12" hidden="1">
      <c r="A33" t="s">
        <v>5163</v>
      </c>
      <c r="B33" t="s">
        <v>5140</v>
      </c>
      <c r="C33">
        <v>2</v>
      </c>
      <c r="D33">
        <v>1</v>
      </c>
      <c r="E33">
        <v>2.2046000000000001</v>
      </c>
      <c r="F33">
        <v>184722.3</v>
      </c>
      <c r="G33" t="s">
        <v>25</v>
      </c>
      <c r="H33" t="s">
        <v>5138</v>
      </c>
      <c r="I33" t="s">
        <v>5138</v>
      </c>
      <c r="J33">
        <v>83789.48562097433</v>
      </c>
      <c r="K33">
        <v>2770834.5</v>
      </c>
      <c r="L33" s="156">
        <v>41341</v>
      </c>
    </row>
    <row r="34" spans="1:12" hidden="1">
      <c r="A34" t="s">
        <v>5164</v>
      </c>
      <c r="B34" t="s">
        <v>5151</v>
      </c>
      <c r="C34">
        <v>2</v>
      </c>
      <c r="D34">
        <v>1</v>
      </c>
      <c r="E34">
        <v>2.2046000000000001</v>
      </c>
      <c r="F34">
        <v>2032.93</v>
      </c>
      <c r="G34" t="s">
        <v>22</v>
      </c>
      <c r="H34" t="s">
        <v>5105</v>
      </c>
      <c r="I34" t="s">
        <v>4767</v>
      </c>
      <c r="J34">
        <v>922.13099882064773</v>
      </c>
      <c r="K34">
        <v>30493.95</v>
      </c>
      <c r="L34" s="156">
        <v>41341</v>
      </c>
    </row>
    <row r="35" spans="1:12" hidden="1">
      <c r="A35" t="s">
        <v>5165</v>
      </c>
      <c r="B35" t="s">
        <v>5153</v>
      </c>
      <c r="C35">
        <v>2</v>
      </c>
      <c r="D35">
        <v>58541</v>
      </c>
      <c r="E35">
        <v>129059.4886</v>
      </c>
      <c r="F35">
        <v>219399.95</v>
      </c>
      <c r="G35" t="s">
        <v>25</v>
      </c>
      <c r="H35" t="s">
        <v>5138</v>
      </c>
      <c r="I35" t="s">
        <v>4767</v>
      </c>
      <c r="J35">
        <v>1.6999908521255367</v>
      </c>
      <c r="K35">
        <v>56.216997488939377</v>
      </c>
      <c r="L35" s="156">
        <v>41347</v>
      </c>
    </row>
    <row r="36" spans="1:12" hidden="1">
      <c r="A36" t="s">
        <v>5166</v>
      </c>
      <c r="B36" t="s">
        <v>5159</v>
      </c>
      <c r="C36">
        <v>2</v>
      </c>
      <c r="D36">
        <v>1</v>
      </c>
      <c r="E36">
        <v>2.2046000000000001</v>
      </c>
      <c r="F36">
        <v>60486.53</v>
      </c>
      <c r="G36" t="s">
        <v>25</v>
      </c>
      <c r="H36" t="s">
        <v>5138</v>
      </c>
      <c r="I36" t="s">
        <v>4767</v>
      </c>
      <c r="J36">
        <v>27436.51002449424</v>
      </c>
      <c r="K36">
        <v>907297.95</v>
      </c>
      <c r="L36" s="156">
        <v>41375</v>
      </c>
    </row>
    <row r="37" spans="1:12" hidden="1">
      <c r="A37" t="s">
        <v>5167</v>
      </c>
      <c r="B37" t="s">
        <v>5168</v>
      </c>
      <c r="C37">
        <v>2</v>
      </c>
      <c r="D37">
        <v>635845.1</v>
      </c>
      <c r="E37">
        <v>1401784.1074600001</v>
      </c>
      <c r="F37">
        <v>2925195.2</v>
      </c>
      <c r="G37" t="s">
        <v>25</v>
      </c>
      <c r="H37" t="s">
        <v>1468</v>
      </c>
      <c r="I37" t="s">
        <v>4767</v>
      </c>
      <c r="J37">
        <v>2.0867658467753536</v>
      </c>
      <c r="K37">
        <v>69.007259787014164</v>
      </c>
      <c r="L37" s="156">
        <v>41421</v>
      </c>
    </row>
    <row r="38" spans="1:12" hidden="1">
      <c r="A38" t="s">
        <v>5169</v>
      </c>
      <c r="B38" t="s">
        <v>5170</v>
      </c>
      <c r="C38">
        <v>3</v>
      </c>
      <c r="D38">
        <v>350000</v>
      </c>
      <c r="E38">
        <v>771610</v>
      </c>
      <c r="F38">
        <v>621145</v>
      </c>
      <c r="G38" t="s">
        <v>22</v>
      </c>
      <c r="H38" t="s">
        <v>1474</v>
      </c>
      <c r="I38" t="s">
        <v>4767</v>
      </c>
      <c r="J38">
        <v>0.80499863920892678</v>
      </c>
      <c r="K38">
        <v>26.6205</v>
      </c>
      <c r="L38" s="156">
        <v>41422</v>
      </c>
    </row>
    <row r="39" spans="1:12" hidden="1">
      <c r="A39" t="s">
        <v>5171</v>
      </c>
      <c r="B39" t="s">
        <v>5172</v>
      </c>
      <c r="C39">
        <v>1</v>
      </c>
      <c r="D39">
        <v>6067</v>
      </c>
      <c r="E39">
        <v>13375.308199999999</v>
      </c>
      <c r="F39">
        <v>27600</v>
      </c>
      <c r="G39" t="s">
        <v>25</v>
      </c>
      <c r="H39" t="s">
        <v>1468</v>
      </c>
      <c r="I39" t="s">
        <v>4767</v>
      </c>
      <c r="J39">
        <v>2.0635038525691694</v>
      </c>
      <c r="K39">
        <v>68.238008900609856</v>
      </c>
      <c r="L39" s="156">
        <v>41425</v>
      </c>
    </row>
    <row r="40" spans="1:12" hidden="1">
      <c r="A40" t="s">
        <v>5173</v>
      </c>
      <c r="B40" t="s">
        <v>5174</v>
      </c>
      <c r="C40">
        <v>2</v>
      </c>
      <c r="D40">
        <v>1</v>
      </c>
      <c r="E40">
        <v>2.2046000000000001</v>
      </c>
      <c r="F40">
        <v>4200</v>
      </c>
      <c r="G40" t="s">
        <v>22</v>
      </c>
      <c r="H40" t="s">
        <v>5105</v>
      </c>
      <c r="I40" t="s">
        <v>4767</v>
      </c>
      <c r="J40">
        <v>1905.1075024947836</v>
      </c>
      <c r="K40">
        <v>63000</v>
      </c>
      <c r="L40" s="156">
        <v>41460</v>
      </c>
    </row>
    <row r="41" spans="1:12" hidden="1">
      <c r="A41" t="s">
        <v>5175</v>
      </c>
      <c r="B41" t="s">
        <v>5176</v>
      </c>
      <c r="C41">
        <v>3</v>
      </c>
      <c r="D41">
        <v>4546320</v>
      </c>
      <c r="E41">
        <v>10022817.072000001</v>
      </c>
      <c r="F41">
        <v>8357008.1799999997</v>
      </c>
      <c r="G41" t="s">
        <v>22</v>
      </c>
      <c r="H41" t="s">
        <v>5138</v>
      </c>
      <c r="I41" t="s">
        <v>4767</v>
      </c>
      <c r="J41">
        <v>0.83379833433719486</v>
      </c>
      <c r="K41">
        <v>27.572877118196697</v>
      </c>
      <c r="L41" s="156">
        <v>41492</v>
      </c>
    </row>
    <row r="42" spans="1:12" hidden="1">
      <c r="A42" t="s">
        <v>5177</v>
      </c>
      <c r="B42" t="s">
        <v>5178</v>
      </c>
      <c r="C42">
        <v>3</v>
      </c>
      <c r="D42">
        <v>500000</v>
      </c>
      <c r="E42">
        <v>1102300</v>
      </c>
      <c r="F42">
        <v>1069445.06</v>
      </c>
      <c r="G42" t="s">
        <v>22</v>
      </c>
      <c r="H42" t="s">
        <v>1474</v>
      </c>
      <c r="I42" t="s">
        <v>4767</v>
      </c>
      <c r="J42">
        <v>0.97019419395808759</v>
      </c>
      <c r="K42">
        <v>32.083351800000003</v>
      </c>
      <c r="L42" s="156">
        <v>41500</v>
      </c>
    </row>
    <row r="43" spans="1:12" hidden="1">
      <c r="A43" t="s">
        <v>5179</v>
      </c>
      <c r="B43" t="s">
        <v>5180</v>
      </c>
      <c r="C43">
        <v>3</v>
      </c>
      <c r="D43">
        <v>527028</v>
      </c>
      <c r="E43">
        <v>1161885.9288000001</v>
      </c>
      <c r="F43">
        <v>1138643.99</v>
      </c>
      <c r="G43" t="s">
        <v>22</v>
      </c>
      <c r="H43" t="s">
        <v>5162</v>
      </c>
      <c r="I43" t="s">
        <v>4767</v>
      </c>
      <c r="J43">
        <v>0.97999636778112598</v>
      </c>
      <c r="K43">
        <v>32.407499886154056</v>
      </c>
      <c r="L43" s="156">
        <v>41500</v>
      </c>
    </row>
    <row r="44" spans="1:12" hidden="1">
      <c r="A44" t="s">
        <v>5181</v>
      </c>
      <c r="B44" t="s">
        <v>5182</v>
      </c>
      <c r="C44">
        <v>3</v>
      </c>
      <c r="D44">
        <v>604593</v>
      </c>
      <c r="E44">
        <v>1332885.7278</v>
      </c>
      <c r="F44">
        <v>1156397.8899999999</v>
      </c>
      <c r="G44" t="s">
        <v>22</v>
      </c>
      <c r="H44" t="s">
        <v>5138</v>
      </c>
      <c r="I44" t="s">
        <v>4767</v>
      </c>
      <c r="J44">
        <v>0.86758967095303607</v>
      </c>
      <c r="K44">
        <v>28.690322828745948</v>
      </c>
      <c r="L44" s="156">
        <v>41500</v>
      </c>
    </row>
    <row r="45" spans="1:12" hidden="1">
      <c r="A45" t="s">
        <v>5183</v>
      </c>
      <c r="B45" t="s">
        <v>5184</v>
      </c>
      <c r="C45">
        <v>3</v>
      </c>
      <c r="D45">
        <v>1023273</v>
      </c>
      <c r="E45">
        <v>2255907.6557999998</v>
      </c>
      <c r="F45">
        <v>2026150.58</v>
      </c>
      <c r="G45" t="s">
        <v>22</v>
      </c>
      <c r="H45" t="s">
        <v>5138</v>
      </c>
      <c r="I45" t="s">
        <v>4767</v>
      </c>
      <c r="J45">
        <v>0.89815315568911325</v>
      </c>
      <c r="K45">
        <v>29.701026705483287</v>
      </c>
      <c r="L45" s="156">
        <v>41506</v>
      </c>
    </row>
    <row r="46" spans="1:12" hidden="1">
      <c r="A46" t="s">
        <v>5185</v>
      </c>
      <c r="B46" t="s">
        <v>5186</v>
      </c>
      <c r="C46">
        <v>3</v>
      </c>
      <c r="D46">
        <v>87129</v>
      </c>
      <c r="E46">
        <v>192084.59340000001</v>
      </c>
      <c r="F46">
        <v>437100.06</v>
      </c>
      <c r="G46" t="s">
        <v>25</v>
      </c>
      <c r="H46" t="s">
        <v>5138</v>
      </c>
      <c r="I46" t="s">
        <v>4767</v>
      </c>
      <c r="J46">
        <v>2.2755602219995641</v>
      </c>
      <c r="K46">
        <v>75.250500981303588</v>
      </c>
      <c r="L46" s="156">
        <v>41514</v>
      </c>
    </row>
    <row r="47" spans="1:12" hidden="1">
      <c r="A47" t="s">
        <v>5187</v>
      </c>
      <c r="B47" t="s">
        <v>5188</v>
      </c>
      <c r="C47">
        <v>3</v>
      </c>
      <c r="D47">
        <v>29070</v>
      </c>
      <c r="E47">
        <v>64087.722000000002</v>
      </c>
      <c r="F47">
        <v>145835.47</v>
      </c>
      <c r="G47" t="s">
        <v>25</v>
      </c>
      <c r="H47" t="s">
        <v>5138</v>
      </c>
      <c r="I47" t="s">
        <v>4767</v>
      </c>
      <c r="J47">
        <v>2.2755602079287511</v>
      </c>
      <c r="K47">
        <v>75.250500515995867</v>
      </c>
      <c r="L47" s="156">
        <v>41514</v>
      </c>
    </row>
    <row r="48" spans="1:12" hidden="1">
      <c r="A48" t="s">
        <v>5189</v>
      </c>
      <c r="B48" t="s">
        <v>5190</v>
      </c>
      <c r="C48">
        <v>3</v>
      </c>
      <c r="D48">
        <v>14081</v>
      </c>
      <c r="E48">
        <v>31042.972600000001</v>
      </c>
      <c r="F48">
        <v>70640.149999999994</v>
      </c>
      <c r="G48" t="s">
        <v>25</v>
      </c>
      <c r="H48" t="s">
        <v>5138</v>
      </c>
      <c r="I48" t="s">
        <v>4767</v>
      </c>
      <c r="J48">
        <v>2.2755601053489318</v>
      </c>
      <c r="K48">
        <v>75.250497123783816</v>
      </c>
      <c r="L48" s="156">
        <v>41521</v>
      </c>
    </row>
    <row r="49" spans="1:12" hidden="1">
      <c r="A49" t="s">
        <v>5191</v>
      </c>
      <c r="B49" t="s">
        <v>5192</v>
      </c>
      <c r="C49">
        <v>3</v>
      </c>
      <c r="D49">
        <v>28490</v>
      </c>
      <c r="E49">
        <v>62809.053999999996</v>
      </c>
      <c r="F49">
        <v>142925.78</v>
      </c>
      <c r="G49" t="s">
        <v>25</v>
      </c>
      <c r="H49" t="s">
        <v>5138</v>
      </c>
      <c r="I49" t="s">
        <v>4767</v>
      </c>
      <c r="J49">
        <v>2.2755601445613238</v>
      </c>
      <c r="K49">
        <v>75.250498420498417</v>
      </c>
      <c r="L49" s="156">
        <v>41521</v>
      </c>
    </row>
    <row r="50" spans="1:12" hidden="1">
      <c r="A50" t="s">
        <v>5193</v>
      </c>
      <c r="B50" t="s">
        <v>5194</v>
      </c>
      <c r="C50">
        <v>3</v>
      </c>
      <c r="D50">
        <v>86770</v>
      </c>
      <c r="E50">
        <v>191293.14199999999</v>
      </c>
      <c r="F50">
        <v>435299.06</v>
      </c>
      <c r="G50" t="s">
        <v>25</v>
      </c>
      <c r="H50" t="s">
        <v>5138</v>
      </c>
      <c r="I50" t="s">
        <v>4767</v>
      </c>
      <c r="J50">
        <v>2.2755601975527173</v>
      </c>
      <c r="K50">
        <v>75.250500172870801</v>
      </c>
      <c r="L50" s="156">
        <v>41521</v>
      </c>
    </row>
    <row r="51" spans="1:12" hidden="1">
      <c r="A51" t="s">
        <v>5195</v>
      </c>
      <c r="B51" t="s">
        <v>5190</v>
      </c>
      <c r="C51">
        <v>3</v>
      </c>
      <c r="D51">
        <v>29650</v>
      </c>
      <c r="E51">
        <v>65366.39</v>
      </c>
      <c r="F51">
        <v>148745.16</v>
      </c>
      <c r="G51" t="s">
        <v>25</v>
      </c>
      <c r="H51" t="s">
        <v>5138</v>
      </c>
      <c r="I51" t="s">
        <v>4767</v>
      </c>
      <c r="J51">
        <v>2.2755602688170482</v>
      </c>
      <c r="K51">
        <v>75.250502529510968</v>
      </c>
      <c r="L51" s="156">
        <v>41521</v>
      </c>
    </row>
    <row r="52" spans="1:12" hidden="1">
      <c r="A52" t="s">
        <v>5196</v>
      </c>
      <c r="B52" t="s">
        <v>5197</v>
      </c>
      <c r="C52">
        <v>3</v>
      </c>
      <c r="D52">
        <v>130069</v>
      </c>
      <c r="E52">
        <v>286750.11739999999</v>
      </c>
      <c r="F52">
        <v>652515.14</v>
      </c>
      <c r="G52" t="s">
        <v>25</v>
      </c>
      <c r="H52" t="s">
        <v>5138</v>
      </c>
      <c r="I52" t="s">
        <v>4767</v>
      </c>
      <c r="J52">
        <v>2.275553174716852</v>
      </c>
      <c r="K52">
        <v>75.250267934711573</v>
      </c>
      <c r="L52" s="156">
        <v>41522</v>
      </c>
    </row>
    <row r="53" spans="1:12" hidden="1">
      <c r="A53" t="s">
        <v>5198</v>
      </c>
      <c r="B53" t="s">
        <v>5199</v>
      </c>
      <c r="C53">
        <v>3</v>
      </c>
      <c r="D53">
        <v>28570</v>
      </c>
      <c r="E53">
        <v>62985.421999999999</v>
      </c>
      <c r="F53">
        <v>143327.12</v>
      </c>
      <c r="G53" t="s">
        <v>25</v>
      </c>
      <c r="H53" t="s">
        <v>5138</v>
      </c>
      <c r="I53" t="s">
        <v>4767</v>
      </c>
      <c r="J53">
        <v>2.2755602082018282</v>
      </c>
      <c r="K53">
        <v>75.250500525026254</v>
      </c>
      <c r="L53" s="156">
        <v>41527</v>
      </c>
    </row>
    <row r="54" spans="1:12" hidden="1">
      <c r="A54" t="s">
        <v>5200</v>
      </c>
      <c r="B54" t="s">
        <v>5201</v>
      </c>
      <c r="C54">
        <v>3</v>
      </c>
      <c r="D54">
        <v>28630</v>
      </c>
      <c r="E54">
        <v>63117.697999999997</v>
      </c>
      <c r="F54">
        <v>143628.12</v>
      </c>
      <c r="G54" t="s">
        <v>25</v>
      </c>
      <c r="H54" t="s">
        <v>5138</v>
      </c>
      <c r="I54" t="s">
        <v>4767</v>
      </c>
      <c r="J54">
        <v>2.2755601764817217</v>
      </c>
      <c r="K54">
        <v>75.250499476074054</v>
      </c>
      <c r="L54" s="156">
        <v>41527</v>
      </c>
    </row>
    <row r="55" spans="1:12" hidden="1">
      <c r="A55" t="s">
        <v>5202</v>
      </c>
      <c r="B55" t="s">
        <v>5203</v>
      </c>
      <c r="C55">
        <v>3</v>
      </c>
      <c r="D55">
        <v>57500</v>
      </c>
      <c r="E55">
        <v>126764.5</v>
      </c>
      <c r="F55">
        <v>288460.25</v>
      </c>
      <c r="G55" t="s">
        <v>25</v>
      </c>
      <c r="H55" t="s">
        <v>5138</v>
      </c>
      <c r="I55" t="s">
        <v>4767</v>
      </c>
      <c r="J55">
        <v>2.2755601923251385</v>
      </c>
      <c r="K55">
        <v>75.250500000000002</v>
      </c>
      <c r="L55" s="156">
        <v>41529</v>
      </c>
    </row>
    <row r="56" spans="1:12" hidden="1">
      <c r="A56" t="s">
        <v>5204</v>
      </c>
      <c r="B56" t="s">
        <v>5205</v>
      </c>
      <c r="C56">
        <v>3</v>
      </c>
      <c r="D56">
        <v>29130</v>
      </c>
      <c r="E56">
        <v>64219.998</v>
      </c>
      <c r="F56">
        <v>146136.47</v>
      </c>
      <c r="G56" t="s">
        <v>25</v>
      </c>
      <c r="H56" t="s">
        <v>5138</v>
      </c>
      <c r="I56" t="s">
        <v>4767</v>
      </c>
      <c r="J56">
        <v>2.2755601767536646</v>
      </c>
      <c r="K56">
        <v>75.250499485066939</v>
      </c>
      <c r="L56" s="156">
        <v>41529</v>
      </c>
    </row>
    <row r="57" spans="1:12" hidden="1">
      <c r="A57" t="s">
        <v>5206</v>
      </c>
      <c r="B57" t="s">
        <v>5207</v>
      </c>
      <c r="C57">
        <v>3</v>
      </c>
      <c r="D57">
        <v>175840</v>
      </c>
      <c r="E57">
        <v>387656.864</v>
      </c>
      <c r="F57">
        <v>896784</v>
      </c>
      <c r="G57" t="s">
        <v>25</v>
      </c>
      <c r="H57" t="s">
        <v>5208</v>
      </c>
      <c r="I57" t="s">
        <v>4767</v>
      </c>
      <c r="J57">
        <v>2.3133448244579515</v>
      </c>
      <c r="K57">
        <v>76.5</v>
      </c>
      <c r="L57" s="156">
        <v>41660</v>
      </c>
    </row>
    <row r="58" spans="1:12" hidden="1">
      <c r="A58" t="s">
        <v>5212</v>
      </c>
      <c r="B58" t="s">
        <v>5213</v>
      </c>
      <c r="C58">
        <v>3</v>
      </c>
      <c r="D58">
        <v>2026853.7</v>
      </c>
      <c r="E58">
        <v>4468401.6670199996</v>
      </c>
      <c r="F58">
        <v>11374094.91</v>
      </c>
      <c r="G58" t="s">
        <v>25</v>
      </c>
      <c r="H58" t="s">
        <v>1468</v>
      </c>
      <c r="I58" t="s">
        <v>4767</v>
      </c>
      <c r="J58">
        <v>2.54545042222792</v>
      </c>
      <c r="K58">
        <v>84.175500012655078</v>
      </c>
      <c r="L58" s="156">
        <v>41673</v>
      </c>
    </row>
    <row r="59" spans="1:12" hidden="1">
      <c r="A59" t="s">
        <v>5209</v>
      </c>
      <c r="B59" t="s">
        <v>5210</v>
      </c>
      <c r="C59">
        <v>3</v>
      </c>
      <c r="D59">
        <v>28770</v>
      </c>
      <c r="E59">
        <v>63426.341999999997</v>
      </c>
      <c r="F59">
        <v>148165.5</v>
      </c>
      <c r="G59" t="s">
        <v>25</v>
      </c>
      <c r="H59" t="s">
        <v>5211</v>
      </c>
      <c r="I59" t="s">
        <v>4767</v>
      </c>
      <c r="J59">
        <v>2.3360246756781278</v>
      </c>
      <c r="K59">
        <v>77.25</v>
      </c>
      <c r="L59" s="156">
        <v>41673</v>
      </c>
    </row>
    <row r="60" spans="1:12" hidden="1">
      <c r="A60" t="s">
        <v>5214</v>
      </c>
      <c r="B60" t="s">
        <v>5215</v>
      </c>
      <c r="C60">
        <v>3</v>
      </c>
      <c r="D60">
        <v>29370</v>
      </c>
      <c r="E60">
        <v>64749.101999999999</v>
      </c>
      <c r="F60">
        <v>151255.5</v>
      </c>
      <c r="G60" t="s">
        <v>25</v>
      </c>
      <c r="H60" t="s">
        <v>5216</v>
      </c>
      <c r="I60" t="s">
        <v>4767</v>
      </c>
      <c r="J60">
        <v>2.3360246756781278</v>
      </c>
      <c r="K60">
        <v>77.25</v>
      </c>
      <c r="L60" s="156">
        <v>41674</v>
      </c>
    </row>
    <row r="61" spans="1:12" hidden="1">
      <c r="A61" t="s">
        <v>5217</v>
      </c>
      <c r="B61" t="s">
        <v>5218</v>
      </c>
      <c r="C61">
        <v>3</v>
      </c>
      <c r="D61">
        <v>29650</v>
      </c>
      <c r="E61">
        <v>65366.39</v>
      </c>
      <c r="F61">
        <v>152697.5</v>
      </c>
      <c r="G61" t="s">
        <v>25</v>
      </c>
      <c r="H61" t="s">
        <v>5219</v>
      </c>
      <c r="I61" t="s">
        <v>4767</v>
      </c>
      <c r="J61">
        <v>2.3360246756781278</v>
      </c>
      <c r="K61">
        <v>77.25</v>
      </c>
      <c r="L61" s="156">
        <v>41682</v>
      </c>
    </row>
    <row r="62" spans="1:12" hidden="1">
      <c r="A62" t="s">
        <v>5220</v>
      </c>
      <c r="B62" t="s">
        <v>5221</v>
      </c>
      <c r="C62">
        <v>2</v>
      </c>
      <c r="D62">
        <v>2399.04</v>
      </c>
      <c r="E62">
        <v>5288.9235840000001</v>
      </c>
      <c r="F62">
        <v>6237.5</v>
      </c>
      <c r="G62" t="s">
        <v>25</v>
      </c>
      <c r="H62" t="s">
        <v>5222</v>
      </c>
      <c r="I62" t="s">
        <v>4767</v>
      </c>
      <c r="J62">
        <v>1.1793515071515921</v>
      </c>
      <c r="K62">
        <v>38.999974989995998</v>
      </c>
      <c r="L62" s="156">
        <v>41751</v>
      </c>
    </row>
    <row r="63" spans="1:12" hidden="1">
      <c r="A63" t="s">
        <v>5223</v>
      </c>
      <c r="B63" t="s">
        <v>5224</v>
      </c>
      <c r="C63">
        <v>3</v>
      </c>
      <c r="D63">
        <v>1209789.5</v>
      </c>
      <c r="E63">
        <v>2667101.9317000001</v>
      </c>
      <c r="F63">
        <v>2400343.35</v>
      </c>
      <c r="G63" t="s">
        <v>22</v>
      </c>
      <c r="H63" t="s">
        <v>1474</v>
      </c>
      <c r="I63" t="s">
        <v>4767</v>
      </c>
      <c r="J63">
        <v>0.89998185726258717</v>
      </c>
      <c r="K63">
        <v>29.761500037816496</v>
      </c>
      <c r="L63" s="156">
        <v>41754</v>
      </c>
    </row>
    <row r="64" spans="1:12" hidden="1">
      <c r="A64" t="s">
        <v>5225</v>
      </c>
      <c r="B64" t="s">
        <v>5226</v>
      </c>
      <c r="C64">
        <v>3</v>
      </c>
      <c r="D64">
        <v>27650</v>
      </c>
      <c r="E64">
        <v>60957.19</v>
      </c>
      <c r="F64">
        <v>132720</v>
      </c>
      <c r="G64" t="s">
        <v>25</v>
      </c>
      <c r="H64" t="s">
        <v>5138</v>
      </c>
      <c r="I64" t="s">
        <v>4767</v>
      </c>
      <c r="J64">
        <v>2.1772657171368954</v>
      </c>
      <c r="K64">
        <v>72</v>
      </c>
      <c r="L64" s="156">
        <v>41754</v>
      </c>
    </row>
    <row r="65" spans="1:12" hidden="1">
      <c r="A65" t="s">
        <v>5229</v>
      </c>
      <c r="B65" t="s">
        <v>5230</v>
      </c>
      <c r="C65">
        <v>3</v>
      </c>
      <c r="D65">
        <v>175901</v>
      </c>
      <c r="E65">
        <v>387791.34460000001</v>
      </c>
      <c r="F65">
        <v>844324.8</v>
      </c>
      <c r="G65" t="s">
        <v>25</v>
      </c>
      <c r="H65" t="s">
        <v>5138</v>
      </c>
      <c r="I65" t="s">
        <v>4767</v>
      </c>
      <c r="J65">
        <v>2.1772657171368954</v>
      </c>
      <c r="K65">
        <v>72</v>
      </c>
      <c r="L65" s="156">
        <v>41754</v>
      </c>
    </row>
    <row r="66" spans="1:12" hidden="1">
      <c r="A66" t="s">
        <v>5227</v>
      </c>
      <c r="B66" t="s">
        <v>5228</v>
      </c>
      <c r="C66">
        <v>3</v>
      </c>
      <c r="D66">
        <v>29070</v>
      </c>
      <c r="E66">
        <v>64087.722000000002</v>
      </c>
      <c r="F66">
        <v>135756.9</v>
      </c>
      <c r="G66" t="s">
        <v>25</v>
      </c>
      <c r="H66" t="s">
        <v>5138</v>
      </c>
      <c r="I66" t="s">
        <v>4767</v>
      </c>
      <c r="J66">
        <v>2.1182981039644382</v>
      </c>
      <c r="K66">
        <v>70.05</v>
      </c>
      <c r="L66" s="156">
        <v>41754</v>
      </c>
    </row>
    <row r="67" spans="1:12" hidden="1">
      <c r="A67" t="s">
        <v>5231</v>
      </c>
      <c r="B67" t="s">
        <v>5232</v>
      </c>
      <c r="C67">
        <v>3</v>
      </c>
      <c r="D67">
        <v>57080</v>
      </c>
      <c r="E67">
        <v>125838.568</v>
      </c>
      <c r="F67">
        <v>273984</v>
      </c>
      <c r="G67" t="s">
        <v>25</v>
      </c>
      <c r="H67" t="s">
        <v>5138</v>
      </c>
      <c r="I67" t="s">
        <v>4767</v>
      </c>
      <c r="J67">
        <v>2.1772657171368954</v>
      </c>
      <c r="K67">
        <v>72</v>
      </c>
      <c r="L67" s="156">
        <v>41757</v>
      </c>
    </row>
    <row r="68" spans="1:12" hidden="1">
      <c r="A68" t="s">
        <v>5233</v>
      </c>
      <c r="B68" t="s">
        <v>5234</v>
      </c>
      <c r="C68">
        <v>3</v>
      </c>
      <c r="D68">
        <v>28670</v>
      </c>
      <c r="E68">
        <v>63205.881999999998</v>
      </c>
      <c r="F68">
        <v>133888.9</v>
      </c>
      <c r="G68" t="s">
        <v>25</v>
      </c>
      <c r="H68" t="s">
        <v>5138</v>
      </c>
      <c r="I68" t="s">
        <v>4767</v>
      </c>
      <c r="J68">
        <v>2.1182981039644382</v>
      </c>
      <c r="K68">
        <v>70.05</v>
      </c>
      <c r="L68" s="156">
        <v>41759</v>
      </c>
    </row>
    <row r="69" spans="1:12" hidden="1">
      <c r="A69" t="s">
        <v>5235</v>
      </c>
      <c r="B69" t="s">
        <v>5236</v>
      </c>
      <c r="C69">
        <v>3</v>
      </c>
      <c r="D69">
        <v>28890</v>
      </c>
      <c r="E69">
        <v>63690.894</v>
      </c>
      <c r="F69">
        <v>138672</v>
      </c>
      <c r="G69" t="s">
        <v>25</v>
      </c>
      <c r="H69" t="s">
        <v>5138</v>
      </c>
      <c r="I69" t="s">
        <v>4767</v>
      </c>
      <c r="J69">
        <v>2.1772657171368954</v>
      </c>
      <c r="K69">
        <v>72</v>
      </c>
      <c r="L69" s="156">
        <v>41761</v>
      </c>
    </row>
    <row r="70" spans="1:12" hidden="1">
      <c r="A70" t="s">
        <v>5245</v>
      </c>
      <c r="B70" t="s">
        <v>5246</v>
      </c>
      <c r="C70">
        <v>3</v>
      </c>
      <c r="D70">
        <v>29170</v>
      </c>
      <c r="E70">
        <v>64308.182000000001</v>
      </c>
      <c r="F70">
        <v>131265</v>
      </c>
      <c r="G70" t="s">
        <v>25</v>
      </c>
      <c r="H70" t="s">
        <v>5138</v>
      </c>
      <c r="I70" t="s">
        <v>4767</v>
      </c>
      <c r="J70">
        <v>2.0411866098158398</v>
      </c>
      <c r="K70">
        <v>67.5</v>
      </c>
      <c r="L70" s="156">
        <v>41780</v>
      </c>
    </row>
    <row r="71" spans="1:12" hidden="1">
      <c r="A71" t="s">
        <v>5241</v>
      </c>
      <c r="B71" t="s">
        <v>5242</v>
      </c>
      <c r="C71">
        <v>3</v>
      </c>
      <c r="D71">
        <v>29950</v>
      </c>
      <c r="E71">
        <v>66027.77</v>
      </c>
      <c r="F71">
        <v>134775</v>
      </c>
      <c r="G71" t="s">
        <v>25</v>
      </c>
      <c r="H71" t="s">
        <v>5138</v>
      </c>
      <c r="I71" t="s">
        <v>4767</v>
      </c>
      <c r="J71">
        <v>2.0411866098158398</v>
      </c>
      <c r="K71">
        <v>67.5</v>
      </c>
      <c r="L71" s="156">
        <v>41780</v>
      </c>
    </row>
    <row r="72" spans="1:12" hidden="1">
      <c r="A72" t="s">
        <v>5237</v>
      </c>
      <c r="B72" t="s">
        <v>5238</v>
      </c>
      <c r="C72">
        <v>3</v>
      </c>
      <c r="D72">
        <v>58200</v>
      </c>
      <c r="E72">
        <v>128307.72</v>
      </c>
      <c r="F72">
        <v>261900</v>
      </c>
      <c r="G72" t="s">
        <v>25</v>
      </c>
      <c r="H72" t="s">
        <v>5138</v>
      </c>
      <c r="I72" t="s">
        <v>4767</v>
      </c>
      <c r="J72">
        <v>2.0411866098158398</v>
      </c>
      <c r="K72">
        <v>67.5</v>
      </c>
      <c r="L72" s="156">
        <v>41780</v>
      </c>
    </row>
    <row r="73" spans="1:12" hidden="1">
      <c r="A73" t="s">
        <v>5239</v>
      </c>
      <c r="B73" t="s">
        <v>5240</v>
      </c>
      <c r="C73">
        <v>3</v>
      </c>
      <c r="D73">
        <v>28810</v>
      </c>
      <c r="E73">
        <v>63514.525999999998</v>
      </c>
      <c r="F73">
        <v>129645</v>
      </c>
      <c r="G73" t="s">
        <v>25</v>
      </c>
      <c r="H73" t="s">
        <v>5138</v>
      </c>
      <c r="I73" t="s">
        <v>4767</v>
      </c>
      <c r="J73">
        <v>2.0411866098158398</v>
      </c>
      <c r="K73">
        <v>67.5</v>
      </c>
      <c r="L73" s="156">
        <v>41780</v>
      </c>
    </row>
    <row r="74" spans="1:12" hidden="1">
      <c r="A74" t="s">
        <v>5247</v>
      </c>
      <c r="B74" t="s">
        <v>5248</v>
      </c>
      <c r="C74">
        <v>3</v>
      </c>
      <c r="D74">
        <v>28530</v>
      </c>
      <c r="E74">
        <v>62897.237999999998</v>
      </c>
      <c r="F74">
        <v>128385</v>
      </c>
      <c r="G74" t="s">
        <v>25</v>
      </c>
      <c r="H74" t="s">
        <v>5138</v>
      </c>
      <c r="I74" t="s">
        <v>4767</v>
      </c>
      <c r="J74">
        <v>2.0411866098158398</v>
      </c>
      <c r="K74">
        <v>67.5</v>
      </c>
      <c r="L74" s="156">
        <v>41780</v>
      </c>
    </row>
    <row r="75" spans="1:12" hidden="1">
      <c r="A75" t="s">
        <v>5243</v>
      </c>
      <c r="B75" t="s">
        <v>5244</v>
      </c>
      <c r="C75">
        <v>3</v>
      </c>
      <c r="D75">
        <v>28650</v>
      </c>
      <c r="E75">
        <v>63161.79</v>
      </c>
      <c r="F75">
        <v>128925</v>
      </c>
      <c r="G75" t="s">
        <v>25</v>
      </c>
      <c r="H75" t="s">
        <v>5138</v>
      </c>
      <c r="I75" t="s">
        <v>4767</v>
      </c>
      <c r="J75">
        <v>2.0411866098158398</v>
      </c>
      <c r="K75">
        <v>67.5</v>
      </c>
      <c r="L75" s="156">
        <v>41780</v>
      </c>
    </row>
    <row r="76" spans="1:12" hidden="1">
      <c r="A76" t="s">
        <v>5249</v>
      </c>
      <c r="B76" t="s">
        <v>5250</v>
      </c>
      <c r="C76">
        <v>3</v>
      </c>
      <c r="D76">
        <v>58000</v>
      </c>
      <c r="E76">
        <v>127866.8</v>
      </c>
      <c r="F76">
        <v>287100</v>
      </c>
      <c r="G76" t="s">
        <v>25</v>
      </c>
      <c r="H76" t="s">
        <v>5138</v>
      </c>
      <c r="I76" t="s">
        <v>4767</v>
      </c>
      <c r="J76">
        <v>2.2453052707974237</v>
      </c>
      <c r="K76">
        <v>74.25</v>
      </c>
      <c r="L76" s="156">
        <v>41782</v>
      </c>
    </row>
    <row r="77" spans="1:12" hidden="1">
      <c r="A77" t="s">
        <v>5251</v>
      </c>
      <c r="B77" t="s">
        <v>5252</v>
      </c>
      <c r="C77">
        <v>3</v>
      </c>
      <c r="D77">
        <v>29150</v>
      </c>
      <c r="E77">
        <v>64264.09</v>
      </c>
      <c r="F77">
        <v>131175</v>
      </c>
      <c r="G77" t="s">
        <v>25</v>
      </c>
      <c r="H77" t="s">
        <v>5138</v>
      </c>
      <c r="I77" t="s">
        <v>4767</v>
      </c>
      <c r="J77">
        <v>2.0411866098158398</v>
      </c>
      <c r="K77">
        <v>67.5</v>
      </c>
      <c r="L77" s="156">
        <v>41789</v>
      </c>
    </row>
    <row r="78" spans="1:12" hidden="1">
      <c r="A78" t="s">
        <v>5253</v>
      </c>
      <c r="B78" t="s">
        <v>5254</v>
      </c>
      <c r="C78">
        <v>3</v>
      </c>
      <c r="D78">
        <v>26177</v>
      </c>
      <c r="E78">
        <v>57709.814200000001</v>
      </c>
      <c r="F78">
        <v>117796.5</v>
      </c>
      <c r="G78" t="s">
        <v>25</v>
      </c>
      <c r="H78" t="s">
        <v>5138</v>
      </c>
      <c r="I78" t="s">
        <v>4767</v>
      </c>
      <c r="J78">
        <v>2.0411866098158398</v>
      </c>
      <c r="K78">
        <v>67.5</v>
      </c>
      <c r="L78" s="156">
        <v>41789</v>
      </c>
    </row>
    <row r="79" spans="1:12" hidden="1">
      <c r="A79" t="s">
        <v>5257</v>
      </c>
      <c r="B79" t="s">
        <v>5258</v>
      </c>
      <c r="C79">
        <v>3</v>
      </c>
      <c r="D79">
        <v>30150</v>
      </c>
      <c r="E79">
        <v>66468.69</v>
      </c>
      <c r="F79">
        <v>132660</v>
      </c>
      <c r="G79" t="s">
        <v>25</v>
      </c>
      <c r="H79" t="s">
        <v>5138</v>
      </c>
      <c r="I79" t="s">
        <v>4767</v>
      </c>
      <c r="J79">
        <v>1.9958269073754875</v>
      </c>
      <c r="K79">
        <v>66</v>
      </c>
      <c r="L79" s="156">
        <v>41792</v>
      </c>
    </row>
    <row r="80" spans="1:12" hidden="1">
      <c r="A80" t="s">
        <v>5255</v>
      </c>
      <c r="B80" t="s">
        <v>5256</v>
      </c>
      <c r="C80">
        <v>3</v>
      </c>
      <c r="D80">
        <v>58700</v>
      </c>
      <c r="E80">
        <v>129410.02</v>
      </c>
      <c r="F80">
        <v>258280</v>
      </c>
      <c r="G80" t="s">
        <v>25</v>
      </c>
      <c r="H80" t="s">
        <v>5138</v>
      </c>
      <c r="I80" t="s">
        <v>4767</v>
      </c>
      <c r="J80">
        <v>1.9958269073754875</v>
      </c>
      <c r="K80">
        <v>66</v>
      </c>
      <c r="L80" s="156">
        <v>41792</v>
      </c>
    </row>
    <row r="81" spans="1:12" hidden="1">
      <c r="A81" t="s">
        <v>5259</v>
      </c>
      <c r="B81" t="s">
        <v>5260</v>
      </c>
      <c r="C81">
        <v>3</v>
      </c>
      <c r="D81">
        <v>86350.1</v>
      </c>
      <c r="E81">
        <v>190367.43046</v>
      </c>
      <c r="F81">
        <v>374180.89</v>
      </c>
      <c r="G81" t="s">
        <v>25</v>
      </c>
      <c r="H81" t="s">
        <v>1470</v>
      </c>
      <c r="I81" t="s">
        <v>4767</v>
      </c>
      <c r="J81">
        <v>1.9655719946202819</v>
      </c>
      <c r="K81">
        <v>64.999500290098098</v>
      </c>
      <c r="L81" s="156">
        <v>41793</v>
      </c>
    </row>
    <row r="82" spans="1:12" hidden="1">
      <c r="A82" t="s">
        <v>5261</v>
      </c>
      <c r="B82" t="s">
        <v>5262</v>
      </c>
      <c r="C82">
        <v>3</v>
      </c>
      <c r="D82">
        <v>29030</v>
      </c>
      <c r="E82">
        <v>63999.538</v>
      </c>
      <c r="F82">
        <v>127732</v>
      </c>
      <c r="G82" t="s">
        <v>25</v>
      </c>
      <c r="H82" t="s">
        <v>5138</v>
      </c>
      <c r="I82" t="s">
        <v>4767</v>
      </c>
      <c r="J82">
        <v>1.9958269073754875</v>
      </c>
      <c r="K82">
        <v>66</v>
      </c>
      <c r="L82" s="156">
        <v>41795</v>
      </c>
    </row>
    <row r="83" spans="1:12" hidden="1">
      <c r="A83" t="s">
        <v>5265</v>
      </c>
      <c r="B83" t="s">
        <v>5266</v>
      </c>
      <c r="C83">
        <v>3</v>
      </c>
      <c r="D83">
        <v>58400</v>
      </c>
      <c r="E83">
        <v>128748.64</v>
      </c>
      <c r="F83">
        <v>262800</v>
      </c>
      <c r="G83" t="s">
        <v>25</v>
      </c>
      <c r="H83" t="s">
        <v>5138</v>
      </c>
      <c r="I83" t="s">
        <v>4767</v>
      </c>
      <c r="J83">
        <v>2.0411866098158398</v>
      </c>
      <c r="K83">
        <v>67.5</v>
      </c>
      <c r="L83" s="156">
        <v>41799</v>
      </c>
    </row>
    <row r="84" spans="1:12" hidden="1">
      <c r="A84" t="s">
        <v>5263</v>
      </c>
      <c r="B84" t="s">
        <v>5264</v>
      </c>
      <c r="C84">
        <v>3</v>
      </c>
      <c r="D84">
        <v>28990</v>
      </c>
      <c r="E84">
        <v>63911.353999999999</v>
      </c>
      <c r="F84">
        <v>130455</v>
      </c>
      <c r="G84" t="s">
        <v>25</v>
      </c>
      <c r="H84" t="s">
        <v>5138</v>
      </c>
      <c r="I84" t="s">
        <v>4767</v>
      </c>
      <c r="J84">
        <v>2.0411866098158398</v>
      </c>
      <c r="K84">
        <v>67.5</v>
      </c>
      <c r="L84" s="156">
        <v>41799</v>
      </c>
    </row>
    <row r="85" spans="1:12" hidden="1">
      <c r="A85" t="s">
        <v>5267</v>
      </c>
      <c r="B85" t="s">
        <v>5268</v>
      </c>
      <c r="C85">
        <v>3</v>
      </c>
      <c r="D85">
        <v>181554</v>
      </c>
      <c r="E85">
        <v>400253.94839999999</v>
      </c>
      <c r="F85">
        <v>777655.26</v>
      </c>
      <c r="G85" t="s">
        <v>25</v>
      </c>
      <c r="H85" t="s">
        <v>1470</v>
      </c>
      <c r="I85" t="s">
        <v>4767</v>
      </c>
      <c r="J85">
        <v>1.9429046561780277</v>
      </c>
      <c r="K85">
        <v>64.249914075151196</v>
      </c>
      <c r="L85" s="156">
        <v>41806</v>
      </c>
    </row>
    <row r="86" spans="1:12" hidden="1">
      <c r="A86" t="s">
        <v>5269</v>
      </c>
      <c r="B86" t="s">
        <v>5018</v>
      </c>
      <c r="C86">
        <v>4</v>
      </c>
      <c r="D86">
        <v>887550</v>
      </c>
      <c r="E86">
        <v>1956692.73</v>
      </c>
      <c r="F86">
        <v>3698154.58</v>
      </c>
      <c r="G86" t="s">
        <v>25</v>
      </c>
      <c r="H86" t="s">
        <v>1468</v>
      </c>
      <c r="I86" t="s">
        <v>4767</v>
      </c>
      <c r="J86">
        <v>1.8900027190268143</v>
      </c>
      <c r="K86">
        <v>62.50049991549772</v>
      </c>
      <c r="L86" s="156">
        <v>41821</v>
      </c>
    </row>
    <row r="87" spans="1:12" hidden="1">
      <c r="A87" t="s">
        <v>5270</v>
      </c>
      <c r="B87" t="s">
        <v>4883</v>
      </c>
      <c r="C87">
        <v>4</v>
      </c>
      <c r="D87">
        <v>1000000</v>
      </c>
      <c r="E87">
        <v>2204600</v>
      </c>
      <c r="F87">
        <v>1763700</v>
      </c>
      <c r="G87" t="s">
        <v>22</v>
      </c>
      <c r="H87" t="s">
        <v>1469</v>
      </c>
      <c r="I87" t="s">
        <v>4767</v>
      </c>
      <c r="J87">
        <v>0.80000907194048809</v>
      </c>
      <c r="K87">
        <v>26.455500000000001</v>
      </c>
      <c r="L87" s="156">
        <v>41822</v>
      </c>
    </row>
    <row r="88" spans="1:12" hidden="1">
      <c r="A88" t="s">
        <v>5271</v>
      </c>
      <c r="B88" t="s">
        <v>4974</v>
      </c>
      <c r="C88">
        <v>4</v>
      </c>
      <c r="D88">
        <v>500000</v>
      </c>
      <c r="E88">
        <v>1102300</v>
      </c>
      <c r="F88">
        <v>881850</v>
      </c>
      <c r="G88" t="s">
        <v>22</v>
      </c>
      <c r="H88" t="s">
        <v>1469</v>
      </c>
      <c r="I88" t="s">
        <v>4767</v>
      </c>
      <c r="J88">
        <v>0.80000907194048809</v>
      </c>
      <c r="K88">
        <v>26.455500000000001</v>
      </c>
      <c r="L88" s="156">
        <v>41827</v>
      </c>
    </row>
    <row r="89" spans="1:12" hidden="1">
      <c r="A89" t="s">
        <v>5272</v>
      </c>
      <c r="B89" t="s">
        <v>5273</v>
      </c>
      <c r="C89">
        <v>2</v>
      </c>
      <c r="D89">
        <v>2959.5</v>
      </c>
      <c r="E89">
        <v>6524.5137000000004</v>
      </c>
      <c r="F89">
        <v>8286.6</v>
      </c>
      <c r="G89" t="s">
        <v>25</v>
      </c>
      <c r="H89" t="s">
        <v>5274</v>
      </c>
      <c r="I89" t="s">
        <v>4767</v>
      </c>
      <c r="J89">
        <v>1.2700716683298559</v>
      </c>
      <c r="K89">
        <v>42</v>
      </c>
      <c r="L89" s="156">
        <v>41830</v>
      </c>
    </row>
    <row r="90" spans="1:12" hidden="1">
      <c r="A90" t="s">
        <v>5277</v>
      </c>
      <c r="B90" t="s">
        <v>5278</v>
      </c>
      <c r="C90">
        <v>4</v>
      </c>
      <c r="D90">
        <v>1001460.45</v>
      </c>
      <c r="E90">
        <v>2207819.7080700002</v>
      </c>
      <c r="F90">
        <v>1736432.27</v>
      </c>
      <c r="G90" t="s">
        <v>22</v>
      </c>
      <c r="H90" t="s">
        <v>1469</v>
      </c>
      <c r="I90" t="s">
        <v>4767</v>
      </c>
      <c r="J90">
        <v>0.78649187868602244</v>
      </c>
      <c r="K90">
        <v>26.008499936268077</v>
      </c>
      <c r="L90" s="156">
        <v>41837</v>
      </c>
    </row>
    <row r="91" spans="1:12" hidden="1">
      <c r="A91" t="s">
        <v>5275</v>
      </c>
      <c r="B91" t="s">
        <v>5276</v>
      </c>
      <c r="C91">
        <v>4</v>
      </c>
      <c r="D91">
        <v>57520</v>
      </c>
      <c r="E91">
        <v>126808.592</v>
      </c>
      <c r="F91">
        <v>230080</v>
      </c>
      <c r="G91" t="s">
        <v>25</v>
      </c>
      <c r="H91" t="s">
        <v>1470</v>
      </c>
      <c r="I91" t="s">
        <v>4767</v>
      </c>
      <c r="J91">
        <v>1.8143880976140796</v>
      </c>
      <c r="K91">
        <v>60</v>
      </c>
      <c r="L91" s="156">
        <v>41837</v>
      </c>
    </row>
    <row r="92" spans="1:12" hidden="1">
      <c r="A92" t="s">
        <v>5279</v>
      </c>
      <c r="B92" t="s">
        <v>5280</v>
      </c>
      <c r="C92">
        <v>4</v>
      </c>
      <c r="D92">
        <v>57505</v>
      </c>
      <c r="E92">
        <v>126775.523</v>
      </c>
      <c r="F92">
        <v>215068.7</v>
      </c>
      <c r="G92" t="s">
        <v>25</v>
      </c>
      <c r="H92" t="s">
        <v>1471</v>
      </c>
      <c r="I92" t="s">
        <v>4767</v>
      </c>
      <c r="J92">
        <v>1.6964528712691644</v>
      </c>
      <c r="K92">
        <v>56.1</v>
      </c>
      <c r="L92" s="156">
        <v>41838</v>
      </c>
    </row>
    <row r="93" spans="1:12" hidden="1">
      <c r="A93" t="s">
        <v>5281</v>
      </c>
      <c r="B93" t="s">
        <v>5018</v>
      </c>
      <c r="C93">
        <v>4</v>
      </c>
      <c r="D93">
        <v>1112450</v>
      </c>
      <c r="E93">
        <v>2452507.27</v>
      </c>
      <c r="F93">
        <v>4635245.42</v>
      </c>
      <c r="G93" t="s">
        <v>25</v>
      </c>
      <c r="H93" t="s">
        <v>1472</v>
      </c>
      <c r="I93" t="s">
        <v>4767</v>
      </c>
      <c r="J93">
        <v>1.8900027236208763</v>
      </c>
      <c r="K93">
        <v>62.500500067418763</v>
      </c>
      <c r="L93" s="156">
        <v>41842</v>
      </c>
    </row>
    <row r="94" spans="1:12" hidden="1">
      <c r="A94" t="s">
        <v>5282</v>
      </c>
      <c r="B94" t="s">
        <v>5283</v>
      </c>
      <c r="C94">
        <v>4</v>
      </c>
      <c r="D94">
        <v>1001211.86</v>
      </c>
      <c r="E94">
        <v>2207271.6665559998</v>
      </c>
      <c r="F94">
        <v>1732697.24</v>
      </c>
      <c r="G94" t="s">
        <v>22</v>
      </c>
      <c r="H94" t="s">
        <v>1469</v>
      </c>
      <c r="I94" t="s">
        <v>4767</v>
      </c>
      <c r="J94">
        <v>0.78499500820554757</v>
      </c>
      <c r="K94">
        <v>25.958999926349254</v>
      </c>
      <c r="L94" s="156">
        <v>41844</v>
      </c>
    </row>
    <row r="95" spans="1:12" hidden="1">
      <c r="A95" t="s">
        <v>5284</v>
      </c>
      <c r="B95" t="s">
        <v>5285</v>
      </c>
      <c r="C95">
        <v>4</v>
      </c>
      <c r="D95">
        <v>723998</v>
      </c>
      <c r="E95">
        <v>1596125.9908</v>
      </c>
      <c r="F95">
        <v>2799483.07</v>
      </c>
      <c r="G95" t="s">
        <v>25</v>
      </c>
      <c r="H95" t="s">
        <v>1471</v>
      </c>
      <c r="I95" t="s">
        <v>4767</v>
      </c>
      <c r="J95">
        <v>1.7539236163912482</v>
      </c>
      <c r="K95">
        <v>58.000500070442186</v>
      </c>
      <c r="L95" s="156">
        <v>41866</v>
      </c>
    </row>
    <row r="96" spans="1:12" hidden="1">
      <c r="A96" t="s">
        <v>5286</v>
      </c>
      <c r="B96" t="s">
        <v>4844</v>
      </c>
      <c r="C96">
        <v>4</v>
      </c>
      <c r="D96">
        <v>2000000</v>
      </c>
      <c r="E96">
        <v>4409200</v>
      </c>
      <c r="F96">
        <v>3262800</v>
      </c>
      <c r="G96" t="s">
        <v>22</v>
      </c>
      <c r="H96" t="s">
        <v>1473</v>
      </c>
      <c r="I96" t="s">
        <v>4767</v>
      </c>
      <c r="J96">
        <v>0.73999818561190234</v>
      </c>
      <c r="K96">
        <v>24.471</v>
      </c>
      <c r="L96" s="156">
        <v>41873</v>
      </c>
    </row>
    <row r="97" spans="1:12" hidden="1">
      <c r="A97" t="s">
        <v>5289</v>
      </c>
      <c r="B97" t="s">
        <v>4928</v>
      </c>
      <c r="C97">
        <v>4</v>
      </c>
      <c r="D97">
        <v>439000</v>
      </c>
      <c r="E97">
        <v>967819.4</v>
      </c>
      <c r="F97">
        <v>667806.80000000005</v>
      </c>
      <c r="G97" t="s">
        <v>22</v>
      </c>
      <c r="H97" t="s">
        <v>1474</v>
      </c>
      <c r="I97" t="s">
        <v>4767</v>
      </c>
      <c r="J97">
        <v>0.69001179352263453</v>
      </c>
      <c r="K97">
        <v>22.818000000000001</v>
      </c>
      <c r="L97" s="156">
        <v>41880</v>
      </c>
    </row>
    <row r="98" spans="1:12" hidden="1">
      <c r="A98" t="s">
        <v>5287</v>
      </c>
      <c r="B98" t="s">
        <v>5288</v>
      </c>
      <c r="C98">
        <v>4</v>
      </c>
      <c r="D98">
        <v>259258.9</v>
      </c>
      <c r="E98">
        <v>571562.17093999998</v>
      </c>
      <c r="F98">
        <v>422954.97</v>
      </c>
      <c r="G98" t="s">
        <v>22</v>
      </c>
      <c r="H98" t="s">
        <v>1469</v>
      </c>
      <c r="I98" t="s">
        <v>4767</v>
      </c>
      <c r="J98">
        <v>0.73999818655668148</v>
      </c>
      <c r="K98">
        <v>24.471000031242902</v>
      </c>
      <c r="L98" s="156">
        <v>41880</v>
      </c>
    </row>
    <row r="99" spans="1:12" hidden="1">
      <c r="A99" t="s">
        <v>5290</v>
      </c>
      <c r="B99" t="s">
        <v>4765</v>
      </c>
      <c r="C99">
        <v>4</v>
      </c>
      <c r="D99">
        <v>1500000</v>
      </c>
      <c r="E99">
        <v>3306900</v>
      </c>
      <c r="F99">
        <v>2496750</v>
      </c>
      <c r="G99" t="s">
        <v>22</v>
      </c>
      <c r="H99" t="s">
        <v>1469</v>
      </c>
      <c r="I99" t="s">
        <v>4767</v>
      </c>
      <c r="J99">
        <v>0.75501224711965886</v>
      </c>
      <c r="K99">
        <v>24.967500000000001</v>
      </c>
      <c r="L99" s="156">
        <v>41883</v>
      </c>
    </row>
    <row r="100" spans="1:12" hidden="1">
      <c r="A100" t="s">
        <v>5291</v>
      </c>
      <c r="B100" t="s">
        <v>5292</v>
      </c>
      <c r="C100">
        <v>4</v>
      </c>
      <c r="D100">
        <v>116439</v>
      </c>
      <c r="E100">
        <v>256701.41940000001</v>
      </c>
      <c r="F100">
        <v>419180.4</v>
      </c>
      <c r="G100" t="s">
        <v>25</v>
      </c>
      <c r="H100" t="s">
        <v>1471</v>
      </c>
      <c r="I100" t="s">
        <v>4645</v>
      </c>
      <c r="J100">
        <v>1.6329492878526717</v>
      </c>
      <c r="K100">
        <v>54</v>
      </c>
      <c r="L100" s="156">
        <v>41887</v>
      </c>
    </row>
    <row r="101" spans="1:12" hidden="1">
      <c r="A101" t="s">
        <v>5293</v>
      </c>
      <c r="B101" t="s">
        <v>4882</v>
      </c>
      <c r="C101">
        <v>4</v>
      </c>
      <c r="D101">
        <v>2000978.38</v>
      </c>
      <c r="E101">
        <v>4411356.9365480002</v>
      </c>
      <c r="F101">
        <v>3242600</v>
      </c>
      <c r="G101" t="s">
        <v>22</v>
      </c>
      <c r="H101" t="s">
        <v>1474</v>
      </c>
      <c r="I101" t="s">
        <v>4767</v>
      </c>
      <c r="J101">
        <v>0.73505727299804891</v>
      </c>
      <c r="K101">
        <v>24.30760896077248</v>
      </c>
      <c r="L101" s="156">
        <v>41894</v>
      </c>
    </row>
    <row r="102" spans="1:12" hidden="1">
      <c r="A102" t="s">
        <v>5294</v>
      </c>
      <c r="B102" t="s">
        <v>5295</v>
      </c>
      <c r="C102">
        <v>4</v>
      </c>
      <c r="D102">
        <v>2000000</v>
      </c>
      <c r="E102">
        <v>4409200</v>
      </c>
      <c r="F102">
        <v>3262800</v>
      </c>
      <c r="G102" t="s">
        <v>22</v>
      </c>
      <c r="H102" t="s">
        <v>1475</v>
      </c>
      <c r="I102" t="s">
        <v>4767</v>
      </c>
      <c r="J102">
        <v>0.73999818561190234</v>
      </c>
      <c r="K102">
        <v>24.471</v>
      </c>
      <c r="L102" s="156">
        <v>41894</v>
      </c>
    </row>
    <row r="103" spans="1:12" hidden="1">
      <c r="A103" t="s">
        <v>5296</v>
      </c>
      <c r="B103" t="s">
        <v>4766</v>
      </c>
      <c r="C103">
        <v>4</v>
      </c>
      <c r="D103">
        <v>1000000</v>
      </c>
      <c r="E103">
        <v>2204600</v>
      </c>
      <c r="F103">
        <v>1620400</v>
      </c>
      <c r="G103" t="s">
        <v>22</v>
      </c>
      <c r="H103" t="s">
        <v>1469</v>
      </c>
      <c r="I103" t="s">
        <v>4645</v>
      </c>
      <c r="J103">
        <v>0.73500861834346365</v>
      </c>
      <c r="K103">
        <v>24.306000000000001</v>
      </c>
      <c r="L103" s="156">
        <v>41901</v>
      </c>
    </row>
    <row r="104" spans="1:12" hidden="1">
      <c r="A104" t="s">
        <v>5297</v>
      </c>
      <c r="B104" t="s">
        <v>4884</v>
      </c>
      <c r="C104">
        <v>4</v>
      </c>
      <c r="D104">
        <v>1675448</v>
      </c>
      <c r="E104">
        <v>3693692.6608000002</v>
      </c>
      <c r="F104">
        <v>2600797.9300000002</v>
      </c>
      <c r="G104" t="s">
        <v>22</v>
      </c>
      <c r="H104" t="s">
        <v>1475</v>
      </c>
      <c r="I104" t="s">
        <v>4645</v>
      </c>
      <c r="J104">
        <v>0.70411866087329122</v>
      </c>
      <c r="K104">
        <v>23.284499996418869</v>
      </c>
      <c r="L104" s="156">
        <v>41905</v>
      </c>
    </row>
    <row r="105" spans="1:12" hidden="1">
      <c r="A105" t="s">
        <v>5298</v>
      </c>
      <c r="B105" t="s">
        <v>5292</v>
      </c>
      <c r="C105">
        <v>4</v>
      </c>
      <c r="D105">
        <v>28965</v>
      </c>
      <c r="E105">
        <v>63856.239000000001</v>
      </c>
      <c r="F105">
        <v>104274</v>
      </c>
      <c r="G105" t="s">
        <v>25</v>
      </c>
      <c r="H105" t="s">
        <v>1476</v>
      </c>
      <c r="I105" t="s">
        <v>4645</v>
      </c>
      <c r="J105">
        <v>1.6329492878526717</v>
      </c>
      <c r="K105">
        <v>54</v>
      </c>
      <c r="L105" s="156">
        <v>41907</v>
      </c>
    </row>
    <row r="106" spans="1:12" hidden="1">
      <c r="A106" t="s">
        <v>5299</v>
      </c>
      <c r="B106" t="s">
        <v>5300</v>
      </c>
      <c r="C106">
        <v>4</v>
      </c>
      <c r="D106">
        <v>1000000</v>
      </c>
      <c r="E106">
        <v>2204600</v>
      </c>
      <c r="F106">
        <v>1609400</v>
      </c>
      <c r="G106" t="s">
        <v>22</v>
      </c>
      <c r="H106" t="s">
        <v>1469</v>
      </c>
      <c r="I106" t="s">
        <v>4645</v>
      </c>
      <c r="J106">
        <v>0.73001905107502496</v>
      </c>
      <c r="K106">
        <v>24.140999999999998</v>
      </c>
      <c r="L106" s="156">
        <v>41920</v>
      </c>
    </row>
    <row r="107" spans="1:12" hidden="1">
      <c r="A107" t="s">
        <v>5301</v>
      </c>
      <c r="B107" t="s">
        <v>5302</v>
      </c>
      <c r="C107">
        <v>4</v>
      </c>
      <c r="D107">
        <v>617063.55000000005</v>
      </c>
      <c r="E107">
        <v>1360378.3023300001</v>
      </c>
      <c r="F107">
        <v>829827.06</v>
      </c>
      <c r="G107" t="s">
        <v>22</v>
      </c>
      <c r="H107" t="s">
        <v>1477</v>
      </c>
      <c r="I107" t="s">
        <v>4645</v>
      </c>
      <c r="J107">
        <v>0.60999727691827066</v>
      </c>
      <c r="K107">
        <v>20.171999950410296</v>
      </c>
      <c r="L107" s="156">
        <v>41928</v>
      </c>
    </row>
    <row r="108" spans="1:12" hidden="1">
      <c r="A108" t="s">
        <v>5303</v>
      </c>
      <c r="B108" t="s">
        <v>5304</v>
      </c>
      <c r="C108">
        <v>4</v>
      </c>
      <c r="D108">
        <v>551000</v>
      </c>
      <c r="E108">
        <v>1214734.6000000001</v>
      </c>
      <c r="F108">
        <v>789583</v>
      </c>
      <c r="G108" t="s">
        <v>22</v>
      </c>
      <c r="H108" t="s">
        <v>1478</v>
      </c>
      <c r="I108" t="s">
        <v>4645</v>
      </c>
      <c r="J108">
        <v>0.65000453597024399</v>
      </c>
      <c r="K108">
        <v>21.495000000000001</v>
      </c>
      <c r="L108" s="156">
        <v>41941</v>
      </c>
    </row>
    <row r="109" spans="1:12" hidden="1">
      <c r="A109" t="s">
        <v>5305</v>
      </c>
      <c r="B109" t="s">
        <v>4822</v>
      </c>
      <c r="C109">
        <v>4</v>
      </c>
      <c r="D109">
        <v>925000</v>
      </c>
      <c r="E109">
        <v>2039255</v>
      </c>
      <c r="F109">
        <v>1318599.83</v>
      </c>
      <c r="G109" t="s">
        <v>22</v>
      </c>
      <c r="H109" t="s">
        <v>1474</v>
      </c>
      <c r="I109" t="s">
        <v>4767</v>
      </c>
      <c r="J109">
        <v>0.6466086046129591</v>
      </c>
      <c r="K109">
        <v>21.382699945945944</v>
      </c>
      <c r="L109" s="156">
        <v>41950</v>
      </c>
    </row>
    <row r="110" spans="1:12" hidden="1">
      <c r="A110" t="s">
        <v>5306</v>
      </c>
      <c r="B110" t="s">
        <v>4929</v>
      </c>
      <c r="C110">
        <v>4</v>
      </c>
      <c r="D110">
        <v>1043788</v>
      </c>
      <c r="E110">
        <v>2301135.0247999998</v>
      </c>
      <c r="F110">
        <v>1392906.23</v>
      </c>
      <c r="G110" t="s">
        <v>22</v>
      </c>
      <c r="H110" t="s">
        <v>1474</v>
      </c>
      <c r="I110" t="s">
        <v>4645</v>
      </c>
      <c r="J110">
        <v>0.60531268916784342</v>
      </c>
      <c r="K110">
        <v>20.017085318091414</v>
      </c>
      <c r="L110" s="156">
        <v>41984</v>
      </c>
    </row>
    <row r="111" spans="1:12">
      <c r="A111" t="s">
        <v>5307</v>
      </c>
      <c r="B111" t="s">
        <v>4926</v>
      </c>
      <c r="C111">
        <v>5</v>
      </c>
      <c r="D111" s="121">
        <v>5000000</v>
      </c>
      <c r="E111">
        <v>11023000</v>
      </c>
      <c r="F111">
        <v>7264000</v>
      </c>
      <c r="G111" t="s">
        <v>22</v>
      </c>
      <c r="H111" t="s">
        <v>1474</v>
      </c>
      <c r="I111" t="s">
        <v>4767</v>
      </c>
      <c r="J111">
        <v>0.65898575705343376</v>
      </c>
      <c r="K111">
        <v>21.792000000000002</v>
      </c>
      <c r="L111" s="156">
        <v>41985</v>
      </c>
    </row>
    <row r="112" spans="1:12" hidden="1">
      <c r="A112" t="s">
        <v>5308</v>
      </c>
      <c r="B112" t="s">
        <v>5019</v>
      </c>
      <c r="C112">
        <v>4</v>
      </c>
      <c r="D112">
        <v>2259100</v>
      </c>
      <c r="E112">
        <v>4980411.8600000003</v>
      </c>
      <c r="F112">
        <v>2913432.29</v>
      </c>
      <c r="G112" t="s">
        <v>22</v>
      </c>
      <c r="H112" t="s">
        <v>1479</v>
      </c>
      <c r="I112" t="s">
        <v>4645</v>
      </c>
      <c r="J112">
        <v>0.58497818491661857</v>
      </c>
      <c r="K112">
        <v>19.344643597007657</v>
      </c>
      <c r="L112" s="156">
        <v>42013</v>
      </c>
    </row>
    <row r="113" spans="1:12" hidden="1">
      <c r="A113" t="s">
        <v>5311</v>
      </c>
      <c r="B113" t="s">
        <v>5310</v>
      </c>
      <c r="C113">
        <v>4</v>
      </c>
      <c r="D113">
        <v>123500</v>
      </c>
      <c r="E113">
        <v>272268.09999999998</v>
      </c>
      <c r="F113">
        <v>163365.79999999999</v>
      </c>
      <c r="G113" t="s">
        <v>22</v>
      </c>
      <c r="H113" t="s">
        <v>1477</v>
      </c>
      <c r="I113" t="s">
        <v>4645</v>
      </c>
      <c r="J113">
        <v>0.60001814388097618</v>
      </c>
      <c r="K113">
        <v>19.841999999999999</v>
      </c>
      <c r="L113" s="156">
        <v>42024</v>
      </c>
    </row>
    <row r="114" spans="1:12" hidden="1">
      <c r="A114" t="s">
        <v>5309</v>
      </c>
      <c r="B114" t="s">
        <v>5310</v>
      </c>
      <c r="C114">
        <v>3</v>
      </c>
      <c r="D114">
        <v>45806</v>
      </c>
      <c r="E114">
        <v>100983.90760000001</v>
      </c>
      <c r="F114">
        <v>60592.18</v>
      </c>
      <c r="G114" t="s">
        <v>22</v>
      </c>
      <c r="H114" t="s">
        <v>1477</v>
      </c>
      <c r="I114" t="s">
        <v>4645</v>
      </c>
      <c r="J114">
        <v>0.60001817556919335</v>
      </c>
      <c r="K114">
        <v>19.842001047897654</v>
      </c>
      <c r="L114" s="156">
        <v>42024</v>
      </c>
    </row>
    <row r="115" spans="1:12" hidden="1">
      <c r="A115" t="s">
        <v>5312</v>
      </c>
      <c r="B115" t="s">
        <v>5313</v>
      </c>
      <c r="C115">
        <v>4</v>
      </c>
      <c r="D115">
        <v>324552</v>
      </c>
      <c r="E115">
        <v>715507.33920000005</v>
      </c>
      <c r="F115">
        <v>414842.37</v>
      </c>
      <c r="G115" t="s">
        <v>22</v>
      </c>
      <c r="H115" t="s">
        <v>1475</v>
      </c>
      <c r="I115" t="s">
        <v>4645</v>
      </c>
      <c r="J115">
        <v>0.57978772162397407</v>
      </c>
      <c r="K115">
        <v>19.173000166383201</v>
      </c>
      <c r="L115" s="156">
        <v>42034</v>
      </c>
    </row>
    <row r="116" spans="1:12">
      <c r="A116" t="s">
        <v>5314</v>
      </c>
      <c r="B116" t="s">
        <v>5315</v>
      </c>
      <c r="C116">
        <v>5</v>
      </c>
      <c r="D116" s="121">
        <v>3000000</v>
      </c>
      <c r="E116">
        <v>6613800</v>
      </c>
      <c r="F116">
        <v>4299000</v>
      </c>
      <c r="G116" t="s">
        <v>22</v>
      </c>
      <c r="H116" t="s">
        <v>5044</v>
      </c>
      <c r="I116" t="s">
        <v>4767</v>
      </c>
      <c r="J116">
        <v>0.65000453597024399</v>
      </c>
      <c r="K116">
        <v>21.495000000000001</v>
      </c>
      <c r="L116" s="156">
        <v>42102</v>
      </c>
    </row>
    <row r="117" spans="1:12" hidden="1">
      <c r="A117" t="s">
        <v>5460</v>
      </c>
      <c r="B117" t="s">
        <v>5461</v>
      </c>
      <c r="C117">
        <v>4</v>
      </c>
      <c r="D117">
        <v>109200</v>
      </c>
      <c r="E117">
        <v>240742.32</v>
      </c>
      <c r="F117">
        <v>498683.64</v>
      </c>
      <c r="G117" t="s">
        <v>25</v>
      </c>
      <c r="H117" t="s">
        <v>5462</v>
      </c>
      <c r="I117" t="s">
        <v>4767</v>
      </c>
      <c r="J117">
        <v>2.0714415313435546</v>
      </c>
      <c r="K117">
        <v>68.500500000000002</v>
      </c>
      <c r="L117" s="156">
        <v>42167</v>
      </c>
    </row>
    <row r="118" spans="1:12">
      <c r="A118" t="s">
        <v>5463</v>
      </c>
      <c r="B118" t="s">
        <v>5464</v>
      </c>
      <c r="C118">
        <v>5</v>
      </c>
      <c r="D118">
        <v>1000000</v>
      </c>
      <c r="E118">
        <v>2204600</v>
      </c>
      <c r="F118">
        <v>1543200</v>
      </c>
      <c r="G118" t="s">
        <v>22</v>
      </c>
      <c r="H118" t="s">
        <v>1474</v>
      </c>
      <c r="I118" t="s">
        <v>4767</v>
      </c>
      <c r="J118">
        <v>0.69999092805951191</v>
      </c>
      <c r="K118">
        <v>23.148</v>
      </c>
      <c r="L118" s="156">
        <v>42184</v>
      </c>
    </row>
    <row r="119" spans="1:12">
      <c r="A119" t="s">
        <v>5467</v>
      </c>
      <c r="B119" t="s">
        <v>5468</v>
      </c>
      <c r="C119">
        <v>5</v>
      </c>
      <c r="D119" s="121">
        <v>1500000</v>
      </c>
      <c r="E119">
        <v>3306900</v>
      </c>
      <c r="F119">
        <v>2314800</v>
      </c>
      <c r="G119" t="s">
        <v>22</v>
      </c>
      <c r="H119" t="s">
        <v>1474</v>
      </c>
      <c r="I119" t="s">
        <v>4767</v>
      </c>
      <c r="J119">
        <v>0.69999092805951191</v>
      </c>
      <c r="K119">
        <v>23.148</v>
      </c>
      <c r="L119" s="156">
        <v>42186</v>
      </c>
    </row>
    <row r="120" spans="1:12">
      <c r="A120" t="s">
        <v>5653</v>
      </c>
      <c r="B120" t="s">
        <v>5654</v>
      </c>
      <c r="C120">
        <v>5</v>
      </c>
      <c r="D120" s="121">
        <v>1314737</v>
      </c>
      <c r="E120">
        <v>2898469.1902000001</v>
      </c>
      <c r="F120">
        <v>1999977.92</v>
      </c>
      <c r="G120" t="s">
        <v>22</v>
      </c>
      <c r="H120" t="s">
        <v>1479</v>
      </c>
      <c r="I120" t="s">
        <v>4767</v>
      </c>
      <c r="J120">
        <v>0.69001179200459184</v>
      </c>
      <c r="K120">
        <v>22.817999949799844</v>
      </c>
      <c r="L120" s="156">
        <v>42230</v>
      </c>
    </row>
    <row r="121" spans="1:12" hidden="1">
      <c r="A121" t="s">
        <v>5692</v>
      </c>
      <c r="B121" t="s">
        <v>5693</v>
      </c>
      <c r="C121">
        <v>4</v>
      </c>
      <c r="D121" s="121">
        <v>6000</v>
      </c>
      <c r="E121">
        <v>13227.6</v>
      </c>
      <c r="F121">
        <v>21000</v>
      </c>
      <c r="G121" t="s">
        <v>25</v>
      </c>
      <c r="H121" t="s">
        <v>5694</v>
      </c>
      <c r="I121" t="s">
        <v>4767</v>
      </c>
      <c r="J121">
        <v>1.5875895854123196</v>
      </c>
      <c r="K121">
        <v>52.5</v>
      </c>
      <c r="L121" s="156">
        <v>42241</v>
      </c>
    </row>
    <row r="122" spans="1:12">
      <c r="A122" t="s">
        <v>5465</v>
      </c>
      <c r="B122" t="s">
        <v>5466</v>
      </c>
      <c r="C122">
        <v>5</v>
      </c>
      <c r="D122" s="121">
        <v>1000000</v>
      </c>
      <c r="E122">
        <v>2204600</v>
      </c>
      <c r="F122">
        <v>1587300</v>
      </c>
      <c r="G122" t="s">
        <v>22</v>
      </c>
      <c r="H122" t="s">
        <v>1474</v>
      </c>
      <c r="I122" t="s">
        <v>4767</v>
      </c>
      <c r="J122">
        <v>0.71999455683570712</v>
      </c>
      <c r="K122">
        <v>23.8095</v>
      </c>
      <c r="L122" s="156">
        <v>42278</v>
      </c>
    </row>
    <row r="123" spans="1:12">
      <c r="A123" t="s">
        <v>5838</v>
      </c>
      <c r="B123" t="s">
        <v>5839</v>
      </c>
      <c r="C123">
        <v>5</v>
      </c>
      <c r="D123" s="121">
        <v>232068.97</v>
      </c>
      <c r="E123">
        <v>511619.25126200001</v>
      </c>
      <c r="F123">
        <v>1346000.03</v>
      </c>
      <c r="G123" t="s">
        <v>25</v>
      </c>
      <c r="H123" t="s">
        <v>1468</v>
      </c>
      <c r="I123" t="s">
        <v>4767</v>
      </c>
      <c r="J123">
        <v>2.6308627493587298</v>
      </c>
      <c r="K123">
        <v>87.000000258543835</v>
      </c>
      <c r="L123" s="156">
        <v>42283</v>
      </c>
    </row>
    <row r="124" spans="1:12">
      <c r="A124" t="s">
        <v>5836</v>
      </c>
      <c r="B124" t="s">
        <v>5837</v>
      </c>
      <c r="C124">
        <v>5</v>
      </c>
      <c r="D124" s="121">
        <v>288277</v>
      </c>
      <c r="E124">
        <v>635535.47420000006</v>
      </c>
      <c r="F124">
        <v>1672006.6</v>
      </c>
      <c r="G124" t="s">
        <v>25</v>
      </c>
      <c r="H124" t="s">
        <v>1472</v>
      </c>
      <c r="I124" t="s">
        <v>4767</v>
      </c>
      <c r="J124">
        <v>2.6308627415404153</v>
      </c>
      <c r="K124">
        <v>87</v>
      </c>
      <c r="L124" s="156">
        <v>42283</v>
      </c>
    </row>
    <row r="125" spans="1:12">
      <c r="A125" t="s">
        <v>5840</v>
      </c>
      <c r="B125" t="s">
        <v>5841</v>
      </c>
      <c r="C125">
        <v>5</v>
      </c>
      <c r="D125" s="121">
        <v>115000</v>
      </c>
      <c r="E125">
        <v>253529</v>
      </c>
      <c r="F125">
        <v>167325</v>
      </c>
      <c r="G125" t="s">
        <v>22</v>
      </c>
      <c r="H125" t="s">
        <v>1469</v>
      </c>
      <c r="I125" t="s">
        <v>4767</v>
      </c>
      <c r="J125">
        <v>0.65998367050712148</v>
      </c>
      <c r="K125">
        <v>21.824999999999999</v>
      </c>
      <c r="L125" s="156">
        <v>42284</v>
      </c>
    </row>
    <row r="126" spans="1:12">
      <c r="A126" t="s">
        <v>5999</v>
      </c>
      <c r="B126" t="s">
        <v>6000</v>
      </c>
      <c r="C126">
        <v>5</v>
      </c>
      <c r="D126" s="121">
        <v>2447000</v>
      </c>
      <c r="E126">
        <v>5394656.2000000002</v>
      </c>
      <c r="F126">
        <v>3344804.3</v>
      </c>
      <c r="G126" t="s">
        <v>22</v>
      </c>
      <c r="H126" t="s">
        <v>1479</v>
      </c>
      <c r="I126" t="s">
        <v>4767</v>
      </c>
      <c r="J126">
        <v>0.6200217726571714</v>
      </c>
      <c r="K126">
        <v>20.503499999999999</v>
      </c>
      <c r="L126" s="156">
        <v>42321</v>
      </c>
    </row>
    <row r="127" spans="1:12" hidden="1">
      <c r="A127" t="s">
        <v>5319</v>
      </c>
      <c r="B127" t="s">
        <v>5320</v>
      </c>
      <c r="C127">
        <v>6</v>
      </c>
      <c r="D127" s="121">
        <v>500000</v>
      </c>
      <c r="E127">
        <v>1102300</v>
      </c>
      <c r="F127">
        <v>2205000</v>
      </c>
      <c r="G127" t="s">
        <v>25</v>
      </c>
      <c r="H127" t="s">
        <v>4518</v>
      </c>
      <c r="I127" t="s">
        <v>4767</v>
      </c>
      <c r="J127">
        <v>2.0003628776195228</v>
      </c>
      <c r="K127">
        <v>66.150000000000006</v>
      </c>
      <c r="L127" s="156">
        <v>42370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3"/>
  <sheetViews>
    <sheetView workbookViewId="0">
      <selection activeCell="J40" sqref="J40"/>
    </sheetView>
  </sheetViews>
  <sheetFormatPr defaultRowHeight="15"/>
  <cols>
    <col min="1" max="1" width="1.7109375" style="225" customWidth="1"/>
    <col min="2" max="2" width="66.85546875" style="225" customWidth="1"/>
    <col min="3" max="3" width="10.42578125" style="225" customWidth="1"/>
    <col min="4" max="4" width="17.5703125" style="225" bestFit="1" customWidth="1"/>
    <col min="5" max="5" width="15.85546875" style="225" bestFit="1" customWidth="1"/>
    <col min="6" max="6" width="8.28515625" style="225" bestFit="1" customWidth="1"/>
    <col min="7" max="7" width="15.140625" style="225" bestFit="1" customWidth="1"/>
    <col min="8" max="8" width="18" style="225" bestFit="1" customWidth="1"/>
    <col min="9" max="9" width="19.7109375" style="225" bestFit="1" customWidth="1"/>
    <col min="10" max="10" width="17.5703125" style="225" customWidth="1"/>
    <col min="11" max="11" width="1.7109375" style="225" customWidth="1"/>
    <col min="12" max="12" width="13.28515625" style="225" bestFit="1" customWidth="1"/>
    <col min="13" max="16384" width="9.140625" style="225"/>
  </cols>
  <sheetData>
    <row r="1" spans="2:11" ht="18.75">
      <c r="C1" s="293" t="s">
        <v>1449</v>
      </c>
    </row>
    <row r="2" spans="2:11" s="227" customFormat="1" ht="19.5" customHeight="1">
      <c r="B2" s="425"/>
      <c r="C2" s="299" t="s">
        <v>6735</v>
      </c>
      <c r="K2" s="653"/>
    </row>
    <row r="3" spans="2:11" s="227" customFormat="1" ht="18.75" customHeight="1">
      <c r="B3" s="381"/>
      <c r="C3" s="381"/>
      <c r="K3" s="381"/>
    </row>
    <row r="4" spans="2:11" s="227" customFormat="1" ht="15.75">
      <c r="B4" s="299"/>
      <c r="C4" s="299"/>
      <c r="D4" s="298"/>
      <c r="E4" s="298"/>
      <c r="F4" s="298"/>
      <c r="G4" s="298"/>
      <c r="H4" s="298"/>
      <c r="I4" s="298"/>
      <c r="J4" s="298"/>
    </row>
    <row r="5" spans="2:11" ht="16.5" customHeight="1">
      <c r="B5" s="964" t="s">
        <v>1210</v>
      </c>
      <c r="C5" s="964" t="s">
        <v>1224</v>
      </c>
      <c r="D5" s="964" t="s">
        <v>1211</v>
      </c>
      <c r="E5" s="964"/>
      <c r="F5" s="961" t="s">
        <v>24</v>
      </c>
      <c r="G5" s="961" t="s">
        <v>1222</v>
      </c>
      <c r="H5" s="961" t="s">
        <v>1227</v>
      </c>
      <c r="I5" s="961" t="s">
        <v>1212</v>
      </c>
      <c r="J5" s="961" t="s">
        <v>1213</v>
      </c>
    </row>
    <row r="6" spans="2:11" ht="16.5" customHeight="1">
      <c r="B6" s="964"/>
      <c r="C6" s="964"/>
      <c r="D6" s="669" t="s">
        <v>1214</v>
      </c>
      <c r="E6" s="669" t="s">
        <v>1221</v>
      </c>
      <c r="F6" s="961"/>
      <c r="G6" s="961"/>
      <c r="H6" s="961"/>
      <c r="I6" s="961"/>
      <c r="J6" s="961"/>
    </row>
    <row r="7" spans="2:11" ht="16.5" customHeight="1">
      <c r="B7" s="666"/>
      <c r="C7" s="666"/>
      <c r="D7" s="666"/>
      <c r="E7" s="666"/>
      <c r="F7" s="667"/>
      <c r="G7" s="667"/>
      <c r="H7" s="667"/>
      <c r="I7" s="667"/>
      <c r="J7" s="667"/>
    </row>
    <row r="8" spans="2:11" ht="16.5" customHeight="1">
      <c r="B8" s="685" t="s">
        <v>1474</v>
      </c>
      <c r="C8" s="685" t="s">
        <v>1225</v>
      </c>
      <c r="D8" s="686">
        <v>5000000</v>
      </c>
      <c r="E8" s="691">
        <v>11023000</v>
      </c>
      <c r="F8" s="685" t="s">
        <v>22</v>
      </c>
      <c r="G8" s="686">
        <v>0.65898575705343376</v>
      </c>
      <c r="H8" s="686">
        <v>21.792000000000002</v>
      </c>
      <c r="I8" s="686">
        <v>7264000</v>
      </c>
      <c r="J8" s="692">
        <f t="shared" ref="J8:J15" si="0">IF(F8=$F$8,I8*$J$24,I8)</f>
        <v>26876800</v>
      </c>
    </row>
    <row r="9" spans="2:11" ht="16.5" customHeight="1">
      <c r="B9" s="673" t="s">
        <v>5044</v>
      </c>
      <c r="C9" s="673" t="s">
        <v>1226</v>
      </c>
      <c r="D9" s="671">
        <v>3000000</v>
      </c>
      <c r="E9" s="693">
        <v>6613800</v>
      </c>
      <c r="F9" s="670" t="s">
        <v>22</v>
      </c>
      <c r="G9" s="671">
        <v>0.65000453597024399</v>
      </c>
      <c r="H9" s="671">
        <v>21.495000000000001</v>
      </c>
      <c r="I9" s="671">
        <v>4299000</v>
      </c>
      <c r="J9" s="694">
        <f t="shared" si="0"/>
        <v>15906300</v>
      </c>
    </row>
    <row r="10" spans="2:11" ht="16.5" customHeight="1">
      <c r="B10" s="685" t="s">
        <v>1474</v>
      </c>
      <c r="C10" s="685" t="s">
        <v>1225</v>
      </c>
      <c r="D10" s="686">
        <v>1000000</v>
      </c>
      <c r="E10" s="691">
        <v>2204600</v>
      </c>
      <c r="F10" s="685" t="s">
        <v>22</v>
      </c>
      <c r="G10" s="686">
        <v>0.69999092805951191</v>
      </c>
      <c r="H10" s="686">
        <v>23.148</v>
      </c>
      <c r="I10" s="686">
        <v>1543200</v>
      </c>
      <c r="J10" s="692">
        <f t="shared" si="0"/>
        <v>5709840</v>
      </c>
    </row>
    <row r="11" spans="2:11" ht="16.5" customHeight="1">
      <c r="B11" s="673" t="s">
        <v>1474</v>
      </c>
      <c r="C11" s="673" t="s">
        <v>1225</v>
      </c>
      <c r="D11" s="671">
        <v>1000000</v>
      </c>
      <c r="E11" s="693">
        <v>2204600</v>
      </c>
      <c r="F11" s="670" t="s">
        <v>22</v>
      </c>
      <c r="G11" s="671">
        <v>0.71999455683570712</v>
      </c>
      <c r="H11" s="671">
        <v>23.8095</v>
      </c>
      <c r="I11" s="671">
        <v>1587300</v>
      </c>
      <c r="J11" s="694">
        <f t="shared" si="0"/>
        <v>5873010</v>
      </c>
    </row>
    <row r="12" spans="2:11" ht="16.5" customHeight="1">
      <c r="B12" s="685" t="s">
        <v>1474</v>
      </c>
      <c r="C12" s="685" t="s">
        <v>1225</v>
      </c>
      <c r="D12" s="686">
        <v>1500000</v>
      </c>
      <c r="E12" s="691">
        <v>3306900</v>
      </c>
      <c r="F12" s="685" t="s">
        <v>22</v>
      </c>
      <c r="G12" s="686">
        <v>0.69999092805951191</v>
      </c>
      <c r="H12" s="686">
        <v>23.148</v>
      </c>
      <c r="I12" s="686">
        <v>2314800</v>
      </c>
      <c r="J12" s="692">
        <f t="shared" si="0"/>
        <v>8564760</v>
      </c>
    </row>
    <row r="13" spans="2:11" ht="16.5" customHeight="1">
      <c r="B13" s="673" t="s">
        <v>1479</v>
      </c>
      <c r="C13" s="673" t="s">
        <v>1225</v>
      </c>
      <c r="D13" s="671">
        <v>1314737</v>
      </c>
      <c r="E13" s="693">
        <v>2898469.1902000001</v>
      </c>
      <c r="F13" s="670" t="s">
        <v>22</v>
      </c>
      <c r="G13" s="671">
        <v>0.69001179200459184</v>
      </c>
      <c r="H13" s="671">
        <v>22.817999949799844</v>
      </c>
      <c r="I13" s="671">
        <v>1999977.92</v>
      </c>
      <c r="J13" s="694">
        <f t="shared" si="0"/>
        <v>7399918.3040000005</v>
      </c>
    </row>
    <row r="14" spans="2:11" ht="16.5" customHeight="1">
      <c r="B14" s="685" t="s">
        <v>1472</v>
      </c>
      <c r="C14" s="685" t="s">
        <v>1226</v>
      </c>
      <c r="D14" s="686">
        <v>288277</v>
      </c>
      <c r="E14" s="691">
        <v>635535.47420000006</v>
      </c>
      <c r="F14" s="685" t="s">
        <v>25</v>
      </c>
      <c r="G14" s="686">
        <v>2.6308627415404153</v>
      </c>
      <c r="H14" s="686">
        <v>87</v>
      </c>
      <c r="I14" s="686">
        <v>1672006.6</v>
      </c>
      <c r="J14" s="692">
        <f t="shared" si="0"/>
        <v>1672006.6</v>
      </c>
    </row>
    <row r="15" spans="2:11" ht="16.5" customHeight="1">
      <c r="B15" s="673" t="s">
        <v>1468</v>
      </c>
      <c r="C15" s="673" t="s">
        <v>1226</v>
      </c>
      <c r="D15" s="671">
        <v>232068.97</v>
      </c>
      <c r="E15" s="693">
        <v>511619.25126200001</v>
      </c>
      <c r="F15" s="670" t="s">
        <v>25</v>
      </c>
      <c r="G15" s="671">
        <v>2.6308627493587298</v>
      </c>
      <c r="H15" s="671">
        <v>87.000000258543835</v>
      </c>
      <c r="I15" s="671">
        <v>1346000.03</v>
      </c>
      <c r="J15" s="694">
        <f t="shared" si="0"/>
        <v>1346000.03</v>
      </c>
    </row>
    <row r="16" spans="2:11" ht="16.5" customHeight="1">
      <c r="B16" s="685" t="s">
        <v>1469</v>
      </c>
      <c r="C16" s="685" t="s">
        <v>1225</v>
      </c>
      <c r="D16" s="686">
        <v>115000</v>
      </c>
      <c r="E16" s="691">
        <v>253529</v>
      </c>
      <c r="F16" s="685" t="s">
        <v>22</v>
      </c>
      <c r="G16" s="686">
        <v>0.65998367050712148</v>
      </c>
      <c r="H16" s="686">
        <v>21.824999999999999</v>
      </c>
      <c r="I16" s="686">
        <v>167325</v>
      </c>
      <c r="J16" s="692">
        <f>IF(F16=$F$8,I16*$J$24,I16)</f>
        <v>619102.5</v>
      </c>
    </row>
    <row r="17" spans="1:10" s="297" customFormat="1" ht="15.75">
      <c r="B17" s="673" t="s">
        <v>1479</v>
      </c>
      <c r="C17" s="673" t="s">
        <v>1225</v>
      </c>
      <c r="D17" s="671">
        <v>2447000</v>
      </c>
      <c r="E17" s="693">
        <v>5394656.2000000002</v>
      </c>
      <c r="F17" s="670" t="s">
        <v>22</v>
      </c>
      <c r="G17" s="671">
        <v>0.62</v>
      </c>
      <c r="H17" s="671">
        <v>20.5</v>
      </c>
      <c r="I17" s="671">
        <v>3344804.3</v>
      </c>
      <c r="J17" s="694">
        <f>IF(F17=$F$8,I17*$J$24,I17)</f>
        <v>12375775.91</v>
      </c>
    </row>
    <row r="18" spans="1:10" s="297" customFormat="1" ht="8.1" customHeight="1">
      <c r="B18" s="469"/>
      <c r="C18" s="469"/>
      <c r="D18" s="469"/>
      <c r="E18" s="469"/>
      <c r="F18" s="483"/>
      <c r="G18" s="675"/>
      <c r="H18" s="675"/>
      <c r="I18" s="676"/>
      <c r="J18" s="677"/>
    </row>
    <row r="19" spans="1:10" s="493" customFormat="1" ht="16.5" customHeight="1">
      <c r="B19" s="678" t="s">
        <v>1223</v>
      </c>
      <c r="C19" s="678"/>
      <c r="D19" s="679">
        <f>SUM(D8:D17)</f>
        <v>15897082.970000001</v>
      </c>
      <c r="E19" s="679">
        <f>SUM(E8:E17)</f>
        <v>35046709.115662001</v>
      </c>
      <c r="F19" s="680"/>
      <c r="G19" s="681"/>
      <c r="H19" s="682" t="s">
        <v>1448</v>
      </c>
      <c r="I19" s="683" t="s">
        <v>21</v>
      </c>
      <c r="J19" s="684">
        <f>SUM(J8:J17)</f>
        <v>86343513.343999997</v>
      </c>
    </row>
    <row r="20" spans="1:10" s="493" customFormat="1" ht="16.5" customHeight="1">
      <c r="B20" s="419"/>
      <c r="C20" s="419"/>
      <c r="D20" s="419"/>
      <c r="E20" s="419"/>
      <c r="F20" s="962" t="s">
        <v>1228</v>
      </c>
      <c r="G20" s="962"/>
      <c r="H20" s="684">
        <f>SUM(D8:D13)+D17</f>
        <v>15261737</v>
      </c>
      <c r="I20" s="684">
        <f>SUM(I8:I13)+I17</f>
        <v>22353082.220000003</v>
      </c>
      <c r="J20" s="419"/>
    </row>
    <row r="21" spans="1:10" s="493" customFormat="1" ht="16.5" customHeight="1">
      <c r="B21" s="419"/>
      <c r="C21" s="419"/>
      <c r="D21" s="419"/>
      <c r="E21" s="419"/>
      <c r="F21" s="962" t="s">
        <v>1229</v>
      </c>
      <c r="G21" s="962"/>
      <c r="H21" s="684">
        <f>SUM(D14:D15)</f>
        <v>520345.97</v>
      </c>
      <c r="I21" s="684">
        <f>SUM(I14:I15)</f>
        <v>3018006.63</v>
      </c>
      <c r="J21" s="419"/>
    </row>
    <row r="22" spans="1:10" ht="15.75">
      <c r="B22" s="297"/>
      <c r="C22" s="297"/>
      <c r="D22" s="688"/>
      <c r="E22" s="297"/>
      <c r="F22" s="297"/>
      <c r="G22" s="297"/>
      <c r="H22" s="297"/>
      <c r="I22" s="297"/>
      <c r="J22" s="297"/>
    </row>
    <row r="23" spans="1:10" s="493" customFormat="1" ht="5.0999999999999996" customHeight="1">
      <c r="A23" s="656"/>
      <c r="B23" s="657"/>
      <c r="C23" s="657"/>
      <c r="D23" s="658"/>
      <c r="E23" s="658"/>
      <c r="F23" s="658"/>
      <c r="G23" s="659"/>
      <c r="H23" s="659"/>
      <c r="I23" s="660"/>
      <c r="J23" s="660"/>
    </row>
    <row r="24" spans="1:10" s="661" customFormat="1" ht="16.5" customHeight="1">
      <c r="D24" s="689"/>
      <c r="E24" s="689"/>
      <c r="F24" s="663"/>
      <c r="I24" s="661" t="s">
        <v>1103</v>
      </c>
      <c r="J24" s="690">
        <v>3.7</v>
      </c>
    </row>
    <row r="25" spans="1:10" s="661" customFormat="1" ht="16.5" customHeight="1">
      <c r="B25" s="297" t="s">
        <v>6</v>
      </c>
      <c r="C25" s="297"/>
      <c r="D25" s="963">
        <v>42359</v>
      </c>
      <c r="E25" s="963"/>
      <c r="F25" s="963"/>
      <c r="G25" s="963"/>
      <c r="H25" s="665"/>
    </row>
    <row r="26" spans="1:10" s="297" customFormat="1" ht="15.75">
      <c r="J26" s="551"/>
    </row>
    <row r="27" spans="1:10">
      <c r="D27" s="551"/>
    </row>
    <row r="62" ht="5.25" customHeight="1"/>
    <row r="63" hidden="1"/>
    <row r="64" hidden="1"/>
    <row r="65" hidden="1"/>
    <row r="66" hidden="1"/>
    <row r="99" spans="2:7" ht="6" customHeight="1"/>
    <row r="100" spans="2:7">
      <c r="B100" s="225" t="s">
        <v>5042</v>
      </c>
    </row>
    <row r="101" spans="2:7" ht="16.5" customHeight="1">
      <c r="B101" s="225" t="s">
        <v>95</v>
      </c>
      <c r="C101" s="225" t="s">
        <v>5043</v>
      </c>
      <c r="D101" s="399">
        <v>42103</v>
      </c>
      <c r="E101" s="399">
        <v>42646</v>
      </c>
    </row>
    <row r="102" spans="2:7" ht="9" customHeight="1"/>
    <row r="103" spans="2:7">
      <c r="G103" s="225">
        <f>SUM(G100,G97,G86,G81,G77,G74,G70,G67,G60,G57,G54)</f>
        <v>0</v>
      </c>
    </row>
  </sheetData>
  <mergeCells count="11">
    <mergeCell ref="B5:B6"/>
    <mergeCell ref="C5:C6"/>
    <mergeCell ref="D5:E5"/>
    <mergeCell ref="F5:F6"/>
    <mergeCell ref="G5:G6"/>
    <mergeCell ref="F20:G20"/>
    <mergeCell ref="H5:H6"/>
    <mergeCell ref="I5:I6"/>
    <mergeCell ref="J5:J6"/>
    <mergeCell ref="F21:G21"/>
    <mergeCell ref="D25:G25"/>
  </mergeCells>
  <pageMargins left="0.511811024" right="0.511811024" top="0.78740157499999996" bottom="0.78740157499999996" header="0.31496062000000002" footer="0.31496062000000002"/>
  <pageSetup paperSize="9" scale="70" orientation="landscape" horizontalDpi="200" verticalDpi="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L94"/>
  <sheetViews>
    <sheetView workbookViewId="0">
      <selection activeCell="B24" sqref="B24"/>
    </sheetView>
  </sheetViews>
  <sheetFormatPr defaultRowHeight="16.5" outlineLevelCol="1"/>
  <cols>
    <col min="1" max="1" width="1.7109375" style="184" customWidth="1"/>
    <col min="2" max="2" width="52.42578125" style="184" customWidth="1"/>
    <col min="3" max="3" width="25" style="184" bestFit="1" customWidth="1"/>
    <col min="4" max="4" width="21.42578125" style="184" customWidth="1"/>
    <col min="5" max="6" width="10.7109375" style="184" customWidth="1"/>
    <col min="7" max="7" width="14.28515625" style="184" customWidth="1"/>
    <col min="8" max="8" width="18.42578125" style="190" customWidth="1"/>
    <col min="9" max="9" width="17.85546875" style="190" hidden="1" customWidth="1"/>
    <col min="10" max="10" width="15.5703125" style="184" hidden="1" customWidth="1" outlineLevel="1"/>
    <col min="11" max="11" width="15.7109375" style="184" hidden="1" customWidth="1" outlineLevel="1"/>
    <col min="12" max="12" width="9.140625" style="184" collapsed="1"/>
    <col min="13" max="16384" width="9.140625" style="184"/>
  </cols>
  <sheetData>
    <row r="1" spans="2:11">
      <c r="H1" s="184"/>
    </row>
    <row r="2" spans="2:11" s="185" customFormat="1" ht="30">
      <c r="B2" s="195" t="s">
        <v>1106</v>
      </c>
      <c r="H2" s="200"/>
      <c r="I2" s="204"/>
    </row>
    <row r="3" spans="2:11" s="185" customFormat="1" ht="21.75" thickBot="1">
      <c r="B3" s="186" t="s">
        <v>0</v>
      </c>
      <c r="H3" s="186"/>
      <c r="I3" s="204"/>
    </row>
    <row r="4" spans="2:11" s="185" customFormat="1" ht="18">
      <c r="B4" s="194" t="s">
        <v>5728</v>
      </c>
      <c r="C4" s="192"/>
      <c r="D4" s="192"/>
      <c r="E4" s="192"/>
      <c r="F4" s="192"/>
      <c r="G4" s="192"/>
      <c r="H4" s="205"/>
      <c r="I4" s="205"/>
      <c r="J4" s="205"/>
      <c r="K4" s="205"/>
    </row>
    <row r="5" spans="2:11" s="185" customFormat="1" ht="18.75" thickBot="1">
      <c r="B5" s="187" t="s">
        <v>6770</v>
      </c>
      <c r="C5" s="193"/>
      <c r="D5" s="193"/>
      <c r="E5" s="193"/>
      <c r="F5" s="193"/>
      <c r="G5" s="193"/>
      <c r="H5" s="206"/>
      <c r="I5" s="206"/>
      <c r="J5" s="206"/>
      <c r="K5" s="206"/>
    </row>
    <row r="6" spans="2:11" s="185" customFormat="1" ht="17.25" thickBot="1">
      <c r="B6" s="188"/>
      <c r="H6" s="204"/>
      <c r="I6" s="204"/>
    </row>
    <row r="7" spans="2:11" s="197" customFormat="1" ht="36.75" thickBot="1">
      <c r="B7" s="207" t="s">
        <v>6772</v>
      </c>
      <c r="C7" s="207" t="s">
        <v>7</v>
      </c>
      <c r="D7" s="207" t="s">
        <v>20</v>
      </c>
      <c r="E7" s="207" t="s">
        <v>1480</v>
      </c>
      <c r="F7" s="207" t="s">
        <v>24</v>
      </c>
      <c r="G7" s="207" t="s">
        <v>1219</v>
      </c>
      <c r="H7" s="207" t="s">
        <v>21</v>
      </c>
      <c r="I7" s="207" t="s">
        <v>1213</v>
      </c>
      <c r="J7" s="207" t="s">
        <v>5036</v>
      </c>
      <c r="K7" s="207" t="s">
        <v>5037</v>
      </c>
    </row>
    <row r="8" spans="2:11" s="197" customFormat="1" ht="18">
      <c r="H8" s="198"/>
      <c r="I8" s="198"/>
    </row>
    <row r="9" spans="2:11" s="197" customFormat="1" ht="18">
      <c r="B9" s="189" t="s">
        <v>4516</v>
      </c>
      <c r="C9" s="189" t="s">
        <v>4515</v>
      </c>
      <c r="D9" s="208">
        <v>216667</v>
      </c>
      <c r="E9" s="209" t="s">
        <v>1218</v>
      </c>
      <c r="F9" s="189" t="s">
        <v>25</v>
      </c>
      <c r="G9" s="210">
        <f t="shared" ref="G9:G14" si="0">H9/D9</f>
        <v>59.811446459313139</v>
      </c>
      <c r="H9" s="208">
        <v>12959166.67</v>
      </c>
      <c r="I9" s="210"/>
      <c r="J9" s="211"/>
      <c r="K9" s="212"/>
    </row>
    <row r="10" spans="2:11" s="197" customFormat="1" ht="18">
      <c r="B10" s="189" t="s">
        <v>4516</v>
      </c>
      <c r="C10" s="189" t="s">
        <v>5730</v>
      </c>
      <c r="D10" s="208">
        <v>100000</v>
      </c>
      <c r="E10" s="209" t="s">
        <v>1218</v>
      </c>
      <c r="F10" s="213" t="s">
        <v>22</v>
      </c>
      <c r="G10" s="210">
        <f t="shared" si="0"/>
        <v>17.2</v>
      </c>
      <c r="H10" s="208">
        <v>1720000</v>
      </c>
      <c r="I10" s="210"/>
      <c r="J10" s="211"/>
      <c r="K10" s="212"/>
    </row>
    <row r="11" spans="2:11" s="197" customFormat="1" ht="18">
      <c r="B11" s="189" t="s">
        <v>5729</v>
      </c>
      <c r="C11" s="189" t="s">
        <v>4515</v>
      </c>
      <c r="D11" s="208">
        <v>133333</v>
      </c>
      <c r="E11" s="209" t="s">
        <v>1218</v>
      </c>
      <c r="F11" s="213" t="s">
        <v>22</v>
      </c>
      <c r="G11" s="210">
        <f t="shared" si="0"/>
        <v>18.60004650011625</v>
      </c>
      <c r="H11" s="208">
        <v>2480000</v>
      </c>
      <c r="I11" s="210"/>
      <c r="J11" s="211"/>
      <c r="K11" s="212"/>
    </row>
    <row r="12" spans="2:11" s="197" customFormat="1" ht="18">
      <c r="B12" s="189" t="s">
        <v>4518</v>
      </c>
      <c r="C12" s="189" t="s">
        <v>5730</v>
      </c>
      <c r="D12" s="208">
        <v>50000</v>
      </c>
      <c r="E12" s="209" t="s">
        <v>1218</v>
      </c>
      <c r="F12" s="189" t="s">
        <v>25</v>
      </c>
      <c r="G12" s="210">
        <f t="shared" si="0"/>
        <v>64</v>
      </c>
      <c r="H12" s="208">
        <v>3200000</v>
      </c>
      <c r="I12" s="210"/>
      <c r="J12" s="211"/>
      <c r="K12" s="212"/>
    </row>
    <row r="13" spans="2:11" s="197" customFormat="1" ht="18">
      <c r="B13" s="189" t="s">
        <v>4516</v>
      </c>
      <c r="C13" s="189" t="s">
        <v>5730</v>
      </c>
      <c r="D13" s="208">
        <v>400000</v>
      </c>
      <c r="E13" s="209" t="s">
        <v>1218</v>
      </c>
      <c r="F13" s="213" t="s">
        <v>22</v>
      </c>
      <c r="G13" s="210">
        <f t="shared" si="0"/>
        <v>16.32</v>
      </c>
      <c r="H13" s="208">
        <v>6528000</v>
      </c>
      <c r="I13" s="210"/>
      <c r="J13" s="211"/>
      <c r="K13" s="212"/>
    </row>
    <row r="14" spans="2:11" s="197" customFormat="1" ht="18.75" thickBot="1">
      <c r="B14" s="189" t="s">
        <v>4518</v>
      </c>
      <c r="C14" s="189" t="s">
        <v>5730</v>
      </c>
      <c r="D14" s="196">
        <v>300000</v>
      </c>
      <c r="E14" s="209" t="s">
        <v>1218</v>
      </c>
      <c r="F14" s="213" t="s">
        <v>22</v>
      </c>
      <c r="G14" s="210">
        <f t="shared" si="0"/>
        <v>16.38</v>
      </c>
      <c r="H14" s="222">
        <v>4914000</v>
      </c>
      <c r="I14" s="210"/>
      <c r="J14" s="211"/>
      <c r="K14" s="212"/>
    </row>
    <row r="15" spans="2:11" s="199" customFormat="1" ht="18.75" thickBot="1">
      <c r="B15" s="968" t="s">
        <v>1447</v>
      </c>
      <c r="C15" s="969"/>
      <c r="D15" s="214">
        <f>SUM(D9:D14)</f>
        <v>1200000</v>
      </c>
      <c r="E15" s="214"/>
      <c r="F15" s="214"/>
      <c r="G15" s="214"/>
      <c r="H15" s="214"/>
      <c r="I15" s="215">
        <f>SUM(I9:I14)</f>
        <v>0</v>
      </c>
      <c r="J15" s="215">
        <f>SUM(J9:J14)</f>
        <v>0</v>
      </c>
      <c r="K15" s="215">
        <f>SUM(K9:K14)</f>
        <v>0</v>
      </c>
    </row>
    <row r="16" spans="2:11" s="199" customFormat="1" ht="18.75" thickBot="1">
      <c r="B16" s="203"/>
      <c r="C16" s="216"/>
      <c r="D16" s="216"/>
      <c r="E16" s="216"/>
      <c r="F16" s="216"/>
      <c r="G16" s="216"/>
      <c r="H16" s="217"/>
      <c r="I16" s="217"/>
      <c r="K16" s="218"/>
    </row>
    <row r="17" spans="2:11" s="197" customFormat="1" ht="18.75" thickBot="1">
      <c r="E17" s="965" t="s">
        <v>1228</v>
      </c>
      <c r="F17" s="966"/>
      <c r="G17" s="967"/>
      <c r="H17" s="202">
        <f>SUMIF(F9:F14,F13,H9:H14)</f>
        <v>15642000</v>
      </c>
      <c r="I17" s="201">
        <f>SUMIF(F9:F14,#REF!,H9:H14)</f>
        <v>0</v>
      </c>
      <c r="J17" s="201">
        <f>SUMIF(F9:F14,#REF!,J9:J14)</f>
        <v>0</v>
      </c>
      <c r="K17" s="201">
        <f>SUMIF(F9:F14,#REF!,K9:K14)</f>
        <v>0</v>
      </c>
    </row>
    <row r="18" spans="2:11" s="197" customFormat="1" ht="18.75" thickBot="1">
      <c r="E18" s="965" t="s">
        <v>1229</v>
      </c>
      <c r="F18" s="966"/>
      <c r="G18" s="967"/>
      <c r="H18" s="202">
        <f t="array" ref="H18">SUMIF(F9:F14,F12,H9:H14)</f>
        <v>16159166.67</v>
      </c>
      <c r="I18" s="201">
        <f>SUMIF(F9:F14,#REF!,H9:H14)</f>
        <v>0</v>
      </c>
      <c r="J18" s="201">
        <f>SUMIF(F9:F14,#REF!,J9:J14)</f>
        <v>0</v>
      </c>
      <c r="K18" s="201">
        <f>SUMIF(F9:F14,#REF!,K9:K14)</f>
        <v>0</v>
      </c>
    </row>
    <row r="19" spans="2:11" s="197" customFormat="1" ht="18.75" thickBot="1">
      <c r="E19" s="965" t="s">
        <v>6736</v>
      </c>
      <c r="F19" s="966"/>
      <c r="G19" s="967"/>
      <c r="H19" s="202">
        <f>(H17*G38)+H18</f>
        <v>79040006.669999987</v>
      </c>
      <c r="I19" s="198"/>
    </row>
    <row r="20" spans="2:11" s="197" customFormat="1" ht="18">
      <c r="H20" s="198"/>
      <c r="I20" s="198"/>
    </row>
    <row r="21" spans="2:11" s="197" customFormat="1" ht="18">
      <c r="I21" s="198"/>
    </row>
    <row r="22" spans="2:11" ht="17.25" thickBot="1"/>
    <row r="23" spans="2:11" ht="18.75" thickBot="1">
      <c r="B23" s="207" t="s">
        <v>6771</v>
      </c>
      <c r="C23" s="207" t="s">
        <v>7</v>
      </c>
      <c r="D23" s="207" t="s">
        <v>20</v>
      </c>
      <c r="E23" s="207" t="s">
        <v>1480</v>
      </c>
      <c r="F23" s="207" t="s">
        <v>24</v>
      </c>
      <c r="G23" s="207" t="s">
        <v>1219</v>
      </c>
      <c r="H23" s="207" t="s">
        <v>21</v>
      </c>
    </row>
    <row r="24" spans="2:11" ht="18">
      <c r="B24" s="197"/>
      <c r="C24" s="197"/>
      <c r="D24" s="197"/>
      <c r="E24" s="197"/>
      <c r="F24" s="197"/>
      <c r="G24" s="197"/>
      <c r="H24" s="198"/>
    </row>
    <row r="25" spans="2:11">
      <c r="B25" s="189" t="s">
        <v>4516</v>
      </c>
      <c r="C25" s="189" t="s">
        <v>4519</v>
      </c>
      <c r="D25" s="208">
        <v>200000</v>
      </c>
      <c r="E25" s="209" t="s">
        <v>1218</v>
      </c>
      <c r="F25" s="189" t="s">
        <v>25</v>
      </c>
      <c r="G25" s="210">
        <v>19</v>
      </c>
      <c r="H25" s="208">
        <f>G25*D25</f>
        <v>3800000</v>
      </c>
    </row>
    <row r="26" spans="2:11">
      <c r="B26" s="189" t="s">
        <v>4516</v>
      </c>
      <c r="C26" s="189" t="s">
        <v>4519</v>
      </c>
      <c r="D26" s="208">
        <v>200000</v>
      </c>
      <c r="E26" s="209" t="s">
        <v>1218</v>
      </c>
      <c r="F26" s="189" t="s">
        <v>25</v>
      </c>
      <c r="G26" s="210">
        <v>19</v>
      </c>
      <c r="H26" s="208">
        <f t="shared" ref="H26:H31" si="1">G26*D26</f>
        <v>3800000</v>
      </c>
    </row>
    <row r="27" spans="2:11">
      <c r="B27" s="189" t="s">
        <v>4516</v>
      </c>
      <c r="C27" s="189" t="s">
        <v>4519</v>
      </c>
      <c r="D27" s="208">
        <v>100000</v>
      </c>
      <c r="E27" s="209" t="s">
        <v>1218</v>
      </c>
      <c r="F27" s="189" t="s">
        <v>25</v>
      </c>
      <c r="G27" s="210">
        <v>19</v>
      </c>
      <c r="H27" s="208">
        <f t="shared" si="1"/>
        <v>1900000</v>
      </c>
    </row>
    <row r="28" spans="2:11">
      <c r="B28" s="189" t="s">
        <v>4516</v>
      </c>
      <c r="C28" s="189" t="s">
        <v>4519</v>
      </c>
      <c r="D28" s="208">
        <v>100000</v>
      </c>
      <c r="E28" s="209" t="s">
        <v>1218</v>
      </c>
      <c r="F28" s="189" t="s">
        <v>25</v>
      </c>
      <c r="G28" s="210">
        <v>21</v>
      </c>
      <c r="H28" s="208">
        <f t="shared" si="1"/>
        <v>2100000</v>
      </c>
    </row>
    <row r="29" spans="2:11">
      <c r="B29" s="189" t="s">
        <v>4516</v>
      </c>
      <c r="C29" s="189" t="s">
        <v>4519</v>
      </c>
      <c r="D29" s="208">
        <v>300000</v>
      </c>
      <c r="E29" s="209" t="s">
        <v>1218</v>
      </c>
      <c r="F29" s="189" t="s">
        <v>25</v>
      </c>
      <c r="G29" s="210">
        <v>20.5</v>
      </c>
      <c r="H29" s="208">
        <f t="shared" si="1"/>
        <v>6150000</v>
      </c>
    </row>
    <row r="30" spans="2:11">
      <c r="B30" s="189" t="s">
        <v>4516</v>
      </c>
      <c r="C30" s="189" t="s">
        <v>4519</v>
      </c>
      <c r="D30" s="208">
        <v>300000</v>
      </c>
      <c r="E30" s="209" t="s">
        <v>1218</v>
      </c>
      <c r="F30" s="189" t="s">
        <v>25</v>
      </c>
      <c r="G30" s="210">
        <v>20.5</v>
      </c>
      <c r="H30" s="208">
        <f t="shared" si="1"/>
        <v>6150000</v>
      </c>
    </row>
    <row r="31" spans="2:11" ht="17.25" thickBot="1">
      <c r="B31" s="189" t="s">
        <v>4516</v>
      </c>
      <c r="C31" s="189" t="s">
        <v>4519</v>
      </c>
      <c r="D31" s="196">
        <v>100000</v>
      </c>
      <c r="E31" s="209" t="s">
        <v>1218</v>
      </c>
      <c r="F31" s="189" t="s">
        <v>25</v>
      </c>
      <c r="G31" s="210">
        <v>21</v>
      </c>
      <c r="H31" s="208">
        <f t="shared" si="1"/>
        <v>2100000</v>
      </c>
    </row>
    <row r="32" spans="2:11" ht="18.75" thickBot="1">
      <c r="B32" s="968" t="s">
        <v>1447</v>
      </c>
      <c r="C32" s="969"/>
      <c r="D32" s="214">
        <f>SUM(D25:D31)</f>
        <v>1300000</v>
      </c>
      <c r="E32" s="214"/>
      <c r="F32" s="214"/>
      <c r="G32" s="214"/>
      <c r="H32" s="214"/>
    </row>
    <row r="33" spans="2:8" ht="18.75" thickBot="1">
      <c r="B33" s="203"/>
      <c r="C33" s="216"/>
      <c r="D33" s="216"/>
      <c r="E33" s="216"/>
      <c r="F33" s="216"/>
      <c r="G33" s="216"/>
      <c r="H33" s="217"/>
    </row>
    <row r="34" spans="2:8" ht="18.75" thickBot="1">
      <c r="B34" s="197"/>
      <c r="C34" s="197"/>
      <c r="D34" s="197"/>
      <c r="E34" s="965" t="s">
        <v>1229</v>
      </c>
      <c r="F34" s="966"/>
      <c r="G34" s="967"/>
      <c r="H34" s="202">
        <f>SUM(H25:H31)</f>
        <v>26000000</v>
      </c>
    </row>
    <row r="38" spans="2:8" ht="18">
      <c r="B38" s="197" t="s">
        <v>6</v>
      </c>
      <c r="C38" s="970">
        <v>42369</v>
      </c>
      <c r="D38" s="970"/>
      <c r="E38" s="970"/>
      <c r="F38" s="219" t="s">
        <v>1103</v>
      </c>
      <c r="G38" s="221">
        <v>4.0199999999999996</v>
      </c>
      <c r="H38" s="220"/>
    </row>
    <row r="92" spans="4:9">
      <c r="D92" s="191"/>
      <c r="E92" s="191"/>
    </row>
    <row r="94" spans="4:9">
      <c r="H94" s="184"/>
      <c r="I94" s="184"/>
    </row>
  </sheetData>
  <mergeCells count="7">
    <mergeCell ref="E34:G34"/>
    <mergeCell ref="B15:C15"/>
    <mergeCell ref="E17:G17"/>
    <mergeCell ref="E18:G18"/>
    <mergeCell ref="E19:G19"/>
    <mergeCell ref="C38:E38"/>
    <mergeCell ref="B32:C32"/>
  </mergeCells>
  <pageMargins left="0.25" right="0.25" top="0.75" bottom="0.75" header="0.3" footer="0.3"/>
  <pageSetup paperSize="9" scale="64" fitToHeight="0" orientation="portrait" horizontalDpi="360" verticalDpi="36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M100"/>
  <sheetViews>
    <sheetView topLeftCell="A13" workbookViewId="0">
      <selection activeCell="D39" sqref="D39"/>
    </sheetView>
  </sheetViews>
  <sheetFormatPr defaultRowHeight="15" outlineLevelCol="1"/>
  <cols>
    <col min="1" max="1" width="1.7109375" style="225" customWidth="1"/>
    <col min="2" max="2" width="52.42578125" style="225" customWidth="1"/>
    <col min="3" max="3" width="38.42578125" style="225" bestFit="1" customWidth="1"/>
    <col min="4" max="4" width="21.42578125" style="225" customWidth="1"/>
    <col min="5" max="6" width="10.7109375" style="225" customWidth="1"/>
    <col min="7" max="7" width="14.28515625" style="225" customWidth="1"/>
    <col min="8" max="8" width="21" style="429" customWidth="1"/>
    <col min="9" max="9" width="17.85546875" style="429" hidden="1" customWidth="1"/>
    <col min="10" max="10" width="10.28515625" style="225" hidden="1" customWidth="1" outlineLevel="1"/>
    <col min="11" max="11" width="11.85546875" style="225" hidden="1" customWidth="1" outlineLevel="1"/>
    <col min="12" max="12" width="9.140625" style="225" collapsed="1"/>
    <col min="13" max="16384" width="9.140625" style="225"/>
  </cols>
  <sheetData>
    <row r="1" spans="2:11" ht="19.5" customHeight="1">
      <c r="C1" s="293" t="s">
        <v>7027</v>
      </c>
      <c r="H1" s="225"/>
    </row>
    <row r="2" spans="2:11" s="227" customFormat="1" ht="19.5" customHeight="1">
      <c r="B2" s="425"/>
      <c r="C2" s="874">
        <f ca="1">TODAY()</f>
        <v>42606</v>
      </c>
      <c r="H2" s="653"/>
      <c r="I2" s="695"/>
    </row>
    <row r="3" spans="2:11" s="227" customFormat="1" ht="19.5" customHeight="1">
      <c r="B3" s="381"/>
      <c r="H3" s="381"/>
      <c r="I3" s="695"/>
    </row>
    <row r="4" spans="2:11" s="227" customFormat="1" ht="15.75" thickBot="1">
      <c r="B4" s="229"/>
      <c r="H4" s="695"/>
      <c r="I4" s="695"/>
    </row>
    <row r="5" spans="2:11" s="297" customFormat="1" ht="32.25" thickBot="1">
      <c r="B5" s="709" t="s">
        <v>6772</v>
      </c>
      <c r="C5" s="709" t="s">
        <v>7</v>
      </c>
      <c r="D5" s="709" t="s">
        <v>20</v>
      </c>
      <c r="E5" s="709" t="s">
        <v>1480</v>
      </c>
      <c r="F5" s="709" t="s">
        <v>24</v>
      </c>
      <c r="G5" s="709" t="s">
        <v>1219</v>
      </c>
      <c r="H5" s="709" t="s">
        <v>21</v>
      </c>
      <c r="I5" s="703" t="s">
        <v>1213</v>
      </c>
      <c r="J5" s="696" t="s">
        <v>5036</v>
      </c>
      <c r="K5" s="696" t="s">
        <v>5037</v>
      </c>
    </row>
    <row r="6" spans="2:11" s="297" customFormat="1" ht="15.75">
      <c r="B6" s="706"/>
      <c r="C6" s="706"/>
      <c r="D6" s="706"/>
      <c r="E6" s="706"/>
      <c r="F6" s="706"/>
      <c r="G6" s="706"/>
      <c r="H6" s="707"/>
      <c r="I6" s="645"/>
    </row>
    <row r="7" spans="2:11" s="297" customFormat="1" ht="15.75">
      <c r="B7" s="710" t="s">
        <v>4516</v>
      </c>
      <c r="C7" s="710" t="s">
        <v>4515</v>
      </c>
      <c r="D7" s="711">
        <f>6000000/60</f>
        <v>100000</v>
      </c>
      <c r="E7" s="712" t="s">
        <v>1218</v>
      </c>
      <c r="F7" s="866" t="s">
        <v>22</v>
      </c>
      <c r="G7" s="713">
        <f>H7/D7</f>
        <v>16.999980000000001</v>
      </c>
      <c r="H7" s="711">
        <v>1699998</v>
      </c>
      <c r="I7" s="697"/>
      <c r="J7" s="698"/>
      <c r="K7" s="699"/>
    </row>
    <row r="8" spans="2:11" s="297" customFormat="1" ht="15.75">
      <c r="B8" s="714" t="s">
        <v>4517</v>
      </c>
      <c r="C8" s="714" t="s">
        <v>4515</v>
      </c>
      <c r="D8" s="715">
        <f>13800000/60</f>
        <v>230000</v>
      </c>
      <c r="E8" s="716" t="s">
        <v>1218</v>
      </c>
      <c r="F8" s="726" t="s">
        <v>22</v>
      </c>
      <c r="G8" s="717">
        <f>H8/D8</f>
        <v>16.999980000000001</v>
      </c>
      <c r="H8" s="715">
        <v>3909995.4</v>
      </c>
      <c r="I8" s="697"/>
      <c r="J8" s="698"/>
      <c r="K8" s="699"/>
    </row>
    <row r="9" spans="2:11" s="297" customFormat="1" ht="15.75">
      <c r="B9" s="714" t="s">
        <v>4516</v>
      </c>
      <c r="C9" s="714" t="s">
        <v>5730</v>
      </c>
      <c r="D9" s="715">
        <v>100000</v>
      </c>
      <c r="E9" s="716" t="s">
        <v>1218</v>
      </c>
      <c r="F9" s="726" t="s">
        <v>22</v>
      </c>
      <c r="G9" s="717">
        <f>H9/D9</f>
        <v>19.399999999999999</v>
      </c>
      <c r="H9" s="715">
        <v>1940000</v>
      </c>
      <c r="I9" s="697"/>
      <c r="J9" s="698"/>
      <c r="K9" s="699"/>
    </row>
    <row r="10" spans="2:11" s="297" customFormat="1" ht="15.75">
      <c r="B10" s="710" t="s">
        <v>4518</v>
      </c>
      <c r="C10" s="710" t="s">
        <v>5730</v>
      </c>
      <c r="D10" s="711">
        <f>46000000/60</f>
        <v>766666.66666666663</v>
      </c>
      <c r="E10" s="712" t="s">
        <v>1218</v>
      </c>
      <c r="F10" s="866" t="s">
        <v>22</v>
      </c>
      <c r="G10" s="713">
        <f>H10/D10</f>
        <v>21.472382608695654</v>
      </c>
      <c r="H10" s="711">
        <f>5616600+566660+900000+8499000+879900</f>
        <v>16462160</v>
      </c>
      <c r="I10" s="697"/>
      <c r="J10" s="698"/>
      <c r="K10" s="699"/>
    </row>
    <row r="11" spans="2:11" s="297" customFormat="1" ht="16.5" thickBot="1">
      <c r="B11" s="714" t="s">
        <v>4518</v>
      </c>
      <c r="C11" s="714" t="s">
        <v>5730</v>
      </c>
      <c r="D11" s="715">
        <f>9000000/60</f>
        <v>150000</v>
      </c>
      <c r="E11" s="716" t="s">
        <v>1218</v>
      </c>
      <c r="F11" s="726" t="s">
        <v>25</v>
      </c>
      <c r="G11" s="717">
        <f>H11/D11</f>
        <v>76.331999999999994</v>
      </c>
      <c r="H11" s="715">
        <f>3999900+3999900+3450000</f>
        <v>11449800</v>
      </c>
      <c r="I11" s="697"/>
      <c r="J11" s="698"/>
      <c r="K11" s="699"/>
    </row>
    <row r="12" spans="2:11" s="493" customFormat="1" ht="16.5" thickBot="1">
      <c r="B12" s="971" t="s">
        <v>1447</v>
      </c>
      <c r="C12" s="971"/>
      <c r="D12" s="721">
        <f>SUM(D7:D11)</f>
        <v>1346666.6666666665</v>
      </c>
      <c r="E12" s="721"/>
      <c r="F12" s="721"/>
      <c r="G12" s="721"/>
      <c r="H12" s="721"/>
      <c r="I12" s="704">
        <f>SUM(I7:I11)</f>
        <v>0</v>
      </c>
      <c r="J12" s="700">
        <f>SUM(J7:J11)</f>
        <v>0</v>
      </c>
      <c r="K12" s="700">
        <f>SUM(K7:K11)</f>
        <v>0</v>
      </c>
    </row>
    <row r="13" spans="2:11" s="493" customFormat="1" ht="15.75">
      <c r="B13" s="722"/>
      <c r="C13" s="723"/>
      <c r="D13" s="723"/>
      <c r="E13" s="723"/>
      <c r="F13" s="723"/>
      <c r="G13" s="723"/>
      <c r="H13" s="724"/>
      <c r="I13" s="701"/>
      <c r="K13" s="702"/>
    </row>
    <row r="14" spans="2:11" s="297" customFormat="1" ht="16.5" hidden="1" thickBot="1">
      <c r="B14" s="469"/>
      <c r="C14" s="469"/>
      <c r="D14" s="469"/>
      <c r="E14" s="974" t="s">
        <v>1228</v>
      </c>
      <c r="F14" s="974"/>
      <c r="G14" s="974"/>
      <c r="H14" s="725">
        <f>SUMIF(F7:F11,#REF!,H7:H11)</f>
        <v>0</v>
      </c>
      <c r="I14" s="705">
        <f>SUMIF(F7:F11,#REF!,H7:H11)</f>
        <v>0</v>
      </c>
      <c r="J14" s="654">
        <f>SUMIF(F7:F11,#REF!,J7:J11)</f>
        <v>0</v>
      </c>
      <c r="K14" s="654">
        <f>SUMIF(F7:F11,#REF!,K7:K11)</f>
        <v>0</v>
      </c>
    </row>
    <row r="15" spans="2:11" s="297" customFormat="1" ht="16.5" hidden="1" thickBot="1">
      <c r="B15" s="469"/>
      <c r="C15" s="469"/>
      <c r="D15" s="469"/>
      <c r="E15" s="974" t="s">
        <v>1229</v>
      </c>
      <c r="F15" s="974"/>
      <c r="G15" s="974"/>
      <c r="H15" s="725">
        <f t="array" ref="H15">SUMIF(F7:F11,F11,H7:H11)</f>
        <v>11449800</v>
      </c>
      <c r="I15" s="705">
        <f>SUMIF(F7:F11,#REF!,H7:H11)</f>
        <v>0</v>
      </c>
      <c r="J15" s="654">
        <f>SUMIF(F7:F11,#REF!,J7:J11)</f>
        <v>0</v>
      </c>
      <c r="K15" s="654">
        <f>SUMIF(F7:F11,#REF!,K7:K11)</f>
        <v>0</v>
      </c>
    </row>
    <row r="16" spans="2:11" s="297" customFormat="1" ht="15.75" hidden="1">
      <c r="B16" s="469"/>
      <c r="C16" s="469"/>
      <c r="D16" s="469"/>
      <c r="E16" s="974" t="s">
        <v>6736</v>
      </c>
      <c r="F16" s="974"/>
      <c r="G16" s="974"/>
      <c r="H16" s="725">
        <f>(H14*G45)+H15</f>
        <v>11449800</v>
      </c>
      <c r="I16" s="645"/>
    </row>
    <row r="17" spans="2:13" s="297" customFormat="1" ht="15.75" hidden="1">
      <c r="B17" s="706"/>
      <c r="C17" s="706"/>
      <c r="D17" s="706"/>
      <c r="E17" s="706"/>
      <c r="F17" s="706"/>
      <c r="G17" s="706"/>
      <c r="H17" s="707"/>
      <c r="I17" s="645"/>
    </row>
    <row r="18" spans="2:13" s="297" customFormat="1" ht="15.75">
      <c r="B18" s="709" t="s">
        <v>6771</v>
      </c>
      <c r="C18" s="709" t="s">
        <v>7</v>
      </c>
      <c r="D18" s="709" t="s">
        <v>20</v>
      </c>
      <c r="E18" s="709" t="s">
        <v>1480</v>
      </c>
      <c r="F18" s="709" t="s">
        <v>24</v>
      </c>
      <c r="G18" s="709" t="s">
        <v>1219</v>
      </c>
      <c r="H18" s="709" t="s">
        <v>21</v>
      </c>
      <c r="I18" s="645"/>
    </row>
    <row r="19" spans="2:13" ht="15.75">
      <c r="B19" s="706"/>
      <c r="C19" s="706"/>
      <c r="D19" s="706"/>
      <c r="E19" s="706"/>
      <c r="F19" s="706"/>
      <c r="G19" s="706"/>
      <c r="H19" s="707"/>
    </row>
    <row r="20" spans="2:13">
      <c r="B20" s="710" t="s">
        <v>4516</v>
      </c>
      <c r="C20" s="710" t="s">
        <v>4519</v>
      </c>
      <c r="D20" s="711">
        <v>600000</v>
      </c>
      <c r="E20" s="712" t="s">
        <v>1218</v>
      </c>
      <c r="F20" s="866" t="s">
        <v>25</v>
      </c>
      <c r="G20" s="713">
        <f>H20/D20</f>
        <v>22.998999999999999</v>
      </c>
      <c r="H20" s="711">
        <f>5199600+2599800+6000000</f>
        <v>13799400</v>
      </c>
    </row>
    <row r="21" spans="2:13">
      <c r="B21" s="875" t="s">
        <v>4518</v>
      </c>
      <c r="C21" s="875" t="s">
        <v>4519</v>
      </c>
      <c r="D21" s="876">
        <f>42000000/60</f>
        <v>700000</v>
      </c>
      <c r="E21" s="877" t="s">
        <v>1218</v>
      </c>
      <c r="F21" s="740" t="s">
        <v>25</v>
      </c>
      <c r="G21" s="878">
        <f>H21/D21</f>
        <v>25.424571428571429</v>
      </c>
      <c r="H21" s="876">
        <f>12498000+5299200</f>
        <v>17797200</v>
      </c>
    </row>
    <row r="22" spans="2:13">
      <c r="B22" s="971" t="s">
        <v>1447</v>
      </c>
      <c r="C22" s="971"/>
      <c r="D22" s="721">
        <f>SUM(D20:D21)</f>
        <v>1300000</v>
      </c>
      <c r="E22" s="721"/>
      <c r="F22" s="721"/>
      <c r="G22" s="721"/>
      <c r="H22" s="721"/>
    </row>
    <row r="23" spans="2:13" hidden="1">
      <c r="B23" s="469"/>
      <c r="C23" s="469"/>
      <c r="D23" s="469"/>
      <c r="E23" s="469"/>
      <c r="F23" s="469"/>
      <c r="G23" s="469"/>
      <c r="H23" s="483"/>
    </row>
    <row r="24" spans="2:13" hidden="1">
      <c r="B24" s="469"/>
      <c r="C24" s="469"/>
      <c r="D24" s="469"/>
      <c r="E24" s="974" t="s">
        <v>1229</v>
      </c>
      <c r="F24" s="974"/>
      <c r="G24" s="974"/>
      <c r="H24" s="725">
        <f>SUM(H20:H20)</f>
        <v>13799400</v>
      </c>
    </row>
    <row r="25" spans="2:13">
      <c r="B25" s="433"/>
      <c r="C25" s="433"/>
      <c r="D25" s="433"/>
      <c r="E25" s="433"/>
      <c r="F25" s="433"/>
      <c r="G25" s="433"/>
      <c r="H25" s="708"/>
    </row>
    <row r="26" spans="2:13" ht="15.75">
      <c r="B26" s="709" t="s">
        <v>6783</v>
      </c>
      <c r="C26" s="709" t="s">
        <v>7</v>
      </c>
      <c r="D26" s="709" t="s">
        <v>20</v>
      </c>
      <c r="E26" s="709" t="s">
        <v>1480</v>
      </c>
      <c r="F26" s="709" t="s">
        <v>24</v>
      </c>
      <c r="G26" s="709" t="s">
        <v>1219</v>
      </c>
      <c r="H26" s="709" t="s">
        <v>21</v>
      </c>
    </row>
    <row r="27" spans="2:13" ht="15.75">
      <c r="B27" s="706"/>
      <c r="C27" s="706"/>
      <c r="D27" s="706"/>
      <c r="E27" s="706"/>
      <c r="F27" s="706"/>
      <c r="G27" s="706"/>
      <c r="H27" s="707"/>
    </row>
    <row r="28" spans="2:13">
      <c r="B28" s="710" t="s">
        <v>6013</v>
      </c>
      <c r="C28" s="710" t="s">
        <v>6784</v>
      </c>
      <c r="D28" s="711">
        <v>160000</v>
      </c>
      <c r="E28" s="712" t="s">
        <v>6785</v>
      </c>
      <c r="F28" s="866" t="s">
        <v>25</v>
      </c>
      <c r="G28" s="713">
        <v>146</v>
      </c>
      <c r="H28" s="711">
        <f>G28*D28</f>
        <v>23360000</v>
      </c>
    </row>
    <row r="29" spans="2:13">
      <c r="B29" s="971" t="s">
        <v>6791</v>
      </c>
      <c r="C29" s="971"/>
      <c r="D29" s="721">
        <f>SUM(D28)</f>
        <v>160000</v>
      </c>
      <c r="E29" s="721"/>
      <c r="F29" s="721"/>
      <c r="G29" s="721"/>
      <c r="H29" s="721"/>
    </row>
    <row r="30" spans="2:13">
      <c r="B30" s="879"/>
      <c r="C30" s="879"/>
      <c r="D30" s="880"/>
      <c r="E30" s="880"/>
      <c r="F30" s="880"/>
      <c r="G30" s="880"/>
      <c r="H30" s="880"/>
      <c r="I30" s="881"/>
      <c r="J30" s="226"/>
      <c r="K30" s="226"/>
      <c r="L30" s="226"/>
      <c r="M30" s="226"/>
    </row>
    <row r="31" spans="2:13" ht="15.75">
      <c r="B31" s="709" t="s">
        <v>7028</v>
      </c>
      <c r="C31" s="709" t="s">
        <v>7</v>
      </c>
      <c r="D31" s="709" t="s">
        <v>20</v>
      </c>
      <c r="E31" s="709" t="s">
        <v>1480</v>
      </c>
      <c r="F31" s="709" t="s">
        <v>24</v>
      </c>
      <c r="G31" s="709" t="s">
        <v>1219</v>
      </c>
      <c r="H31" s="709" t="s">
        <v>21</v>
      </c>
    </row>
    <row r="32" spans="2:13" ht="15.75">
      <c r="B32" s="706"/>
      <c r="C32" s="706"/>
      <c r="D32" s="706"/>
      <c r="E32" s="706"/>
      <c r="F32" s="706"/>
      <c r="G32" s="706"/>
      <c r="H32" s="707"/>
    </row>
    <row r="33" spans="2:12">
      <c r="B33" s="710" t="s">
        <v>1474</v>
      </c>
      <c r="C33" s="710" t="s">
        <v>845</v>
      </c>
      <c r="D33" s="711">
        <v>1500000</v>
      </c>
      <c r="E33" s="712" t="s">
        <v>7029</v>
      </c>
      <c r="F33" s="866" t="s">
        <v>22</v>
      </c>
      <c r="G33" s="713">
        <f>H33/D33</f>
        <v>1.565266</v>
      </c>
      <c r="H33" s="711">
        <v>2347899</v>
      </c>
    </row>
    <row r="34" spans="2:12">
      <c r="B34" s="875" t="s">
        <v>1473</v>
      </c>
      <c r="C34" s="875" t="s">
        <v>845</v>
      </c>
      <c r="D34" s="876">
        <v>1500000</v>
      </c>
      <c r="E34" s="877" t="s">
        <v>7029</v>
      </c>
      <c r="F34" s="740" t="s">
        <v>22</v>
      </c>
      <c r="G34" s="878">
        <f>H34/D34</f>
        <v>1.6754960000000001</v>
      </c>
      <c r="H34" s="876">
        <v>2513244</v>
      </c>
    </row>
    <row r="35" spans="2:12">
      <c r="B35" s="710" t="s">
        <v>1473</v>
      </c>
      <c r="C35" s="710" t="s">
        <v>845</v>
      </c>
      <c r="D35" s="711">
        <v>3000000</v>
      </c>
      <c r="E35" s="712" t="s">
        <v>7029</v>
      </c>
      <c r="F35" s="866" t="s">
        <v>22</v>
      </c>
      <c r="G35" s="713">
        <f>H35/D35</f>
        <v>1.554243</v>
      </c>
      <c r="H35" s="711">
        <v>4662729</v>
      </c>
    </row>
    <row r="36" spans="2:12">
      <c r="B36" s="875" t="s">
        <v>1475</v>
      </c>
      <c r="C36" s="875" t="s">
        <v>845</v>
      </c>
      <c r="D36" s="876">
        <v>1500000</v>
      </c>
      <c r="E36" s="877" t="s">
        <v>7029</v>
      </c>
      <c r="F36" s="740" t="s">
        <v>22</v>
      </c>
      <c r="G36" s="878">
        <f>H36/D36</f>
        <v>1.548732</v>
      </c>
      <c r="H36" s="876">
        <v>2323098</v>
      </c>
    </row>
    <row r="37" spans="2:12">
      <c r="B37" s="710" t="s">
        <v>1474</v>
      </c>
      <c r="C37" s="710" t="s">
        <v>845</v>
      </c>
      <c r="D37" s="711">
        <v>2000000</v>
      </c>
      <c r="E37" s="712" t="s">
        <v>7029</v>
      </c>
      <c r="F37" s="866" t="s">
        <v>22</v>
      </c>
      <c r="G37" s="713">
        <f>H37/D37</f>
        <v>1.6755</v>
      </c>
      <c r="H37" s="711">
        <v>3351000</v>
      </c>
    </row>
    <row r="38" spans="2:12">
      <c r="B38" s="971" t="s">
        <v>6791</v>
      </c>
      <c r="C38" s="971"/>
      <c r="D38" s="721">
        <f>SUM(D33:D37)</f>
        <v>9500000</v>
      </c>
      <c r="E38" s="721"/>
      <c r="F38" s="721"/>
      <c r="G38" s="721"/>
      <c r="H38" s="721"/>
    </row>
    <row r="39" spans="2:12">
      <c r="B39" s="879"/>
      <c r="C39" s="879"/>
      <c r="D39" s="880"/>
      <c r="E39" s="880"/>
      <c r="F39" s="880"/>
      <c r="G39" s="880" t="s">
        <v>7030</v>
      </c>
      <c r="H39" s="880"/>
    </row>
    <row r="40" spans="2:12">
      <c r="B40" s="883"/>
      <c r="C40" s="883"/>
      <c r="D40" s="883"/>
      <c r="E40" s="883"/>
      <c r="F40" s="883"/>
      <c r="G40" s="883"/>
      <c r="H40" s="884"/>
    </row>
    <row r="41" spans="2:12" s="429" customFormat="1">
      <c r="B41" s="883"/>
      <c r="C41" s="883"/>
      <c r="D41" s="883"/>
      <c r="E41" s="972" t="s">
        <v>1229</v>
      </c>
      <c r="F41" s="972"/>
      <c r="G41" s="972"/>
      <c r="H41" s="882">
        <f>SUM(H28)</f>
        <v>23360000</v>
      </c>
      <c r="J41" s="225"/>
      <c r="K41" s="225"/>
      <c r="L41" s="225"/>
    </row>
    <row r="42" spans="2:12" s="429" customFormat="1">
      <c r="B42" s="419"/>
      <c r="C42" s="419"/>
      <c r="D42" s="419"/>
      <c r="E42" s="419"/>
      <c r="F42" s="419"/>
      <c r="G42" s="419"/>
      <c r="H42" s="467"/>
      <c r="J42" s="225"/>
      <c r="K42" s="225"/>
      <c r="L42" s="225"/>
    </row>
    <row r="43" spans="2:12" s="429" customFormat="1">
      <c r="B43" s="419"/>
      <c r="C43" s="419"/>
      <c r="D43" s="419"/>
      <c r="E43" s="419"/>
      <c r="F43" s="419"/>
      <c r="G43" s="419"/>
      <c r="H43" s="467"/>
      <c r="J43" s="225"/>
      <c r="K43" s="225"/>
      <c r="L43" s="225"/>
    </row>
    <row r="44" spans="2:12" s="429" customFormat="1">
      <c r="B44" s="419"/>
      <c r="C44" s="419"/>
      <c r="D44" s="419"/>
      <c r="E44" s="419"/>
      <c r="F44" s="419"/>
      <c r="G44" s="419"/>
      <c r="H44" s="467"/>
      <c r="J44" s="225"/>
      <c r="K44" s="225"/>
      <c r="L44" s="225"/>
    </row>
    <row r="45" spans="2:12" s="429" customFormat="1">
      <c r="B45" s="419" t="s">
        <v>6</v>
      </c>
      <c r="C45" s="973">
        <f ca="1">TODAY()</f>
        <v>42606</v>
      </c>
      <c r="D45" s="973"/>
      <c r="E45" s="973"/>
      <c r="F45" s="726"/>
      <c r="G45" s="727"/>
      <c r="H45" s="728"/>
      <c r="J45" s="225"/>
      <c r="K45" s="225"/>
      <c r="L45" s="225"/>
    </row>
    <row r="85" spans="4:5">
      <c r="D85" s="285"/>
    </row>
    <row r="87" spans="4:5" hidden="1"/>
    <row r="88" spans="4:5" hidden="1"/>
    <row r="89" spans="4:5" hidden="1"/>
    <row r="95" spans="4:5">
      <c r="D95" s="399"/>
      <c r="E95" s="399"/>
    </row>
    <row r="98" spans="4:9">
      <c r="D98" s="399"/>
      <c r="E98" s="399"/>
    </row>
    <row r="100" spans="4:9">
      <c r="H100" s="225"/>
      <c r="I100" s="225"/>
    </row>
  </sheetData>
  <mergeCells count="10">
    <mergeCell ref="B29:C29"/>
    <mergeCell ref="E41:G41"/>
    <mergeCell ref="C45:E45"/>
    <mergeCell ref="B38:C38"/>
    <mergeCell ref="B12:C12"/>
    <mergeCell ref="E14:G14"/>
    <mergeCell ref="E15:G15"/>
    <mergeCell ref="E16:G16"/>
    <mergeCell ref="B22:C22"/>
    <mergeCell ref="E24:G24"/>
  </mergeCells>
  <pageMargins left="0.25" right="0.25" top="0.75" bottom="0.75" header="0.3" footer="0.3"/>
  <pageSetup paperSize="9" scale="59" fitToHeight="0" orientation="portrait" horizontalDpi="360" verticalDpi="36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L92"/>
  <sheetViews>
    <sheetView workbookViewId="0">
      <selection activeCell="B23" sqref="B23"/>
    </sheetView>
  </sheetViews>
  <sheetFormatPr defaultRowHeight="15" outlineLevelCol="1"/>
  <cols>
    <col min="1" max="1" width="1.7109375" style="225" customWidth="1"/>
    <col min="2" max="2" width="52.42578125" style="225" customWidth="1"/>
    <col min="3" max="3" width="25" style="225" bestFit="1" customWidth="1"/>
    <col min="4" max="4" width="21.42578125" style="225" customWidth="1"/>
    <col min="5" max="6" width="10.7109375" style="225" customWidth="1"/>
    <col min="7" max="7" width="14.28515625" style="225" customWidth="1"/>
    <col min="8" max="8" width="21" style="429" customWidth="1"/>
    <col min="9" max="9" width="17.85546875" style="429" hidden="1" customWidth="1"/>
    <col min="10" max="10" width="10.28515625" style="225" hidden="1" customWidth="1" outlineLevel="1"/>
    <col min="11" max="11" width="11.85546875" style="225" hidden="1" customWidth="1" outlineLevel="1"/>
    <col min="12" max="12" width="9.140625" style="225" collapsed="1"/>
    <col min="13" max="16384" width="9.140625" style="225"/>
  </cols>
  <sheetData>
    <row r="1" spans="2:11" ht="19.5" customHeight="1">
      <c r="C1" s="293" t="s">
        <v>6782</v>
      </c>
      <c r="H1" s="225"/>
    </row>
    <row r="2" spans="2:11" s="227" customFormat="1" ht="19.5" customHeight="1">
      <c r="B2" s="425"/>
      <c r="C2" s="299" t="s">
        <v>6921</v>
      </c>
      <c r="H2" s="653"/>
      <c r="I2" s="695"/>
    </row>
    <row r="3" spans="2:11" s="227" customFormat="1" ht="19.5" customHeight="1">
      <c r="B3" s="381"/>
      <c r="H3" s="381"/>
      <c r="I3" s="695"/>
    </row>
    <row r="4" spans="2:11" s="227" customFormat="1" ht="15.75" thickBot="1">
      <c r="B4" s="229"/>
      <c r="H4" s="695"/>
      <c r="I4" s="695"/>
    </row>
    <row r="5" spans="2:11" s="297" customFormat="1" ht="32.25" thickBot="1">
      <c r="B5" s="709" t="s">
        <v>6772</v>
      </c>
      <c r="C5" s="709" t="s">
        <v>7</v>
      </c>
      <c r="D5" s="709" t="s">
        <v>20</v>
      </c>
      <c r="E5" s="709" t="s">
        <v>1480</v>
      </c>
      <c r="F5" s="709" t="s">
        <v>24</v>
      </c>
      <c r="G5" s="709" t="s">
        <v>1219</v>
      </c>
      <c r="H5" s="709" t="s">
        <v>21</v>
      </c>
      <c r="I5" s="703" t="s">
        <v>1213</v>
      </c>
      <c r="J5" s="696" t="s">
        <v>5036</v>
      </c>
      <c r="K5" s="696" t="s">
        <v>5037</v>
      </c>
    </row>
    <row r="6" spans="2:11" s="297" customFormat="1" ht="15.75">
      <c r="B6" s="706"/>
      <c r="C6" s="706"/>
      <c r="D6" s="706"/>
      <c r="E6" s="706"/>
      <c r="F6" s="706"/>
      <c r="G6" s="706"/>
      <c r="H6" s="707"/>
      <c r="I6" s="645"/>
    </row>
    <row r="7" spans="2:11" s="297" customFormat="1" ht="15.75">
      <c r="B7" s="710" t="s">
        <v>4516</v>
      </c>
      <c r="C7" s="710" t="s">
        <v>4515</v>
      </c>
      <c r="D7" s="711">
        <f>13306385/60</f>
        <v>221773.08333333334</v>
      </c>
      <c r="E7" s="712" t="s">
        <v>1218</v>
      </c>
      <c r="F7" s="840" t="s">
        <v>25</v>
      </c>
      <c r="G7" s="713">
        <f t="shared" ref="G7:G14" si="0">H7/D7</f>
        <v>60.000081164042676</v>
      </c>
      <c r="H7" s="711">
        <v>13306403</v>
      </c>
      <c r="I7" s="697"/>
      <c r="J7" s="698"/>
      <c r="K7" s="699"/>
    </row>
    <row r="8" spans="2:11" s="297" customFormat="1" ht="15.75">
      <c r="B8" s="714" t="s">
        <v>4516</v>
      </c>
      <c r="C8" s="714" t="s">
        <v>4515</v>
      </c>
      <c r="D8" s="715">
        <f>18000000/60</f>
        <v>300000</v>
      </c>
      <c r="E8" s="716" t="s">
        <v>1218</v>
      </c>
      <c r="F8" s="726" t="s">
        <v>22</v>
      </c>
      <c r="G8" s="717">
        <f t="shared" si="0"/>
        <v>16.866666666666667</v>
      </c>
      <c r="H8" s="715">
        <v>5060000</v>
      </c>
      <c r="I8" s="697"/>
      <c r="J8" s="698"/>
      <c r="K8" s="699"/>
    </row>
    <row r="9" spans="2:11" s="297" customFormat="1" ht="15.75">
      <c r="B9" s="710" t="s">
        <v>5729</v>
      </c>
      <c r="C9" s="710" t="s">
        <v>4515</v>
      </c>
      <c r="D9" s="711">
        <f>8000000/60</f>
        <v>133333.33333333334</v>
      </c>
      <c r="E9" s="712" t="s">
        <v>1218</v>
      </c>
      <c r="F9" s="840" t="s">
        <v>22</v>
      </c>
      <c r="G9" s="713">
        <f t="shared" si="0"/>
        <v>18.599999999999998</v>
      </c>
      <c r="H9" s="711">
        <v>2480000</v>
      </c>
      <c r="I9" s="697"/>
      <c r="J9" s="698"/>
      <c r="K9" s="699"/>
    </row>
    <row r="10" spans="2:11" s="297" customFormat="1" ht="15.75">
      <c r="B10" s="714" t="s">
        <v>4518</v>
      </c>
      <c r="C10" s="714" t="s">
        <v>5730</v>
      </c>
      <c r="D10" s="715">
        <f>8817260/60</f>
        <v>146954.33333333334</v>
      </c>
      <c r="E10" s="716" t="s">
        <v>1218</v>
      </c>
      <c r="F10" s="726" t="s">
        <v>25</v>
      </c>
      <c r="G10" s="717">
        <f t="shared" si="0"/>
        <v>68.429013094770937</v>
      </c>
      <c r="H10" s="715">
        <f>10055940</f>
        <v>10055940</v>
      </c>
      <c r="I10" s="697"/>
      <c r="J10" s="698"/>
      <c r="K10" s="699"/>
    </row>
    <row r="11" spans="2:11" s="297" customFormat="1" ht="15.75">
      <c r="B11" s="710" t="s">
        <v>4516</v>
      </c>
      <c r="C11" s="710" t="s">
        <v>5730</v>
      </c>
      <c r="D11" s="711">
        <f>6872220/60</f>
        <v>114537</v>
      </c>
      <c r="E11" s="712" t="s">
        <v>1218</v>
      </c>
      <c r="F11" s="840" t="s">
        <v>25</v>
      </c>
      <c r="G11" s="713">
        <f t="shared" si="0"/>
        <v>66.563468573474069</v>
      </c>
      <c r="H11" s="711">
        <v>7623980</v>
      </c>
      <c r="I11" s="697"/>
      <c r="J11" s="698"/>
      <c r="K11" s="699"/>
    </row>
    <row r="12" spans="2:11" s="297" customFormat="1" ht="15.75">
      <c r="B12" s="714" t="s">
        <v>4516</v>
      </c>
      <c r="C12" s="714" t="s">
        <v>5730</v>
      </c>
      <c r="D12" s="715">
        <f>24000000/60</f>
        <v>400000</v>
      </c>
      <c r="E12" s="716" t="s">
        <v>1218</v>
      </c>
      <c r="F12" s="726" t="s">
        <v>22</v>
      </c>
      <c r="G12" s="717">
        <f t="shared" si="0"/>
        <v>16.32</v>
      </c>
      <c r="H12" s="715">
        <v>6528000</v>
      </c>
      <c r="I12" s="697"/>
      <c r="J12" s="698"/>
      <c r="K12" s="699"/>
    </row>
    <row r="13" spans="2:11" s="297" customFormat="1" ht="15.75">
      <c r="B13" s="710" t="s">
        <v>4526</v>
      </c>
      <c r="C13" s="710" t="s">
        <v>5730</v>
      </c>
      <c r="D13" s="711">
        <v>4087520</v>
      </c>
      <c r="E13" s="712" t="s">
        <v>1218</v>
      </c>
      <c r="F13" s="840" t="s">
        <v>25</v>
      </c>
      <c r="G13" s="713">
        <f t="shared" si="0"/>
        <v>1.122094815438212</v>
      </c>
      <c r="H13" s="711">
        <v>4586585</v>
      </c>
      <c r="I13" s="697"/>
      <c r="J13" s="698"/>
      <c r="K13" s="699"/>
    </row>
    <row r="14" spans="2:11" s="297" customFormat="1" ht="16.5" thickBot="1">
      <c r="B14" s="714" t="s">
        <v>4518</v>
      </c>
      <c r="C14" s="714" t="s">
        <v>5730</v>
      </c>
      <c r="D14" s="715">
        <f>41012429/60</f>
        <v>683540.48333333328</v>
      </c>
      <c r="E14" s="716" t="s">
        <v>1218</v>
      </c>
      <c r="F14" s="726" t="s">
        <v>22</v>
      </c>
      <c r="G14" s="717">
        <f t="shared" si="0"/>
        <v>15.911582803349688</v>
      </c>
      <c r="H14" s="715">
        <v>10876211</v>
      </c>
      <c r="I14" s="697"/>
      <c r="J14" s="698"/>
      <c r="K14" s="699"/>
    </row>
    <row r="15" spans="2:11" s="493" customFormat="1" ht="16.5" thickBot="1">
      <c r="B15" s="971" t="s">
        <v>1447</v>
      </c>
      <c r="C15" s="971"/>
      <c r="D15" s="721">
        <f>SUM(D7:D14)</f>
        <v>6087658.2333333334</v>
      </c>
      <c r="E15" s="721"/>
      <c r="F15" s="721"/>
      <c r="G15" s="721"/>
      <c r="H15" s="721"/>
      <c r="I15" s="704">
        <f>SUM(I7:I14)</f>
        <v>0</v>
      </c>
      <c r="J15" s="700">
        <f>SUM(J7:J14)</f>
        <v>0</v>
      </c>
      <c r="K15" s="700">
        <f>SUM(K7:K14)</f>
        <v>0</v>
      </c>
    </row>
    <row r="16" spans="2:11" s="493" customFormat="1" ht="16.5" thickBot="1">
      <c r="B16" s="722"/>
      <c r="C16" s="723"/>
      <c r="D16" s="723"/>
      <c r="E16" s="723"/>
      <c r="F16" s="723"/>
      <c r="G16" s="723"/>
      <c r="H16" s="724"/>
      <c r="I16" s="701"/>
      <c r="K16" s="702"/>
    </row>
    <row r="17" spans="2:11" s="297" customFormat="1" ht="16.5" thickBot="1">
      <c r="B17" s="469"/>
      <c r="C17" s="469"/>
      <c r="D17" s="469"/>
      <c r="E17" s="974" t="s">
        <v>1228</v>
      </c>
      <c r="F17" s="974"/>
      <c r="G17" s="974"/>
      <c r="H17" s="725">
        <f>SUMIF(F7:F14,F11,H7:H14)</f>
        <v>35572908</v>
      </c>
      <c r="I17" s="705">
        <f>SUMIF(F7:F14,#REF!,H7:H14)</f>
        <v>0</v>
      </c>
      <c r="J17" s="654">
        <f>SUMIF(F7:F14,#REF!,J7:J14)</f>
        <v>0</v>
      </c>
      <c r="K17" s="654">
        <f>SUMIF(F7:F14,#REF!,K7:K14)</f>
        <v>0</v>
      </c>
    </row>
    <row r="18" spans="2:11" s="297" customFormat="1" ht="16.5" thickBot="1">
      <c r="B18" s="469"/>
      <c r="C18" s="469"/>
      <c r="D18" s="469"/>
      <c r="E18" s="974" t="s">
        <v>1229</v>
      </c>
      <c r="F18" s="974"/>
      <c r="G18" s="974"/>
      <c r="H18" s="725">
        <f t="array" ref="H18">SUMIF(F7:F14,F10,H7:H14)</f>
        <v>35572908</v>
      </c>
      <c r="I18" s="705">
        <f>SUMIF(F7:F14,#REF!,H7:H14)</f>
        <v>0</v>
      </c>
      <c r="J18" s="654">
        <f>SUMIF(F7:F14,#REF!,J7:J14)</f>
        <v>0</v>
      </c>
      <c r="K18" s="654">
        <f>SUMIF(F7:F14,#REF!,K7:K14)</f>
        <v>0</v>
      </c>
    </row>
    <row r="19" spans="2:11" s="297" customFormat="1" ht="15.75">
      <c r="B19" s="469"/>
      <c r="C19" s="469"/>
      <c r="D19" s="469"/>
      <c r="E19" s="974" t="s">
        <v>6736</v>
      </c>
      <c r="F19" s="974"/>
      <c r="G19" s="974"/>
      <c r="H19" s="725">
        <f>(H17*G37)+H18</f>
        <v>167192667.60000002</v>
      </c>
      <c r="I19" s="645"/>
    </row>
    <row r="20" spans="2:11" s="297" customFormat="1" ht="15.75">
      <c r="B20" s="706"/>
      <c r="C20" s="706"/>
      <c r="D20" s="706"/>
      <c r="E20" s="706"/>
      <c r="F20" s="706"/>
      <c r="G20" s="706"/>
      <c r="H20" s="707"/>
      <c r="I20" s="645"/>
    </row>
    <row r="21" spans="2:11" s="297" customFormat="1" ht="15.75">
      <c r="B21" s="709" t="s">
        <v>6771</v>
      </c>
      <c r="C21" s="709" t="s">
        <v>7</v>
      </c>
      <c r="D21" s="709" t="s">
        <v>20</v>
      </c>
      <c r="E21" s="709" t="s">
        <v>1480</v>
      </c>
      <c r="F21" s="709" t="s">
        <v>24</v>
      </c>
      <c r="G21" s="709" t="s">
        <v>1219</v>
      </c>
      <c r="H21" s="709" t="s">
        <v>21</v>
      </c>
      <c r="I21" s="645"/>
    </row>
    <row r="22" spans="2:11" ht="15.75">
      <c r="B22" s="706"/>
      <c r="C22" s="706"/>
      <c r="D22" s="706"/>
      <c r="E22" s="706"/>
      <c r="F22" s="706"/>
      <c r="G22" s="706"/>
      <c r="H22" s="707"/>
    </row>
    <row r="23" spans="2:11">
      <c r="B23" s="710" t="s">
        <v>4516</v>
      </c>
      <c r="C23" s="710" t="s">
        <v>4519</v>
      </c>
      <c r="D23" s="711">
        <f>24000000/60</f>
        <v>400000</v>
      </c>
      <c r="E23" s="712" t="s">
        <v>1218</v>
      </c>
      <c r="F23" s="840" t="s">
        <v>25</v>
      </c>
      <c r="G23" s="713">
        <f>H23/D23</f>
        <v>20.25</v>
      </c>
      <c r="H23" s="711">
        <v>8100000</v>
      </c>
    </row>
    <row r="24" spans="2:11">
      <c r="B24" s="971" t="s">
        <v>1447</v>
      </c>
      <c r="C24" s="971"/>
      <c r="D24" s="721">
        <f>SUM(D23:D23)</f>
        <v>400000</v>
      </c>
      <c r="E24" s="721"/>
      <c r="F24" s="721"/>
      <c r="G24" s="721"/>
      <c r="H24" s="721"/>
    </row>
    <row r="25" spans="2:11">
      <c r="B25" s="469"/>
      <c r="C25" s="469"/>
      <c r="D25" s="469"/>
      <c r="E25" s="469"/>
      <c r="F25" s="469"/>
      <c r="G25" s="469"/>
      <c r="H25" s="483"/>
    </row>
    <row r="26" spans="2:11">
      <c r="B26" s="469"/>
      <c r="C26" s="469"/>
      <c r="D26" s="469"/>
      <c r="E26" s="974" t="s">
        <v>1229</v>
      </c>
      <c r="F26" s="974"/>
      <c r="G26" s="974"/>
      <c r="H26" s="725">
        <f>SUM(H23:H23)</f>
        <v>8100000</v>
      </c>
    </row>
    <row r="27" spans="2:11">
      <c r="B27" s="433"/>
      <c r="C27" s="433"/>
      <c r="D27" s="433"/>
      <c r="E27" s="433"/>
      <c r="F27" s="433"/>
      <c r="G27" s="433"/>
      <c r="H27" s="708"/>
    </row>
    <row r="28" spans="2:11" ht="15.75">
      <c r="B28" s="709" t="s">
        <v>6783</v>
      </c>
      <c r="C28" s="709" t="s">
        <v>7</v>
      </c>
      <c r="D28" s="709" t="s">
        <v>20</v>
      </c>
      <c r="E28" s="709" t="s">
        <v>1480</v>
      </c>
      <c r="F28" s="709" t="s">
        <v>24</v>
      </c>
      <c r="G28" s="709" t="s">
        <v>1219</v>
      </c>
      <c r="H28" s="709" t="s">
        <v>21</v>
      </c>
    </row>
    <row r="29" spans="2:11" ht="15.75">
      <c r="B29" s="706"/>
      <c r="C29" s="706"/>
      <c r="D29" s="706"/>
      <c r="E29" s="706"/>
      <c r="F29" s="706"/>
      <c r="G29" s="706"/>
      <c r="H29" s="707"/>
    </row>
    <row r="30" spans="2:11">
      <c r="B30" s="710" t="s">
        <v>6013</v>
      </c>
      <c r="C30" s="710" t="s">
        <v>6784</v>
      </c>
      <c r="D30" s="711">
        <v>160000</v>
      </c>
      <c r="E30" s="712" t="s">
        <v>6785</v>
      </c>
      <c r="F30" s="840" t="s">
        <v>25</v>
      </c>
      <c r="G30" s="713">
        <v>146</v>
      </c>
      <c r="H30" s="711">
        <f>G30*D30</f>
        <v>23360000</v>
      </c>
    </row>
    <row r="31" spans="2:11">
      <c r="B31" s="971" t="s">
        <v>6791</v>
      </c>
      <c r="C31" s="971"/>
      <c r="D31" s="721">
        <f>SUM(D24:D30)</f>
        <v>560000</v>
      </c>
      <c r="E31" s="721"/>
      <c r="F31" s="721"/>
      <c r="G31" s="721"/>
      <c r="H31" s="721"/>
    </row>
    <row r="32" spans="2:11">
      <c r="B32" s="469"/>
      <c r="C32" s="469"/>
      <c r="D32" s="469"/>
      <c r="E32" s="469"/>
      <c r="F32" s="469"/>
      <c r="G32" s="469"/>
      <c r="H32" s="483"/>
    </row>
    <row r="33" spans="2:8">
      <c r="B33" s="469"/>
      <c r="C33" s="469"/>
      <c r="D33" s="469"/>
      <c r="E33" s="974" t="s">
        <v>1229</v>
      </c>
      <c r="F33" s="974"/>
      <c r="G33" s="974"/>
      <c r="H33" s="725">
        <f>SUM(H30)</f>
        <v>23360000</v>
      </c>
    </row>
    <row r="34" spans="2:8">
      <c r="B34" s="419"/>
      <c r="C34" s="419"/>
      <c r="D34" s="419"/>
      <c r="E34" s="419"/>
      <c r="F34" s="419"/>
      <c r="G34" s="419"/>
      <c r="H34" s="467"/>
    </row>
    <row r="35" spans="2:8">
      <c r="B35" s="419"/>
      <c r="C35" s="419"/>
      <c r="D35" s="419"/>
      <c r="E35" s="419"/>
      <c r="F35" s="419"/>
      <c r="G35" s="419"/>
      <c r="H35" s="467"/>
    </row>
    <row r="36" spans="2:8">
      <c r="B36" s="419"/>
      <c r="C36" s="419"/>
      <c r="D36" s="419"/>
      <c r="E36" s="419"/>
      <c r="F36" s="419"/>
      <c r="G36" s="419"/>
      <c r="H36" s="467"/>
    </row>
    <row r="37" spans="2:8">
      <c r="B37" s="419" t="s">
        <v>6</v>
      </c>
      <c r="C37" s="973">
        <v>42513</v>
      </c>
      <c r="D37" s="973"/>
      <c r="E37" s="973"/>
      <c r="F37" s="726" t="s">
        <v>1103</v>
      </c>
      <c r="G37" s="727">
        <v>3.7</v>
      </c>
      <c r="H37" s="728"/>
    </row>
    <row r="77" spans="4:4">
      <c r="D77" s="285"/>
    </row>
    <row r="79" spans="4:4" hidden="1"/>
    <row r="80" spans="4:4" hidden="1"/>
    <row r="81" spans="2:12" hidden="1"/>
    <row r="87" spans="2:12">
      <c r="B87" s="225" t="s">
        <v>98</v>
      </c>
      <c r="C87" s="225" t="s">
        <v>6987</v>
      </c>
      <c r="D87" s="399">
        <v>42425</v>
      </c>
      <c r="E87" s="399">
        <v>42663</v>
      </c>
      <c r="F87" s="225" t="s">
        <v>22</v>
      </c>
      <c r="H87" s="429">
        <v>0</v>
      </c>
      <c r="I87" s="429">
        <v>18352</v>
      </c>
      <c r="J87" s="225">
        <v>0</v>
      </c>
      <c r="K87" s="225">
        <v>0</v>
      </c>
      <c r="L87" s="225">
        <v>0</v>
      </c>
    </row>
    <row r="90" spans="2:12">
      <c r="D90" s="399"/>
      <c r="E90" s="399"/>
    </row>
    <row r="92" spans="2:12">
      <c r="H92" s="225"/>
      <c r="I92" s="225"/>
    </row>
  </sheetData>
  <mergeCells count="9">
    <mergeCell ref="C37:E37"/>
    <mergeCell ref="E17:G17"/>
    <mergeCell ref="E18:G18"/>
    <mergeCell ref="B15:C15"/>
    <mergeCell ref="E19:G19"/>
    <mergeCell ref="B24:C24"/>
    <mergeCell ref="E26:G26"/>
    <mergeCell ref="B31:C31"/>
    <mergeCell ref="E33:G33"/>
  </mergeCells>
  <pageMargins left="0.25" right="0.25" top="0.75" bottom="0.75" header="0.3" footer="0.3"/>
  <pageSetup paperSize="9" scale="63" fitToHeight="0" orientation="portrait" horizontalDpi="360" verticalDpi="36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K96"/>
  <sheetViews>
    <sheetView showGridLines="0" zoomScaleNormal="100" workbookViewId="0">
      <selection activeCell="I100" sqref="I100"/>
    </sheetView>
  </sheetViews>
  <sheetFormatPr defaultRowHeight="15" outlineLevelCol="1"/>
  <cols>
    <col min="1" max="1" width="1.7109375" style="225" customWidth="1"/>
    <col min="2" max="2" width="52.42578125" style="225" customWidth="1"/>
    <col min="3" max="3" width="24" style="225" customWidth="1"/>
    <col min="4" max="4" width="21.42578125" style="225" customWidth="1"/>
    <col min="5" max="6" width="10.7109375" style="225" customWidth="1"/>
    <col min="7" max="7" width="14.28515625" style="225" customWidth="1"/>
    <col min="8" max="8" width="18.42578125" style="429" customWidth="1"/>
    <col min="9" max="9" width="17.85546875" style="429" customWidth="1"/>
    <col min="10" max="10" width="15.5703125" style="225" customWidth="1" outlineLevel="1"/>
    <col min="11" max="11" width="15.7109375" style="225" bestFit="1" customWidth="1" outlineLevel="1"/>
    <col min="12" max="16384" width="9.140625" style="225"/>
  </cols>
  <sheetData>
    <row r="1" spans="2:11" ht="19.5" customHeight="1">
      <c r="C1" s="293" t="s">
        <v>1482</v>
      </c>
      <c r="H1" s="225"/>
    </row>
    <row r="2" spans="2:11" s="227" customFormat="1" ht="19.5" customHeight="1">
      <c r="B2" s="425"/>
      <c r="C2" s="299" t="s">
        <v>6728</v>
      </c>
      <c r="H2" s="653"/>
      <c r="I2" s="695"/>
    </row>
    <row r="3" spans="2:11" s="227" customFormat="1" ht="19.5" customHeight="1">
      <c r="B3" s="381"/>
      <c r="H3" s="381"/>
      <c r="I3" s="695"/>
    </row>
    <row r="4" spans="2:11" s="227" customFormat="1">
      <c r="B4" s="229"/>
      <c r="H4" s="695"/>
      <c r="I4" s="695"/>
    </row>
    <row r="5" spans="2:11" s="297" customFormat="1" ht="31.5">
      <c r="B5" s="709" t="s">
        <v>1210</v>
      </c>
      <c r="C5" s="709" t="s">
        <v>7</v>
      </c>
      <c r="D5" s="709" t="s">
        <v>20</v>
      </c>
      <c r="E5" s="709" t="s">
        <v>1480</v>
      </c>
      <c r="F5" s="709" t="s">
        <v>24</v>
      </c>
      <c r="G5" s="709" t="s">
        <v>1219</v>
      </c>
      <c r="H5" s="709" t="s">
        <v>21</v>
      </c>
      <c r="I5" s="709" t="s">
        <v>1213</v>
      </c>
      <c r="J5" s="709" t="s">
        <v>5036</v>
      </c>
      <c r="K5" s="709" t="s">
        <v>5037</v>
      </c>
    </row>
    <row r="6" spans="2:11" s="297" customFormat="1" ht="15.75">
      <c r="B6" s="706"/>
      <c r="C6" s="706"/>
      <c r="D6" s="706"/>
      <c r="E6" s="706"/>
      <c r="F6" s="706"/>
      <c r="G6" s="706"/>
      <c r="H6" s="707"/>
      <c r="I6" s="707"/>
      <c r="J6" s="706"/>
      <c r="K6" s="706"/>
    </row>
    <row r="7" spans="2:11" s="297" customFormat="1" ht="15.75">
      <c r="B7" s="710" t="s">
        <v>1481</v>
      </c>
      <c r="C7" s="710" t="s">
        <v>4515</v>
      </c>
      <c r="D7" s="711">
        <f t="array" ref="D7">SUM(IF((BD_CONTRATOS_GRAOS!F:F='19-Contratos graos 1415'!B7)*(BD_CONTRATOS_GRAOS!H:H='19-Contratos graos 1415'!C7)*(BD_CONTRATOS_GRAOS!J:J='19-Contratos graos 1415'!F7),BD_CONTRATOS_GRAOS!K:K))/60</f>
        <v>20323.666666666668</v>
      </c>
      <c r="E7" s="712" t="s">
        <v>1218</v>
      </c>
      <c r="F7" s="710" t="s">
        <v>25</v>
      </c>
      <c r="G7" s="713">
        <f>H7/D7</f>
        <v>52.999999835987602</v>
      </c>
      <c r="H7" s="711">
        <f t="array" ref="H7">SUM(IF((BD_CONTRATOS_GRAOS!F:F='19-Contratos graos 1415'!B7)*(BD_CONTRATOS_GRAOS!H:H='19-Contratos graos 1415'!C7)*(BD_CONTRATOS_GRAOS!J:J='19-Contratos graos 1415'!F7),BD_CONTRATOS_GRAOS!L:L))</f>
        <v>1077154.33</v>
      </c>
      <c r="I7" s="713">
        <f>IF($F$7:$F$15=$F$7,H7,H7*$H$23)</f>
        <v>1077154.33</v>
      </c>
      <c r="J7" s="732">
        <f t="array" ref="J7">SUM(IF((BD_CONTRATOS_GRAOS!$F$2:$F$107='19-Contratos graos 1415'!B7)*(BD_CONTRATOS_GRAOS!$J$2:$J$107='19-Contratos graos 1415'!F7)*(BD_CONTRATOS_GRAOS!$H$2:$H$107='19-Contratos graos 1415'!C7),BD_CONTRATOS_GRAOS!$N$2:$N$107))/60</f>
        <v>20323.666666666668</v>
      </c>
      <c r="K7" s="733">
        <f t="array" ref="K7">SUM(IF((BD_CONTRATOS_GRAOS!$F$2:$F$107='19-Contratos graos 1415'!B7)*(BD_CONTRATOS_GRAOS!$J$2:$J$107='19-Contratos graos 1415'!F7)*(BD_CONTRATOS_GRAOS!$H$2:$H$107='19-Contratos graos 1415'!C7),BD_CONTRATOS_GRAOS!$Q$2:$Q$107))</f>
        <v>0</v>
      </c>
    </row>
    <row r="8" spans="2:11" s="297" customFormat="1" ht="15.75">
      <c r="B8" s="714" t="s">
        <v>4516</v>
      </c>
      <c r="C8" s="714" t="s">
        <v>4515</v>
      </c>
      <c r="D8" s="715">
        <f t="array" ref="D8">SUM(IF((BD_CONTRATOS_GRAOS!F:F='19-Contratos graos 1415'!B8)*(BD_CONTRATOS_GRAOS!H:H='19-Contratos graos 1415'!C8)*(BD_CONTRATOS_GRAOS!J:J='19-Contratos graos 1415'!F8),BD_CONTRATOS_GRAOS!K:K))/60</f>
        <v>40000</v>
      </c>
      <c r="E8" s="716" t="s">
        <v>1218</v>
      </c>
      <c r="F8" s="714" t="s">
        <v>25</v>
      </c>
      <c r="G8" s="717">
        <f>H8/D8</f>
        <v>56.75</v>
      </c>
      <c r="H8" s="715">
        <f t="array" ref="H8">SUM(IF((BD_CONTRATOS_GRAOS!F:F='19-Contratos graos 1415'!B8)*(BD_CONTRATOS_GRAOS!H:H='19-Contratos graos 1415'!C8)*(BD_CONTRATOS_GRAOS!J:J='19-Contratos graos 1415'!F8),BD_CONTRATOS_GRAOS!L:L))</f>
        <v>2270000</v>
      </c>
      <c r="I8" s="717">
        <f>IF($F$7:$F$15=$F$7,H8,H8*$H$23)</f>
        <v>2270000</v>
      </c>
      <c r="J8" s="734">
        <f t="array" ref="J8">SUM(IF((BD_CONTRATOS_GRAOS!$F$2:$F$107='19-Contratos graos 1415'!B8)*(BD_CONTRATOS_GRAOS!$J$2:$J$107='19-Contratos graos 1415'!F8)*(BD_CONTRATOS_GRAOS!$H$2:$H$107='19-Contratos graos 1415'!C8),BD_CONTRATOS_GRAOS!$N$2:$N$107))/60</f>
        <v>40000.949999999997</v>
      </c>
      <c r="K8" s="735">
        <f t="array" ref="K8">SUM(IF((BD_CONTRATOS_GRAOS!$F$2:$F$107='19-Contratos graos 1415'!B8)*(BD_CONTRATOS_GRAOS!$J$2:$J$107='19-Contratos graos 1415'!F8)*(BD_CONTRATOS_GRAOS!$H$2:$H$107='19-Contratos graos 1415'!C8),BD_CONTRATOS_GRAOS!$Q$2:$Q$107))</f>
        <v>0</v>
      </c>
    </row>
    <row r="9" spans="2:11" s="297" customFormat="1" ht="15.75">
      <c r="B9" s="710" t="s">
        <v>1481</v>
      </c>
      <c r="C9" s="710" t="s">
        <v>4515</v>
      </c>
      <c r="D9" s="711">
        <f t="array" ref="D9">SUM(IF((BD_CONTRATOS_GRAOS!F:F='19-Contratos graos 1415'!B9)*(BD_CONTRATOS_GRAOS!H:H='19-Contratos graos 1415'!C9)*(BD_CONTRATOS_GRAOS!J:J='19-Contratos graos 1415'!F9),BD_CONTRATOS_GRAOS!K:K))/60</f>
        <v>20323.666666666668</v>
      </c>
      <c r="E9" s="712" t="s">
        <v>1218</v>
      </c>
      <c r="F9" s="710" t="s">
        <v>25</v>
      </c>
      <c r="G9" s="713">
        <f>H9/D9</f>
        <v>52.999999835987602</v>
      </c>
      <c r="H9" s="711">
        <f t="array" ref="H9">SUM(IF((BD_CONTRATOS_GRAOS!F:F='19-Contratos graos 1415'!B9)*(BD_CONTRATOS_GRAOS!H:H='19-Contratos graos 1415'!C9)*(BD_CONTRATOS_GRAOS!J:J='19-Contratos graos 1415'!F9),BD_CONTRATOS_GRAOS!L:L))</f>
        <v>1077154.33</v>
      </c>
      <c r="I9" s="713">
        <f t="shared" ref="I9:I15" si="0">IF($F$7:$F$15=$F$7,H9,H9*$H$23)</f>
        <v>1077154.33</v>
      </c>
      <c r="J9" s="732">
        <f t="array" ref="J9">SUM(IF((BD_CONTRATOS_GRAOS!$F$2:$F$107='19-Contratos graos 1415'!B9)*(BD_CONTRATOS_GRAOS!$J$2:$J$107='19-Contratos graos 1415'!F9)*(BD_CONTRATOS_GRAOS!$H$2:$H$107='19-Contratos graos 1415'!C9),BD_CONTRATOS_GRAOS!$N$2:$N$107))/60</f>
        <v>20323.666666666668</v>
      </c>
      <c r="K9" s="733">
        <f t="array" ref="K9">SUM(IF((BD_CONTRATOS_GRAOS!$F$2:$F$107='19-Contratos graos 1415'!B9)*(BD_CONTRATOS_GRAOS!$J$2:$J$107='19-Contratos graos 1415'!F9)*(BD_CONTRATOS_GRAOS!$H$2:$H$107='19-Contratos graos 1415'!C9),BD_CONTRATOS_GRAOS!$Q$2:$Q$107))</f>
        <v>0</v>
      </c>
    </row>
    <row r="10" spans="2:11" s="297" customFormat="1" ht="15.75">
      <c r="B10" s="714" t="s">
        <v>4516</v>
      </c>
      <c r="C10" s="714" t="s">
        <v>4515</v>
      </c>
      <c r="D10" s="715">
        <f t="array" ref="D10">SUM(IF((BD_CONTRATOS_GRAOS!F:F='19-Contratos graos 1415'!B10)*(BD_CONTRATOS_GRAOS!H:H='19-Contratos graos 1415'!C10)*(BD_CONTRATOS_GRAOS!J:J='19-Contratos graos 1415'!F10),BD_CONTRATOS_GRAOS!K:K))/60</f>
        <v>40000</v>
      </c>
      <c r="E10" s="716" t="s">
        <v>1218</v>
      </c>
      <c r="F10" s="714" t="s">
        <v>25</v>
      </c>
      <c r="G10" s="717">
        <f t="shared" ref="G10:G15" si="1">H10/D10</f>
        <v>56.75</v>
      </c>
      <c r="H10" s="715">
        <f t="array" ref="H10">SUM(IF((BD_CONTRATOS_GRAOS!F:F='19-Contratos graos 1415'!B10)*(BD_CONTRATOS_GRAOS!H:H='19-Contratos graos 1415'!C10)*(BD_CONTRATOS_GRAOS!J:J='19-Contratos graos 1415'!F10),BD_CONTRATOS_GRAOS!L:L))</f>
        <v>2270000</v>
      </c>
      <c r="I10" s="717">
        <f t="shared" si="0"/>
        <v>2270000</v>
      </c>
      <c r="J10" s="734">
        <f t="array" ref="J10">SUM(IF((BD_CONTRATOS_GRAOS!$F$2:$F$107='19-Contratos graos 1415'!B10)*(BD_CONTRATOS_GRAOS!$J$2:$J$107='19-Contratos graos 1415'!F10)*(BD_CONTRATOS_GRAOS!$H$2:$H$107='19-Contratos graos 1415'!C10),BD_CONTRATOS_GRAOS!$N$2:$N$107))/60</f>
        <v>40000.949999999997</v>
      </c>
      <c r="K10" s="735">
        <f t="array" ref="K10">SUM(IF((BD_CONTRATOS_GRAOS!$F$2:$F$107='19-Contratos graos 1415'!B10)*(BD_CONTRATOS_GRAOS!$J$2:$J$107='19-Contratos graos 1415'!F10)*(BD_CONTRATOS_GRAOS!$H$2:$H$107='19-Contratos graos 1415'!C10),BD_CONTRATOS_GRAOS!$Q$2:$Q$107))</f>
        <v>0</v>
      </c>
    </row>
    <row r="11" spans="2:11" s="297" customFormat="1" ht="15.75">
      <c r="B11" s="710" t="s">
        <v>1481</v>
      </c>
      <c r="C11" s="710" t="s">
        <v>4515</v>
      </c>
      <c r="D11" s="711">
        <f t="array" ref="D11">SUM(IF((BD_CONTRATOS_GRAOS!F:F='19-Contratos graos 1415'!B11)*(BD_CONTRATOS_GRAOS!H:H='19-Contratos graos 1415'!C11)*(BD_CONTRATOS_GRAOS!J:J='19-Contratos graos 1415'!F11),BD_CONTRATOS_GRAOS!K:K))/60</f>
        <v>20323.666666666668</v>
      </c>
      <c r="E11" s="712" t="s">
        <v>1218</v>
      </c>
      <c r="F11" s="710" t="s">
        <v>25</v>
      </c>
      <c r="G11" s="713">
        <f t="shared" si="1"/>
        <v>52.999999835987602</v>
      </c>
      <c r="H11" s="711">
        <f t="array" ref="H11">SUM(IF((BD_CONTRATOS_GRAOS!F:F='19-Contratos graos 1415'!B11)*(BD_CONTRATOS_GRAOS!H:H='19-Contratos graos 1415'!C11)*(BD_CONTRATOS_GRAOS!J:J='19-Contratos graos 1415'!F11),BD_CONTRATOS_GRAOS!L:L))</f>
        <v>1077154.33</v>
      </c>
      <c r="I11" s="713">
        <f t="shared" si="0"/>
        <v>1077154.33</v>
      </c>
      <c r="J11" s="732">
        <f t="array" ref="J11">SUM(IF((BD_CONTRATOS_GRAOS!$F$2:$F$107='19-Contratos graos 1415'!B11)*(BD_CONTRATOS_GRAOS!$J$2:$J$107='19-Contratos graos 1415'!F11)*(BD_CONTRATOS_GRAOS!$H$2:$H$107='19-Contratos graos 1415'!C11),BD_CONTRATOS_GRAOS!$N$2:$N$107))/60</f>
        <v>20323.666666666668</v>
      </c>
      <c r="K11" s="733">
        <f t="array" ref="K11">SUM(IF((BD_CONTRATOS_GRAOS!$F$2:$F$107='19-Contratos graos 1415'!B11)*(BD_CONTRATOS_GRAOS!$J$2:$J$107='19-Contratos graos 1415'!F11)*(BD_CONTRATOS_GRAOS!$H$2:$H$107='19-Contratos graos 1415'!C11),BD_CONTRATOS_GRAOS!$Q$2:$Q$107))</f>
        <v>0</v>
      </c>
    </row>
    <row r="12" spans="2:11" s="297" customFormat="1" ht="15.75">
      <c r="B12" s="714" t="s">
        <v>4516</v>
      </c>
      <c r="C12" s="714" t="s">
        <v>4515</v>
      </c>
      <c r="D12" s="715">
        <f t="array" ref="D12">SUM(IF((BD_CONTRATOS_GRAOS!F:F='19-Contratos graos 1415'!B12)*(BD_CONTRATOS_GRAOS!H:H='19-Contratos graos 1415'!C12)*(BD_CONTRATOS_GRAOS!J:J='19-Contratos graos 1415'!F12),BD_CONTRATOS_GRAOS!K:K))/60</f>
        <v>40000</v>
      </c>
      <c r="E12" s="716" t="s">
        <v>1218</v>
      </c>
      <c r="F12" s="714" t="s">
        <v>25</v>
      </c>
      <c r="G12" s="717">
        <f t="shared" si="1"/>
        <v>56.75</v>
      </c>
      <c r="H12" s="715">
        <f t="array" ref="H12">SUM(IF((BD_CONTRATOS_GRAOS!F:F='19-Contratos graos 1415'!B12)*(BD_CONTRATOS_GRAOS!H:H='19-Contratos graos 1415'!C12)*(BD_CONTRATOS_GRAOS!J:J='19-Contratos graos 1415'!F12),BD_CONTRATOS_GRAOS!L:L))</f>
        <v>2270000</v>
      </c>
      <c r="I12" s="717">
        <f t="shared" si="0"/>
        <v>2270000</v>
      </c>
      <c r="J12" s="734">
        <f t="array" ref="J12">SUM(IF((BD_CONTRATOS_GRAOS!$F$2:$F$107='19-Contratos graos 1415'!B12)*(BD_CONTRATOS_GRAOS!$J$2:$J$107='19-Contratos graos 1415'!F12)*(BD_CONTRATOS_GRAOS!$H$2:$H$107='19-Contratos graos 1415'!C12),BD_CONTRATOS_GRAOS!$N$2:$N$107))/60</f>
        <v>40000.949999999997</v>
      </c>
      <c r="K12" s="735">
        <f t="array" ref="K12">SUM(IF((BD_CONTRATOS_GRAOS!$F$2:$F$107='19-Contratos graos 1415'!B12)*(BD_CONTRATOS_GRAOS!$J$2:$J$107='19-Contratos graos 1415'!F12)*(BD_CONTRATOS_GRAOS!$H$2:$H$107='19-Contratos graos 1415'!C12),BD_CONTRATOS_GRAOS!$Q$2:$Q$107))</f>
        <v>0</v>
      </c>
    </row>
    <row r="13" spans="2:11" s="297" customFormat="1" ht="15.75">
      <c r="B13" s="710" t="s">
        <v>1481</v>
      </c>
      <c r="C13" s="710" t="s">
        <v>4515</v>
      </c>
      <c r="D13" s="711">
        <f t="array" ref="D13">SUM(IF((BD_CONTRATOS_GRAOS!F:F='19-Contratos graos 1415'!B13)*(BD_CONTRATOS_GRAOS!H:H='19-Contratos graos 1415'!C13)*(BD_CONTRATOS_GRAOS!J:J='19-Contratos graos 1415'!F13),BD_CONTRATOS_GRAOS!K:K))/60</f>
        <v>20323.666666666668</v>
      </c>
      <c r="E13" s="712" t="s">
        <v>1218</v>
      </c>
      <c r="F13" s="710" t="s">
        <v>25</v>
      </c>
      <c r="G13" s="713">
        <f t="shared" si="1"/>
        <v>52.999999835987602</v>
      </c>
      <c r="H13" s="711">
        <f t="array" ref="H13">SUM(IF((BD_CONTRATOS_GRAOS!F:F='19-Contratos graos 1415'!B13)*(BD_CONTRATOS_GRAOS!H:H='19-Contratos graos 1415'!C13)*(BD_CONTRATOS_GRAOS!J:J='19-Contratos graos 1415'!F13),BD_CONTRATOS_GRAOS!L:L))</f>
        <v>1077154.33</v>
      </c>
      <c r="I13" s="713">
        <f t="shared" si="0"/>
        <v>1077154.33</v>
      </c>
      <c r="J13" s="732">
        <f t="array" ref="J13">SUM(IF((BD_CONTRATOS_GRAOS!$F$2:$F$107='19-Contratos graos 1415'!B13)*(BD_CONTRATOS_GRAOS!$J$2:$J$107='19-Contratos graos 1415'!F13)*(BD_CONTRATOS_GRAOS!$H$2:$H$107='19-Contratos graos 1415'!C13),BD_CONTRATOS_GRAOS!$N$2:$N$107))/60</f>
        <v>20323.666666666668</v>
      </c>
      <c r="K13" s="733">
        <f t="array" ref="K13">SUM(IF((BD_CONTRATOS_GRAOS!$F$2:$F$107='19-Contratos graos 1415'!B13)*(BD_CONTRATOS_GRAOS!$J$2:$J$107='19-Contratos graos 1415'!F13)*(BD_CONTRATOS_GRAOS!$H$2:$H$107='19-Contratos graos 1415'!C13),BD_CONTRATOS_GRAOS!$Q$2:$Q$107))</f>
        <v>0</v>
      </c>
    </row>
    <row r="14" spans="2:11" s="297" customFormat="1" ht="15.75">
      <c r="B14" s="714" t="s">
        <v>4516</v>
      </c>
      <c r="C14" s="714" t="s">
        <v>4515</v>
      </c>
      <c r="D14" s="715">
        <f t="array" ref="D14">SUM(IF((BD_CONTRATOS_GRAOS!F:F='19-Contratos graos 1415'!B14)*(BD_CONTRATOS_GRAOS!H:H='19-Contratos graos 1415'!C14)*(BD_CONTRATOS_GRAOS!J:J='19-Contratos graos 1415'!F14),BD_CONTRATOS_GRAOS!K:K))/60</f>
        <v>40000</v>
      </c>
      <c r="E14" s="716" t="s">
        <v>1218</v>
      </c>
      <c r="F14" s="714" t="s">
        <v>25</v>
      </c>
      <c r="G14" s="717">
        <f t="shared" si="1"/>
        <v>56.75</v>
      </c>
      <c r="H14" s="715">
        <f t="array" ref="H14">SUM(IF((BD_CONTRATOS_GRAOS!F:F='19-Contratos graos 1415'!B14)*(BD_CONTRATOS_GRAOS!H:H='19-Contratos graos 1415'!C14)*(BD_CONTRATOS_GRAOS!J:J='19-Contratos graos 1415'!F14),BD_CONTRATOS_GRAOS!L:L))</f>
        <v>2270000</v>
      </c>
      <c r="I14" s="717">
        <f t="shared" si="0"/>
        <v>2270000</v>
      </c>
      <c r="J14" s="734">
        <f t="array" ref="J14">SUM(IF((BD_CONTRATOS_GRAOS!$F$2:$F$107='19-Contratos graos 1415'!B14)*(BD_CONTRATOS_GRAOS!$J$2:$J$107='19-Contratos graos 1415'!F14)*(BD_CONTRATOS_GRAOS!$H$2:$H$107='19-Contratos graos 1415'!C14),BD_CONTRATOS_GRAOS!$N$2:$N$107))/60</f>
        <v>40000.949999999997</v>
      </c>
      <c r="K14" s="735">
        <f t="array" ref="K14">SUM(IF((BD_CONTRATOS_GRAOS!$F$2:$F$107='19-Contratos graos 1415'!B14)*(BD_CONTRATOS_GRAOS!$J$2:$J$107='19-Contratos graos 1415'!F14)*(BD_CONTRATOS_GRAOS!$H$2:$H$107='19-Contratos graos 1415'!C14),BD_CONTRATOS_GRAOS!$Q$2:$Q$107))</f>
        <v>0</v>
      </c>
    </row>
    <row r="15" spans="2:11" s="297" customFormat="1" ht="15.75">
      <c r="B15" s="710" t="s">
        <v>1481</v>
      </c>
      <c r="C15" s="710" t="s">
        <v>4515</v>
      </c>
      <c r="D15" s="711">
        <f t="array" ref="D15">SUM(IF((BD_CONTRATOS_GRAOS!F:F='19-Contratos graos 1415'!B15)*(BD_CONTRATOS_GRAOS!H:H='19-Contratos graos 1415'!C15)*(BD_CONTRATOS_GRAOS!J:J='19-Contratos graos 1415'!F15),BD_CONTRATOS_GRAOS!K:K))/60</f>
        <v>20323.666666666668</v>
      </c>
      <c r="E15" s="712" t="s">
        <v>1218</v>
      </c>
      <c r="F15" s="710" t="s">
        <v>25</v>
      </c>
      <c r="G15" s="713">
        <f t="shared" si="1"/>
        <v>52.999999835987602</v>
      </c>
      <c r="H15" s="711">
        <f t="array" ref="H15">SUM(IF((BD_CONTRATOS_GRAOS!F:F='19-Contratos graos 1415'!B15)*(BD_CONTRATOS_GRAOS!H:H='19-Contratos graos 1415'!C15)*(BD_CONTRATOS_GRAOS!J:J='19-Contratos graos 1415'!F15),BD_CONTRATOS_GRAOS!L:L))</f>
        <v>1077154.33</v>
      </c>
      <c r="I15" s="713">
        <f t="shared" si="0"/>
        <v>1077154.33</v>
      </c>
      <c r="J15" s="732">
        <f t="array" ref="J15">SUM(IF((BD_CONTRATOS_GRAOS!$F$2:$F$107='19-Contratos graos 1415'!B15)*(BD_CONTRATOS_GRAOS!$J$2:$J$107='19-Contratos graos 1415'!F15)*(BD_CONTRATOS_GRAOS!$H$2:$H$107='19-Contratos graos 1415'!C15),BD_CONTRATOS_GRAOS!$N$2:$N$107))/60</f>
        <v>20323.666666666668</v>
      </c>
      <c r="K15" s="733">
        <f t="array" ref="K15">SUM(IF((BD_CONTRATOS_GRAOS!$F$2:$F$107='19-Contratos graos 1415'!B15)*(BD_CONTRATOS_GRAOS!$J$2:$J$107='19-Contratos graos 1415'!F15)*(BD_CONTRATOS_GRAOS!$H$2:$H$107='19-Contratos graos 1415'!C15),BD_CONTRATOS_GRAOS!$Q$2:$Q$107))</f>
        <v>0</v>
      </c>
    </row>
    <row r="16" spans="2:11" s="297" customFormat="1" ht="7.5" customHeight="1">
      <c r="B16" s="736"/>
      <c r="C16" s="737"/>
      <c r="D16" s="738"/>
      <c r="E16" s="737"/>
      <c r="F16" s="737"/>
      <c r="G16" s="739"/>
      <c r="H16" s="740"/>
      <c r="I16" s="737"/>
      <c r="J16" s="419"/>
      <c r="K16" s="419"/>
    </row>
    <row r="17" spans="2:11" s="493" customFormat="1" ht="15.75">
      <c r="B17" s="971" t="s">
        <v>1447</v>
      </c>
      <c r="C17" s="971"/>
      <c r="D17" s="721">
        <f>SUM(D7:D15)</f>
        <v>261618.33333333331</v>
      </c>
      <c r="E17" s="721"/>
      <c r="F17" s="721"/>
      <c r="G17" s="721"/>
      <c r="H17" s="721"/>
      <c r="I17" s="741">
        <f>SUM(I7:I15)</f>
        <v>14465771.65</v>
      </c>
      <c r="J17" s="741">
        <f>SUM(J7:J15)</f>
        <v>261622.13333333327</v>
      </c>
      <c r="K17" s="741">
        <f>SUM(K7:K15)</f>
        <v>0</v>
      </c>
    </row>
    <row r="18" spans="2:11" s="493" customFormat="1" ht="15.75">
      <c r="B18" s="722"/>
      <c r="C18" s="723"/>
      <c r="D18" s="723"/>
      <c r="E18" s="723"/>
      <c r="F18" s="723"/>
      <c r="G18" s="723"/>
      <c r="H18" s="724"/>
      <c r="I18" s="724"/>
      <c r="J18" s="742"/>
      <c r="K18" s="743"/>
    </row>
    <row r="19" spans="2:11" s="297" customFormat="1" ht="15.75">
      <c r="B19" s="469"/>
      <c r="C19" s="469"/>
      <c r="D19" s="469"/>
      <c r="E19" s="974" t="s">
        <v>1228</v>
      </c>
      <c r="F19" s="974"/>
      <c r="G19" s="744">
        <f>SUMIF(F7:F15,F14,D7:D15)</f>
        <v>261618.33333333331</v>
      </c>
      <c r="H19" s="725">
        <f>I19/G19</f>
        <v>55.293417191710574</v>
      </c>
      <c r="I19" s="744">
        <f>SUMIF(F7:F15,F14,H7:H15)</f>
        <v>14465771.65</v>
      </c>
      <c r="J19" s="744">
        <f>SUMIF(F7:F15,F14,J7:J15)</f>
        <v>261622.13333333327</v>
      </c>
      <c r="K19" s="744">
        <f>SUMIF(F7:F15,F14,K7:K15)</f>
        <v>0</v>
      </c>
    </row>
    <row r="20" spans="2:11" s="297" customFormat="1" ht="15.75">
      <c r="B20" s="469"/>
      <c r="C20" s="469"/>
      <c r="D20" s="469"/>
      <c r="E20" s="974" t="s">
        <v>1229</v>
      </c>
      <c r="F20" s="974"/>
      <c r="G20" s="744">
        <f>SUMIF(F7:F15,F15,D7:D15)</f>
        <v>261618.33333333331</v>
      </c>
      <c r="H20" s="725">
        <f>I20/G20</f>
        <v>55.293417191710574</v>
      </c>
      <c r="I20" s="744">
        <f>SUMIF(F7:F15,F15,H7:H15)</f>
        <v>14465771.65</v>
      </c>
      <c r="J20" s="744">
        <f>SUMIF(F7:F15,F15,J7:J15)</f>
        <v>261622.13333333327</v>
      </c>
      <c r="K20" s="744">
        <f>SUMIF(F7:F15,F15,K7:K15)</f>
        <v>0</v>
      </c>
    </row>
    <row r="21" spans="2:11" s="297" customFormat="1" ht="15.75">
      <c r="B21" s="402"/>
      <c r="C21" s="402"/>
      <c r="D21" s="402"/>
      <c r="E21" s="402"/>
      <c r="F21" s="402"/>
      <c r="G21" s="402"/>
      <c r="H21" s="595"/>
      <c r="I21" s="595"/>
      <c r="J21" s="402"/>
      <c r="K21" s="402"/>
    </row>
    <row r="22" spans="2:11" s="297" customFormat="1" ht="15.75">
      <c r="B22" s="402"/>
      <c r="C22" s="402"/>
      <c r="D22" s="402"/>
      <c r="E22" s="402"/>
      <c r="F22" s="402"/>
      <c r="G22" s="402"/>
      <c r="H22" s="595"/>
      <c r="I22" s="595"/>
      <c r="J22" s="402"/>
      <c r="K22" s="402"/>
    </row>
    <row r="23" spans="2:11" s="297" customFormat="1" ht="15.75">
      <c r="B23" s="402" t="s">
        <v>6</v>
      </c>
      <c r="C23" s="975">
        <v>42359</v>
      </c>
      <c r="D23" s="975"/>
      <c r="E23" s="975"/>
      <c r="F23" s="729" t="s">
        <v>22</v>
      </c>
      <c r="G23" s="730" t="s">
        <v>1103</v>
      </c>
      <c r="H23" s="731">
        <v>2.9197000000000002</v>
      </c>
      <c r="I23" s="595"/>
      <c r="J23" s="402"/>
      <c r="K23" s="402"/>
    </row>
    <row r="81" spans="4:9">
      <c r="D81" s="285"/>
    </row>
    <row r="94" spans="4:9">
      <c r="D94" s="399"/>
      <c r="E94" s="399"/>
    </row>
    <row r="96" spans="4:9">
      <c r="H96" s="225"/>
      <c r="I96" s="225"/>
    </row>
  </sheetData>
  <sheetCalcPr fullCalcOnLoad="1"/>
  <sheetProtection selectLockedCells="1" selectUnlockedCells="1"/>
  <mergeCells count="4">
    <mergeCell ref="C23:E23"/>
    <mergeCell ref="B17:C17"/>
    <mergeCell ref="E19:F19"/>
    <mergeCell ref="E20:F20"/>
  </mergeCells>
  <pageMargins left="0.511811024" right="0.511811024" top="0.78740157499999996" bottom="0.78740157499999996" header="0.31496062000000002" footer="0.31496062000000002"/>
  <pageSetup paperSize="9" scale="67" firstPageNumber="0" orientation="landscape" horizontalDpi="200" verticalDpi="2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V10141"/>
  <sheetViews>
    <sheetView topLeftCell="I1" zoomScale="80" zoomScaleNormal="80" workbookViewId="0">
      <selection activeCell="S313" activeCellId="1" sqref="S17 S313"/>
    </sheetView>
  </sheetViews>
  <sheetFormatPr defaultRowHeight="15"/>
  <cols>
    <col min="1" max="1" width="10" bestFit="1" customWidth="1"/>
    <col min="2" max="2" width="5.85546875" customWidth="1"/>
    <col min="3" max="3" width="14.42578125" bestFit="1" customWidth="1"/>
    <col min="4" max="4" width="41.42578125" bestFit="1" customWidth="1"/>
    <col min="5" max="5" width="51.42578125" hidden="1" customWidth="1"/>
    <col min="6" max="6" width="52.140625" customWidth="1"/>
    <col min="7" max="7" width="25.140625" customWidth="1"/>
    <col min="8" max="8" width="21.28515625" customWidth="1"/>
    <col min="9" max="9" width="17.140625" bestFit="1" customWidth="1"/>
    <col min="10" max="10" width="57.7109375" customWidth="1"/>
    <col min="11" max="11" width="15.28515625" customWidth="1"/>
    <col min="12" max="12" width="18.7109375" customWidth="1"/>
    <col min="13" max="13" width="17.140625" customWidth="1"/>
    <col min="14" max="14" width="17.42578125" customWidth="1"/>
    <col min="15" max="15" width="18.5703125" customWidth="1"/>
    <col min="16" max="16" width="20.5703125" customWidth="1"/>
    <col min="17" max="17" width="12.28515625" customWidth="1"/>
    <col min="18" max="18" width="8.7109375" customWidth="1"/>
    <col min="19" max="19" width="23.5703125" customWidth="1"/>
    <col min="20" max="20" width="49.5703125" customWidth="1"/>
    <col min="21" max="21" width="81.140625" customWidth="1"/>
    <col min="22" max="22" width="17.140625" bestFit="1" customWidth="1"/>
  </cols>
  <sheetData>
    <row r="4" spans="3:22">
      <c r="F4" t="s">
        <v>4632</v>
      </c>
      <c r="G4" t="s">
        <v>4633</v>
      </c>
      <c r="H4" t="s">
        <v>4634</v>
      </c>
      <c r="I4" t="s">
        <v>4635</v>
      </c>
      <c r="J4" t="s">
        <v>4508</v>
      </c>
      <c r="K4" t="s">
        <v>4636</v>
      </c>
      <c r="L4" t="s">
        <v>4637</v>
      </c>
      <c r="M4" t="s">
        <v>4638</v>
      </c>
      <c r="N4" t="s">
        <v>4511</v>
      </c>
      <c r="O4" t="s">
        <v>4639</v>
      </c>
      <c r="P4" t="s">
        <v>4640</v>
      </c>
      <c r="Q4" t="s">
        <v>4539</v>
      </c>
      <c r="R4" t="s">
        <v>1103</v>
      </c>
      <c r="S4" t="s">
        <v>4641</v>
      </c>
      <c r="T4" t="s">
        <v>4642</v>
      </c>
      <c r="U4" t="s">
        <v>4643</v>
      </c>
      <c r="V4" t="s">
        <v>4644</v>
      </c>
    </row>
    <row r="5" spans="3:22" hidden="1">
      <c r="C5" s="156"/>
      <c r="F5" t="s">
        <v>1230</v>
      </c>
      <c r="G5" t="s">
        <v>71</v>
      </c>
      <c r="H5" s="156" t="s">
        <v>6001</v>
      </c>
      <c r="I5" s="156">
        <v>42327</v>
      </c>
      <c r="J5" s="156" t="s">
        <v>4645</v>
      </c>
      <c r="K5">
        <v>17101002</v>
      </c>
      <c r="L5" s="156" t="s">
        <v>6002</v>
      </c>
      <c r="M5" s="156">
        <v>42327</v>
      </c>
      <c r="N5" t="s">
        <v>25</v>
      </c>
      <c r="O5">
        <v>70000</v>
      </c>
      <c r="Q5">
        <v>70000</v>
      </c>
      <c r="R5">
        <v>1</v>
      </c>
      <c r="S5">
        <v>70000</v>
      </c>
      <c r="T5" t="s">
        <v>4665</v>
      </c>
      <c r="U5" t="s">
        <v>6003</v>
      </c>
      <c r="V5" s="156">
        <v>42359</v>
      </c>
    </row>
    <row r="6" spans="3:22" hidden="1">
      <c r="C6" s="156"/>
      <c r="F6" t="s">
        <v>1230</v>
      </c>
      <c r="G6" t="s">
        <v>72</v>
      </c>
      <c r="H6" s="156" t="s">
        <v>4975</v>
      </c>
      <c r="I6" s="156">
        <v>41428</v>
      </c>
      <c r="J6" s="156" t="s">
        <v>4645</v>
      </c>
      <c r="K6">
        <v>11101001</v>
      </c>
      <c r="L6" s="156" t="s">
        <v>4976</v>
      </c>
      <c r="M6" s="156">
        <v>42400</v>
      </c>
      <c r="N6" t="s">
        <v>25</v>
      </c>
      <c r="O6">
        <v>291600</v>
      </c>
      <c r="P6">
        <v>0</v>
      </c>
      <c r="Q6" s="121">
        <v>291600</v>
      </c>
      <c r="R6">
        <v>1</v>
      </c>
      <c r="S6">
        <v>291600</v>
      </c>
      <c r="T6" t="s">
        <v>4646</v>
      </c>
      <c r="U6" t="s">
        <v>4977</v>
      </c>
      <c r="V6" s="156">
        <v>42359</v>
      </c>
    </row>
    <row r="7" spans="3:22" hidden="1">
      <c r="C7" s="156"/>
      <c r="F7" t="s">
        <v>1230</v>
      </c>
      <c r="G7" t="s">
        <v>1012</v>
      </c>
      <c r="H7" s="156" t="s">
        <v>5868</v>
      </c>
      <c r="I7" s="156">
        <v>42371</v>
      </c>
      <c r="J7" s="156" t="s">
        <v>4516</v>
      </c>
      <c r="K7">
        <v>11101005</v>
      </c>
      <c r="L7" s="156" t="s">
        <v>5869</v>
      </c>
      <c r="M7" s="156">
        <v>42643</v>
      </c>
      <c r="N7" t="s">
        <v>25</v>
      </c>
      <c r="O7">
        <v>48300</v>
      </c>
      <c r="P7">
        <v>0</v>
      </c>
      <c r="Q7">
        <v>48300</v>
      </c>
      <c r="R7">
        <v>1</v>
      </c>
      <c r="S7">
        <v>48300</v>
      </c>
      <c r="T7" t="s">
        <v>4709</v>
      </c>
      <c r="U7" t="s">
        <v>5850</v>
      </c>
      <c r="V7" s="156">
        <v>42359</v>
      </c>
    </row>
    <row r="8" spans="3:22" hidden="1">
      <c r="C8" s="156"/>
      <c r="F8" t="s">
        <v>1230</v>
      </c>
      <c r="G8" t="s">
        <v>72</v>
      </c>
      <c r="H8" s="156" t="s">
        <v>5851</v>
      </c>
      <c r="I8" s="156">
        <v>42371</v>
      </c>
      <c r="J8" s="156" t="s">
        <v>4516</v>
      </c>
      <c r="K8">
        <v>11101005</v>
      </c>
      <c r="L8" s="156" t="s">
        <v>5852</v>
      </c>
      <c r="M8" s="156">
        <v>42674</v>
      </c>
      <c r="N8" t="s">
        <v>25</v>
      </c>
      <c r="O8">
        <v>3712600</v>
      </c>
      <c r="Q8">
        <v>3712600</v>
      </c>
      <c r="R8">
        <v>1</v>
      </c>
      <c r="S8">
        <v>3712600</v>
      </c>
      <c r="T8" t="s">
        <v>4709</v>
      </c>
      <c r="U8" t="s">
        <v>5853</v>
      </c>
      <c r="V8" s="156">
        <v>42359</v>
      </c>
    </row>
    <row r="9" spans="3:22" hidden="1">
      <c r="C9" s="156"/>
      <c r="F9" t="s">
        <v>1230</v>
      </c>
      <c r="G9" t="s">
        <v>72</v>
      </c>
      <c r="H9" s="156" t="s">
        <v>5854</v>
      </c>
      <c r="I9" s="156">
        <v>42371</v>
      </c>
      <c r="J9" s="156" t="s">
        <v>4516</v>
      </c>
      <c r="K9">
        <v>11101005</v>
      </c>
      <c r="L9" s="156" t="s">
        <v>5855</v>
      </c>
      <c r="M9" s="156">
        <v>42643</v>
      </c>
      <c r="N9" t="s">
        <v>25</v>
      </c>
      <c r="O9">
        <v>6008550</v>
      </c>
      <c r="Q9">
        <v>6008550</v>
      </c>
      <c r="R9">
        <v>1</v>
      </c>
      <c r="S9">
        <v>6008550</v>
      </c>
      <c r="T9" t="s">
        <v>4709</v>
      </c>
      <c r="U9" t="s">
        <v>5856</v>
      </c>
      <c r="V9" s="156">
        <v>42359</v>
      </c>
    </row>
    <row r="10" spans="3:22" hidden="1">
      <c r="C10" s="156"/>
      <c r="F10" t="s">
        <v>1230</v>
      </c>
      <c r="G10" t="s">
        <v>72</v>
      </c>
      <c r="H10" s="156" t="s">
        <v>5857</v>
      </c>
      <c r="I10" s="156">
        <v>42371</v>
      </c>
      <c r="J10" s="156" t="s">
        <v>4516</v>
      </c>
      <c r="K10">
        <v>11101001</v>
      </c>
      <c r="L10" s="156" t="s">
        <v>5858</v>
      </c>
      <c r="M10" s="156">
        <v>42453</v>
      </c>
      <c r="N10" t="s">
        <v>25</v>
      </c>
      <c r="O10">
        <v>6716221.0999999996</v>
      </c>
      <c r="Q10">
        <v>6716221.0999999996</v>
      </c>
      <c r="R10">
        <v>1</v>
      </c>
      <c r="S10">
        <v>6716221.0999999996</v>
      </c>
      <c r="T10" t="s">
        <v>4646</v>
      </c>
      <c r="U10" t="s">
        <v>5859</v>
      </c>
      <c r="V10" s="156">
        <v>42359</v>
      </c>
    </row>
    <row r="11" spans="3:22" hidden="1">
      <c r="C11" s="156"/>
      <c r="F11" t="s">
        <v>5046</v>
      </c>
      <c r="G11" t="s">
        <v>71</v>
      </c>
      <c r="H11" s="156" t="s">
        <v>6004</v>
      </c>
      <c r="I11" s="156">
        <v>42354</v>
      </c>
      <c r="J11" s="156" t="s">
        <v>4767</v>
      </c>
      <c r="K11">
        <v>19105017</v>
      </c>
      <c r="L11" s="156" t="s">
        <v>6005</v>
      </c>
      <c r="M11" s="156">
        <v>42354</v>
      </c>
      <c r="N11" t="s">
        <v>25</v>
      </c>
      <c r="O11">
        <v>73.489999999999995</v>
      </c>
      <c r="P11">
        <v>0</v>
      </c>
      <c r="Q11">
        <v>73.489999999999995</v>
      </c>
      <c r="R11">
        <v>1</v>
      </c>
      <c r="S11">
        <v>73.489999999999995</v>
      </c>
      <c r="T11" t="s">
        <v>4768</v>
      </c>
      <c r="U11" t="s">
        <v>6006</v>
      </c>
      <c r="V11" s="156">
        <v>42359</v>
      </c>
    </row>
    <row r="12" spans="3:22" hidden="1">
      <c r="C12" s="156"/>
      <c r="F12" t="s">
        <v>1231</v>
      </c>
      <c r="G12" t="s">
        <v>71</v>
      </c>
      <c r="H12" s="156" t="s">
        <v>6007</v>
      </c>
      <c r="I12" s="156">
        <v>42356</v>
      </c>
      <c r="J12" s="156" t="s">
        <v>4767</v>
      </c>
      <c r="K12">
        <v>19105017</v>
      </c>
      <c r="L12" s="156" t="s">
        <v>6008</v>
      </c>
      <c r="M12" s="156">
        <v>42366</v>
      </c>
      <c r="N12" t="s">
        <v>25</v>
      </c>
      <c r="O12">
        <v>1526.8</v>
      </c>
      <c r="P12">
        <v>0</v>
      </c>
      <c r="Q12">
        <v>1526.8</v>
      </c>
      <c r="R12">
        <v>1</v>
      </c>
      <c r="S12">
        <v>1526.8</v>
      </c>
      <c r="T12" t="s">
        <v>4768</v>
      </c>
      <c r="U12" t="s">
        <v>6009</v>
      </c>
      <c r="V12" s="156">
        <v>42359</v>
      </c>
    </row>
    <row r="13" spans="3:22" hidden="1">
      <c r="C13" s="156"/>
      <c r="F13" t="s">
        <v>1230</v>
      </c>
      <c r="G13" t="s">
        <v>71</v>
      </c>
      <c r="H13" s="156" t="s">
        <v>4648</v>
      </c>
      <c r="I13" s="156">
        <v>41284</v>
      </c>
      <c r="J13" s="156" t="s">
        <v>4649</v>
      </c>
      <c r="K13">
        <v>15103010</v>
      </c>
      <c r="L13" s="156" t="s">
        <v>4650</v>
      </c>
      <c r="M13" s="156">
        <v>43600</v>
      </c>
      <c r="N13" t="s">
        <v>25</v>
      </c>
      <c r="O13">
        <v>18774.38</v>
      </c>
      <c r="Q13">
        <v>18774.38</v>
      </c>
      <c r="R13">
        <v>1</v>
      </c>
      <c r="S13">
        <v>18774.38</v>
      </c>
      <c r="T13" t="s">
        <v>4651</v>
      </c>
      <c r="U13" t="s">
        <v>4652</v>
      </c>
      <c r="V13" s="156">
        <v>42359</v>
      </c>
    </row>
    <row r="14" spans="3:22" hidden="1">
      <c r="C14" s="156"/>
      <c r="F14" t="s">
        <v>1230</v>
      </c>
      <c r="G14" t="s">
        <v>71</v>
      </c>
      <c r="H14" s="156" t="s">
        <v>4653</v>
      </c>
      <c r="I14" s="156">
        <v>41284</v>
      </c>
      <c r="J14" s="156" t="s">
        <v>4649</v>
      </c>
      <c r="K14">
        <v>15103010</v>
      </c>
      <c r="L14" s="156" t="s">
        <v>4650</v>
      </c>
      <c r="M14" s="156">
        <v>43966</v>
      </c>
      <c r="N14" t="s">
        <v>25</v>
      </c>
      <c r="O14">
        <v>9413.34</v>
      </c>
      <c r="P14">
        <v>0</v>
      </c>
      <c r="Q14">
        <v>9413.34</v>
      </c>
      <c r="R14">
        <v>1</v>
      </c>
      <c r="S14">
        <v>9413.34</v>
      </c>
      <c r="T14" t="s">
        <v>4651</v>
      </c>
      <c r="U14" t="s">
        <v>4652</v>
      </c>
      <c r="V14" s="156">
        <v>42359</v>
      </c>
    </row>
    <row r="15" spans="3:22" hidden="1">
      <c r="C15" s="156"/>
      <c r="F15" t="s">
        <v>1230</v>
      </c>
      <c r="G15" t="s">
        <v>72</v>
      </c>
      <c r="H15" s="156" t="s">
        <v>4654</v>
      </c>
      <c r="I15" s="156">
        <v>41044</v>
      </c>
      <c r="J15" s="156" t="s">
        <v>4649</v>
      </c>
      <c r="K15">
        <v>11107001</v>
      </c>
      <c r="L15" s="156" t="s">
        <v>4655</v>
      </c>
      <c r="M15" s="156">
        <v>42505</v>
      </c>
      <c r="N15" t="s">
        <v>25</v>
      </c>
      <c r="O15">
        <v>28125</v>
      </c>
      <c r="Q15">
        <v>28125</v>
      </c>
      <c r="R15">
        <v>1</v>
      </c>
      <c r="S15">
        <v>28125</v>
      </c>
      <c r="T15" t="s">
        <v>4651</v>
      </c>
      <c r="U15" t="s">
        <v>4656</v>
      </c>
      <c r="V15" s="156">
        <v>42359</v>
      </c>
    </row>
    <row r="16" spans="3:22" hidden="1">
      <c r="C16" s="156"/>
      <c r="F16" t="s">
        <v>1230</v>
      </c>
      <c r="G16" t="s">
        <v>72</v>
      </c>
      <c r="H16" s="156" t="s">
        <v>4657</v>
      </c>
      <c r="I16" s="156">
        <v>41044</v>
      </c>
      <c r="J16" s="156" t="s">
        <v>4649</v>
      </c>
      <c r="K16">
        <v>11107001</v>
      </c>
      <c r="L16" s="156" t="s">
        <v>4658</v>
      </c>
      <c r="M16" s="156">
        <v>43966</v>
      </c>
      <c r="N16" t="s">
        <v>25</v>
      </c>
      <c r="O16">
        <v>28125</v>
      </c>
      <c r="Q16">
        <v>28125</v>
      </c>
      <c r="R16">
        <v>1</v>
      </c>
      <c r="S16">
        <v>28125</v>
      </c>
      <c r="T16" t="s">
        <v>4651</v>
      </c>
      <c r="U16" t="s">
        <v>4659</v>
      </c>
      <c r="V16" s="156">
        <v>42359</v>
      </c>
    </row>
    <row r="17" spans="3:22" hidden="1">
      <c r="C17" s="156"/>
      <c r="F17" t="s">
        <v>1230</v>
      </c>
      <c r="G17" t="s">
        <v>72</v>
      </c>
      <c r="H17" s="156" t="s">
        <v>4660</v>
      </c>
      <c r="I17" s="156">
        <v>41044</v>
      </c>
      <c r="J17" s="156" t="s">
        <v>4649</v>
      </c>
      <c r="K17">
        <v>11107001</v>
      </c>
      <c r="L17" s="156" t="s">
        <v>4661</v>
      </c>
      <c r="M17" s="156">
        <v>43600</v>
      </c>
      <c r="N17" t="s">
        <v>25</v>
      </c>
      <c r="O17">
        <v>28125</v>
      </c>
      <c r="Q17">
        <v>28125</v>
      </c>
      <c r="R17">
        <v>1</v>
      </c>
      <c r="S17" s="121">
        <v>28125</v>
      </c>
      <c r="T17" t="s">
        <v>4651</v>
      </c>
      <c r="U17" t="s">
        <v>4659</v>
      </c>
      <c r="V17" s="156">
        <v>42359</v>
      </c>
    </row>
    <row r="18" spans="3:22" hidden="1">
      <c r="C18" s="156"/>
      <c r="F18" t="s">
        <v>1230</v>
      </c>
      <c r="G18" t="s">
        <v>71</v>
      </c>
      <c r="H18" s="156" t="s">
        <v>4667</v>
      </c>
      <c r="I18" s="156">
        <v>41864</v>
      </c>
      <c r="J18" s="156" t="s">
        <v>4666</v>
      </c>
      <c r="K18">
        <v>11107002</v>
      </c>
      <c r="L18" s="156" t="s">
        <v>4668</v>
      </c>
      <c r="M18" s="156">
        <v>42003</v>
      </c>
      <c r="N18" t="s">
        <v>25</v>
      </c>
      <c r="O18">
        <v>22000</v>
      </c>
      <c r="P18">
        <v>0</v>
      </c>
      <c r="Q18">
        <v>22000</v>
      </c>
      <c r="R18">
        <v>1</v>
      </c>
      <c r="S18">
        <v>22000</v>
      </c>
      <c r="T18" t="s">
        <v>4669</v>
      </c>
      <c r="U18" t="s">
        <v>4670</v>
      </c>
      <c r="V18" s="156">
        <v>42359</v>
      </c>
    </row>
    <row r="19" spans="3:22" hidden="1">
      <c r="C19" s="156"/>
      <c r="F19" t="s">
        <v>1230</v>
      </c>
      <c r="G19" t="s">
        <v>72</v>
      </c>
      <c r="H19" s="156" t="s">
        <v>4672</v>
      </c>
      <c r="I19" s="156">
        <v>41860</v>
      </c>
      <c r="J19" s="156" t="s">
        <v>4673</v>
      </c>
      <c r="K19">
        <v>11101009</v>
      </c>
      <c r="L19" s="156" t="s">
        <v>4674</v>
      </c>
      <c r="M19" s="156">
        <v>41860</v>
      </c>
      <c r="N19" t="s">
        <v>25</v>
      </c>
      <c r="O19">
        <v>23000</v>
      </c>
      <c r="P19">
        <v>19241.8</v>
      </c>
      <c r="Q19">
        <v>3758.2</v>
      </c>
      <c r="R19">
        <v>1</v>
      </c>
      <c r="S19">
        <v>3758.2</v>
      </c>
      <c r="T19" t="s">
        <v>4675</v>
      </c>
      <c r="V19" s="156">
        <v>42359</v>
      </c>
    </row>
    <row r="20" spans="3:22" hidden="1">
      <c r="C20" s="156"/>
      <c r="F20" t="s">
        <v>1230</v>
      </c>
      <c r="G20" t="s">
        <v>72</v>
      </c>
      <c r="H20" s="156" t="s">
        <v>6010</v>
      </c>
      <c r="I20" s="156">
        <v>42342</v>
      </c>
      <c r="J20" s="156" t="s">
        <v>4676</v>
      </c>
      <c r="K20">
        <v>17101002</v>
      </c>
      <c r="L20" s="156" t="s">
        <v>6011</v>
      </c>
      <c r="M20" s="156">
        <v>42342</v>
      </c>
      <c r="N20" t="s">
        <v>25</v>
      </c>
      <c r="O20">
        <v>14620</v>
      </c>
      <c r="Q20">
        <v>14620</v>
      </c>
      <c r="R20">
        <v>1</v>
      </c>
      <c r="S20">
        <v>14620</v>
      </c>
      <c r="T20" t="s">
        <v>4665</v>
      </c>
      <c r="U20" t="s">
        <v>5321</v>
      </c>
      <c r="V20" s="156">
        <v>42359</v>
      </c>
    </row>
    <row r="21" spans="3:22" hidden="1">
      <c r="C21" s="156"/>
      <c r="F21" t="s">
        <v>1230</v>
      </c>
      <c r="G21" t="s">
        <v>1012</v>
      </c>
      <c r="H21" s="156" t="s">
        <v>6012</v>
      </c>
      <c r="I21" s="156">
        <v>42341</v>
      </c>
      <c r="J21" s="156" t="s">
        <v>6013</v>
      </c>
      <c r="K21">
        <v>11102001</v>
      </c>
      <c r="L21" s="156" t="s">
        <v>6014</v>
      </c>
      <c r="M21" s="156">
        <v>42373</v>
      </c>
      <c r="N21" t="s">
        <v>25</v>
      </c>
      <c r="O21">
        <v>33480</v>
      </c>
      <c r="P21">
        <v>0</v>
      </c>
      <c r="Q21">
        <v>33480</v>
      </c>
      <c r="R21">
        <v>1</v>
      </c>
      <c r="S21">
        <v>33480</v>
      </c>
      <c r="T21" t="s">
        <v>6015</v>
      </c>
      <c r="U21" t="s">
        <v>6016</v>
      </c>
      <c r="V21" s="156">
        <v>42359</v>
      </c>
    </row>
    <row r="22" spans="3:22" hidden="1">
      <c r="C22" s="156"/>
      <c r="F22" t="s">
        <v>1230</v>
      </c>
      <c r="G22" t="s">
        <v>1012</v>
      </c>
      <c r="H22" s="156" t="s">
        <v>6017</v>
      </c>
      <c r="I22" s="156">
        <v>42341</v>
      </c>
      <c r="J22" s="156" t="s">
        <v>6013</v>
      </c>
      <c r="K22">
        <v>11102001</v>
      </c>
      <c r="L22" s="156" t="s">
        <v>6018</v>
      </c>
      <c r="M22" s="156">
        <v>42373</v>
      </c>
      <c r="N22" t="s">
        <v>25</v>
      </c>
      <c r="O22">
        <v>33480</v>
      </c>
      <c r="P22">
        <v>0</v>
      </c>
      <c r="Q22">
        <v>33480</v>
      </c>
      <c r="R22">
        <v>1</v>
      </c>
      <c r="S22">
        <v>33480</v>
      </c>
      <c r="T22" t="s">
        <v>6015</v>
      </c>
      <c r="U22" t="s">
        <v>6016</v>
      </c>
      <c r="V22" s="156">
        <v>42359</v>
      </c>
    </row>
    <row r="23" spans="3:22" hidden="1">
      <c r="C23" s="156"/>
      <c r="F23" t="s">
        <v>1230</v>
      </c>
      <c r="G23" t="s">
        <v>1012</v>
      </c>
      <c r="H23" s="156" t="s">
        <v>6019</v>
      </c>
      <c r="I23" s="156">
        <v>42341</v>
      </c>
      <c r="J23" s="156" t="s">
        <v>6013</v>
      </c>
      <c r="K23">
        <v>11102001</v>
      </c>
      <c r="L23" s="156" t="s">
        <v>6020</v>
      </c>
      <c r="M23" s="156">
        <v>42373</v>
      </c>
      <c r="N23" t="s">
        <v>25</v>
      </c>
      <c r="O23">
        <v>33480</v>
      </c>
      <c r="P23">
        <v>0</v>
      </c>
      <c r="Q23">
        <v>33480</v>
      </c>
      <c r="R23">
        <v>1</v>
      </c>
      <c r="S23">
        <v>33480</v>
      </c>
      <c r="T23" t="s">
        <v>6015</v>
      </c>
      <c r="U23" t="s">
        <v>6016</v>
      </c>
      <c r="V23" s="156">
        <v>42359</v>
      </c>
    </row>
    <row r="24" spans="3:22" hidden="1">
      <c r="C24" s="156"/>
      <c r="F24" t="s">
        <v>1230</v>
      </c>
      <c r="G24" t="s">
        <v>1012</v>
      </c>
      <c r="H24" s="156" t="s">
        <v>6021</v>
      </c>
      <c r="I24" s="156">
        <v>42341</v>
      </c>
      <c r="J24" s="156" t="s">
        <v>6013</v>
      </c>
      <c r="K24">
        <v>11102001</v>
      </c>
      <c r="L24" s="156" t="s">
        <v>6022</v>
      </c>
      <c r="M24" s="156">
        <v>42373</v>
      </c>
      <c r="N24" t="s">
        <v>25</v>
      </c>
      <c r="O24">
        <v>33480</v>
      </c>
      <c r="P24">
        <v>0</v>
      </c>
      <c r="Q24">
        <v>33480</v>
      </c>
      <c r="R24">
        <v>1</v>
      </c>
      <c r="S24">
        <v>33480</v>
      </c>
      <c r="T24" t="s">
        <v>6015</v>
      </c>
      <c r="U24" t="s">
        <v>6016</v>
      </c>
      <c r="V24" s="156">
        <v>42359</v>
      </c>
    </row>
    <row r="25" spans="3:22" hidden="1">
      <c r="C25" s="156"/>
      <c r="F25" t="s">
        <v>1230</v>
      </c>
      <c r="G25" t="s">
        <v>6023</v>
      </c>
      <c r="H25" s="156" t="s">
        <v>6024</v>
      </c>
      <c r="I25" s="156">
        <v>42339</v>
      </c>
      <c r="J25" s="156" t="s">
        <v>6013</v>
      </c>
      <c r="K25">
        <v>11102001</v>
      </c>
      <c r="L25" s="156" t="s">
        <v>6025</v>
      </c>
      <c r="M25" s="156">
        <v>42373</v>
      </c>
      <c r="N25" t="s">
        <v>25</v>
      </c>
      <c r="O25">
        <v>153588.6</v>
      </c>
      <c r="P25">
        <v>0</v>
      </c>
      <c r="Q25">
        <v>153588.6</v>
      </c>
      <c r="R25">
        <v>1</v>
      </c>
      <c r="S25">
        <v>153588.6</v>
      </c>
      <c r="T25" t="s">
        <v>6015</v>
      </c>
      <c r="U25" t="s">
        <v>6026</v>
      </c>
      <c r="V25" s="156">
        <v>42359</v>
      </c>
    </row>
    <row r="26" spans="3:22" hidden="1">
      <c r="C26" s="156"/>
      <c r="F26" t="s">
        <v>1230</v>
      </c>
      <c r="G26" t="s">
        <v>6023</v>
      </c>
      <c r="H26" s="156" t="s">
        <v>6027</v>
      </c>
      <c r="I26" s="156">
        <v>42347</v>
      </c>
      <c r="J26" s="156" t="s">
        <v>6013</v>
      </c>
      <c r="K26">
        <v>11102001</v>
      </c>
      <c r="L26" s="156" t="s">
        <v>6028</v>
      </c>
      <c r="M26" s="156">
        <v>42377</v>
      </c>
      <c r="N26" t="s">
        <v>25</v>
      </c>
      <c r="O26">
        <v>76000</v>
      </c>
      <c r="P26">
        <v>0</v>
      </c>
      <c r="Q26">
        <v>76000</v>
      </c>
      <c r="R26">
        <v>1</v>
      </c>
      <c r="S26">
        <v>76000</v>
      </c>
      <c r="T26" t="s">
        <v>6015</v>
      </c>
      <c r="U26" t="s">
        <v>6029</v>
      </c>
      <c r="V26" s="156">
        <v>42359</v>
      </c>
    </row>
    <row r="27" spans="3:22" hidden="1">
      <c r="C27" s="156"/>
      <c r="F27" t="s">
        <v>1230</v>
      </c>
      <c r="G27" t="s">
        <v>6023</v>
      </c>
      <c r="H27" s="156" t="s">
        <v>6030</v>
      </c>
      <c r="I27" s="156">
        <v>42346</v>
      </c>
      <c r="J27" s="156" t="s">
        <v>6013</v>
      </c>
      <c r="K27">
        <v>11102001</v>
      </c>
      <c r="L27" s="156" t="s">
        <v>6031</v>
      </c>
      <c r="M27" s="156">
        <v>42375</v>
      </c>
      <c r="N27" t="s">
        <v>25</v>
      </c>
      <c r="O27">
        <v>76000</v>
      </c>
      <c r="P27">
        <v>0</v>
      </c>
      <c r="Q27">
        <v>76000</v>
      </c>
      <c r="R27">
        <v>1</v>
      </c>
      <c r="S27">
        <v>76000</v>
      </c>
      <c r="T27" t="s">
        <v>6015</v>
      </c>
      <c r="U27" t="s">
        <v>6032</v>
      </c>
      <c r="V27" s="156">
        <v>42359</v>
      </c>
    </row>
    <row r="28" spans="3:22" hidden="1">
      <c r="C28" s="156"/>
      <c r="F28" t="s">
        <v>1230</v>
      </c>
      <c r="G28" t="s">
        <v>6023</v>
      </c>
      <c r="H28" s="156" t="s">
        <v>6033</v>
      </c>
      <c r="I28" s="156">
        <v>42346</v>
      </c>
      <c r="J28" s="156" t="s">
        <v>6013</v>
      </c>
      <c r="K28">
        <v>11102001</v>
      </c>
      <c r="L28" s="156" t="s">
        <v>6034</v>
      </c>
      <c r="M28" s="156">
        <v>42375</v>
      </c>
      <c r="N28" t="s">
        <v>25</v>
      </c>
      <c r="O28">
        <v>76000</v>
      </c>
      <c r="P28">
        <v>0</v>
      </c>
      <c r="Q28">
        <v>76000</v>
      </c>
      <c r="R28">
        <v>1</v>
      </c>
      <c r="S28">
        <v>76000</v>
      </c>
      <c r="T28" t="s">
        <v>6015</v>
      </c>
      <c r="U28" t="s">
        <v>6032</v>
      </c>
      <c r="V28" s="156">
        <v>42359</v>
      </c>
    </row>
    <row r="29" spans="3:22" hidden="1">
      <c r="C29" s="156"/>
      <c r="F29" t="s">
        <v>1230</v>
      </c>
      <c r="G29" t="s">
        <v>6023</v>
      </c>
      <c r="H29" s="156" t="s">
        <v>6035</v>
      </c>
      <c r="I29" s="156">
        <v>42334</v>
      </c>
      <c r="J29" s="156" t="s">
        <v>6013</v>
      </c>
      <c r="K29">
        <v>11102001</v>
      </c>
      <c r="L29" s="156" t="s">
        <v>6036</v>
      </c>
      <c r="M29" s="156">
        <v>42373</v>
      </c>
      <c r="N29" t="s">
        <v>25</v>
      </c>
      <c r="O29">
        <v>76000</v>
      </c>
      <c r="P29">
        <v>0</v>
      </c>
      <c r="Q29">
        <v>76000</v>
      </c>
      <c r="R29">
        <v>1</v>
      </c>
      <c r="S29">
        <v>76000</v>
      </c>
      <c r="T29" t="s">
        <v>6015</v>
      </c>
      <c r="U29" t="s">
        <v>6037</v>
      </c>
      <c r="V29" s="156">
        <v>42359</v>
      </c>
    </row>
    <row r="30" spans="3:22" hidden="1">
      <c r="C30" s="156"/>
      <c r="F30" t="s">
        <v>1230</v>
      </c>
      <c r="G30" t="s">
        <v>6023</v>
      </c>
      <c r="H30" s="156" t="s">
        <v>6038</v>
      </c>
      <c r="I30" s="156">
        <v>42334</v>
      </c>
      <c r="J30" s="156" t="s">
        <v>6013</v>
      </c>
      <c r="K30">
        <v>11102001</v>
      </c>
      <c r="L30" s="156" t="s">
        <v>6039</v>
      </c>
      <c r="M30" s="156">
        <v>42373</v>
      </c>
      <c r="N30" t="s">
        <v>25</v>
      </c>
      <c r="O30">
        <v>76000</v>
      </c>
      <c r="P30">
        <v>0</v>
      </c>
      <c r="Q30">
        <v>76000</v>
      </c>
      <c r="R30">
        <v>1</v>
      </c>
      <c r="S30">
        <v>76000</v>
      </c>
      <c r="T30" t="s">
        <v>6015</v>
      </c>
      <c r="U30" t="s">
        <v>6037</v>
      </c>
      <c r="V30" s="156">
        <v>42359</v>
      </c>
    </row>
    <row r="31" spans="3:22" hidden="1">
      <c r="C31" s="156"/>
      <c r="F31" t="s">
        <v>1230</v>
      </c>
      <c r="G31" t="s">
        <v>6023</v>
      </c>
      <c r="H31" s="156" t="s">
        <v>6040</v>
      </c>
      <c r="I31" s="156">
        <v>42334</v>
      </c>
      <c r="J31" s="156" t="s">
        <v>6013</v>
      </c>
      <c r="K31">
        <v>11102001</v>
      </c>
      <c r="L31" s="156" t="s">
        <v>6041</v>
      </c>
      <c r="M31" s="156">
        <v>42373</v>
      </c>
      <c r="N31" t="s">
        <v>25</v>
      </c>
      <c r="O31">
        <v>76000</v>
      </c>
      <c r="P31">
        <v>0</v>
      </c>
      <c r="Q31">
        <v>76000</v>
      </c>
      <c r="R31">
        <v>1</v>
      </c>
      <c r="S31">
        <v>76000</v>
      </c>
      <c r="T31" t="s">
        <v>6015</v>
      </c>
      <c r="U31" t="s">
        <v>6037</v>
      </c>
      <c r="V31" s="156">
        <v>42359</v>
      </c>
    </row>
    <row r="32" spans="3:22" hidden="1">
      <c r="C32" s="156"/>
      <c r="F32" t="s">
        <v>1230</v>
      </c>
      <c r="G32" t="s">
        <v>6023</v>
      </c>
      <c r="H32" s="156" t="s">
        <v>6042</v>
      </c>
      <c r="I32" s="156">
        <v>42334</v>
      </c>
      <c r="J32" s="156" t="s">
        <v>6013</v>
      </c>
      <c r="K32">
        <v>11102001</v>
      </c>
      <c r="L32" s="156" t="s">
        <v>6043</v>
      </c>
      <c r="M32" s="156">
        <v>42373</v>
      </c>
      <c r="N32" t="s">
        <v>25</v>
      </c>
      <c r="O32">
        <v>76000</v>
      </c>
      <c r="P32">
        <v>0</v>
      </c>
      <c r="Q32">
        <v>76000</v>
      </c>
      <c r="R32">
        <v>1</v>
      </c>
      <c r="S32">
        <v>76000</v>
      </c>
      <c r="T32" t="s">
        <v>6015</v>
      </c>
      <c r="U32" t="s">
        <v>6037</v>
      </c>
      <c r="V32" s="156">
        <v>42359</v>
      </c>
    </row>
    <row r="33" spans="3:22" hidden="1">
      <c r="C33" s="156"/>
      <c r="F33" t="s">
        <v>1230</v>
      </c>
      <c r="G33" t="s">
        <v>6023</v>
      </c>
      <c r="H33" s="156" t="s">
        <v>6044</v>
      </c>
      <c r="I33" s="156">
        <v>42334</v>
      </c>
      <c r="J33" s="156" t="s">
        <v>6013</v>
      </c>
      <c r="K33">
        <v>11102001</v>
      </c>
      <c r="L33" s="156" t="s">
        <v>6045</v>
      </c>
      <c r="M33" s="156">
        <v>42373</v>
      </c>
      <c r="N33" t="s">
        <v>25</v>
      </c>
      <c r="O33">
        <v>76000</v>
      </c>
      <c r="P33">
        <v>0</v>
      </c>
      <c r="Q33">
        <v>76000</v>
      </c>
      <c r="R33">
        <v>1</v>
      </c>
      <c r="S33">
        <v>76000</v>
      </c>
      <c r="T33" t="s">
        <v>6015</v>
      </c>
      <c r="U33" t="s">
        <v>6037</v>
      </c>
      <c r="V33" s="156">
        <v>42359</v>
      </c>
    </row>
    <row r="34" spans="3:22" hidden="1">
      <c r="C34" s="156"/>
      <c r="F34" t="s">
        <v>1230</v>
      </c>
      <c r="G34" t="s">
        <v>6023</v>
      </c>
      <c r="H34" s="156" t="s">
        <v>6046</v>
      </c>
      <c r="I34" s="156">
        <v>42347</v>
      </c>
      <c r="J34" s="156" t="s">
        <v>6013</v>
      </c>
      <c r="K34">
        <v>11102001</v>
      </c>
      <c r="L34" s="156" t="s">
        <v>6047</v>
      </c>
      <c r="M34" s="156">
        <v>42377</v>
      </c>
      <c r="N34" t="s">
        <v>25</v>
      </c>
      <c r="O34">
        <v>76000</v>
      </c>
      <c r="P34">
        <v>0</v>
      </c>
      <c r="Q34">
        <v>76000</v>
      </c>
      <c r="R34">
        <v>1</v>
      </c>
      <c r="S34">
        <v>76000</v>
      </c>
      <c r="T34" t="s">
        <v>6015</v>
      </c>
      <c r="U34" t="s">
        <v>6029</v>
      </c>
      <c r="V34" s="156">
        <v>42359</v>
      </c>
    </row>
    <row r="35" spans="3:22" hidden="1">
      <c r="C35" s="156"/>
      <c r="F35" t="s">
        <v>1230</v>
      </c>
      <c r="G35" t="s">
        <v>6023</v>
      </c>
      <c r="H35" s="156" t="s">
        <v>6048</v>
      </c>
      <c r="I35" s="156">
        <v>42346</v>
      </c>
      <c r="J35" s="156" t="s">
        <v>6013</v>
      </c>
      <c r="K35">
        <v>11102001</v>
      </c>
      <c r="L35" s="156" t="s">
        <v>6049</v>
      </c>
      <c r="M35" s="156">
        <v>42375</v>
      </c>
      <c r="N35" t="s">
        <v>25</v>
      </c>
      <c r="O35">
        <v>76000</v>
      </c>
      <c r="P35">
        <v>0</v>
      </c>
      <c r="Q35">
        <v>76000</v>
      </c>
      <c r="R35">
        <v>1</v>
      </c>
      <c r="S35">
        <v>76000</v>
      </c>
      <c r="T35" t="s">
        <v>6015</v>
      </c>
      <c r="U35" t="s">
        <v>6032</v>
      </c>
      <c r="V35" s="156">
        <v>42359</v>
      </c>
    </row>
    <row r="36" spans="3:22" hidden="1">
      <c r="C36" s="156"/>
      <c r="F36" t="s">
        <v>1230</v>
      </c>
      <c r="G36" t="s">
        <v>6023</v>
      </c>
      <c r="H36" s="156" t="s">
        <v>6050</v>
      </c>
      <c r="I36" s="156">
        <v>42346</v>
      </c>
      <c r="J36" s="156" t="s">
        <v>6013</v>
      </c>
      <c r="K36">
        <v>11102001</v>
      </c>
      <c r="L36" s="156" t="s">
        <v>6051</v>
      </c>
      <c r="M36" s="156">
        <v>42375</v>
      </c>
      <c r="N36" t="s">
        <v>25</v>
      </c>
      <c r="O36">
        <v>76000</v>
      </c>
      <c r="P36">
        <v>0</v>
      </c>
      <c r="Q36">
        <v>76000</v>
      </c>
      <c r="R36">
        <v>1</v>
      </c>
      <c r="S36">
        <v>76000</v>
      </c>
      <c r="T36" t="s">
        <v>6015</v>
      </c>
      <c r="U36" t="s">
        <v>6032</v>
      </c>
      <c r="V36" s="156">
        <v>42359</v>
      </c>
    </row>
    <row r="37" spans="3:22" hidden="1">
      <c r="C37" s="156"/>
      <c r="F37" t="s">
        <v>1230</v>
      </c>
      <c r="G37" t="s">
        <v>6023</v>
      </c>
      <c r="H37" s="156" t="s">
        <v>6052</v>
      </c>
      <c r="I37" s="156">
        <v>42333</v>
      </c>
      <c r="J37" s="156" t="s">
        <v>6013</v>
      </c>
      <c r="K37">
        <v>11102001</v>
      </c>
      <c r="L37" s="156" t="s">
        <v>6053</v>
      </c>
      <c r="M37" s="156">
        <v>42373</v>
      </c>
      <c r="N37" t="s">
        <v>25</v>
      </c>
      <c r="O37">
        <v>98838</v>
      </c>
      <c r="P37">
        <v>0</v>
      </c>
      <c r="Q37">
        <v>98838</v>
      </c>
      <c r="R37">
        <v>1</v>
      </c>
      <c r="S37">
        <v>98838</v>
      </c>
      <c r="T37" t="s">
        <v>6015</v>
      </c>
      <c r="U37" t="s">
        <v>6026</v>
      </c>
      <c r="V37" s="156">
        <v>42359</v>
      </c>
    </row>
    <row r="38" spans="3:22" hidden="1">
      <c r="C38" s="156"/>
      <c r="F38" t="s">
        <v>1230</v>
      </c>
      <c r="G38" t="s">
        <v>6023</v>
      </c>
      <c r="H38" s="156" t="s">
        <v>6054</v>
      </c>
      <c r="I38" s="156">
        <v>42333</v>
      </c>
      <c r="J38" s="156" t="s">
        <v>6013</v>
      </c>
      <c r="K38">
        <v>11102001</v>
      </c>
      <c r="L38" s="156" t="s">
        <v>6055</v>
      </c>
      <c r="M38" s="156">
        <v>42373</v>
      </c>
      <c r="N38" t="s">
        <v>25</v>
      </c>
      <c r="O38">
        <v>98838</v>
      </c>
      <c r="P38">
        <v>0</v>
      </c>
      <c r="Q38">
        <v>98838</v>
      </c>
      <c r="R38">
        <v>1</v>
      </c>
      <c r="S38">
        <v>98838</v>
      </c>
      <c r="T38" t="s">
        <v>6015</v>
      </c>
      <c r="U38" t="s">
        <v>6026</v>
      </c>
      <c r="V38" s="156">
        <v>42359</v>
      </c>
    </row>
    <row r="39" spans="3:22" hidden="1">
      <c r="C39" s="156"/>
      <c r="F39" t="s">
        <v>1230</v>
      </c>
      <c r="G39" t="s">
        <v>6023</v>
      </c>
      <c r="H39" s="156" t="s">
        <v>6056</v>
      </c>
      <c r="I39" s="156">
        <v>42333</v>
      </c>
      <c r="J39" s="156" t="s">
        <v>6013</v>
      </c>
      <c r="K39">
        <v>11102001</v>
      </c>
      <c r="L39" s="156" t="s">
        <v>6057</v>
      </c>
      <c r="M39" s="156">
        <v>42373</v>
      </c>
      <c r="N39" t="s">
        <v>25</v>
      </c>
      <c r="O39">
        <v>76000</v>
      </c>
      <c r="P39">
        <v>0</v>
      </c>
      <c r="Q39">
        <v>76000</v>
      </c>
      <c r="R39">
        <v>1</v>
      </c>
      <c r="S39">
        <v>76000</v>
      </c>
      <c r="T39" t="s">
        <v>6015</v>
      </c>
      <c r="U39" t="s">
        <v>6058</v>
      </c>
      <c r="V39" s="156">
        <v>42359</v>
      </c>
    </row>
    <row r="40" spans="3:22" hidden="1">
      <c r="C40" s="156"/>
      <c r="F40" t="s">
        <v>1230</v>
      </c>
      <c r="G40" t="s">
        <v>6023</v>
      </c>
      <c r="H40" s="156" t="s">
        <v>6059</v>
      </c>
      <c r="I40" s="156">
        <v>42338</v>
      </c>
      <c r="J40" s="156" t="s">
        <v>6013</v>
      </c>
      <c r="K40">
        <v>11102001</v>
      </c>
      <c r="L40" s="156" t="s">
        <v>6060</v>
      </c>
      <c r="M40" s="156">
        <v>42373</v>
      </c>
      <c r="N40" t="s">
        <v>25</v>
      </c>
      <c r="O40">
        <v>76000</v>
      </c>
      <c r="P40">
        <v>0</v>
      </c>
      <c r="Q40">
        <v>76000</v>
      </c>
      <c r="R40">
        <v>1</v>
      </c>
      <c r="S40">
        <v>76000</v>
      </c>
      <c r="T40" t="s">
        <v>6015</v>
      </c>
      <c r="U40" t="s">
        <v>6061</v>
      </c>
      <c r="V40" s="156">
        <v>42359</v>
      </c>
    </row>
    <row r="41" spans="3:22" hidden="1">
      <c r="C41" s="156"/>
      <c r="F41" t="s">
        <v>1230</v>
      </c>
      <c r="G41" t="s">
        <v>6023</v>
      </c>
      <c r="H41" s="156" t="s">
        <v>6062</v>
      </c>
      <c r="I41" s="156">
        <v>42338</v>
      </c>
      <c r="J41" s="156" t="s">
        <v>6013</v>
      </c>
      <c r="K41">
        <v>11102001</v>
      </c>
      <c r="L41" s="156" t="s">
        <v>6063</v>
      </c>
      <c r="M41" s="156">
        <v>42373</v>
      </c>
      <c r="N41" t="s">
        <v>25</v>
      </c>
      <c r="O41">
        <v>76000</v>
      </c>
      <c r="P41">
        <v>0</v>
      </c>
      <c r="Q41">
        <v>76000</v>
      </c>
      <c r="R41">
        <v>1</v>
      </c>
      <c r="S41">
        <v>76000</v>
      </c>
      <c r="T41" t="s">
        <v>6015</v>
      </c>
      <c r="U41" t="s">
        <v>6061</v>
      </c>
      <c r="V41" s="156">
        <v>42359</v>
      </c>
    </row>
    <row r="42" spans="3:22" hidden="1">
      <c r="C42" s="156"/>
      <c r="F42" t="s">
        <v>1230</v>
      </c>
      <c r="G42" t="s">
        <v>6023</v>
      </c>
      <c r="H42" s="156" t="s">
        <v>6064</v>
      </c>
      <c r="I42" s="156">
        <v>42333</v>
      </c>
      <c r="J42" s="156" t="s">
        <v>6013</v>
      </c>
      <c r="K42">
        <v>11102001</v>
      </c>
      <c r="L42" s="156" t="s">
        <v>6065</v>
      </c>
      <c r="M42" s="156">
        <v>42373</v>
      </c>
      <c r="N42" t="s">
        <v>25</v>
      </c>
      <c r="O42">
        <v>76000</v>
      </c>
      <c r="P42">
        <v>0</v>
      </c>
      <c r="Q42">
        <v>76000</v>
      </c>
      <c r="R42">
        <v>1</v>
      </c>
      <c r="S42">
        <v>76000</v>
      </c>
      <c r="T42" t="s">
        <v>6015</v>
      </c>
      <c r="U42" t="s">
        <v>6058</v>
      </c>
      <c r="V42" s="156">
        <v>42359</v>
      </c>
    </row>
    <row r="43" spans="3:22" hidden="1">
      <c r="C43" s="156"/>
      <c r="F43" t="s">
        <v>1230</v>
      </c>
      <c r="G43" t="s">
        <v>6023</v>
      </c>
      <c r="H43" s="156" t="s">
        <v>6066</v>
      </c>
      <c r="I43" s="156">
        <v>42333</v>
      </c>
      <c r="J43" s="156" t="s">
        <v>6013</v>
      </c>
      <c r="K43">
        <v>11102001</v>
      </c>
      <c r="L43" s="156" t="s">
        <v>6067</v>
      </c>
      <c r="M43" s="156">
        <v>42373</v>
      </c>
      <c r="N43" t="s">
        <v>25</v>
      </c>
      <c r="O43">
        <v>76000</v>
      </c>
      <c r="P43">
        <v>0</v>
      </c>
      <c r="Q43">
        <v>76000</v>
      </c>
      <c r="R43">
        <v>1</v>
      </c>
      <c r="S43">
        <v>76000</v>
      </c>
      <c r="T43" t="s">
        <v>6015</v>
      </c>
      <c r="U43" t="s">
        <v>6058</v>
      </c>
      <c r="V43" s="156">
        <v>42359</v>
      </c>
    </row>
    <row r="44" spans="3:22" hidden="1">
      <c r="C44" s="156"/>
      <c r="F44" t="s">
        <v>1230</v>
      </c>
      <c r="G44" t="s">
        <v>6023</v>
      </c>
      <c r="H44" s="156" t="s">
        <v>6068</v>
      </c>
      <c r="I44" s="156">
        <v>42333</v>
      </c>
      <c r="J44" s="156" t="s">
        <v>6013</v>
      </c>
      <c r="K44">
        <v>11102001</v>
      </c>
      <c r="L44" s="156" t="s">
        <v>6069</v>
      </c>
      <c r="M44" s="156">
        <v>42373</v>
      </c>
      <c r="N44" t="s">
        <v>25</v>
      </c>
      <c r="O44">
        <v>76000</v>
      </c>
      <c r="P44">
        <v>0</v>
      </c>
      <c r="Q44">
        <v>76000</v>
      </c>
      <c r="R44">
        <v>1</v>
      </c>
      <c r="S44">
        <v>76000</v>
      </c>
      <c r="T44" t="s">
        <v>6015</v>
      </c>
      <c r="U44" t="s">
        <v>6058</v>
      </c>
      <c r="V44" s="156">
        <v>42359</v>
      </c>
    </row>
    <row r="45" spans="3:22" hidden="1">
      <c r="C45" s="156"/>
      <c r="F45" t="s">
        <v>1230</v>
      </c>
      <c r="G45" t="s">
        <v>6023</v>
      </c>
      <c r="H45" s="156" t="s">
        <v>6070</v>
      </c>
      <c r="I45" s="156">
        <v>42347</v>
      </c>
      <c r="J45" s="156" t="s">
        <v>6013</v>
      </c>
      <c r="K45">
        <v>11102001</v>
      </c>
      <c r="L45" s="156" t="s">
        <v>6071</v>
      </c>
      <c r="M45" s="156">
        <v>42376</v>
      </c>
      <c r="N45" t="s">
        <v>25</v>
      </c>
      <c r="O45">
        <v>76000</v>
      </c>
      <c r="P45">
        <v>0</v>
      </c>
      <c r="Q45">
        <v>76000</v>
      </c>
      <c r="R45">
        <v>1</v>
      </c>
      <c r="S45">
        <v>76000</v>
      </c>
      <c r="T45" t="s">
        <v>6015</v>
      </c>
      <c r="U45" t="s">
        <v>6072</v>
      </c>
      <c r="V45" s="156">
        <v>42359</v>
      </c>
    </row>
    <row r="46" spans="3:22" hidden="1">
      <c r="C46" s="156"/>
      <c r="F46" t="s">
        <v>1230</v>
      </c>
      <c r="G46" t="s">
        <v>71</v>
      </c>
      <c r="H46" s="156" t="s">
        <v>4678</v>
      </c>
      <c r="I46" s="156">
        <v>40837</v>
      </c>
      <c r="J46" s="156" t="s">
        <v>4679</v>
      </c>
      <c r="K46">
        <v>11107001</v>
      </c>
      <c r="L46" s="156" t="s">
        <v>4680</v>
      </c>
      <c r="M46" s="156">
        <v>41759</v>
      </c>
      <c r="N46" t="s">
        <v>25</v>
      </c>
      <c r="O46">
        <v>50000</v>
      </c>
      <c r="Q46">
        <v>50000</v>
      </c>
      <c r="R46">
        <v>1</v>
      </c>
      <c r="S46">
        <v>50000</v>
      </c>
      <c r="T46" t="s">
        <v>4651</v>
      </c>
      <c r="U46" t="s">
        <v>4681</v>
      </c>
      <c r="V46" s="156">
        <v>42359</v>
      </c>
    </row>
    <row r="47" spans="3:22" hidden="1">
      <c r="C47" s="156"/>
      <c r="F47" t="s">
        <v>1230</v>
      </c>
      <c r="G47" t="s">
        <v>72</v>
      </c>
      <c r="H47" s="156" t="s">
        <v>5860</v>
      </c>
      <c r="I47" s="156">
        <v>42271</v>
      </c>
      <c r="J47" s="156" t="s">
        <v>4682</v>
      </c>
      <c r="K47">
        <v>17101003</v>
      </c>
      <c r="L47" s="156" t="s">
        <v>5734</v>
      </c>
      <c r="M47" s="156">
        <v>42271</v>
      </c>
      <c r="N47" t="s">
        <v>25</v>
      </c>
      <c r="O47">
        <v>840</v>
      </c>
      <c r="P47">
        <v>548.99</v>
      </c>
      <c r="Q47">
        <v>291.01</v>
      </c>
      <c r="R47">
        <v>1</v>
      </c>
      <c r="S47">
        <v>291.01</v>
      </c>
      <c r="T47" t="s">
        <v>4663</v>
      </c>
      <c r="U47" t="s">
        <v>5735</v>
      </c>
      <c r="V47" s="156">
        <v>42359</v>
      </c>
    </row>
    <row r="48" spans="3:22" hidden="1">
      <c r="C48" s="156"/>
      <c r="F48" t="s">
        <v>1230</v>
      </c>
      <c r="G48" t="s">
        <v>72</v>
      </c>
      <c r="H48" s="156" t="s">
        <v>5861</v>
      </c>
      <c r="I48" s="156">
        <v>42307</v>
      </c>
      <c r="J48" s="156" t="s">
        <v>4683</v>
      </c>
      <c r="K48">
        <v>17101002</v>
      </c>
      <c r="L48" s="156" t="s">
        <v>5862</v>
      </c>
      <c r="M48" s="156">
        <v>42307</v>
      </c>
      <c r="N48" t="s">
        <v>25</v>
      </c>
      <c r="O48">
        <v>27200</v>
      </c>
      <c r="Q48">
        <v>27200</v>
      </c>
      <c r="R48">
        <v>1</v>
      </c>
      <c r="S48">
        <v>27200</v>
      </c>
      <c r="T48" t="s">
        <v>4665</v>
      </c>
      <c r="U48" t="s">
        <v>5863</v>
      </c>
      <c r="V48" s="156">
        <v>42359</v>
      </c>
    </row>
    <row r="49" spans="3:22" hidden="1">
      <c r="C49" s="156"/>
      <c r="F49" t="s">
        <v>1230</v>
      </c>
      <c r="G49" t="s">
        <v>72</v>
      </c>
      <c r="H49" s="156" t="s">
        <v>5864</v>
      </c>
      <c r="I49" s="156">
        <v>42285</v>
      </c>
      <c r="J49" s="156" t="s">
        <v>4683</v>
      </c>
      <c r="K49">
        <v>17101002</v>
      </c>
      <c r="L49" s="156" t="s">
        <v>5865</v>
      </c>
      <c r="M49" s="156">
        <v>42285</v>
      </c>
      <c r="N49" t="s">
        <v>25</v>
      </c>
      <c r="O49">
        <v>18555.25</v>
      </c>
      <c r="Q49">
        <v>18555.25</v>
      </c>
      <c r="R49">
        <v>1</v>
      </c>
      <c r="S49">
        <v>18555.25</v>
      </c>
      <c r="T49" t="s">
        <v>4665</v>
      </c>
      <c r="U49" t="s">
        <v>5866</v>
      </c>
      <c r="V49" s="156">
        <v>42359</v>
      </c>
    </row>
    <row r="50" spans="3:22" hidden="1">
      <c r="C50" s="156"/>
      <c r="F50" t="s">
        <v>1230</v>
      </c>
      <c r="G50" t="s">
        <v>71</v>
      </c>
      <c r="H50" s="156" t="s">
        <v>6073</v>
      </c>
      <c r="I50" s="156">
        <v>42349</v>
      </c>
      <c r="J50" s="156" t="s">
        <v>5906</v>
      </c>
      <c r="K50">
        <v>17101002</v>
      </c>
      <c r="L50" s="156" t="s">
        <v>6074</v>
      </c>
      <c r="M50" s="156">
        <v>42349</v>
      </c>
      <c r="N50" t="s">
        <v>25</v>
      </c>
      <c r="O50">
        <v>9516.24</v>
      </c>
      <c r="Q50">
        <v>9516.24</v>
      </c>
      <c r="R50">
        <v>1</v>
      </c>
      <c r="S50">
        <v>9516.24</v>
      </c>
      <c r="T50" t="s">
        <v>4665</v>
      </c>
      <c r="U50" t="s">
        <v>6075</v>
      </c>
      <c r="V50" s="156">
        <v>42359</v>
      </c>
    </row>
    <row r="51" spans="3:22" hidden="1">
      <c r="C51" s="156"/>
      <c r="F51" t="s">
        <v>1230</v>
      </c>
      <c r="G51" t="s">
        <v>72</v>
      </c>
      <c r="H51" s="156" t="s">
        <v>4687</v>
      </c>
      <c r="I51" s="156">
        <v>42044</v>
      </c>
      <c r="J51" s="156" t="s">
        <v>4684</v>
      </c>
      <c r="K51">
        <v>11107001</v>
      </c>
      <c r="L51" s="156" t="s">
        <v>4688</v>
      </c>
      <c r="M51" s="156">
        <v>42613</v>
      </c>
      <c r="N51" t="s">
        <v>25</v>
      </c>
      <c r="O51">
        <v>80000</v>
      </c>
      <c r="Q51">
        <v>80000</v>
      </c>
      <c r="R51">
        <v>1</v>
      </c>
      <c r="S51">
        <v>80000</v>
      </c>
      <c r="T51" t="s">
        <v>4651</v>
      </c>
      <c r="U51" t="s">
        <v>4686</v>
      </c>
      <c r="V51" s="156">
        <v>42359</v>
      </c>
    </row>
    <row r="52" spans="3:22" hidden="1">
      <c r="C52" s="156"/>
      <c r="F52" t="s">
        <v>1230</v>
      </c>
      <c r="G52" t="s">
        <v>72</v>
      </c>
      <c r="H52" s="156" t="s">
        <v>4689</v>
      </c>
      <c r="I52" s="156">
        <v>42044</v>
      </c>
      <c r="J52" s="156" t="s">
        <v>4684</v>
      </c>
      <c r="K52">
        <v>11107001</v>
      </c>
      <c r="L52" s="156" t="s">
        <v>4688</v>
      </c>
      <c r="M52" s="156">
        <v>43708</v>
      </c>
      <c r="N52" t="s">
        <v>25</v>
      </c>
      <c r="O52">
        <v>80000</v>
      </c>
      <c r="Q52">
        <v>80000</v>
      </c>
      <c r="R52">
        <v>1</v>
      </c>
      <c r="S52">
        <v>80000</v>
      </c>
      <c r="T52" t="s">
        <v>4651</v>
      </c>
      <c r="U52" t="s">
        <v>4686</v>
      </c>
      <c r="V52" s="156">
        <v>42359</v>
      </c>
    </row>
    <row r="53" spans="3:22" hidden="1">
      <c r="C53" s="156"/>
      <c r="F53" t="s">
        <v>1230</v>
      </c>
      <c r="G53" t="s">
        <v>76</v>
      </c>
      <c r="H53" s="156" t="s">
        <v>6076</v>
      </c>
      <c r="I53" s="156">
        <v>42216</v>
      </c>
      <c r="J53" s="156" t="s">
        <v>6077</v>
      </c>
      <c r="K53">
        <v>17101002</v>
      </c>
      <c r="L53" s="156" t="s">
        <v>6078</v>
      </c>
      <c r="M53" s="156">
        <v>42216</v>
      </c>
      <c r="N53" t="s">
        <v>25</v>
      </c>
      <c r="O53">
        <v>180000</v>
      </c>
      <c r="P53">
        <v>0</v>
      </c>
      <c r="Q53">
        <v>180000</v>
      </c>
      <c r="R53">
        <v>1</v>
      </c>
      <c r="S53">
        <v>180000</v>
      </c>
      <c r="T53" t="s">
        <v>4665</v>
      </c>
      <c r="U53" t="s">
        <v>6079</v>
      </c>
      <c r="V53" s="156">
        <v>42359</v>
      </c>
    </row>
    <row r="54" spans="3:22" hidden="1">
      <c r="C54" s="156"/>
      <c r="F54" t="s">
        <v>1230</v>
      </c>
      <c r="G54" t="s">
        <v>72</v>
      </c>
      <c r="H54" s="156" t="s">
        <v>4690</v>
      </c>
      <c r="I54" s="156">
        <v>41967</v>
      </c>
      <c r="J54" s="156" t="s">
        <v>4691</v>
      </c>
      <c r="K54">
        <v>11310005</v>
      </c>
      <c r="L54" s="156" t="s">
        <v>4692</v>
      </c>
      <c r="M54" s="156">
        <v>41988</v>
      </c>
      <c r="N54" t="s">
        <v>25</v>
      </c>
      <c r="O54">
        <v>872.97</v>
      </c>
      <c r="P54">
        <v>0</v>
      </c>
      <c r="Q54">
        <v>872.97</v>
      </c>
      <c r="R54">
        <v>1</v>
      </c>
      <c r="S54">
        <v>872.97</v>
      </c>
      <c r="T54" t="s">
        <v>4693</v>
      </c>
      <c r="U54" t="s">
        <v>4694</v>
      </c>
      <c r="V54" s="156">
        <v>42359</v>
      </c>
    </row>
    <row r="55" spans="3:22" hidden="1">
      <c r="C55" s="156"/>
      <c r="F55" t="s">
        <v>1230</v>
      </c>
      <c r="G55" t="s">
        <v>76</v>
      </c>
      <c r="H55" s="156" t="s">
        <v>5493</v>
      </c>
      <c r="I55" s="156">
        <v>42180</v>
      </c>
      <c r="J55" s="156" t="s">
        <v>5867</v>
      </c>
      <c r="K55">
        <v>17101002</v>
      </c>
      <c r="L55" s="156" t="s">
        <v>5324</v>
      </c>
      <c r="M55" s="156">
        <v>42180</v>
      </c>
      <c r="N55" t="s">
        <v>25</v>
      </c>
      <c r="O55">
        <v>32506.73</v>
      </c>
      <c r="Q55">
        <v>32506.73</v>
      </c>
      <c r="R55">
        <v>1</v>
      </c>
      <c r="S55">
        <v>32506.73</v>
      </c>
      <c r="T55" t="s">
        <v>4665</v>
      </c>
      <c r="U55" t="s">
        <v>5494</v>
      </c>
      <c r="V55" s="156">
        <v>42359</v>
      </c>
    </row>
    <row r="56" spans="3:22" hidden="1">
      <c r="C56" s="156"/>
      <c r="F56" t="s">
        <v>1230</v>
      </c>
      <c r="G56" t="s">
        <v>72</v>
      </c>
      <c r="H56" s="156" t="s">
        <v>5895</v>
      </c>
      <c r="I56" s="156">
        <v>42303</v>
      </c>
      <c r="J56" s="156" t="s">
        <v>4785</v>
      </c>
      <c r="K56">
        <v>17101003</v>
      </c>
      <c r="L56" s="156" t="s">
        <v>5874</v>
      </c>
      <c r="M56" s="156">
        <v>42303</v>
      </c>
      <c r="N56" t="s">
        <v>25</v>
      </c>
      <c r="O56">
        <v>809.5</v>
      </c>
      <c r="P56">
        <v>714</v>
      </c>
      <c r="Q56">
        <v>95.5</v>
      </c>
      <c r="R56">
        <v>1</v>
      </c>
      <c r="S56">
        <v>95.5</v>
      </c>
      <c r="T56" t="s">
        <v>4663</v>
      </c>
      <c r="U56" t="s">
        <v>5876</v>
      </c>
      <c r="V56" s="156">
        <v>42359</v>
      </c>
    </row>
    <row r="57" spans="3:22" hidden="1">
      <c r="C57" s="156"/>
      <c r="F57" t="s">
        <v>1230</v>
      </c>
      <c r="G57" t="s">
        <v>72</v>
      </c>
      <c r="H57" s="156" t="s">
        <v>4800</v>
      </c>
      <c r="I57" s="156">
        <v>41710</v>
      </c>
      <c r="J57" s="156" t="s">
        <v>4801</v>
      </c>
      <c r="K57">
        <v>11107001</v>
      </c>
      <c r="L57" s="156" t="s">
        <v>4802</v>
      </c>
      <c r="M57" s="156">
        <v>42612</v>
      </c>
      <c r="N57" t="s">
        <v>25</v>
      </c>
      <c r="O57">
        <v>50000</v>
      </c>
      <c r="Q57">
        <v>50000</v>
      </c>
      <c r="R57">
        <v>1</v>
      </c>
      <c r="S57">
        <v>50000</v>
      </c>
      <c r="T57" t="s">
        <v>4669</v>
      </c>
      <c r="U57" t="s">
        <v>4803</v>
      </c>
      <c r="V57" s="156">
        <v>42359</v>
      </c>
    </row>
    <row r="58" spans="3:22" hidden="1">
      <c r="C58" s="156"/>
      <c r="F58" t="s">
        <v>1230</v>
      </c>
      <c r="G58" t="s">
        <v>72</v>
      </c>
      <c r="H58" s="156" t="s">
        <v>5907</v>
      </c>
      <c r="I58" s="156">
        <v>42371</v>
      </c>
      <c r="J58" s="156" t="s">
        <v>5908</v>
      </c>
      <c r="K58">
        <v>11101001</v>
      </c>
      <c r="L58" s="156" t="s">
        <v>5909</v>
      </c>
      <c r="M58" s="156">
        <v>42432</v>
      </c>
      <c r="N58" t="s">
        <v>22</v>
      </c>
      <c r="O58">
        <v>1240000</v>
      </c>
      <c r="P58">
        <v>0</v>
      </c>
      <c r="Q58">
        <v>1240000</v>
      </c>
      <c r="R58">
        <v>3.9062000000000001</v>
      </c>
      <c r="S58">
        <v>4843688</v>
      </c>
      <c r="T58" t="s">
        <v>4646</v>
      </c>
      <c r="U58" t="s">
        <v>5910</v>
      </c>
      <c r="V58" s="156">
        <v>42359</v>
      </c>
    </row>
    <row r="59" spans="3:22" hidden="1">
      <c r="C59" s="156"/>
      <c r="F59" t="s">
        <v>1230</v>
      </c>
      <c r="G59" t="s">
        <v>76</v>
      </c>
      <c r="H59" s="156" t="s">
        <v>4699</v>
      </c>
      <c r="I59" s="156">
        <v>41904</v>
      </c>
      <c r="J59" s="156" t="s">
        <v>4700</v>
      </c>
      <c r="K59">
        <v>17101002</v>
      </c>
      <c r="L59" s="156" t="s">
        <v>4701</v>
      </c>
      <c r="M59" s="156">
        <v>41904</v>
      </c>
      <c r="N59" t="s">
        <v>25</v>
      </c>
      <c r="O59">
        <v>900</v>
      </c>
      <c r="Q59">
        <v>900</v>
      </c>
      <c r="R59">
        <v>1</v>
      </c>
      <c r="S59">
        <v>900</v>
      </c>
      <c r="T59" t="s">
        <v>4665</v>
      </c>
      <c r="U59" t="s">
        <v>4702</v>
      </c>
      <c r="V59" s="156">
        <v>42359</v>
      </c>
    </row>
    <row r="60" spans="3:22" hidden="1">
      <c r="C60" s="156"/>
      <c r="F60" t="s">
        <v>1230</v>
      </c>
      <c r="G60" t="s">
        <v>76</v>
      </c>
      <c r="H60" s="156" t="s">
        <v>4703</v>
      </c>
      <c r="I60" s="156">
        <v>41716</v>
      </c>
      <c r="J60" s="156" t="s">
        <v>4704</v>
      </c>
      <c r="K60">
        <v>17101002</v>
      </c>
      <c r="L60" s="156" t="s">
        <v>4705</v>
      </c>
      <c r="M60" s="156">
        <v>41716</v>
      </c>
      <c r="N60" t="s">
        <v>25</v>
      </c>
      <c r="O60">
        <v>10000</v>
      </c>
      <c r="Q60">
        <v>10000</v>
      </c>
      <c r="R60">
        <v>1</v>
      </c>
      <c r="S60">
        <v>10000</v>
      </c>
      <c r="T60" t="s">
        <v>4665</v>
      </c>
      <c r="U60" t="s">
        <v>4706</v>
      </c>
      <c r="V60" s="156">
        <v>42359</v>
      </c>
    </row>
    <row r="61" spans="3:22" hidden="1">
      <c r="C61" s="156"/>
      <c r="F61" t="s">
        <v>1230</v>
      </c>
      <c r="G61" t="s">
        <v>72</v>
      </c>
      <c r="H61" s="156" t="s">
        <v>6080</v>
      </c>
      <c r="I61" s="156">
        <v>42325</v>
      </c>
      <c r="J61" s="156" t="s">
        <v>4812</v>
      </c>
      <c r="K61">
        <v>11101008</v>
      </c>
      <c r="L61" s="156" t="s">
        <v>6081</v>
      </c>
      <c r="M61" s="156">
        <v>42704</v>
      </c>
      <c r="N61" t="s">
        <v>25</v>
      </c>
      <c r="O61">
        <v>285000</v>
      </c>
      <c r="P61">
        <v>0</v>
      </c>
      <c r="Q61">
        <v>285000</v>
      </c>
      <c r="R61">
        <v>1</v>
      </c>
      <c r="S61">
        <v>285000</v>
      </c>
      <c r="T61" t="s">
        <v>4716</v>
      </c>
      <c r="U61" t="s">
        <v>6082</v>
      </c>
      <c r="V61" s="156">
        <v>42359</v>
      </c>
    </row>
    <row r="62" spans="3:22" hidden="1">
      <c r="C62" s="156"/>
      <c r="F62" t="s">
        <v>1230</v>
      </c>
      <c r="G62" t="s">
        <v>71</v>
      </c>
      <c r="H62" s="156" t="s">
        <v>5655</v>
      </c>
      <c r="I62" s="156">
        <v>42228</v>
      </c>
      <c r="J62" s="156" t="s">
        <v>5656</v>
      </c>
      <c r="K62">
        <v>17101002</v>
      </c>
      <c r="L62" s="156" t="s">
        <v>5657</v>
      </c>
      <c r="M62" s="156">
        <v>42228</v>
      </c>
      <c r="N62" t="s">
        <v>25</v>
      </c>
      <c r="O62">
        <v>150000</v>
      </c>
      <c r="Q62">
        <v>150000</v>
      </c>
      <c r="R62">
        <v>1</v>
      </c>
      <c r="S62">
        <v>150000</v>
      </c>
      <c r="T62" t="s">
        <v>4665</v>
      </c>
      <c r="U62" t="s">
        <v>5658</v>
      </c>
      <c r="V62" s="156">
        <v>42359</v>
      </c>
    </row>
    <row r="63" spans="3:22" hidden="1">
      <c r="C63" s="156"/>
      <c r="F63" t="s">
        <v>1230</v>
      </c>
      <c r="G63" t="s">
        <v>72</v>
      </c>
      <c r="H63" s="156" t="s">
        <v>6083</v>
      </c>
      <c r="I63" s="156">
        <v>42359</v>
      </c>
      <c r="J63" s="156" t="s">
        <v>5656</v>
      </c>
      <c r="K63">
        <v>11101001</v>
      </c>
      <c r="L63" s="156" t="s">
        <v>6084</v>
      </c>
      <c r="M63" s="156">
        <v>42444</v>
      </c>
      <c r="N63" t="s">
        <v>25</v>
      </c>
      <c r="O63">
        <v>400609</v>
      </c>
      <c r="P63">
        <v>0</v>
      </c>
      <c r="Q63">
        <v>400609</v>
      </c>
      <c r="R63">
        <v>1</v>
      </c>
      <c r="S63">
        <v>400609</v>
      </c>
      <c r="T63" t="s">
        <v>4646</v>
      </c>
      <c r="U63" t="s">
        <v>6085</v>
      </c>
      <c r="V63" s="156">
        <v>42359</v>
      </c>
    </row>
    <row r="64" spans="3:22" hidden="1">
      <c r="C64" s="156"/>
      <c r="F64" t="s">
        <v>1230</v>
      </c>
      <c r="G64" t="s">
        <v>72</v>
      </c>
      <c r="H64" s="156" t="s">
        <v>6086</v>
      </c>
      <c r="I64" s="156">
        <v>42359</v>
      </c>
      <c r="J64" s="156" t="s">
        <v>5656</v>
      </c>
      <c r="K64">
        <v>11101006</v>
      </c>
      <c r="L64" s="156" t="s">
        <v>6087</v>
      </c>
      <c r="M64" s="156">
        <v>42444</v>
      </c>
      <c r="N64" t="s">
        <v>25</v>
      </c>
      <c r="O64">
        <v>180000</v>
      </c>
      <c r="P64">
        <v>0</v>
      </c>
      <c r="Q64">
        <v>180000</v>
      </c>
      <c r="R64">
        <v>1</v>
      </c>
      <c r="S64">
        <v>180000</v>
      </c>
      <c r="T64" t="s">
        <v>5934</v>
      </c>
      <c r="U64" t="s">
        <v>6088</v>
      </c>
      <c r="V64" s="156">
        <v>42359</v>
      </c>
    </row>
    <row r="65" spans="3:22" hidden="1">
      <c r="C65" s="156"/>
      <c r="F65" t="s">
        <v>1230</v>
      </c>
      <c r="G65" t="s">
        <v>72</v>
      </c>
      <c r="H65" s="156" t="s">
        <v>6089</v>
      </c>
      <c r="I65" s="156">
        <v>42359</v>
      </c>
      <c r="J65" s="156" t="s">
        <v>5656</v>
      </c>
      <c r="K65">
        <v>11101005</v>
      </c>
      <c r="L65" s="156" t="s">
        <v>6090</v>
      </c>
      <c r="M65" s="156">
        <v>42444</v>
      </c>
      <c r="N65" t="s">
        <v>25</v>
      </c>
      <c r="O65">
        <v>100000</v>
      </c>
      <c r="P65">
        <v>0</v>
      </c>
      <c r="Q65">
        <v>100000</v>
      </c>
      <c r="R65">
        <v>1</v>
      </c>
      <c r="S65">
        <v>100000</v>
      </c>
      <c r="T65" t="s">
        <v>4709</v>
      </c>
      <c r="U65" t="s">
        <v>6088</v>
      </c>
      <c r="V65" s="156">
        <v>42359</v>
      </c>
    </row>
    <row r="66" spans="3:22" hidden="1">
      <c r="C66" s="156"/>
      <c r="F66" t="s">
        <v>1230</v>
      </c>
      <c r="G66" t="s">
        <v>72</v>
      </c>
      <c r="H66" s="156" t="s">
        <v>6091</v>
      </c>
      <c r="I66" s="156">
        <v>42346</v>
      </c>
      <c r="J66" s="156" t="s">
        <v>6092</v>
      </c>
      <c r="K66">
        <v>17101002</v>
      </c>
      <c r="L66" s="156" t="s">
        <v>6093</v>
      </c>
      <c r="M66" s="156">
        <v>42346</v>
      </c>
      <c r="N66" t="s">
        <v>25</v>
      </c>
      <c r="O66">
        <v>1980</v>
      </c>
      <c r="Q66">
        <v>1980</v>
      </c>
      <c r="R66">
        <v>1</v>
      </c>
      <c r="S66">
        <v>1980</v>
      </c>
      <c r="T66" t="s">
        <v>4665</v>
      </c>
      <c r="U66" t="s">
        <v>6094</v>
      </c>
      <c r="V66" s="156">
        <v>42359</v>
      </c>
    </row>
    <row r="67" spans="3:22" hidden="1">
      <c r="C67" s="156"/>
      <c r="F67" t="s">
        <v>1230</v>
      </c>
      <c r="G67" t="s">
        <v>76</v>
      </c>
      <c r="H67" s="156" t="s">
        <v>6095</v>
      </c>
      <c r="I67" s="156">
        <v>42311</v>
      </c>
      <c r="J67" s="156" t="s">
        <v>6096</v>
      </c>
      <c r="K67">
        <v>11101018</v>
      </c>
      <c r="L67" s="156" t="s">
        <v>6097</v>
      </c>
      <c r="M67" s="156">
        <v>42372</v>
      </c>
      <c r="N67" t="s">
        <v>25</v>
      </c>
      <c r="O67">
        <v>23625</v>
      </c>
      <c r="Q67">
        <v>23625</v>
      </c>
      <c r="R67">
        <v>1</v>
      </c>
      <c r="S67">
        <v>23625</v>
      </c>
      <c r="T67" t="s">
        <v>4708</v>
      </c>
      <c r="U67" t="s">
        <v>6098</v>
      </c>
      <c r="V67" s="156">
        <v>42359</v>
      </c>
    </row>
    <row r="68" spans="3:22" hidden="1">
      <c r="C68" s="156"/>
      <c r="F68" t="s">
        <v>1230</v>
      </c>
      <c r="G68" t="s">
        <v>72</v>
      </c>
      <c r="H68" s="156" t="s">
        <v>5924</v>
      </c>
      <c r="I68" s="156">
        <v>42297</v>
      </c>
      <c r="J68" s="156" t="s">
        <v>5925</v>
      </c>
      <c r="K68">
        <v>11101001</v>
      </c>
      <c r="L68" s="156" t="s">
        <v>5926</v>
      </c>
      <c r="M68" s="156">
        <v>42459</v>
      </c>
      <c r="N68" t="s">
        <v>25</v>
      </c>
      <c r="O68">
        <v>101352</v>
      </c>
      <c r="P68">
        <v>0</v>
      </c>
      <c r="Q68">
        <v>101352</v>
      </c>
      <c r="R68">
        <v>1</v>
      </c>
      <c r="S68">
        <v>101352</v>
      </c>
      <c r="T68" t="s">
        <v>4646</v>
      </c>
      <c r="U68" t="s">
        <v>6099</v>
      </c>
      <c r="V68" s="156">
        <v>42359</v>
      </c>
    </row>
    <row r="69" spans="3:22" hidden="1">
      <c r="C69" s="156"/>
      <c r="F69" t="s">
        <v>1230</v>
      </c>
      <c r="G69" t="s">
        <v>71</v>
      </c>
      <c r="H69" s="156" t="s">
        <v>6100</v>
      </c>
      <c r="I69" s="156">
        <v>42345</v>
      </c>
      <c r="J69" s="156" t="s">
        <v>5746</v>
      </c>
      <c r="K69">
        <v>11301004</v>
      </c>
      <c r="L69" s="156" t="s">
        <v>6101</v>
      </c>
      <c r="M69" s="156">
        <v>42348</v>
      </c>
      <c r="N69" t="s">
        <v>25</v>
      </c>
      <c r="O69">
        <v>0.17</v>
      </c>
      <c r="P69">
        <v>0</v>
      </c>
      <c r="Q69">
        <v>0.17</v>
      </c>
      <c r="R69">
        <v>1</v>
      </c>
      <c r="S69">
        <v>0.17</v>
      </c>
      <c r="T69" t="s">
        <v>6102</v>
      </c>
      <c r="U69" t="s">
        <v>6103</v>
      </c>
      <c r="V69" s="156">
        <v>42359</v>
      </c>
    </row>
    <row r="70" spans="3:22" hidden="1">
      <c r="C70" s="156"/>
      <c r="F70" t="s">
        <v>1230</v>
      </c>
      <c r="G70" t="s">
        <v>74</v>
      </c>
      <c r="H70" s="156" t="s">
        <v>5501</v>
      </c>
      <c r="I70" s="156">
        <v>42177</v>
      </c>
      <c r="J70" s="156" t="s">
        <v>4518</v>
      </c>
      <c r="K70">
        <v>11101005</v>
      </c>
      <c r="L70" s="156" t="s">
        <v>5502</v>
      </c>
      <c r="M70" s="156">
        <v>42309</v>
      </c>
      <c r="N70" t="s">
        <v>25</v>
      </c>
      <c r="O70">
        <v>1550000</v>
      </c>
      <c r="P70">
        <v>1549889.7</v>
      </c>
      <c r="Q70">
        <v>110.3</v>
      </c>
      <c r="R70">
        <v>1</v>
      </c>
      <c r="S70">
        <v>110.3</v>
      </c>
      <c r="T70" t="s">
        <v>4709</v>
      </c>
      <c r="U70" t="s">
        <v>5481</v>
      </c>
      <c r="V70" s="156">
        <v>42359</v>
      </c>
    </row>
    <row r="71" spans="3:22" hidden="1">
      <c r="C71" s="156"/>
      <c r="F71" t="s">
        <v>5046</v>
      </c>
      <c r="G71" t="s">
        <v>71</v>
      </c>
      <c r="H71" s="156" t="s">
        <v>6104</v>
      </c>
      <c r="I71" s="156">
        <v>42347</v>
      </c>
      <c r="J71" s="156" t="s">
        <v>4767</v>
      </c>
      <c r="K71">
        <v>19105017</v>
      </c>
      <c r="L71" s="156" t="s">
        <v>6105</v>
      </c>
      <c r="M71" s="156">
        <v>42348</v>
      </c>
      <c r="N71" t="s">
        <v>25</v>
      </c>
      <c r="O71">
        <v>2350.1999999999998</v>
      </c>
      <c r="P71">
        <v>0</v>
      </c>
      <c r="Q71">
        <v>2350.1999999999998</v>
      </c>
      <c r="R71">
        <v>1</v>
      </c>
      <c r="S71">
        <v>2350.1999999999998</v>
      </c>
      <c r="T71" t="s">
        <v>4768</v>
      </c>
      <c r="U71" t="s">
        <v>6106</v>
      </c>
      <c r="V71" s="156">
        <v>42359</v>
      </c>
    </row>
    <row r="72" spans="3:22" hidden="1">
      <c r="C72" s="156"/>
      <c r="F72" t="s">
        <v>4823</v>
      </c>
      <c r="G72" t="s">
        <v>5736</v>
      </c>
      <c r="H72" s="156" t="s">
        <v>6107</v>
      </c>
      <c r="I72" s="156">
        <v>42341</v>
      </c>
      <c r="J72" s="156" t="s">
        <v>4767</v>
      </c>
      <c r="K72">
        <v>19101011</v>
      </c>
      <c r="L72" s="156" t="s">
        <v>6108</v>
      </c>
      <c r="M72" s="156">
        <v>42351</v>
      </c>
      <c r="N72" t="s">
        <v>25</v>
      </c>
      <c r="O72">
        <v>620</v>
      </c>
      <c r="P72">
        <v>0</v>
      </c>
      <c r="Q72">
        <v>620</v>
      </c>
      <c r="R72">
        <v>1</v>
      </c>
      <c r="S72">
        <v>620</v>
      </c>
      <c r="T72" t="s">
        <v>4768</v>
      </c>
      <c r="U72" t="s">
        <v>6109</v>
      </c>
      <c r="V72" s="156">
        <v>42359</v>
      </c>
    </row>
    <row r="73" spans="3:22" hidden="1">
      <c r="C73" s="156"/>
      <c r="F73" t="s">
        <v>4823</v>
      </c>
      <c r="G73" t="s">
        <v>5736</v>
      </c>
      <c r="H73" s="156" t="s">
        <v>6110</v>
      </c>
      <c r="I73" s="156">
        <v>42354</v>
      </c>
      <c r="J73" s="156" t="s">
        <v>4767</v>
      </c>
      <c r="K73">
        <v>19105017</v>
      </c>
      <c r="L73" s="156" t="s">
        <v>6111</v>
      </c>
      <c r="M73" s="156">
        <v>42361</v>
      </c>
      <c r="N73" t="s">
        <v>25</v>
      </c>
      <c r="O73">
        <v>1500</v>
      </c>
      <c r="P73">
        <v>0</v>
      </c>
      <c r="Q73">
        <v>1500</v>
      </c>
      <c r="R73">
        <v>1</v>
      </c>
      <c r="S73">
        <v>1500</v>
      </c>
      <c r="T73" t="s">
        <v>4768</v>
      </c>
      <c r="U73" t="s">
        <v>6112</v>
      </c>
      <c r="V73" s="156">
        <v>42359</v>
      </c>
    </row>
    <row r="74" spans="3:22" hidden="1">
      <c r="C74" s="156"/>
      <c r="F74" t="s">
        <v>1230</v>
      </c>
      <c r="G74" t="s">
        <v>72</v>
      </c>
      <c r="H74" s="156" t="s">
        <v>4710</v>
      </c>
      <c r="I74" s="156">
        <v>41044</v>
      </c>
      <c r="J74" s="156" t="s">
        <v>4649</v>
      </c>
      <c r="K74">
        <v>11107001</v>
      </c>
      <c r="L74" s="156" t="s">
        <v>4711</v>
      </c>
      <c r="M74" s="156">
        <v>43235</v>
      </c>
      <c r="N74" t="s">
        <v>25</v>
      </c>
      <c r="O74">
        <v>28125</v>
      </c>
      <c r="Q74">
        <v>28125</v>
      </c>
      <c r="R74">
        <v>1</v>
      </c>
      <c r="S74">
        <v>28125</v>
      </c>
      <c r="T74" t="s">
        <v>4651</v>
      </c>
      <c r="U74" t="s">
        <v>4659</v>
      </c>
      <c r="V74" s="156">
        <v>42359</v>
      </c>
    </row>
    <row r="75" spans="3:22" hidden="1">
      <c r="C75" s="156"/>
      <c r="F75" t="s">
        <v>1230</v>
      </c>
      <c r="G75" t="s">
        <v>71</v>
      </c>
      <c r="H75" s="156" t="s">
        <v>4713</v>
      </c>
      <c r="I75" s="156">
        <v>41284</v>
      </c>
      <c r="J75" s="156" t="s">
        <v>4649</v>
      </c>
      <c r="K75">
        <v>15103010</v>
      </c>
      <c r="L75" s="156" t="s">
        <v>4650</v>
      </c>
      <c r="M75" s="156">
        <v>42506</v>
      </c>
      <c r="N75" t="s">
        <v>25</v>
      </c>
      <c r="O75">
        <v>47068.44</v>
      </c>
      <c r="Q75">
        <v>47068.44</v>
      </c>
      <c r="R75">
        <v>1</v>
      </c>
      <c r="S75">
        <v>47068.44</v>
      </c>
      <c r="T75" t="s">
        <v>4651</v>
      </c>
      <c r="U75" t="s">
        <v>4652</v>
      </c>
      <c r="V75" s="156">
        <v>42359</v>
      </c>
    </row>
    <row r="76" spans="3:22" hidden="1">
      <c r="C76" s="156"/>
      <c r="F76" t="s">
        <v>1230</v>
      </c>
      <c r="G76" t="s">
        <v>71</v>
      </c>
      <c r="H76" s="156" t="s">
        <v>4714</v>
      </c>
      <c r="I76" s="156">
        <v>41284</v>
      </c>
      <c r="J76" s="156" t="s">
        <v>4649</v>
      </c>
      <c r="K76">
        <v>15103010</v>
      </c>
      <c r="L76" s="156" t="s">
        <v>4650</v>
      </c>
      <c r="M76" s="156">
        <v>42870</v>
      </c>
      <c r="N76" t="s">
        <v>25</v>
      </c>
      <c r="O76">
        <v>37548.769999999997</v>
      </c>
      <c r="Q76">
        <v>37548.769999999997</v>
      </c>
      <c r="R76">
        <v>1</v>
      </c>
      <c r="S76">
        <v>37548.769999999997</v>
      </c>
      <c r="T76" t="s">
        <v>4651</v>
      </c>
      <c r="U76" t="s">
        <v>4652</v>
      </c>
      <c r="V76" s="156">
        <v>42359</v>
      </c>
    </row>
    <row r="77" spans="3:22" hidden="1">
      <c r="C77" s="156"/>
      <c r="F77" t="s">
        <v>1230</v>
      </c>
      <c r="G77" t="s">
        <v>72</v>
      </c>
      <c r="H77" s="156" t="s">
        <v>4715</v>
      </c>
      <c r="I77" s="156">
        <v>41044</v>
      </c>
      <c r="J77" s="156" t="s">
        <v>4649</v>
      </c>
      <c r="K77">
        <v>11107001</v>
      </c>
      <c r="L77" s="156" t="s">
        <v>4661</v>
      </c>
      <c r="M77" s="156">
        <v>42870</v>
      </c>
      <c r="N77" t="s">
        <v>25</v>
      </c>
      <c r="O77">
        <v>28125</v>
      </c>
      <c r="Q77">
        <v>28125</v>
      </c>
      <c r="R77">
        <v>1</v>
      </c>
      <c r="S77">
        <v>28125</v>
      </c>
      <c r="T77" t="s">
        <v>4651</v>
      </c>
      <c r="U77" t="s">
        <v>4659</v>
      </c>
      <c r="V77" s="156">
        <v>42359</v>
      </c>
    </row>
    <row r="78" spans="3:22" hidden="1">
      <c r="C78" s="156"/>
      <c r="F78" t="s">
        <v>1230</v>
      </c>
      <c r="G78" t="s">
        <v>76</v>
      </c>
      <c r="H78" s="156" t="s">
        <v>4717</v>
      </c>
      <c r="I78" s="156">
        <v>41852</v>
      </c>
      <c r="J78" s="156" t="s">
        <v>4666</v>
      </c>
      <c r="K78">
        <v>17101003</v>
      </c>
      <c r="L78" s="156" t="s">
        <v>4718</v>
      </c>
      <c r="M78" s="156">
        <v>41852</v>
      </c>
      <c r="N78" t="s">
        <v>25</v>
      </c>
      <c r="O78">
        <v>3700</v>
      </c>
      <c r="Q78">
        <v>3700</v>
      </c>
      <c r="R78">
        <v>1</v>
      </c>
      <c r="S78">
        <v>3700</v>
      </c>
      <c r="T78" t="s">
        <v>4663</v>
      </c>
      <c r="U78" t="s">
        <v>4719</v>
      </c>
      <c r="V78" s="156">
        <v>42359</v>
      </c>
    </row>
    <row r="79" spans="3:22" hidden="1">
      <c r="C79" s="156"/>
      <c r="F79" t="s">
        <v>1230</v>
      </c>
      <c r="G79" t="s">
        <v>72</v>
      </c>
      <c r="H79" s="156" t="s">
        <v>5747</v>
      </c>
      <c r="I79" s="156">
        <v>42269</v>
      </c>
      <c r="J79" s="156" t="s">
        <v>4671</v>
      </c>
      <c r="K79">
        <v>17101003</v>
      </c>
      <c r="L79" s="156" t="s">
        <v>5737</v>
      </c>
      <c r="M79" s="156">
        <v>42269</v>
      </c>
      <c r="N79" t="s">
        <v>25</v>
      </c>
      <c r="O79">
        <v>940.99</v>
      </c>
      <c r="P79">
        <v>638.49</v>
      </c>
      <c r="Q79">
        <v>302.5</v>
      </c>
      <c r="R79">
        <v>1</v>
      </c>
      <c r="S79">
        <v>302.5</v>
      </c>
      <c r="T79" t="s">
        <v>4663</v>
      </c>
      <c r="U79" t="s">
        <v>5328</v>
      </c>
      <c r="V79" s="156">
        <v>42359</v>
      </c>
    </row>
    <row r="80" spans="3:22" hidden="1">
      <c r="C80" s="156"/>
      <c r="F80" t="s">
        <v>1230</v>
      </c>
      <c r="G80" t="s">
        <v>72</v>
      </c>
      <c r="H80" s="156" t="s">
        <v>5873</v>
      </c>
      <c r="I80" s="156">
        <v>42306</v>
      </c>
      <c r="J80" s="156" t="s">
        <v>4671</v>
      </c>
      <c r="K80">
        <v>17101003</v>
      </c>
      <c r="L80" s="156" t="s">
        <v>5874</v>
      </c>
      <c r="M80" s="156">
        <v>42306</v>
      </c>
      <c r="N80" t="s">
        <v>25</v>
      </c>
      <c r="O80">
        <v>697.5</v>
      </c>
      <c r="Q80">
        <v>697.5</v>
      </c>
      <c r="R80">
        <v>1</v>
      </c>
      <c r="S80">
        <v>697.5</v>
      </c>
      <c r="T80" t="s">
        <v>4663</v>
      </c>
      <c r="U80" t="s">
        <v>5875</v>
      </c>
      <c r="V80" s="156">
        <v>42359</v>
      </c>
    </row>
    <row r="81" spans="3:22" hidden="1">
      <c r="C81" s="156"/>
      <c r="F81" t="s">
        <v>1230</v>
      </c>
      <c r="G81" t="s">
        <v>71</v>
      </c>
      <c r="H81" s="156" t="s">
        <v>4720</v>
      </c>
      <c r="I81" s="156">
        <v>41864</v>
      </c>
      <c r="J81" s="156" t="s">
        <v>4721</v>
      </c>
      <c r="K81">
        <v>11107002</v>
      </c>
      <c r="L81" s="156" t="s">
        <v>4722</v>
      </c>
      <c r="M81" s="156">
        <v>42003</v>
      </c>
      <c r="N81" t="s">
        <v>25</v>
      </c>
      <c r="O81">
        <v>19000</v>
      </c>
      <c r="P81">
        <v>0</v>
      </c>
      <c r="Q81">
        <v>19000</v>
      </c>
      <c r="R81">
        <v>1</v>
      </c>
      <c r="S81">
        <v>19000</v>
      </c>
      <c r="T81" t="s">
        <v>4669</v>
      </c>
      <c r="U81" t="s">
        <v>4723</v>
      </c>
      <c r="V81" s="156">
        <v>42359</v>
      </c>
    </row>
    <row r="82" spans="3:22" hidden="1">
      <c r="C82" s="156"/>
      <c r="F82" t="s">
        <v>1230</v>
      </c>
      <c r="G82" t="s">
        <v>71</v>
      </c>
      <c r="H82" s="156" t="s">
        <v>6113</v>
      </c>
      <c r="I82" s="156">
        <v>42312</v>
      </c>
      <c r="J82" s="156" t="s">
        <v>5663</v>
      </c>
      <c r="K82">
        <v>17101003</v>
      </c>
      <c r="L82" s="156" t="s">
        <v>6114</v>
      </c>
      <c r="M82" s="156">
        <v>42312</v>
      </c>
      <c r="N82" t="s">
        <v>25</v>
      </c>
      <c r="O82">
        <v>500</v>
      </c>
      <c r="P82">
        <v>55.96</v>
      </c>
      <c r="Q82">
        <v>444.04</v>
      </c>
      <c r="R82">
        <v>1</v>
      </c>
      <c r="S82">
        <v>444.04</v>
      </c>
      <c r="T82" t="s">
        <v>4663</v>
      </c>
      <c r="U82" t="s">
        <v>6115</v>
      </c>
      <c r="V82" s="156">
        <v>42359</v>
      </c>
    </row>
    <row r="83" spans="3:22" hidden="1">
      <c r="C83" s="156"/>
      <c r="F83" t="s">
        <v>1230</v>
      </c>
      <c r="G83" t="s">
        <v>76</v>
      </c>
      <c r="H83" s="156" t="s">
        <v>6116</v>
      </c>
      <c r="I83" s="156">
        <v>42313</v>
      </c>
      <c r="J83" s="156" t="s">
        <v>5590</v>
      </c>
      <c r="K83">
        <v>17101003</v>
      </c>
      <c r="L83" s="156" t="s">
        <v>6114</v>
      </c>
      <c r="M83" s="156">
        <v>42313</v>
      </c>
      <c r="N83" t="s">
        <v>25</v>
      </c>
      <c r="O83">
        <v>8094</v>
      </c>
      <c r="P83">
        <v>3114.49</v>
      </c>
      <c r="Q83">
        <v>4979.51</v>
      </c>
      <c r="R83">
        <v>1</v>
      </c>
      <c r="S83">
        <v>4979.51</v>
      </c>
      <c r="T83" t="s">
        <v>4663</v>
      </c>
      <c r="U83" t="s">
        <v>6117</v>
      </c>
      <c r="V83" s="156">
        <v>42359</v>
      </c>
    </row>
    <row r="84" spans="3:22" hidden="1">
      <c r="C84" s="156"/>
      <c r="F84" t="s">
        <v>1230</v>
      </c>
      <c r="G84" t="s">
        <v>1012</v>
      </c>
      <c r="H84" s="156" t="s">
        <v>6118</v>
      </c>
      <c r="I84" s="156">
        <v>42341</v>
      </c>
      <c r="J84" s="156" t="s">
        <v>6013</v>
      </c>
      <c r="K84">
        <v>11102001</v>
      </c>
      <c r="L84" s="156" t="s">
        <v>6119</v>
      </c>
      <c r="M84" s="156">
        <v>42373</v>
      </c>
      <c r="N84" t="s">
        <v>25</v>
      </c>
      <c r="O84">
        <v>33480</v>
      </c>
      <c r="P84">
        <v>0</v>
      </c>
      <c r="Q84">
        <v>33480</v>
      </c>
      <c r="R84">
        <v>1</v>
      </c>
      <c r="S84">
        <v>33480</v>
      </c>
      <c r="T84" t="s">
        <v>6015</v>
      </c>
      <c r="U84" t="s">
        <v>6016</v>
      </c>
      <c r="V84" s="156">
        <v>42359</v>
      </c>
    </row>
    <row r="85" spans="3:22" hidden="1">
      <c r="C85" s="156"/>
      <c r="F85" t="s">
        <v>1230</v>
      </c>
      <c r="G85" t="s">
        <v>1012</v>
      </c>
      <c r="H85" s="156" t="s">
        <v>6120</v>
      </c>
      <c r="I85" s="156">
        <v>42341</v>
      </c>
      <c r="J85" s="156" t="s">
        <v>6013</v>
      </c>
      <c r="K85">
        <v>11102001</v>
      </c>
      <c r="L85" s="156" t="s">
        <v>6121</v>
      </c>
      <c r="M85" s="156">
        <v>42373</v>
      </c>
      <c r="N85" t="s">
        <v>25</v>
      </c>
      <c r="O85">
        <v>33480</v>
      </c>
      <c r="P85">
        <v>0</v>
      </c>
      <c r="Q85">
        <v>33480</v>
      </c>
      <c r="R85">
        <v>1</v>
      </c>
      <c r="S85">
        <v>33480</v>
      </c>
      <c r="T85" t="s">
        <v>6015</v>
      </c>
      <c r="U85" t="s">
        <v>6016</v>
      </c>
      <c r="V85" s="156">
        <v>42359</v>
      </c>
    </row>
    <row r="86" spans="3:22" hidden="1">
      <c r="C86" s="156"/>
      <c r="F86" t="s">
        <v>1230</v>
      </c>
      <c r="G86" t="s">
        <v>1012</v>
      </c>
      <c r="H86" s="156" t="s">
        <v>6122</v>
      </c>
      <c r="I86" s="156">
        <v>42341</v>
      </c>
      <c r="J86" s="156" t="s">
        <v>6013</v>
      </c>
      <c r="K86">
        <v>11102001</v>
      </c>
      <c r="L86" s="156" t="s">
        <v>6123</v>
      </c>
      <c r="M86" s="156">
        <v>42373</v>
      </c>
      <c r="N86" t="s">
        <v>25</v>
      </c>
      <c r="O86">
        <v>33480</v>
      </c>
      <c r="P86">
        <v>0</v>
      </c>
      <c r="Q86">
        <v>33480</v>
      </c>
      <c r="R86">
        <v>1</v>
      </c>
      <c r="S86">
        <v>33480</v>
      </c>
      <c r="T86" t="s">
        <v>6015</v>
      </c>
      <c r="U86" t="s">
        <v>6016</v>
      </c>
      <c r="V86" s="156">
        <v>42359</v>
      </c>
    </row>
    <row r="87" spans="3:22" hidden="1">
      <c r="C87" s="156"/>
      <c r="F87" t="s">
        <v>1230</v>
      </c>
      <c r="G87" t="s">
        <v>1012</v>
      </c>
      <c r="H87" s="156" t="s">
        <v>6124</v>
      </c>
      <c r="I87" s="156">
        <v>42341</v>
      </c>
      <c r="J87" s="156" t="s">
        <v>6013</v>
      </c>
      <c r="K87">
        <v>11102001</v>
      </c>
      <c r="L87" s="156" t="s">
        <v>6125</v>
      </c>
      <c r="M87" s="156">
        <v>42373</v>
      </c>
      <c r="N87" t="s">
        <v>25</v>
      </c>
      <c r="O87">
        <v>107346.97</v>
      </c>
      <c r="P87">
        <v>0</v>
      </c>
      <c r="Q87">
        <v>107346.97</v>
      </c>
      <c r="R87">
        <v>1</v>
      </c>
      <c r="S87">
        <v>107346.97</v>
      </c>
      <c r="T87" t="s">
        <v>6015</v>
      </c>
      <c r="U87" t="s">
        <v>6126</v>
      </c>
      <c r="V87" s="156">
        <v>42359</v>
      </c>
    </row>
    <row r="88" spans="3:22" hidden="1">
      <c r="C88" s="156"/>
      <c r="F88" t="s">
        <v>1230</v>
      </c>
      <c r="G88" t="s">
        <v>6023</v>
      </c>
      <c r="H88" s="156" t="s">
        <v>6127</v>
      </c>
      <c r="I88" s="156">
        <v>42347</v>
      </c>
      <c r="J88" s="156" t="s">
        <v>6013</v>
      </c>
      <c r="K88">
        <v>11102001</v>
      </c>
      <c r="L88" s="156" t="s">
        <v>6128</v>
      </c>
      <c r="M88" s="156">
        <v>42376</v>
      </c>
      <c r="N88" t="s">
        <v>25</v>
      </c>
      <c r="O88">
        <v>76000</v>
      </c>
      <c r="P88">
        <v>0</v>
      </c>
      <c r="Q88">
        <v>76000</v>
      </c>
      <c r="R88">
        <v>1</v>
      </c>
      <c r="S88">
        <v>76000</v>
      </c>
      <c r="T88" t="s">
        <v>6015</v>
      </c>
      <c r="U88" t="s">
        <v>6072</v>
      </c>
      <c r="V88" s="156">
        <v>42359</v>
      </c>
    </row>
    <row r="89" spans="3:22" hidden="1">
      <c r="C89" s="156"/>
      <c r="F89" t="s">
        <v>1230</v>
      </c>
      <c r="G89" t="s">
        <v>6023</v>
      </c>
      <c r="H89" s="156" t="s">
        <v>6129</v>
      </c>
      <c r="I89" s="156">
        <v>42347</v>
      </c>
      <c r="J89" s="156" t="s">
        <v>6013</v>
      </c>
      <c r="K89">
        <v>11102001</v>
      </c>
      <c r="L89" s="156" t="s">
        <v>6130</v>
      </c>
      <c r="M89" s="156">
        <v>42376</v>
      </c>
      <c r="N89" t="s">
        <v>25</v>
      </c>
      <c r="O89">
        <v>76000</v>
      </c>
      <c r="P89">
        <v>0</v>
      </c>
      <c r="Q89">
        <v>76000</v>
      </c>
      <c r="R89">
        <v>1</v>
      </c>
      <c r="S89">
        <v>76000</v>
      </c>
      <c r="T89" t="s">
        <v>6015</v>
      </c>
      <c r="U89" t="s">
        <v>6072</v>
      </c>
      <c r="V89" s="156">
        <v>42359</v>
      </c>
    </row>
    <row r="90" spans="3:22" hidden="1">
      <c r="C90" s="156"/>
      <c r="F90" t="s">
        <v>1230</v>
      </c>
      <c r="G90" t="s">
        <v>6023</v>
      </c>
      <c r="H90" s="156" t="s">
        <v>6131</v>
      </c>
      <c r="I90" s="156">
        <v>42334</v>
      </c>
      <c r="J90" s="156" t="s">
        <v>6013</v>
      </c>
      <c r="K90">
        <v>11102001</v>
      </c>
      <c r="L90" s="156" t="s">
        <v>6132</v>
      </c>
      <c r="M90" s="156">
        <v>42373</v>
      </c>
      <c r="N90" t="s">
        <v>25</v>
      </c>
      <c r="O90">
        <v>76000</v>
      </c>
      <c r="P90">
        <v>0</v>
      </c>
      <c r="Q90">
        <v>76000</v>
      </c>
      <c r="R90">
        <v>1</v>
      </c>
      <c r="S90">
        <v>76000</v>
      </c>
      <c r="T90" t="s">
        <v>6015</v>
      </c>
      <c r="U90" t="s">
        <v>6037</v>
      </c>
      <c r="V90" s="156">
        <v>42359</v>
      </c>
    </row>
    <row r="91" spans="3:22" hidden="1">
      <c r="C91" s="156"/>
      <c r="F91" t="s">
        <v>1230</v>
      </c>
      <c r="G91" t="s">
        <v>6023</v>
      </c>
      <c r="H91" s="156" t="s">
        <v>6133</v>
      </c>
      <c r="I91" s="156">
        <v>42334</v>
      </c>
      <c r="J91" s="156" t="s">
        <v>6013</v>
      </c>
      <c r="K91">
        <v>11102001</v>
      </c>
      <c r="L91" s="156" t="s">
        <v>6134</v>
      </c>
      <c r="M91" s="156">
        <v>42373</v>
      </c>
      <c r="N91" t="s">
        <v>25</v>
      </c>
      <c r="O91">
        <v>76000</v>
      </c>
      <c r="P91">
        <v>0</v>
      </c>
      <c r="Q91">
        <v>76000</v>
      </c>
      <c r="R91">
        <v>1</v>
      </c>
      <c r="S91">
        <v>76000</v>
      </c>
      <c r="T91" t="s">
        <v>6015</v>
      </c>
      <c r="U91" t="s">
        <v>6037</v>
      </c>
      <c r="V91" s="156">
        <v>42359</v>
      </c>
    </row>
    <row r="92" spans="3:22" hidden="1">
      <c r="C92" s="156"/>
      <c r="F92" t="s">
        <v>1230</v>
      </c>
      <c r="G92" t="s">
        <v>6023</v>
      </c>
      <c r="H92" s="156" t="s">
        <v>6135</v>
      </c>
      <c r="I92" s="156">
        <v>42334</v>
      </c>
      <c r="J92" s="156" t="s">
        <v>6013</v>
      </c>
      <c r="K92">
        <v>11102001</v>
      </c>
      <c r="L92" s="156" t="s">
        <v>6136</v>
      </c>
      <c r="M92" s="156">
        <v>42373</v>
      </c>
      <c r="N92" t="s">
        <v>25</v>
      </c>
      <c r="O92">
        <v>76000</v>
      </c>
      <c r="P92">
        <v>0</v>
      </c>
      <c r="Q92">
        <v>76000</v>
      </c>
      <c r="R92">
        <v>1</v>
      </c>
      <c r="S92">
        <v>76000</v>
      </c>
      <c r="T92" t="s">
        <v>6015</v>
      </c>
      <c r="U92" t="s">
        <v>6037</v>
      </c>
      <c r="V92" s="156">
        <v>42359</v>
      </c>
    </row>
    <row r="93" spans="3:22" hidden="1">
      <c r="C93" s="156"/>
      <c r="F93" t="s">
        <v>1230</v>
      </c>
      <c r="G93" t="s">
        <v>6023</v>
      </c>
      <c r="H93" s="156" t="s">
        <v>6137</v>
      </c>
      <c r="I93" s="156">
        <v>42334</v>
      </c>
      <c r="J93" s="156" t="s">
        <v>6013</v>
      </c>
      <c r="K93">
        <v>11102001</v>
      </c>
      <c r="L93" s="156" t="s">
        <v>6138</v>
      </c>
      <c r="M93" s="156">
        <v>42373</v>
      </c>
      <c r="N93" t="s">
        <v>25</v>
      </c>
      <c r="O93">
        <v>76000</v>
      </c>
      <c r="P93">
        <v>0</v>
      </c>
      <c r="Q93">
        <v>76000</v>
      </c>
      <c r="R93">
        <v>1</v>
      </c>
      <c r="S93">
        <v>76000</v>
      </c>
      <c r="T93" t="s">
        <v>6015</v>
      </c>
      <c r="U93" t="s">
        <v>6037</v>
      </c>
      <c r="V93" s="156">
        <v>42359</v>
      </c>
    </row>
    <row r="94" spans="3:22" hidden="1">
      <c r="C94" s="156"/>
      <c r="F94" t="s">
        <v>1230</v>
      </c>
      <c r="G94" t="s">
        <v>6023</v>
      </c>
      <c r="H94" s="156" t="s">
        <v>6139</v>
      </c>
      <c r="I94" s="156">
        <v>42347</v>
      </c>
      <c r="J94" s="156" t="s">
        <v>6013</v>
      </c>
      <c r="K94">
        <v>11102001</v>
      </c>
      <c r="L94" s="156" t="s">
        <v>6140</v>
      </c>
      <c r="M94" s="156">
        <v>42377</v>
      </c>
      <c r="N94" t="s">
        <v>25</v>
      </c>
      <c r="O94">
        <v>76000</v>
      </c>
      <c r="P94">
        <v>0</v>
      </c>
      <c r="Q94">
        <v>76000</v>
      </c>
      <c r="R94">
        <v>1</v>
      </c>
      <c r="S94">
        <v>76000</v>
      </c>
      <c r="T94" t="s">
        <v>6015</v>
      </c>
      <c r="U94" t="s">
        <v>6029</v>
      </c>
      <c r="V94" s="156">
        <v>42359</v>
      </c>
    </row>
    <row r="95" spans="3:22" hidden="1">
      <c r="C95" s="156"/>
      <c r="F95" t="s">
        <v>1230</v>
      </c>
      <c r="G95" t="s">
        <v>6023</v>
      </c>
      <c r="H95" s="156" t="s">
        <v>6141</v>
      </c>
      <c r="I95" s="156">
        <v>42346</v>
      </c>
      <c r="J95" s="156" t="s">
        <v>6013</v>
      </c>
      <c r="K95">
        <v>11102001</v>
      </c>
      <c r="L95" s="156" t="s">
        <v>6142</v>
      </c>
      <c r="M95" s="156">
        <v>42375</v>
      </c>
      <c r="N95" t="s">
        <v>25</v>
      </c>
      <c r="O95">
        <v>76000</v>
      </c>
      <c r="P95">
        <v>0</v>
      </c>
      <c r="Q95">
        <v>76000</v>
      </c>
      <c r="R95">
        <v>1</v>
      </c>
      <c r="S95">
        <v>76000</v>
      </c>
      <c r="T95" t="s">
        <v>6015</v>
      </c>
      <c r="U95" t="s">
        <v>6032</v>
      </c>
      <c r="V95" s="156">
        <v>42359</v>
      </c>
    </row>
    <row r="96" spans="3:22" hidden="1">
      <c r="C96" s="156"/>
      <c r="F96" t="s">
        <v>1230</v>
      </c>
      <c r="G96" t="s">
        <v>6023</v>
      </c>
      <c r="H96" s="156" t="s">
        <v>6143</v>
      </c>
      <c r="I96" s="156">
        <v>42333</v>
      </c>
      <c r="J96" s="156" t="s">
        <v>6013</v>
      </c>
      <c r="K96">
        <v>11102001</v>
      </c>
      <c r="L96" s="156" t="s">
        <v>6144</v>
      </c>
      <c r="M96" s="156">
        <v>42373</v>
      </c>
      <c r="N96" t="s">
        <v>25</v>
      </c>
      <c r="O96">
        <v>98838</v>
      </c>
      <c r="P96">
        <v>0</v>
      </c>
      <c r="Q96">
        <v>98838</v>
      </c>
      <c r="R96">
        <v>1</v>
      </c>
      <c r="S96">
        <v>98838</v>
      </c>
      <c r="T96" t="s">
        <v>6015</v>
      </c>
      <c r="U96" t="s">
        <v>6026</v>
      </c>
      <c r="V96" s="156">
        <v>42359</v>
      </c>
    </row>
    <row r="97" spans="3:22" hidden="1">
      <c r="C97" s="156"/>
      <c r="F97" t="s">
        <v>1230</v>
      </c>
      <c r="G97" t="s">
        <v>6023</v>
      </c>
      <c r="H97" s="156" t="s">
        <v>6145</v>
      </c>
      <c r="I97" s="156">
        <v>42333</v>
      </c>
      <c r="J97" s="156" t="s">
        <v>6013</v>
      </c>
      <c r="K97">
        <v>11102001</v>
      </c>
      <c r="L97" s="156" t="s">
        <v>6146</v>
      </c>
      <c r="M97" s="156">
        <v>42373</v>
      </c>
      <c r="N97" t="s">
        <v>25</v>
      </c>
      <c r="O97">
        <v>98838</v>
      </c>
      <c r="P97">
        <v>0</v>
      </c>
      <c r="Q97">
        <v>98838</v>
      </c>
      <c r="R97">
        <v>1</v>
      </c>
      <c r="S97">
        <v>98838</v>
      </c>
      <c r="T97" t="s">
        <v>6015</v>
      </c>
      <c r="U97" t="s">
        <v>6026</v>
      </c>
      <c r="V97" s="156">
        <v>42359</v>
      </c>
    </row>
    <row r="98" spans="3:22" hidden="1">
      <c r="C98" s="156"/>
      <c r="F98" t="s">
        <v>1230</v>
      </c>
      <c r="G98" t="s">
        <v>6023</v>
      </c>
      <c r="H98" s="156" t="s">
        <v>6147</v>
      </c>
      <c r="I98" s="156">
        <v>42334</v>
      </c>
      <c r="J98" s="156" t="s">
        <v>6013</v>
      </c>
      <c r="K98">
        <v>11102001</v>
      </c>
      <c r="L98" s="156" t="s">
        <v>6148</v>
      </c>
      <c r="M98" s="156">
        <v>42373</v>
      </c>
      <c r="N98" t="s">
        <v>25</v>
      </c>
      <c r="O98">
        <v>76000</v>
      </c>
      <c r="P98">
        <v>0</v>
      </c>
      <c r="Q98">
        <v>76000</v>
      </c>
      <c r="R98">
        <v>1</v>
      </c>
      <c r="S98">
        <v>76000</v>
      </c>
      <c r="T98" t="s">
        <v>6015</v>
      </c>
      <c r="U98" t="s">
        <v>6037</v>
      </c>
      <c r="V98" s="156">
        <v>42359</v>
      </c>
    </row>
    <row r="99" spans="3:22" hidden="1">
      <c r="C99" s="156"/>
      <c r="F99" t="s">
        <v>1230</v>
      </c>
      <c r="G99" t="s">
        <v>6023</v>
      </c>
      <c r="H99" s="156" t="s">
        <v>6149</v>
      </c>
      <c r="I99" s="156">
        <v>42334</v>
      </c>
      <c r="J99" s="156" t="s">
        <v>6013</v>
      </c>
      <c r="K99">
        <v>11102001</v>
      </c>
      <c r="L99" s="156" t="s">
        <v>6150</v>
      </c>
      <c r="M99" s="156">
        <v>42373</v>
      </c>
      <c r="N99" t="s">
        <v>25</v>
      </c>
      <c r="O99">
        <v>36000</v>
      </c>
      <c r="P99">
        <v>0</v>
      </c>
      <c r="Q99">
        <v>36000</v>
      </c>
      <c r="R99">
        <v>1</v>
      </c>
      <c r="S99">
        <v>36000</v>
      </c>
      <c r="T99" t="s">
        <v>6015</v>
      </c>
      <c r="U99" t="s">
        <v>6037</v>
      </c>
      <c r="V99" s="156">
        <v>42359</v>
      </c>
    </row>
    <row r="100" spans="3:22" hidden="1">
      <c r="C100" s="156"/>
      <c r="F100" t="s">
        <v>1230</v>
      </c>
      <c r="G100" t="s">
        <v>6023</v>
      </c>
      <c r="H100" s="156" t="s">
        <v>6151</v>
      </c>
      <c r="I100" s="156">
        <v>42338</v>
      </c>
      <c r="J100" s="156" t="s">
        <v>6013</v>
      </c>
      <c r="K100">
        <v>11102001</v>
      </c>
      <c r="L100" s="156" t="s">
        <v>6152</v>
      </c>
      <c r="M100" s="156">
        <v>42373</v>
      </c>
      <c r="N100" t="s">
        <v>25</v>
      </c>
      <c r="O100">
        <v>76000</v>
      </c>
      <c r="P100">
        <v>0</v>
      </c>
      <c r="Q100">
        <v>76000</v>
      </c>
      <c r="R100">
        <v>1</v>
      </c>
      <c r="S100">
        <v>76000</v>
      </c>
      <c r="T100" t="s">
        <v>6015</v>
      </c>
      <c r="U100" t="s">
        <v>6061</v>
      </c>
      <c r="V100" s="156">
        <v>42359</v>
      </c>
    </row>
    <row r="101" spans="3:22" hidden="1">
      <c r="C101" s="156"/>
      <c r="F101" t="s">
        <v>1230</v>
      </c>
      <c r="G101" t="s">
        <v>6023</v>
      </c>
      <c r="H101" s="156" t="s">
        <v>6153</v>
      </c>
      <c r="I101" s="156">
        <v>42333</v>
      </c>
      <c r="J101" s="156" t="s">
        <v>6013</v>
      </c>
      <c r="K101">
        <v>11102001</v>
      </c>
      <c r="L101" s="156" t="s">
        <v>6154</v>
      </c>
      <c r="M101" s="156">
        <v>42373</v>
      </c>
      <c r="N101" t="s">
        <v>25</v>
      </c>
      <c r="O101">
        <v>98838</v>
      </c>
      <c r="P101">
        <v>0</v>
      </c>
      <c r="Q101">
        <v>98838</v>
      </c>
      <c r="R101">
        <v>1</v>
      </c>
      <c r="S101">
        <v>98838</v>
      </c>
      <c r="T101" t="s">
        <v>6015</v>
      </c>
      <c r="U101" t="s">
        <v>6058</v>
      </c>
      <c r="V101" s="156">
        <v>42359</v>
      </c>
    </row>
    <row r="102" spans="3:22" hidden="1">
      <c r="C102" s="156"/>
      <c r="F102" t="s">
        <v>1230</v>
      </c>
      <c r="G102" t="s">
        <v>6023</v>
      </c>
      <c r="H102" s="156" t="s">
        <v>6155</v>
      </c>
      <c r="I102" s="156">
        <v>42333</v>
      </c>
      <c r="J102" s="156" t="s">
        <v>6013</v>
      </c>
      <c r="K102">
        <v>11102001</v>
      </c>
      <c r="L102" s="156" t="s">
        <v>6156</v>
      </c>
      <c r="M102" s="156">
        <v>42373</v>
      </c>
      <c r="N102" t="s">
        <v>25</v>
      </c>
      <c r="O102">
        <v>76000</v>
      </c>
      <c r="P102">
        <v>0</v>
      </c>
      <c r="Q102">
        <v>76000</v>
      </c>
      <c r="R102">
        <v>1</v>
      </c>
      <c r="S102">
        <v>76000</v>
      </c>
      <c r="T102" t="s">
        <v>6015</v>
      </c>
      <c r="U102" t="s">
        <v>6058</v>
      </c>
      <c r="V102" s="156">
        <v>42359</v>
      </c>
    </row>
    <row r="103" spans="3:22" hidden="1">
      <c r="C103" s="156"/>
      <c r="F103" t="s">
        <v>1230</v>
      </c>
      <c r="G103" t="s">
        <v>6023</v>
      </c>
      <c r="H103" s="156" t="s">
        <v>6157</v>
      </c>
      <c r="I103" s="156">
        <v>42338</v>
      </c>
      <c r="J103" s="156" t="s">
        <v>6013</v>
      </c>
      <c r="K103">
        <v>11102001</v>
      </c>
      <c r="L103" s="156" t="s">
        <v>6158</v>
      </c>
      <c r="M103" s="156">
        <v>42373</v>
      </c>
      <c r="N103" t="s">
        <v>25</v>
      </c>
      <c r="O103">
        <v>76000</v>
      </c>
      <c r="P103">
        <v>0</v>
      </c>
      <c r="Q103">
        <v>76000</v>
      </c>
      <c r="R103">
        <v>1</v>
      </c>
      <c r="S103">
        <v>76000</v>
      </c>
      <c r="T103" t="s">
        <v>6015</v>
      </c>
      <c r="U103" t="s">
        <v>6061</v>
      </c>
      <c r="V103" s="156">
        <v>42359</v>
      </c>
    </row>
    <row r="104" spans="3:22" hidden="1">
      <c r="C104" s="156"/>
      <c r="F104" t="s">
        <v>1230</v>
      </c>
      <c r="G104" t="s">
        <v>6023</v>
      </c>
      <c r="H104" s="156" t="s">
        <v>6159</v>
      </c>
      <c r="I104" s="156">
        <v>42338</v>
      </c>
      <c r="J104" s="156" t="s">
        <v>6013</v>
      </c>
      <c r="K104">
        <v>11102001</v>
      </c>
      <c r="L104" s="156" t="s">
        <v>6160</v>
      </c>
      <c r="M104" s="156">
        <v>42373</v>
      </c>
      <c r="N104" t="s">
        <v>25</v>
      </c>
      <c r="O104">
        <v>76000</v>
      </c>
      <c r="P104">
        <v>0</v>
      </c>
      <c r="Q104">
        <v>76000</v>
      </c>
      <c r="R104">
        <v>1</v>
      </c>
      <c r="S104">
        <v>76000</v>
      </c>
      <c r="T104" t="s">
        <v>6015</v>
      </c>
      <c r="U104" t="s">
        <v>6061</v>
      </c>
      <c r="V104" s="156">
        <v>42359</v>
      </c>
    </row>
    <row r="105" spans="3:22" hidden="1">
      <c r="C105" s="156"/>
      <c r="F105" t="s">
        <v>1230</v>
      </c>
      <c r="G105" t="s">
        <v>6023</v>
      </c>
      <c r="H105" s="156" t="s">
        <v>6161</v>
      </c>
      <c r="I105" s="156">
        <v>42341</v>
      </c>
      <c r="J105" s="156" t="s">
        <v>6013</v>
      </c>
      <c r="K105">
        <v>11102001</v>
      </c>
      <c r="L105" s="156" t="s">
        <v>6162</v>
      </c>
      <c r="M105" s="156">
        <v>42373</v>
      </c>
      <c r="N105" t="s">
        <v>25</v>
      </c>
      <c r="O105">
        <v>881971.04</v>
      </c>
      <c r="P105">
        <v>0</v>
      </c>
      <c r="Q105">
        <v>881971.04</v>
      </c>
      <c r="R105">
        <v>1</v>
      </c>
      <c r="S105">
        <v>881971.04</v>
      </c>
      <c r="T105" t="s">
        <v>6015</v>
      </c>
      <c r="U105" t="s">
        <v>6163</v>
      </c>
      <c r="V105" s="156">
        <v>42359</v>
      </c>
    </row>
    <row r="106" spans="3:22" hidden="1">
      <c r="C106" s="156"/>
      <c r="F106" t="s">
        <v>1230</v>
      </c>
      <c r="G106" t="s">
        <v>71</v>
      </c>
      <c r="H106" s="156" t="s">
        <v>6164</v>
      </c>
      <c r="I106" s="156">
        <v>42352</v>
      </c>
      <c r="J106" s="156" t="s">
        <v>6165</v>
      </c>
      <c r="K106">
        <v>17101003</v>
      </c>
      <c r="L106" s="156" t="s">
        <v>6166</v>
      </c>
      <c r="M106" s="156">
        <v>42352</v>
      </c>
      <c r="N106" t="s">
        <v>25</v>
      </c>
      <c r="O106">
        <v>1000</v>
      </c>
      <c r="P106">
        <v>945.25</v>
      </c>
      <c r="Q106">
        <v>54.75</v>
      </c>
      <c r="R106">
        <v>1</v>
      </c>
      <c r="S106">
        <v>54.75</v>
      </c>
      <c r="T106" t="s">
        <v>4663</v>
      </c>
      <c r="U106" t="s">
        <v>6167</v>
      </c>
      <c r="V106" s="156">
        <v>42359</v>
      </c>
    </row>
    <row r="107" spans="3:22" hidden="1">
      <c r="C107" s="156"/>
      <c r="F107" t="s">
        <v>1230</v>
      </c>
      <c r="G107" t="s">
        <v>72</v>
      </c>
      <c r="H107" s="156" t="s">
        <v>5902</v>
      </c>
      <c r="I107" s="156">
        <v>42298</v>
      </c>
      <c r="J107" s="156" t="s">
        <v>4729</v>
      </c>
      <c r="K107">
        <v>17101003</v>
      </c>
      <c r="L107" s="156" t="s">
        <v>5903</v>
      </c>
      <c r="M107" s="156">
        <v>42298</v>
      </c>
      <c r="N107" t="s">
        <v>25</v>
      </c>
      <c r="O107">
        <v>975.49</v>
      </c>
      <c r="P107">
        <v>587.99</v>
      </c>
      <c r="Q107">
        <v>387.5</v>
      </c>
      <c r="R107">
        <v>1</v>
      </c>
      <c r="S107">
        <v>387.5</v>
      </c>
      <c r="T107" t="s">
        <v>4663</v>
      </c>
      <c r="U107" t="s">
        <v>5875</v>
      </c>
      <c r="V107" s="156">
        <v>42359</v>
      </c>
    </row>
    <row r="108" spans="3:22" hidden="1">
      <c r="C108" s="156"/>
      <c r="F108" t="s">
        <v>1230</v>
      </c>
      <c r="G108" t="s">
        <v>72</v>
      </c>
      <c r="H108" s="156" t="s">
        <v>6168</v>
      </c>
      <c r="I108" s="156">
        <v>42345</v>
      </c>
      <c r="J108" s="156" t="s">
        <v>4683</v>
      </c>
      <c r="K108">
        <v>17101002</v>
      </c>
      <c r="L108" s="156" t="s">
        <v>6169</v>
      </c>
      <c r="M108" s="156">
        <v>42345</v>
      </c>
      <c r="N108" t="s">
        <v>25</v>
      </c>
      <c r="O108">
        <v>30745.25</v>
      </c>
      <c r="Q108">
        <v>30745.25</v>
      </c>
      <c r="R108">
        <v>1</v>
      </c>
      <c r="S108">
        <v>30745.25</v>
      </c>
      <c r="T108" t="s">
        <v>4665</v>
      </c>
      <c r="U108" t="s">
        <v>5321</v>
      </c>
      <c r="V108" s="156">
        <v>42359</v>
      </c>
    </row>
    <row r="109" spans="3:22" hidden="1">
      <c r="C109" s="156"/>
      <c r="F109" t="s">
        <v>1230</v>
      </c>
      <c r="G109" t="s">
        <v>72</v>
      </c>
      <c r="H109" s="156" t="s">
        <v>6170</v>
      </c>
      <c r="I109" s="156">
        <v>42360</v>
      </c>
      <c r="J109" s="156" t="s">
        <v>4683</v>
      </c>
      <c r="K109">
        <v>17101002</v>
      </c>
      <c r="L109" s="156" t="s">
        <v>6171</v>
      </c>
      <c r="M109" s="156">
        <v>42360</v>
      </c>
      <c r="N109" t="s">
        <v>25</v>
      </c>
      <c r="O109">
        <v>19531.599999999999</v>
      </c>
      <c r="Q109">
        <v>19531.599999999999</v>
      </c>
      <c r="R109">
        <v>1</v>
      </c>
      <c r="S109">
        <v>19531.599999999999</v>
      </c>
      <c r="T109" t="s">
        <v>4665</v>
      </c>
      <c r="U109" t="s">
        <v>6172</v>
      </c>
      <c r="V109" s="156">
        <v>42359</v>
      </c>
    </row>
    <row r="110" spans="3:22" hidden="1">
      <c r="C110" s="156"/>
      <c r="F110" t="s">
        <v>1230</v>
      </c>
      <c r="G110" t="s">
        <v>72</v>
      </c>
      <c r="H110" s="156" t="s">
        <v>5877</v>
      </c>
      <c r="I110" s="156">
        <v>42291</v>
      </c>
      <c r="J110" s="156" t="s">
        <v>4906</v>
      </c>
      <c r="K110">
        <v>17101003</v>
      </c>
      <c r="L110" s="156" t="s">
        <v>5874</v>
      </c>
      <c r="M110" s="156">
        <v>42291</v>
      </c>
      <c r="N110" t="s">
        <v>25</v>
      </c>
      <c r="O110">
        <v>735.75</v>
      </c>
      <c r="Q110">
        <v>735.75</v>
      </c>
      <c r="R110">
        <v>1</v>
      </c>
      <c r="S110">
        <v>735.75</v>
      </c>
      <c r="T110" t="s">
        <v>4663</v>
      </c>
      <c r="U110" t="s">
        <v>5878</v>
      </c>
      <c r="V110" s="156">
        <v>42359</v>
      </c>
    </row>
    <row r="111" spans="3:22" hidden="1">
      <c r="C111" s="156"/>
      <c r="F111" t="s">
        <v>1230</v>
      </c>
      <c r="G111" t="s">
        <v>1012</v>
      </c>
      <c r="H111" s="156" t="s">
        <v>4738</v>
      </c>
      <c r="I111" s="156">
        <v>42061</v>
      </c>
      <c r="J111" s="156" t="s">
        <v>4739</v>
      </c>
      <c r="K111">
        <v>11107001</v>
      </c>
      <c r="L111" s="156" t="s">
        <v>4740</v>
      </c>
      <c r="M111" s="156">
        <v>42612</v>
      </c>
      <c r="N111" t="s">
        <v>25</v>
      </c>
      <c r="O111">
        <v>95000</v>
      </c>
      <c r="Q111">
        <v>95000</v>
      </c>
      <c r="R111">
        <v>1</v>
      </c>
      <c r="S111">
        <v>95000</v>
      </c>
      <c r="T111" t="s">
        <v>4651</v>
      </c>
      <c r="U111" t="s">
        <v>4741</v>
      </c>
      <c r="V111" s="156">
        <v>42359</v>
      </c>
    </row>
    <row r="112" spans="3:22" hidden="1">
      <c r="C112" s="156"/>
      <c r="F112" t="s">
        <v>1230</v>
      </c>
      <c r="G112" t="s">
        <v>1012</v>
      </c>
      <c r="H112" s="156" t="s">
        <v>4742</v>
      </c>
      <c r="I112" s="156">
        <v>42061</v>
      </c>
      <c r="J112" s="156" t="s">
        <v>4739</v>
      </c>
      <c r="K112">
        <v>11107001</v>
      </c>
      <c r="L112" s="156" t="s">
        <v>4740</v>
      </c>
      <c r="M112" s="156">
        <v>42977</v>
      </c>
      <c r="N112" t="s">
        <v>25</v>
      </c>
      <c r="O112">
        <v>95000</v>
      </c>
      <c r="Q112">
        <v>95000</v>
      </c>
      <c r="R112">
        <v>1</v>
      </c>
      <c r="S112">
        <v>95000</v>
      </c>
      <c r="T112" t="s">
        <v>4651</v>
      </c>
      <c r="U112" t="s">
        <v>4741</v>
      </c>
      <c r="V112" s="156">
        <v>42359</v>
      </c>
    </row>
    <row r="113" spans="3:22" hidden="1">
      <c r="C113" s="156"/>
      <c r="F113" t="s">
        <v>1230</v>
      </c>
      <c r="G113" t="s">
        <v>76</v>
      </c>
      <c r="H113" s="156" t="s">
        <v>5879</v>
      </c>
      <c r="I113" s="156">
        <v>42303</v>
      </c>
      <c r="J113" s="156" t="s">
        <v>5867</v>
      </c>
      <c r="K113">
        <v>17101002</v>
      </c>
      <c r="L113" s="156" t="s">
        <v>5880</v>
      </c>
      <c r="M113" s="156">
        <v>42303</v>
      </c>
      <c r="N113" t="s">
        <v>25</v>
      </c>
      <c r="O113">
        <v>32506.73</v>
      </c>
      <c r="Q113">
        <v>32506.73</v>
      </c>
      <c r="R113">
        <v>1</v>
      </c>
      <c r="S113">
        <v>32506.73</v>
      </c>
      <c r="T113" t="s">
        <v>4665</v>
      </c>
      <c r="U113" t="s">
        <v>5881</v>
      </c>
      <c r="V113" s="156">
        <v>42359</v>
      </c>
    </row>
    <row r="114" spans="3:22" hidden="1">
      <c r="C114" s="156"/>
      <c r="F114" t="s">
        <v>1230</v>
      </c>
      <c r="G114" t="s">
        <v>76</v>
      </c>
      <c r="H114" s="156" t="s">
        <v>5323</v>
      </c>
      <c r="I114" s="156">
        <v>42149</v>
      </c>
      <c r="J114" s="156" t="s">
        <v>5867</v>
      </c>
      <c r="K114">
        <v>17101002</v>
      </c>
      <c r="L114" s="156" t="s">
        <v>5324</v>
      </c>
      <c r="M114" s="156">
        <v>42149</v>
      </c>
      <c r="N114" t="s">
        <v>25</v>
      </c>
      <c r="O114">
        <v>80508.100000000006</v>
      </c>
      <c r="Q114">
        <v>80508.100000000006</v>
      </c>
      <c r="R114">
        <v>1</v>
      </c>
      <c r="S114">
        <v>80508.100000000006</v>
      </c>
      <c r="T114" t="s">
        <v>4665</v>
      </c>
      <c r="U114" t="s">
        <v>5325</v>
      </c>
      <c r="V114" s="156">
        <v>42359</v>
      </c>
    </row>
    <row r="115" spans="3:22" hidden="1">
      <c r="C115" s="156"/>
      <c r="F115" t="s">
        <v>1230</v>
      </c>
      <c r="G115" t="s">
        <v>71</v>
      </c>
      <c r="H115" s="156" t="s">
        <v>4744</v>
      </c>
      <c r="I115" s="156">
        <v>41204</v>
      </c>
      <c r="J115" s="156" t="s">
        <v>4745</v>
      </c>
      <c r="K115">
        <v>11102003</v>
      </c>
      <c r="L115" s="156" t="s">
        <v>4746</v>
      </c>
      <c r="M115" s="156">
        <v>41204</v>
      </c>
      <c r="N115" t="s">
        <v>25</v>
      </c>
      <c r="O115">
        <v>1679.4</v>
      </c>
      <c r="P115">
        <v>1710</v>
      </c>
      <c r="Q115">
        <v>-30.6</v>
      </c>
      <c r="R115">
        <v>1</v>
      </c>
      <c r="S115">
        <v>-30.6</v>
      </c>
      <c r="T115" t="s">
        <v>4695</v>
      </c>
      <c r="U115" t="s">
        <v>4747</v>
      </c>
      <c r="V115" s="156">
        <v>42359</v>
      </c>
    </row>
    <row r="116" spans="3:22" hidden="1">
      <c r="C116" s="156"/>
      <c r="F116" t="s">
        <v>1230</v>
      </c>
      <c r="G116" t="s">
        <v>72</v>
      </c>
      <c r="H116" s="156" t="s">
        <v>4748</v>
      </c>
      <c r="I116" s="156">
        <v>41863</v>
      </c>
      <c r="J116" s="156" t="s">
        <v>4749</v>
      </c>
      <c r="K116">
        <v>11101001</v>
      </c>
      <c r="L116" s="156" t="s">
        <v>4750</v>
      </c>
      <c r="M116" s="156">
        <v>41876</v>
      </c>
      <c r="N116" t="s">
        <v>25</v>
      </c>
      <c r="O116">
        <v>605000</v>
      </c>
      <c r="P116">
        <v>0</v>
      </c>
      <c r="Q116">
        <v>605000</v>
      </c>
      <c r="R116">
        <v>1</v>
      </c>
      <c r="S116">
        <v>605000</v>
      </c>
      <c r="T116" t="s">
        <v>4646</v>
      </c>
      <c r="U116" t="s">
        <v>4751</v>
      </c>
      <c r="V116" s="156">
        <v>42359</v>
      </c>
    </row>
    <row r="117" spans="3:22" hidden="1">
      <c r="C117" s="156"/>
      <c r="F117" t="s">
        <v>1230</v>
      </c>
      <c r="G117" t="s">
        <v>72</v>
      </c>
      <c r="H117" s="156" t="s">
        <v>6173</v>
      </c>
      <c r="I117" s="156">
        <v>42334</v>
      </c>
      <c r="J117" s="156" t="s">
        <v>5330</v>
      </c>
      <c r="K117">
        <v>17101003</v>
      </c>
      <c r="L117" s="156" t="s">
        <v>6174</v>
      </c>
      <c r="M117" s="156">
        <v>42334</v>
      </c>
      <c r="N117" t="s">
        <v>25</v>
      </c>
      <c r="O117">
        <v>571.79</v>
      </c>
      <c r="Q117">
        <v>571.79</v>
      </c>
      <c r="R117">
        <v>1</v>
      </c>
      <c r="S117">
        <v>571.79</v>
      </c>
      <c r="T117" t="s">
        <v>4663</v>
      </c>
      <c r="U117" t="s">
        <v>5875</v>
      </c>
      <c r="V117" s="156">
        <v>42359</v>
      </c>
    </row>
    <row r="118" spans="3:22" hidden="1">
      <c r="C118" s="156"/>
      <c r="F118" t="s">
        <v>1230</v>
      </c>
      <c r="G118" t="s">
        <v>72</v>
      </c>
      <c r="H118" s="156" t="s">
        <v>5329</v>
      </c>
      <c r="I118" s="156">
        <v>42137</v>
      </c>
      <c r="J118" s="156" t="s">
        <v>5330</v>
      </c>
      <c r="K118">
        <v>17101003</v>
      </c>
      <c r="L118" s="156" t="s">
        <v>5047</v>
      </c>
      <c r="M118" s="156">
        <v>42137</v>
      </c>
      <c r="N118" t="s">
        <v>25</v>
      </c>
      <c r="O118">
        <v>800</v>
      </c>
      <c r="P118">
        <v>571.79</v>
      </c>
      <c r="Q118">
        <v>228.21</v>
      </c>
      <c r="R118">
        <v>1</v>
      </c>
      <c r="S118">
        <v>228.21</v>
      </c>
      <c r="T118" t="s">
        <v>4663</v>
      </c>
      <c r="U118" t="s">
        <v>5331</v>
      </c>
      <c r="V118" s="156">
        <v>42359</v>
      </c>
    </row>
    <row r="119" spans="3:22" hidden="1">
      <c r="C119" s="156"/>
      <c r="F119" t="s">
        <v>1230</v>
      </c>
      <c r="G119" t="s">
        <v>71</v>
      </c>
      <c r="H119" s="156" t="s">
        <v>4753</v>
      </c>
      <c r="I119" s="156">
        <v>42062</v>
      </c>
      <c r="J119" s="156" t="s">
        <v>4754</v>
      </c>
      <c r="K119">
        <v>17101002</v>
      </c>
      <c r="L119" s="156" t="s">
        <v>4755</v>
      </c>
      <c r="M119" s="156">
        <v>42062</v>
      </c>
      <c r="N119" t="s">
        <v>25</v>
      </c>
      <c r="O119">
        <v>351.24</v>
      </c>
      <c r="Q119">
        <v>351.24</v>
      </c>
      <c r="R119">
        <v>1</v>
      </c>
      <c r="S119">
        <v>351.24</v>
      </c>
      <c r="T119" t="s">
        <v>4665</v>
      </c>
      <c r="U119" t="s">
        <v>4756</v>
      </c>
      <c r="V119" s="156">
        <v>42359</v>
      </c>
    </row>
    <row r="120" spans="3:22" hidden="1">
      <c r="C120" s="156"/>
      <c r="F120" t="s">
        <v>1230</v>
      </c>
      <c r="G120" t="s">
        <v>71</v>
      </c>
      <c r="H120" s="156" t="s">
        <v>5477</v>
      </c>
      <c r="I120" s="156">
        <v>42177</v>
      </c>
      <c r="J120" s="156" t="s">
        <v>4754</v>
      </c>
      <c r="K120">
        <v>17101002</v>
      </c>
      <c r="L120" s="156" t="s">
        <v>5478</v>
      </c>
      <c r="M120" s="156">
        <v>42177</v>
      </c>
      <c r="N120" t="s">
        <v>25</v>
      </c>
      <c r="O120">
        <v>480.01</v>
      </c>
      <c r="Q120">
        <v>480.01</v>
      </c>
      <c r="R120">
        <v>1</v>
      </c>
      <c r="S120">
        <v>480.01</v>
      </c>
      <c r="T120" t="s">
        <v>4665</v>
      </c>
      <c r="U120" t="s">
        <v>5479</v>
      </c>
      <c r="V120" s="156">
        <v>42359</v>
      </c>
    </row>
    <row r="121" spans="3:22" hidden="1">
      <c r="C121" s="156"/>
      <c r="F121" t="s">
        <v>1230</v>
      </c>
      <c r="G121" t="s">
        <v>72</v>
      </c>
      <c r="H121" s="156" t="s">
        <v>5626</v>
      </c>
      <c r="I121" s="156">
        <v>42220</v>
      </c>
      <c r="J121" s="156" t="s">
        <v>5627</v>
      </c>
      <c r="K121">
        <v>17101003</v>
      </c>
      <c r="L121" s="156" t="s">
        <v>5628</v>
      </c>
      <c r="M121" s="156">
        <v>42220</v>
      </c>
      <c r="N121" t="s">
        <v>25</v>
      </c>
      <c r="O121">
        <v>625</v>
      </c>
      <c r="Q121">
        <v>625</v>
      </c>
      <c r="R121">
        <v>1</v>
      </c>
      <c r="S121">
        <v>625</v>
      </c>
      <c r="T121" t="s">
        <v>4663</v>
      </c>
      <c r="U121" t="s">
        <v>5629</v>
      </c>
      <c r="V121" s="156">
        <v>42359</v>
      </c>
    </row>
    <row r="122" spans="3:22" hidden="1">
      <c r="C122" s="156"/>
      <c r="F122" t="s">
        <v>1230</v>
      </c>
      <c r="G122" t="s">
        <v>1012</v>
      </c>
      <c r="H122" s="156" t="s">
        <v>6175</v>
      </c>
      <c r="I122" s="156">
        <v>42334</v>
      </c>
      <c r="J122" s="156" t="s">
        <v>5439</v>
      </c>
      <c r="K122">
        <v>11107001</v>
      </c>
      <c r="L122" s="156" t="s">
        <v>6176</v>
      </c>
      <c r="M122" s="156">
        <v>42368</v>
      </c>
      <c r="N122" t="s">
        <v>25</v>
      </c>
      <c r="O122">
        <v>45000</v>
      </c>
      <c r="P122">
        <v>0</v>
      </c>
      <c r="Q122">
        <v>45000</v>
      </c>
      <c r="R122">
        <v>1</v>
      </c>
      <c r="S122">
        <v>45000</v>
      </c>
      <c r="T122" t="s">
        <v>4651</v>
      </c>
      <c r="U122" t="s">
        <v>6177</v>
      </c>
      <c r="V122" s="156">
        <v>42359</v>
      </c>
    </row>
    <row r="123" spans="3:22" hidden="1">
      <c r="C123" s="156"/>
      <c r="F123" t="s">
        <v>1230</v>
      </c>
      <c r="G123" t="s">
        <v>72</v>
      </c>
      <c r="H123" s="156" t="s">
        <v>4757</v>
      </c>
      <c r="I123" s="156">
        <v>41845</v>
      </c>
      <c r="J123" s="156" t="s">
        <v>4758</v>
      </c>
      <c r="K123">
        <v>11107001</v>
      </c>
      <c r="L123" s="156" t="s">
        <v>4759</v>
      </c>
      <c r="M123" s="156">
        <v>42155</v>
      </c>
      <c r="N123" t="s">
        <v>25</v>
      </c>
      <c r="O123">
        <v>18000</v>
      </c>
      <c r="P123">
        <v>0</v>
      </c>
      <c r="Q123">
        <v>18000</v>
      </c>
      <c r="R123">
        <v>1</v>
      </c>
      <c r="S123">
        <v>18000</v>
      </c>
      <c r="T123" t="s">
        <v>4669</v>
      </c>
      <c r="U123" t="s">
        <v>4761</v>
      </c>
      <c r="V123" s="156">
        <v>42359</v>
      </c>
    </row>
    <row r="124" spans="3:22" hidden="1">
      <c r="C124" s="156"/>
      <c r="F124" t="s">
        <v>1230</v>
      </c>
      <c r="G124" t="s">
        <v>73</v>
      </c>
      <c r="H124" s="156" t="s">
        <v>6178</v>
      </c>
      <c r="I124" s="156">
        <v>42339</v>
      </c>
      <c r="J124" s="156" t="s">
        <v>6179</v>
      </c>
      <c r="K124">
        <v>11101020</v>
      </c>
      <c r="L124" s="156" t="s">
        <v>6180</v>
      </c>
      <c r="M124" s="156">
        <v>42459</v>
      </c>
      <c r="N124" t="s">
        <v>25</v>
      </c>
      <c r="O124">
        <v>10680</v>
      </c>
      <c r="P124">
        <v>0</v>
      </c>
      <c r="Q124">
        <v>10680</v>
      </c>
      <c r="R124">
        <v>1</v>
      </c>
      <c r="S124">
        <v>10680</v>
      </c>
      <c r="T124" t="s">
        <v>5704</v>
      </c>
      <c r="U124" t="s">
        <v>6181</v>
      </c>
      <c r="V124" s="156">
        <v>42359</v>
      </c>
    </row>
    <row r="125" spans="3:22" hidden="1">
      <c r="C125" s="156"/>
      <c r="F125" t="s">
        <v>1230</v>
      </c>
      <c r="G125" t="s">
        <v>1012</v>
      </c>
      <c r="H125" s="156" t="s">
        <v>4919</v>
      </c>
      <c r="I125" s="156">
        <v>41885</v>
      </c>
      <c r="J125" s="156" t="s">
        <v>4846</v>
      </c>
      <c r="K125">
        <v>11107001</v>
      </c>
      <c r="L125" s="156" t="s">
        <v>4781</v>
      </c>
      <c r="M125" s="156">
        <v>42855</v>
      </c>
      <c r="N125" t="s">
        <v>25</v>
      </c>
      <c r="O125">
        <v>40000</v>
      </c>
      <c r="Q125">
        <v>40000</v>
      </c>
      <c r="R125">
        <v>1</v>
      </c>
      <c r="S125">
        <v>40000</v>
      </c>
      <c r="T125" t="s">
        <v>4669</v>
      </c>
      <c r="U125" t="s">
        <v>4847</v>
      </c>
      <c r="V125" s="156">
        <v>42359</v>
      </c>
    </row>
    <row r="126" spans="3:22" hidden="1">
      <c r="C126" s="156"/>
      <c r="F126" t="s">
        <v>1230</v>
      </c>
      <c r="G126" t="s">
        <v>71</v>
      </c>
      <c r="H126" s="156" t="s">
        <v>6182</v>
      </c>
      <c r="I126" s="156">
        <v>42312</v>
      </c>
      <c r="J126" s="156" t="s">
        <v>6183</v>
      </c>
      <c r="K126">
        <v>17101002</v>
      </c>
      <c r="L126" s="156" t="s">
        <v>6184</v>
      </c>
      <c r="M126" s="156">
        <v>42312</v>
      </c>
      <c r="N126" t="s">
        <v>25</v>
      </c>
      <c r="O126">
        <v>522.9</v>
      </c>
      <c r="Q126">
        <v>522.9</v>
      </c>
      <c r="R126">
        <v>1</v>
      </c>
      <c r="S126">
        <v>522.9</v>
      </c>
      <c r="T126" t="s">
        <v>4665</v>
      </c>
      <c r="U126" t="s">
        <v>6185</v>
      </c>
      <c r="V126" s="156">
        <v>42359</v>
      </c>
    </row>
    <row r="127" spans="3:22" hidden="1">
      <c r="C127" s="156"/>
      <c r="F127" t="s">
        <v>1230</v>
      </c>
      <c r="G127" t="s">
        <v>76</v>
      </c>
      <c r="H127" s="156" t="s">
        <v>4969</v>
      </c>
      <c r="I127" s="156">
        <v>42062</v>
      </c>
      <c r="J127" s="156" t="s">
        <v>5046</v>
      </c>
      <c r="K127">
        <v>11101018</v>
      </c>
      <c r="L127" s="156" t="s">
        <v>4970</v>
      </c>
      <c r="M127" s="156">
        <v>42215</v>
      </c>
      <c r="N127" t="s">
        <v>25</v>
      </c>
      <c r="O127">
        <v>840361.5</v>
      </c>
      <c r="P127">
        <v>0</v>
      </c>
      <c r="Q127">
        <v>840361.5</v>
      </c>
      <c r="R127">
        <v>1</v>
      </c>
      <c r="S127">
        <v>840361.5</v>
      </c>
      <c r="T127" t="s">
        <v>4708</v>
      </c>
      <c r="U127" t="s">
        <v>4971</v>
      </c>
      <c r="V127" s="156">
        <v>42359</v>
      </c>
    </row>
    <row r="128" spans="3:22" hidden="1">
      <c r="C128" s="156"/>
      <c r="F128" t="s">
        <v>1230</v>
      </c>
      <c r="G128" t="s">
        <v>71</v>
      </c>
      <c r="H128" s="156" t="s">
        <v>4764</v>
      </c>
      <c r="I128" s="156">
        <v>42036</v>
      </c>
      <c r="J128" s="156" t="s">
        <v>4762</v>
      </c>
      <c r="K128">
        <v>11107001</v>
      </c>
      <c r="L128" s="156" t="s">
        <v>4740</v>
      </c>
      <c r="M128" s="156">
        <v>42602</v>
      </c>
      <c r="N128" t="s">
        <v>25</v>
      </c>
      <c r="O128">
        <v>25000</v>
      </c>
      <c r="Q128">
        <v>25000</v>
      </c>
      <c r="R128">
        <v>1</v>
      </c>
      <c r="S128">
        <v>25000</v>
      </c>
      <c r="T128" t="s">
        <v>4651</v>
      </c>
      <c r="U128" t="s">
        <v>4763</v>
      </c>
      <c r="V128" s="156">
        <v>42359</v>
      </c>
    </row>
    <row r="129" spans="3:22" hidden="1">
      <c r="C129" s="156"/>
      <c r="F129" t="s">
        <v>1230</v>
      </c>
      <c r="G129" t="s">
        <v>72</v>
      </c>
      <c r="H129" s="156" t="s">
        <v>5885</v>
      </c>
      <c r="I129" s="156">
        <v>42283</v>
      </c>
      <c r="J129" s="156" t="s">
        <v>5886</v>
      </c>
      <c r="K129">
        <v>17101003</v>
      </c>
      <c r="L129" s="156" t="s">
        <v>5874</v>
      </c>
      <c r="M129" s="156">
        <v>42283</v>
      </c>
      <c r="N129" t="s">
        <v>25</v>
      </c>
      <c r="O129">
        <v>1000</v>
      </c>
      <c r="Q129">
        <v>1000</v>
      </c>
      <c r="R129">
        <v>1</v>
      </c>
      <c r="S129">
        <v>1000</v>
      </c>
      <c r="T129" t="s">
        <v>4663</v>
      </c>
      <c r="U129" t="s">
        <v>5878</v>
      </c>
      <c r="V129" s="156">
        <v>42359</v>
      </c>
    </row>
    <row r="130" spans="3:22" hidden="1">
      <c r="C130" s="156"/>
      <c r="F130" t="s">
        <v>1230</v>
      </c>
      <c r="G130" t="s">
        <v>73</v>
      </c>
      <c r="H130" s="156" t="s">
        <v>5842</v>
      </c>
      <c r="I130" s="156">
        <v>42371</v>
      </c>
      <c r="J130" s="156" t="s">
        <v>4516</v>
      </c>
      <c r="K130">
        <v>11101001</v>
      </c>
      <c r="L130" s="156" t="s">
        <v>5843</v>
      </c>
      <c r="M130" s="156">
        <v>42444</v>
      </c>
      <c r="N130" t="s">
        <v>22</v>
      </c>
      <c r="O130">
        <v>840220</v>
      </c>
      <c r="Q130">
        <v>840220</v>
      </c>
      <c r="R130">
        <v>3.9062000000000001</v>
      </c>
      <c r="S130">
        <v>3282067.3640000001</v>
      </c>
      <c r="T130" t="s">
        <v>4646</v>
      </c>
      <c r="U130" t="s">
        <v>5844</v>
      </c>
      <c r="V130" s="156">
        <v>42359</v>
      </c>
    </row>
    <row r="131" spans="3:22" hidden="1">
      <c r="C131" s="156"/>
      <c r="F131" t="s">
        <v>1230</v>
      </c>
      <c r="G131" t="s">
        <v>73</v>
      </c>
      <c r="H131" s="156" t="s">
        <v>5911</v>
      </c>
      <c r="I131" s="156">
        <v>42371</v>
      </c>
      <c r="J131" s="156" t="s">
        <v>4516</v>
      </c>
      <c r="K131">
        <v>11101005</v>
      </c>
      <c r="L131" s="156" t="s">
        <v>5849</v>
      </c>
      <c r="M131" s="156">
        <v>42612</v>
      </c>
      <c r="N131" t="s">
        <v>25</v>
      </c>
      <c r="O131">
        <v>48300</v>
      </c>
      <c r="P131">
        <v>0</v>
      </c>
      <c r="Q131">
        <v>48300</v>
      </c>
      <c r="R131">
        <v>1</v>
      </c>
      <c r="S131">
        <v>48300</v>
      </c>
      <c r="T131" t="s">
        <v>4709</v>
      </c>
      <c r="U131" t="s">
        <v>5850</v>
      </c>
      <c r="V131" s="156">
        <v>42359</v>
      </c>
    </row>
    <row r="132" spans="3:22" hidden="1">
      <c r="C132" s="156"/>
      <c r="F132" t="s">
        <v>1230</v>
      </c>
      <c r="G132" t="s">
        <v>72</v>
      </c>
      <c r="H132" s="156" t="s">
        <v>5888</v>
      </c>
      <c r="I132" s="156">
        <v>42371</v>
      </c>
      <c r="J132" s="156" t="s">
        <v>4516</v>
      </c>
      <c r="K132">
        <v>11101005</v>
      </c>
      <c r="L132" s="156" t="s">
        <v>5889</v>
      </c>
      <c r="M132" s="156">
        <v>42674</v>
      </c>
      <c r="N132" t="s">
        <v>25</v>
      </c>
      <c r="O132">
        <v>87400</v>
      </c>
      <c r="P132">
        <v>0</v>
      </c>
      <c r="Q132">
        <v>87400</v>
      </c>
      <c r="R132">
        <v>1</v>
      </c>
      <c r="S132">
        <v>87400</v>
      </c>
      <c r="T132" t="s">
        <v>4709</v>
      </c>
      <c r="U132" t="s">
        <v>5853</v>
      </c>
      <c r="V132" s="156">
        <v>42359</v>
      </c>
    </row>
    <row r="133" spans="3:22" hidden="1">
      <c r="C133" s="156"/>
      <c r="F133" t="s">
        <v>1230</v>
      </c>
      <c r="G133" t="s">
        <v>76</v>
      </c>
      <c r="H133" s="156" t="s">
        <v>5923</v>
      </c>
      <c r="I133" s="156">
        <v>42371</v>
      </c>
      <c r="J133" s="156" t="s">
        <v>4518</v>
      </c>
      <c r="K133">
        <v>11101001</v>
      </c>
      <c r="L133" s="156" t="s">
        <v>5900</v>
      </c>
      <c r="M133" s="156">
        <v>42465</v>
      </c>
      <c r="N133" t="s">
        <v>25</v>
      </c>
      <c r="O133">
        <v>3088775.59</v>
      </c>
      <c r="Q133">
        <v>3088775.59</v>
      </c>
      <c r="R133">
        <v>1</v>
      </c>
      <c r="S133">
        <v>3088775.59</v>
      </c>
      <c r="T133" t="s">
        <v>4646</v>
      </c>
      <c r="U133" t="s">
        <v>5901</v>
      </c>
      <c r="V133" s="156">
        <v>42359</v>
      </c>
    </row>
    <row r="134" spans="3:22" hidden="1">
      <c r="C134" s="156"/>
      <c r="F134" t="s">
        <v>5046</v>
      </c>
      <c r="G134" t="s">
        <v>71</v>
      </c>
      <c r="H134" s="156" t="s">
        <v>6186</v>
      </c>
      <c r="I134" s="156">
        <v>42356</v>
      </c>
      <c r="J134" s="156" t="s">
        <v>4767</v>
      </c>
      <c r="K134">
        <v>19105017</v>
      </c>
      <c r="L134" s="156" t="s">
        <v>6187</v>
      </c>
      <c r="M134" s="156">
        <v>42360</v>
      </c>
      <c r="N134" t="s">
        <v>25</v>
      </c>
      <c r="O134">
        <v>4032.88</v>
      </c>
      <c r="P134">
        <v>0</v>
      </c>
      <c r="Q134">
        <v>4032.88</v>
      </c>
      <c r="R134">
        <v>1</v>
      </c>
      <c r="S134">
        <v>4032.88</v>
      </c>
      <c r="T134" t="s">
        <v>4768</v>
      </c>
      <c r="U134" t="s">
        <v>6188</v>
      </c>
      <c r="V134" s="156">
        <v>42359</v>
      </c>
    </row>
    <row r="135" spans="3:22" hidden="1">
      <c r="C135" s="156"/>
      <c r="F135" t="s">
        <v>1230</v>
      </c>
      <c r="G135" t="s">
        <v>72</v>
      </c>
      <c r="H135" s="156" t="s">
        <v>4769</v>
      </c>
      <c r="I135" s="156">
        <v>41044</v>
      </c>
      <c r="J135" s="156" t="s">
        <v>4649</v>
      </c>
      <c r="K135">
        <v>11107001</v>
      </c>
      <c r="L135" s="156" t="s">
        <v>4711</v>
      </c>
      <c r="M135" s="156">
        <v>42870</v>
      </c>
      <c r="N135" t="s">
        <v>25</v>
      </c>
      <c r="O135">
        <v>28125</v>
      </c>
      <c r="Q135">
        <v>28125</v>
      </c>
      <c r="R135">
        <v>1</v>
      </c>
      <c r="S135">
        <v>28125</v>
      </c>
      <c r="T135" t="s">
        <v>4651</v>
      </c>
      <c r="U135" t="s">
        <v>4659</v>
      </c>
      <c r="V135" s="156">
        <v>42359</v>
      </c>
    </row>
    <row r="136" spans="3:22" hidden="1">
      <c r="C136" s="156"/>
      <c r="F136" t="s">
        <v>1230</v>
      </c>
      <c r="G136" t="s">
        <v>71</v>
      </c>
      <c r="H136" s="156" t="s">
        <v>4770</v>
      </c>
      <c r="I136" s="156">
        <v>41284</v>
      </c>
      <c r="J136" s="156" t="s">
        <v>4649</v>
      </c>
      <c r="K136">
        <v>15103010</v>
      </c>
      <c r="L136" s="156" t="s">
        <v>4650</v>
      </c>
      <c r="M136" s="156">
        <v>43235</v>
      </c>
      <c r="N136" t="s">
        <v>25</v>
      </c>
      <c r="O136">
        <v>28161.58</v>
      </c>
      <c r="Q136">
        <v>28161.58</v>
      </c>
      <c r="R136">
        <v>1</v>
      </c>
      <c r="S136">
        <v>28161.58</v>
      </c>
      <c r="T136" t="s">
        <v>4651</v>
      </c>
      <c r="U136" t="s">
        <v>4652</v>
      </c>
      <c r="V136" s="156">
        <v>42359</v>
      </c>
    </row>
    <row r="137" spans="3:22" hidden="1">
      <c r="C137" s="156"/>
      <c r="F137" t="s">
        <v>1230</v>
      </c>
      <c r="G137" t="s">
        <v>72</v>
      </c>
      <c r="H137" s="156" t="s">
        <v>4771</v>
      </c>
      <c r="I137" s="156">
        <v>41044</v>
      </c>
      <c r="J137" s="156" t="s">
        <v>4649</v>
      </c>
      <c r="K137">
        <v>11107001</v>
      </c>
      <c r="L137" s="156" t="s">
        <v>4712</v>
      </c>
      <c r="M137" s="156">
        <v>43966</v>
      </c>
      <c r="N137" t="s">
        <v>25</v>
      </c>
      <c r="O137">
        <v>28125</v>
      </c>
      <c r="Q137">
        <v>28125</v>
      </c>
      <c r="R137">
        <v>1</v>
      </c>
      <c r="S137">
        <v>28125</v>
      </c>
      <c r="T137" t="s">
        <v>4651</v>
      </c>
      <c r="U137" t="s">
        <v>4659</v>
      </c>
      <c r="V137" s="156">
        <v>42359</v>
      </c>
    </row>
    <row r="138" spans="3:22" hidden="1">
      <c r="C138" s="156"/>
      <c r="F138" t="s">
        <v>1230</v>
      </c>
      <c r="G138" t="s">
        <v>72</v>
      </c>
      <c r="H138" s="156" t="s">
        <v>4772</v>
      </c>
      <c r="I138" s="156">
        <v>41044</v>
      </c>
      <c r="J138" s="156" t="s">
        <v>4649</v>
      </c>
      <c r="K138">
        <v>11107001</v>
      </c>
      <c r="L138" s="156" t="s">
        <v>4773</v>
      </c>
      <c r="M138" s="156">
        <v>42870</v>
      </c>
      <c r="N138" t="s">
        <v>25</v>
      </c>
      <c r="O138">
        <v>28125</v>
      </c>
      <c r="Q138">
        <v>28125</v>
      </c>
      <c r="R138">
        <v>1</v>
      </c>
      <c r="S138">
        <v>28125</v>
      </c>
      <c r="T138" t="s">
        <v>4651</v>
      </c>
      <c r="U138" t="s">
        <v>4659</v>
      </c>
      <c r="V138" s="156">
        <v>42359</v>
      </c>
    </row>
    <row r="139" spans="3:22" hidden="1">
      <c r="C139" s="156"/>
      <c r="F139" t="s">
        <v>1230</v>
      </c>
      <c r="G139" t="s">
        <v>72</v>
      </c>
      <c r="H139" s="156" t="s">
        <v>4774</v>
      </c>
      <c r="I139" s="156">
        <v>41044</v>
      </c>
      <c r="J139" s="156" t="s">
        <v>4649</v>
      </c>
      <c r="K139">
        <v>11107001</v>
      </c>
      <c r="L139" s="156" t="s">
        <v>4773</v>
      </c>
      <c r="M139" s="156">
        <v>43600</v>
      </c>
      <c r="N139" t="s">
        <v>25</v>
      </c>
      <c r="O139">
        <v>28125</v>
      </c>
      <c r="Q139">
        <v>28125</v>
      </c>
      <c r="R139">
        <v>1</v>
      </c>
      <c r="S139">
        <v>28125</v>
      </c>
      <c r="T139" t="s">
        <v>4651</v>
      </c>
      <c r="U139" t="s">
        <v>4659</v>
      </c>
      <c r="V139" s="156">
        <v>42359</v>
      </c>
    </row>
    <row r="140" spans="3:22" hidden="1">
      <c r="C140" s="156"/>
      <c r="F140" t="s">
        <v>1230</v>
      </c>
      <c r="G140" t="s">
        <v>72</v>
      </c>
      <c r="H140" s="156" t="s">
        <v>5950</v>
      </c>
      <c r="I140" s="156">
        <v>42283</v>
      </c>
      <c r="J140" s="156" t="s">
        <v>4892</v>
      </c>
      <c r="K140">
        <v>17101003</v>
      </c>
      <c r="L140" s="156" t="s">
        <v>5951</v>
      </c>
      <c r="M140" s="156">
        <v>42283</v>
      </c>
      <c r="N140" t="s">
        <v>25</v>
      </c>
      <c r="O140">
        <v>6000</v>
      </c>
      <c r="P140">
        <v>5626.72</v>
      </c>
      <c r="Q140">
        <v>373.28</v>
      </c>
      <c r="R140">
        <v>1</v>
      </c>
      <c r="S140">
        <v>373.28</v>
      </c>
      <c r="T140" t="s">
        <v>4663</v>
      </c>
      <c r="U140" t="s">
        <v>5952</v>
      </c>
      <c r="V140" s="156">
        <v>42359</v>
      </c>
    </row>
    <row r="141" spans="3:22" hidden="1">
      <c r="C141" s="156"/>
      <c r="F141" t="s">
        <v>1230</v>
      </c>
      <c r="G141" t="s">
        <v>71</v>
      </c>
      <c r="H141" s="156" t="s">
        <v>6189</v>
      </c>
      <c r="I141" s="156">
        <v>42312</v>
      </c>
      <c r="J141" s="156" t="s">
        <v>5424</v>
      </c>
      <c r="K141">
        <v>17101003</v>
      </c>
      <c r="L141" s="156" t="s">
        <v>6114</v>
      </c>
      <c r="M141" s="156">
        <v>42312</v>
      </c>
      <c r="N141" t="s">
        <v>25</v>
      </c>
      <c r="O141">
        <v>200</v>
      </c>
      <c r="Q141">
        <v>200</v>
      </c>
      <c r="R141">
        <v>1</v>
      </c>
      <c r="S141">
        <v>200</v>
      </c>
      <c r="T141" t="s">
        <v>4663</v>
      </c>
      <c r="U141" t="s">
        <v>6115</v>
      </c>
      <c r="V141" s="156">
        <v>42359</v>
      </c>
    </row>
    <row r="142" spans="3:22" hidden="1">
      <c r="C142" s="156"/>
      <c r="F142" t="s">
        <v>1230</v>
      </c>
      <c r="G142" t="s">
        <v>1012</v>
      </c>
      <c r="H142" s="156" t="s">
        <v>6190</v>
      </c>
      <c r="I142" s="156">
        <v>42341</v>
      </c>
      <c r="J142" s="156" t="s">
        <v>6013</v>
      </c>
      <c r="K142">
        <v>11102001</v>
      </c>
      <c r="L142" s="156" t="s">
        <v>6191</v>
      </c>
      <c r="M142" s="156">
        <v>42373</v>
      </c>
      <c r="N142" t="s">
        <v>25</v>
      </c>
      <c r="O142">
        <v>33480</v>
      </c>
      <c r="P142">
        <v>0</v>
      </c>
      <c r="Q142">
        <v>33480</v>
      </c>
      <c r="R142">
        <v>1</v>
      </c>
      <c r="S142">
        <v>33480</v>
      </c>
      <c r="T142" t="s">
        <v>6015</v>
      </c>
      <c r="U142" t="s">
        <v>6016</v>
      </c>
      <c r="V142" s="156">
        <v>42359</v>
      </c>
    </row>
    <row r="143" spans="3:22" hidden="1">
      <c r="C143" s="156"/>
      <c r="F143" t="s">
        <v>1230</v>
      </c>
      <c r="G143" t="s">
        <v>6023</v>
      </c>
      <c r="H143" s="156" t="s">
        <v>6192</v>
      </c>
      <c r="I143" s="156">
        <v>42347</v>
      </c>
      <c r="J143" s="156" t="s">
        <v>6013</v>
      </c>
      <c r="K143">
        <v>11102001</v>
      </c>
      <c r="L143" s="156" t="s">
        <v>6193</v>
      </c>
      <c r="M143" s="156">
        <v>42376</v>
      </c>
      <c r="N143" t="s">
        <v>25</v>
      </c>
      <c r="O143">
        <v>76000</v>
      </c>
      <c r="P143">
        <v>0</v>
      </c>
      <c r="Q143">
        <v>76000</v>
      </c>
      <c r="R143">
        <v>1</v>
      </c>
      <c r="S143">
        <v>76000</v>
      </c>
      <c r="T143" t="s">
        <v>6015</v>
      </c>
      <c r="U143" t="s">
        <v>6072</v>
      </c>
      <c r="V143" s="156">
        <v>42359</v>
      </c>
    </row>
    <row r="144" spans="3:22" hidden="1">
      <c r="C144" s="156"/>
      <c r="F144" t="s">
        <v>1230</v>
      </c>
      <c r="G144" t="s">
        <v>6023</v>
      </c>
      <c r="H144" s="156" t="s">
        <v>6194</v>
      </c>
      <c r="I144" s="156">
        <v>42347</v>
      </c>
      <c r="J144" s="156" t="s">
        <v>6013</v>
      </c>
      <c r="K144">
        <v>11102001</v>
      </c>
      <c r="L144" s="156" t="s">
        <v>6195</v>
      </c>
      <c r="M144" s="156">
        <v>42376</v>
      </c>
      <c r="N144" t="s">
        <v>25</v>
      </c>
      <c r="O144">
        <v>76000</v>
      </c>
      <c r="P144">
        <v>0</v>
      </c>
      <c r="Q144">
        <v>76000</v>
      </c>
      <c r="R144">
        <v>1</v>
      </c>
      <c r="S144">
        <v>76000</v>
      </c>
      <c r="T144" t="s">
        <v>6015</v>
      </c>
      <c r="U144" t="s">
        <v>6072</v>
      </c>
      <c r="V144" s="156">
        <v>42359</v>
      </c>
    </row>
    <row r="145" spans="3:22" hidden="1">
      <c r="C145" s="156"/>
      <c r="F145" t="s">
        <v>1230</v>
      </c>
      <c r="G145" t="s">
        <v>6023</v>
      </c>
      <c r="H145" s="156" t="s">
        <v>6196</v>
      </c>
      <c r="I145" s="156">
        <v>42346</v>
      </c>
      <c r="J145" s="156" t="s">
        <v>6013</v>
      </c>
      <c r="K145">
        <v>11102001</v>
      </c>
      <c r="L145" s="156" t="s">
        <v>6197</v>
      </c>
      <c r="M145" s="156">
        <v>42375</v>
      </c>
      <c r="N145" t="s">
        <v>25</v>
      </c>
      <c r="O145">
        <v>76000</v>
      </c>
      <c r="P145">
        <v>0</v>
      </c>
      <c r="Q145">
        <v>76000</v>
      </c>
      <c r="R145">
        <v>1</v>
      </c>
      <c r="S145">
        <v>76000</v>
      </c>
      <c r="T145" t="s">
        <v>6015</v>
      </c>
      <c r="U145" t="s">
        <v>6032</v>
      </c>
      <c r="V145" s="156">
        <v>42359</v>
      </c>
    </row>
    <row r="146" spans="3:22" hidden="1">
      <c r="C146" s="156"/>
      <c r="F146" t="s">
        <v>1230</v>
      </c>
      <c r="G146" t="s">
        <v>6023</v>
      </c>
      <c r="H146" s="156" t="s">
        <v>6198</v>
      </c>
      <c r="I146" s="156">
        <v>42346</v>
      </c>
      <c r="J146" s="156" t="s">
        <v>6013</v>
      </c>
      <c r="K146">
        <v>11102001</v>
      </c>
      <c r="L146" s="156" t="s">
        <v>6199</v>
      </c>
      <c r="M146" s="156">
        <v>42375</v>
      </c>
      <c r="N146" t="s">
        <v>25</v>
      </c>
      <c r="O146">
        <v>76000</v>
      </c>
      <c r="P146">
        <v>0</v>
      </c>
      <c r="Q146">
        <v>76000</v>
      </c>
      <c r="R146">
        <v>1</v>
      </c>
      <c r="S146">
        <v>76000</v>
      </c>
      <c r="T146" t="s">
        <v>6015</v>
      </c>
      <c r="U146" t="s">
        <v>6032</v>
      </c>
      <c r="V146" s="156">
        <v>42359</v>
      </c>
    </row>
    <row r="147" spans="3:22" hidden="1">
      <c r="C147" s="156"/>
      <c r="F147" t="s">
        <v>1230</v>
      </c>
      <c r="G147" t="s">
        <v>6023</v>
      </c>
      <c r="H147" s="156" t="s">
        <v>6200</v>
      </c>
      <c r="I147" s="156">
        <v>42347</v>
      </c>
      <c r="J147" s="156" t="s">
        <v>6013</v>
      </c>
      <c r="K147">
        <v>11102001</v>
      </c>
      <c r="L147" s="156" t="s">
        <v>6201</v>
      </c>
      <c r="M147" s="156">
        <v>42377</v>
      </c>
      <c r="N147" t="s">
        <v>25</v>
      </c>
      <c r="O147">
        <v>76000</v>
      </c>
      <c r="P147">
        <v>0</v>
      </c>
      <c r="Q147">
        <v>76000</v>
      </c>
      <c r="R147">
        <v>1</v>
      </c>
      <c r="S147">
        <v>76000</v>
      </c>
      <c r="T147" t="s">
        <v>6015</v>
      </c>
      <c r="U147" t="s">
        <v>6029</v>
      </c>
      <c r="V147" s="156">
        <v>42359</v>
      </c>
    </row>
    <row r="148" spans="3:22" hidden="1">
      <c r="C148" s="156"/>
      <c r="F148" t="s">
        <v>1230</v>
      </c>
      <c r="G148" t="s">
        <v>6023</v>
      </c>
      <c r="H148" s="156" t="s">
        <v>6202</v>
      </c>
      <c r="I148" s="156">
        <v>42347</v>
      </c>
      <c r="J148" s="156" t="s">
        <v>6013</v>
      </c>
      <c r="K148">
        <v>11102001</v>
      </c>
      <c r="L148" s="156" t="s">
        <v>6203</v>
      </c>
      <c r="M148" s="156">
        <v>42377</v>
      </c>
      <c r="N148" t="s">
        <v>25</v>
      </c>
      <c r="O148">
        <v>76000</v>
      </c>
      <c r="P148">
        <v>0</v>
      </c>
      <c r="Q148">
        <v>76000</v>
      </c>
      <c r="R148">
        <v>1</v>
      </c>
      <c r="S148">
        <v>76000</v>
      </c>
      <c r="T148" t="s">
        <v>6015</v>
      </c>
      <c r="U148" t="s">
        <v>6029</v>
      </c>
      <c r="V148" s="156">
        <v>42359</v>
      </c>
    </row>
    <row r="149" spans="3:22" hidden="1">
      <c r="C149" s="156"/>
      <c r="F149" t="s">
        <v>1230</v>
      </c>
      <c r="G149" t="s">
        <v>6023</v>
      </c>
      <c r="H149" s="156" t="s">
        <v>6204</v>
      </c>
      <c r="I149" s="156">
        <v>42346</v>
      </c>
      <c r="J149" s="156" t="s">
        <v>6013</v>
      </c>
      <c r="K149">
        <v>11102001</v>
      </c>
      <c r="L149" s="156" t="s">
        <v>6205</v>
      </c>
      <c r="M149" s="156">
        <v>42375</v>
      </c>
      <c r="N149" t="s">
        <v>25</v>
      </c>
      <c r="O149">
        <v>76000</v>
      </c>
      <c r="P149">
        <v>0</v>
      </c>
      <c r="Q149">
        <v>76000</v>
      </c>
      <c r="R149">
        <v>1</v>
      </c>
      <c r="S149">
        <v>76000</v>
      </c>
      <c r="T149" t="s">
        <v>6015</v>
      </c>
      <c r="U149" t="s">
        <v>6032</v>
      </c>
      <c r="V149" s="156">
        <v>42359</v>
      </c>
    </row>
    <row r="150" spans="3:22" hidden="1">
      <c r="C150" s="156"/>
      <c r="F150" t="s">
        <v>1230</v>
      </c>
      <c r="G150" t="s">
        <v>6023</v>
      </c>
      <c r="H150" s="156" t="s">
        <v>6206</v>
      </c>
      <c r="I150" s="156">
        <v>42346</v>
      </c>
      <c r="J150" s="156" t="s">
        <v>6013</v>
      </c>
      <c r="K150">
        <v>11102001</v>
      </c>
      <c r="L150" s="156" t="s">
        <v>6207</v>
      </c>
      <c r="M150" s="156">
        <v>42375</v>
      </c>
      <c r="N150" t="s">
        <v>25</v>
      </c>
      <c r="O150">
        <v>76000</v>
      </c>
      <c r="P150">
        <v>0</v>
      </c>
      <c r="Q150">
        <v>76000</v>
      </c>
      <c r="R150">
        <v>1</v>
      </c>
      <c r="S150">
        <v>76000</v>
      </c>
      <c r="T150" t="s">
        <v>6015</v>
      </c>
      <c r="U150" t="s">
        <v>6032</v>
      </c>
      <c r="V150" s="156">
        <v>42359</v>
      </c>
    </row>
    <row r="151" spans="3:22" hidden="1">
      <c r="C151" s="156"/>
      <c r="F151" t="s">
        <v>1230</v>
      </c>
      <c r="G151" t="s">
        <v>6023</v>
      </c>
      <c r="H151" s="156" t="s">
        <v>6208</v>
      </c>
      <c r="I151" s="156">
        <v>42346</v>
      </c>
      <c r="J151" s="156" t="s">
        <v>6013</v>
      </c>
      <c r="K151">
        <v>11102001</v>
      </c>
      <c r="L151" s="156" t="s">
        <v>6209</v>
      </c>
      <c r="M151" s="156">
        <v>42375</v>
      </c>
      <c r="N151" t="s">
        <v>25</v>
      </c>
      <c r="O151">
        <v>76000</v>
      </c>
      <c r="P151">
        <v>0</v>
      </c>
      <c r="Q151">
        <v>76000</v>
      </c>
      <c r="R151">
        <v>1</v>
      </c>
      <c r="S151">
        <v>76000</v>
      </c>
      <c r="T151" t="s">
        <v>6015</v>
      </c>
      <c r="U151" t="s">
        <v>6032</v>
      </c>
      <c r="V151" s="156">
        <v>42359</v>
      </c>
    </row>
    <row r="152" spans="3:22" hidden="1">
      <c r="C152" s="156"/>
      <c r="F152" t="s">
        <v>1230</v>
      </c>
      <c r="G152" t="s">
        <v>6023</v>
      </c>
      <c r="H152" s="156" t="s">
        <v>6210</v>
      </c>
      <c r="I152" s="156">
        <v>42338</v>
      </c>
      <c r="J152" s="156" t="s">
        <v>6013</v>
      </c>
      <c r="K152">
        <v>11102001</v>
      </c>
      <c r="L152" s="156" t="s">
        <v>6211</v>
      </c>
      <c r="M152" s="156">
        <v>42373</v>
      </c>
      <c r="N152" t="s">
        <v>25</v>
      </c>
      <c r="O152">
        <v>76000</v>
      </c>
      <c r="P152">
        <v>0</v>
      </c>
      <c r="Q152">
        <v>76000</v>
      </c>
      <c r="R152">
        <v>1</v>
      </c>
      <c r="S152">
        <v>76000</v>
      </c>
      <c r="T152" t="s">
        <v>6015</v>
      </c>
      <c r="U152" t="s">
        <v>6061</v>
      </c>
      <c r="V152" s="156">
        <v>42359</v>
      </c>
    </row>
    <row r="153" spans="3:22" hidden="1">
      <c r="C153" s="156"/>
      <c r="F153" t="s">
        <v>1230</v>
      </c>
      <c r="G153" t="s">
        <v>6023</v>
      </c>
      <c r="H153" s="156" t="s">
        <v>6212</v>
      </c>
      <c r="I153" s="156">
        <v>42338</v>
      </c>
      <c r="J153" s="156" t="s">
        <v>6013</v>
      </c>
      <c r="K153">
        <v>11102001</v>
      </c>
      <c r="L153" s="156" t="s">
        <v>6213</v>
      </c>
      <c r="M153" s="156">
        <v>42373</v>
      </c>
      <c r="N153" t="s">
        <v>25</v>
      </c>
      <c r="O153">
        <v>76000</v>
      </c>
      <c r="P153">
        <v>0</v>
      </c>
      <c r="Q153">
        <v>76000</v>
      </c>
      <c r="R153">
        <v>1</v>
      </c>
      <c r="S153">
        <v>76000</v>
      </c>
      <c r="T153" t="s">
        <v>6015</v>
      </c>
      <c r="U153" t="s">
        <v>6061</v>
      </c>
      <c r="V153" s="156">
        <v>42359</v>
      </c>
    </row>
    <row r="154" spans="3:22" hidden="1">
      <c r="C154" s="156"/>
      <c r="F154" t="s">
        <v>1230</v>
      </c>
      <c r="G154" t="s">
        <v>6023</v>
      </c>
      <c r="H154" s="156" t="s">
        <v>6214</v>
      </c>
      <c r="I154" s="156">
        <v>42338</v>
      </c>
      <c r="J154" s="156" t="s">
        <v>6013</v>
      </c>
      <c r="K154">
        <v>11102001</v>
      </c>
      <c r="L154" s="156" t="s">
        <v>6215</v>
      </c>
      <c r="M154" s="156">
        <v>42373</v>
      </c>
      <c r="N154" t="s">
        <v>25</v>
      </c>
      <c r="O154">
        <v>76000</v>
      </c>
      <c r="P154">
        <v>0</v>
      </c>
      <c r="Q154">
        <v>76000</v>
      </c>
      <c r="R154">
        <v>1</v>
      </c>
      <c r="S154">
        <v>76000</v>
      </c>
      <c r="T154" t="s">
        <v>6015</v>
      </c>
      <c r="U154" t="s">
        <v>6061</v>
      </c>
      <c r="V154" s="156">
        <v>42359</v>
      </c>
    </row>
    <row r="155" spans="3:22" hidden="1">
      <c r="C155" s="156"/>
      <c r="F155" t="s">
        <v>1230</v>
      </c>
      <c r="G155" t="s">
        <v>6023</v>
      </c>
      <c r="H155" s="156" t="s">
        <v>6216</v>
      </c>
      <c r="I155" s="156">
        <v>42338</v>
      </c>
      <c r="J155" s="156" t="s">
        <v>6013</v>
      </c>
      <c r="K155">
        <v>11102001</v>
      </c>
      <c r="L155" s="156" t="s">
        <v>6217</v>
      </c>
      <c r="M155" s="156">
        <v>42373</v>
      </c>
      <c r="N155" t="s">
        <v>25</v>
      </c>
      <c r="O155">
        <v>76000</v>
      </c>
      <c r="P155">
        <v>0</v>
      </c>
      <c r="Q155">
        <v>76000</v>
      </c>
      <c r="R155">
        <v>1</v>
      </c>
      <c r="S155">
        <v>76000</v>
      </c>
      <c r="T155" t="s">
        <v>6015</v>
      </c>
      <c r="U155" t="s">
        <v>6061</v>
      </c>
      <c r="V155" s="156">
        <v>42359</v>
      </c>
    </row>
    <row r="156" spans="3:22" hidden="1">
      <c r="C156" s="156"/>
      <c r="F156" t="s">
        <v>1230</v>
      </c>
      <c r="G156" t="s">
        <v>6023</v>
      </c>
      <c r="H156" s="156" t="s">
        <v>6218</v>
      </c>
      <c r="I156" s="156">
        <v>42338</v>
      </c>
      <c r="J156" s="156" t="s">
        <v>6013</v>
      </c>
      <c r="K156">
        <v>11102001</v>
      </c>
      <c r="L156" s="156" t="s">
        <v>6219</v>
      </c>
      <c r="M156" s="156">
        <v>42373</v>
      </c>
      <c r="N156" t="s">
        <v>25</v>
      </c>
      <c r="O156">
        <v>76000</v>
      </c>
      <c r="P156">
        <v>0</v>
      </c>
      <c r="Q156">
        <v>76000</v>
      </c>
      <c r="R156">
        <v>1</v>
      </c>
      <c r="S156">
        <v>76000</v>
      </c>
      <c r="T156" t="s">
        <v>6015</v>
      </c>
      <c r="U156" t="s">
        <v>6061</v>
      </c>
      <c r="V156" s="156">
        <v>42359</v>
      </c>
    </row>
    <row r="157" spans="3:22" hidden="1">
      <c r="C157" s="156"/>
      <c r="F157" t="s">
        <v>1230</v>
      </c>
      <c r="G157" t="s">
        <v>6023</v>
      </c>
      <c r="H157" s="156" t="s">
        <v>6220</v>
      </c>
      <c r="I157" s="156">
        <v>42333</v>
      </c>
      <c r="J157" s="156" t="s">
        <v>6013</v>
      </c>
      <c r="K157">
        <v>11102001</v>
      </c>
      <c r="L157" s="156" t="s">
        <v>6221</v>
      </c>
      <c r="M157" s="156">
        <v>42373</v>
      </c>
      <c r="N157" t="s">
        <v>25</v>
      </c>
      <c r="O157">
        <v>76000</v>
      </c>
      <c r="P157">
        <v>0</v>
      </c>
      <c r="Q157">
        <v>76000</v>
      </c>
      <c r="R157">
        <v>1</v>
      </c>
      <c r="S157">
        <v>76000</v>
      </c>
      <c r="T157" t="s">
        <v>6015</v>
      </c>
      <c r="U157" t="s">
        <v>6058</v>
      </c>
      <c r="V157" s="156">
        <v>42359</v>
      </c>
    </row>
    <row r="158" spans="3:22" hidden="1">
      <c r="C158" s="156"/>
      <c r="F158" t="s">
        <v>1230</v>
      </c>
      <c r="G158" t="s">
        <v>6023</v>
      </c>
      <c r="H158" s="156" t="s">
        <v>6222</v>
      </c>
      <c r="I158" s="156">
        <v>42347</v>
      </c>
      <c r="J158" s="156" t="s">
        <v>6013</v>
      </c>
      <c r="K158">
        <v>11102001</v>
      </c>
      <c r="L158" s="156" t="s">
        <v>6223</v>
      </c>
      <c r="M158" s="156">
        <v>42376</v>
      </c>
      <c r="N158" t="s">
        <v>25</v>
      </c>
      <c r="O158">
        <v>76000</v>
      </c>
      <c r="P158">
        <v>0</v>
      </c>
      <c r="Q158">
        <v>76000</v>
      </c>
      <c r="R158">
        <v>1</v>
      </c>
      <c r="S158">
        <v>76000</v>
      </c>
      <c r="T158" t="s">
        <v>6015</v>
      </c>
      <c r="U158" t="s">
        <v>6072</v>
      </c>
      <c r="V158" s="156">
        <v>42359</v>
      </c>
    </row>
    <row r="159" spans="3:22" hidden="1">
      <c r="C159" s="156"/>
      <c r="F159" t="s">
        <v>1230</v>
      </c>
      <c r="G159" t="s">
        <v>6023</v>
      </c>
      <c r="H159" s="156" t="s">
        <v>6224</v>
      </c>
      <c r="I159" s="156">
        <v>42347</v>
      </c>
      <c r="J159" s="156" t="s">
        <v>6013</v>
      </c>
      <c r="K159">
        <v>11102001</v>
      </c>
      <c r="L159" s="156" t="s">
        <v>6225</v>
      </c>
      <c r="M159" s="156">
        <v>42376</v>
      </c>
      <c r="N159" t="s">
        <v>25</v>
      </c>
      <c r="O159">
        <v>76000</v>
      </c>
      <c r="P159">
        <v>0</v>
      </c>
      <c r="Q159">
        <v>76000</v>
      </c>
      <c r="R159">
        <v>1</v>
      </c>
      <c r="S159">
        <v>76000</v>
      </c>
      <c r="T159" t="s">
        <v>6015</v>
      </c>
      <c r="U159" t="s">
        <v>6072</v>
      </c>
      <c r="V159" s="156">
        <v>42359</v>
      </c>
    </row>
    <row r="160" spans="3:22" hidden="1">
      <c r="C160" s="156"/>
      <c r="F160" t="s">
        <v>1230</v>
      </c>
      <c r="G160" t="s">
        <v>6023</v>
      </c>
      <c r="H160" s="156" t="s">
        <v>6226</v>
      </c>
      <c r="I160" s="156">
        <v>42347</v>
      </c>
      <c r="J160" s="156" t="s">
        <v>6013</v>
      </c>
      <c r="K160">
        <v>11102001</v>
      </c>
      <c r="L160" s="156" t="s">
        <v>6227</v>
      </c>
      <c r="M160" s="156">
        <v>42376</v>
      </c>
      <c r="N160" t="s">
        <v>25</v>
      </c>
      <c r="O160">
        <v>76000</v>
      </c>
      <c r="P160">
        <v>0</v>
      </c>
      <c r="Q160">
        <v>76000</v>
      </c>
      <c r="R160">
        <v>1</v>
      </c>
      <c r="S160">
        <v>76000</v>
      </c>
      <c r="T160" t="s">
        <v>6015</v>
      </c>
      <c r="U160" t="s">
        <v>6072</v>
      </c>
      <c r="V160" s="156">
        <v>42359</v>
      </c>
    </row>
    <row r="161" spans="3:22" hidden="1">
      <c r="C161" s="156"/>
      <c r="F161" t="s">
        <v>1230</v>
      </c>
      <c r="G161" t="s">
        <v>72</v>
      </c>
      <c r="H161" s="156" t="s">
        <v>5482</v>
      </c>
      <c r="I161" s="156">
        <v>42167</v>
      </c>
      <c r="J161" s="156" t="s">
        <v>5483</v>
      </c>
      <c r="K161">
        <v>17101003</v>
      </c>
      <c r="L161" s="156" t="s">
        <v>5484</v>
      </c>
      <c r="M161" s="156">
        <v>42167</v>
      </c>
      <c r="N161" t="s">
        <v>25</v>
      </c>
      <c r="O161">
        <v>30</v>
      </c>
      <c r="Q161">
        <v>30</v>
      </c>
      <c r="R161">
        <v>1</v>
      </c>
      <c r="S161">
        <v>30</v>
      </c>
      <c r="T161" t="s">
        <v>4663</v>
      </c>
      <c r="U161" t="s">
        <v>5485</v>
      </c>
      <c r="V161" s="156">
        <v>42359</v>
      </c>
    </row>
    <row r="162" spans="3:22" hidden="1">
      <c r="C162" s="156"/>
      <c r="F162" t="s">
        <v>1230</v>
      </c>
      <c r="G162" t="s">
        <v>72</v>
      </c>
      <c r="H162" s="156" t="s">
        <v>5890</v>
      </c>
      <c r="I162" s="156">
        <v>42298</v>
      </c>
      <c r="J162" s="156" t="s">
        <v>4682</v>
      </c>
      <c r="K162">
        <v>17101003</v>
      </c>
      <c r="L162" s="156" t="s">
        <v>5891</v>
      </c>
      <c r="M162" s="156">
        <v>42298</v>
      </c>
      <c r="N162" t="s">
        <v>25</v>
      </c>
      <c r="O162">
        <v>708.99</v>
      </c>
      <c r="Q162">
        <v>708.99</v>
      </c>
      <c r="R162">
        <v>1</v>
      </c>
      <c r="S162">
        <v>708.99</v>
      </c>
      <c r="T162" t="s">
        <v>4663</v>
      </c>
      <c r="U162" t="s">
        <v>5875</v>
      </c>
      <c r="V162" s="156">
        <v>42359</v>
      </c>
    </row>
    <row r="163" spans="3:22" hidden="1">
      <c r="C163" s="156"/>
      <c r="F163" t="s">
        <v>1230</v>
      </c>
      <c r="G163" t="s">
        <v>72</v>
      </c>
      <c r="H163" s="156" t="s">
        <v>6228</v>
      </c>
      <c r="I163" s="156">
        <v>42345</v>
      </c>
      <c r="J163" s="156" t="s">
        <v>4683</v>
      </c>
      <c r="K163">
        <v>17101002</v>
      </c>
      <c r="L163" s="156" t="s">
        <v>6229</v>
      </c>
      <c r="M163" s="156">
        <v>42345</v>
      </c>
      <c r="N163" t="s">
        <v>25</v>
      </c>
      <c r="O163">
        <v>11152.7</v>
      </c>
      <c r="Q163">
        <v>11152.7</v>
      </c>
      <c r="R163">
        <v>1</v>
      </c>
      <c r="S163">
        <v>11152.7</v>
      </c>
      <c r="T163" t="s">
        <v>4665</v>
      </c>
      <c r="U163" t="s">
        <v>5321</v>
      </c>
      <c r="V163" s="156">
        <v>42359</v>
      </c>
    </row>
    <row r="164" spans="3:22" hidden="1">
      <c r="C164" s="156"/>
      <c r="F164" t="s">
        <v>1230</v>
      </c>
      <c r="G164" t="s">
        <v>72</v>
      </c>
      <c r="H164" s="156" t="s">
        <v>5892</v>
      </c>
      <c r="I164" s="156">
        <v>42306</v>
      </c>
      <c r="J164" s="156" t="s">
        <v>4683</v>
      </c>
      <c r="K164">
        <v>17101002</v>
      </c>
      <c r="L164" s="156" t="s">
        <v>5893</v>
      </c>
      <c r="M164" s="156">
        <v>42306</v>
      </c>
      <c r="N164" t="s">
        <v>25</v>
      </c>
      <c r="O164">
        <v>24645.599999999999</v>
      </c>
      <c r="Q164">
        <v>24645.599999999999</v>
      </c>
      <c r="R164">
        <v>1</v>
      </c>
      <c r="S164">
        <v>24645.599999999999</v>
      </c>
      <c r="T164" t="s">
        <v>4665</v>
      </c>
      <c r="U164" t="s">
        <v>5894</v>
      </c>
      <c r="V164" s="156">
        <v>42359</v>
      </c>
    </row>
    <row r="165" spans="3:22" hidden="1">
      <c r="C165" s="156"/>
      <c r="F165" t="s">
        <v>1230</v>
      </c>
      <c r="G165" t="s">
        <v>72</v>
      </c>
      <c r="H165" s="156" t="s">
        <v>6230</v>
      </c>
      <c r="I165" s="156">
        <v>42360</v>
      </c>
      <c r="J165" s="156" t="s">
        <v>4683</v>
      </c>
      <c r="K165">
        <v>17101002</v>
      </c>
      <c r="L165" s="156" t="s">
        <v>6231</v>
      </c>
      <c r="M165" s="156">
        <v>42360</v>
      </c>
      <c r="N165" t="s">
        <v>25</v>
      </c>
      <c r="O165">
        <v>32293.15</v>
      </c>
      <c r="Q165">
        <v>32293.15</v>
      </c>
      <c r="R165">
        <v>1</v>
      </c>
      <c r="S165">
        <v>32293.15</v>
      </c>
      <c r="T165" t="s">
        <v>4665</v>
      </c>
      <c r="U165" t="s">
        <v>6172</v>
      </c>
      <c r="V165" s="156">
        <v>42359</v>
      </c>
    </row>
    <row r="166" spans="3:22" hidden="1">
      <c r="C166" s="156"/>
      <c r="F166" t="s">
        <v>1230</v>
      </c>
      <c r="G166" t="s">
        <v>72</v>
      </c>
      <c r="H166" s="156" t="s">
        <v>5733</v>
      </c>
      <c r="I166" s="156">
        <v>42264</v>
      </c>
      <c r="J166" s="156" t="s">
        <v>4906</v>
      </c>
      <c r="K166">
        <v>17101003</v>
      </c>
      <c r="L166" s="156" t="s">
        <v>5734</v>
      </c>
      <c r="M166" s="156">
        <v>42264</v>
      </c>
      <c r="N166" t="s">
        <v>25</v>
      </c>
      <c r="O166">
        <v>672.85</v>
      </c>
      <c r="P166">
        <v>608.6</v>
      </c>
      <c r="Q166">
        <v>64.25</v>
      </c>
      <c r="R166">
        <v>1</v>
      </c>
      <c r="S166">
        <v>64.25</v>
      </c>
      <c r="T166" t="s">
        <v>4663</v>
      </c>
      <c r="U166" t="s">
        <v>5735</v>
      </c>
      <c r="V166" s="156">
        <v>42359</v>
      </c>
    </row>
    <row r="167" spans="3:22" hidden="1">
      <c r="C167" s="156"/>
      <c r="F167" t="s">
        <v>1230</v>
      </c>
      <c r="G167" t="s">
        <v>71</v>
      </c>
      <c r="H167" s="156" t="s">
        <v>6232</v>
      </c>
      <c r="I167" s="156">
        <v>42359</v>
      </c>
      <c r="J167" s="156" t="s">
        <v>5906</v>
      </c>
      <c r="K167">
        <v>17101002</v>
      </c>
      <c r="L167" s="156" t="s">
        <v>6233</v>
      </c>
      <c r="M167" s="156">
        <v>42359</v>
      </c>
      <c r="N167" t="s">
        <v>25</v>
      </c>
      <c r="O167">
        <v>4311.5600000000004</v>
      </c>
      <c r="Q167">
        <v>4311.5600000000004</v>
      </c>
      <c r="R167">
        <v>1</v>
      </c>
      <c r="S167">
        <v>4311.5600000000004</v>
      </c>
      <c r="T167" t="s">
        <v>4665</v>
      </c>
      <c r="U167" t="s">
        <v>6234</v>
      </c>
      <c r="V167" s="156">
        <v>42359</v>
      </c>
    </row>
    <row r="168" spans="3:22" hidden="1">
      <c r="C168" s="156"/>
      <c r="F168" t="s">
        <v>1230</v>
      </c>
      <c r="G168" t="s">
        <v>72</v>
      </c>
      <c r="H168" s="156" t="s">
        <v>4778</v>
      </c>
      <c r="I168" s="156">
        <v>42044</v>
      </c>
      <c r="J168" s="156" t="s">
        <v>4684</v>
      </c>
      <c r="K168">
        <v>11107001</v>
      </c>
      <c r="L168" s="156" t="s">
        <v>4685</v>
      </c>
      <c r="M168" s="156">
        <v>42613</v>
      </c>
      <c r="N168" t="s">
        <v>25</v>
      </c>
      <c r="O168">
        <v>80000</v>
      </c>
      <c r="Q168">
        <v>80000</v>
      </c>
      <c r="R168">
        <v>1</v>
      </c>
      <c r="S168">
        <v>80000</v>
      </c>
      <c r="T168" t="s">
        <v>4651</v>
      </c>
      <c r="U168" t="s">
        <v>4686</v>
      </c>
      <c r="V168" s="156">
        <v>42359</v>
      </c>
    </row>
    <row r="169" spans="3:22" hidden="1">
      <c r="C169" s="156"/>
      <c r="F169" t="s">
        <v>1230</v>
      </c>
      <c r="G169" t="s">
        <v>72</v>
      </c>
      <c r="H169" s="156" t="s">
        <v>4779</v>
      </c>
      <c r="I169" s="156">
        <v>42044</v>
      </c>
      <c r="J169" s="156" t="s">
        <v>4684</v>
      </c>
      <c r="K169">
        <v>11107001</v>
      </c>
      <c r="L169" s="156" t="s">
        <v>4685</v>
      </c>
      <c r="M169" s="156">
        <v>42978</v>
      </c>
      <c r="N169" t="s">
        <v>25</v>
      </c>
      <c r="O169">
        <v>80000</v>
      </c>
      <c r="Q169">
        <v>80000</v>
      </c>
      <c r="R169">
        <v>1</v>
      </c>
      <c r="S169">
        <v>80000</v>
      </c>
      <c r="T169" t="s">
        <v>4651</v>
      </c>
      <c r="U169" t="s">
        <v>4686</v>
      </c>
      <c r="V169" s="156">
        <v>42359</v>
      </c>
    </row>
    <row r="170" spans="3:22" hidden="1">
      <c r="C170" s="156"/>
      <c r="F170" t="s">
        <v>1230</v>
      </c>
      <c r="G170" t="s">
        <v>72</v>
      </c>
      <c r="H170" s="156" t="s">
        <v>4780</v>
      </c>
      <c r="I170" s="156">
        <v>42044</v>
      </c>
      <c r="J170" s="156" t="s">
        <v>4684</v>
      </c>
      <c r="K170">
        <v>11107001</v>
      </c>
      <c r="L170" s="156" t="s">
        <v>4688</v>
      </c>
      <c r="M170" s="156">
        <v>43343</v>
      </c>
      <c r="N170" t="s">
        <v>25</v>
      </c>
      <c r="O170">
        <v>80000</v>
      </c>
      <c r="Q170">
        <v>80000</v>
      </c>
      <c r="R170">
        <v>1</v>
      </c>
      <c r="S170">
        <v>80000</v>
      </c>
      <c r="T170" t="s">
        <v>4651</v>
      </c>
      <c r="U170" t="s">
        <v>4686</v>
      </c>
      <c r="V170" s="156">
        <v>42359</v>
      </c>
    </row>
    <row r="171" spans="3:22" hidden="1">
      <c r="C171" s="156"/>
      <c r="F171" t="s">
        <v>1230</v>
      </c>
      <c r="G171" t="s">
        <v>72</v>
      </c>
      <c r="H171" s="156" t="s">
        <v>5591</v>
      </c>
      <c r="I171" s="156">
        <v>42205</v>
      </c>
      <c r="J171" s="156" t="s">
        <v>5592</v>
      </c>
      <c r="K171">
        <v>17101002</v>
      </c>
      <c r="L171" s="156" t="s">
        <v>5593</v>
      </c>
      <c r="M171" s="156">
        <v>42205</v>
      </c>
      <c r="N171" t="s">
        <v>25</v>
      </c>
      <c r="O171">
        <v>175000</v>
      </c>
      <c r="Q171">
        <v>175000</v>
      </c>
      <c r="R171">
        <v>1</v>
      </c>
      <c r="S171">
        <v>175000</v>
      </c>
      <c r="T171" t="s">
        <v>4665</v>
      </c>
      <c r="U171" t="s">
        <v>5594</v>
      </c>
      <c r="V171" s="156">
        <v>42359</v>
      </c>
    </row>
    <row r="172" spans="3:22" hidden="1">
      <c r="C172" s="156"/>
      <c r="F172" t="s">
        <v>1230</v>
      </c>
      <c r="G172" t="s">
        <v>76</v>
      </c>
      <c r="H172" s="156" t="s">
        <v>6235</v>
      </c>
      <c r="I172" s="156">
        <v>42248</v>
      </c>
      <c r="J172" s="156" t="s">
        <v>6077</v>
      </c>
      <c r="K172">
        <v>17101002</v>
      </c>
      <c r="L172" s="156" t="s">
        <v>6078</v>
      </c>
      <c r="M172" s="156">
        <v>42248</v>
      </c>
      <c r="N172" t="s">
        <v>25</v>
      </c>
      <c r="O172">
        <v>180000</v>
      </c>
      <c r="P172">
        <v>96273.14</v>
      </c>
      <c r="Q172">
        <v>83726.86</v>
      </c>
      <c r="R172">
        <v>1</v>
      </c>
      <c r="S172">
        <v>83726.86</v>
      </c>
      <c r="T172" t="s">
        <v>4665</v>
      </c>
      <c r="U172" t="s">
        <v>6236</v>
      </c>
      <c r="V172" s="156">
        <v>42359</v>
      </c>
    </row>
    <row r="173" spans="3:22" hidden="1">
      <c r="C173" s="156"/>
      <c r="F173" t="s">
        <v>1230</v>
      </c>
      <c r="G173" t="s">
        <v>76</v>
      </c>
      <c r="H173" s="156" t="s">
        <v>6237</v>
      </c>
      <c r="I173" s="156">
        <v>42353</v>
      </c>
      <c r="J173" s="156" t="s">
        <v>6077</v>
      </c>
      <c r="K173">
        <v>19101012</v>
      </c>
      <c r="L173" s="156" t="s">
        <v>6238</v>
      </c>
      <c r="M173" s="156">
        <v>42353</v>
      </c>
      <c r="N173" t="s">
        <v>25</v>
      </c>
      <c r="O173">
        <v>479036.15999999997</v>
      </c>
      <c r="P173">
        <v>60000</v>
      </c>
      <c r="Q173">
        <v>419036.15999999997</v>
      </c>
      <c r="R173">
        <v>1</v>
      </c>
      <c r="S173">
        <v>419036.15999999997</v>
      </c>
      <c r="T173" t="s">
        <v>4664</v>
      </c>
      <c r="U173" t="s">
        <v>6239</v>
      </c>
      <c r="V173" s="156">
        <v>42359</v>
      </c>
    </row>
    <row r="174" spans="3:22" hidden="1">
      <c r="C174" s="156"/>
      <c r="F174" t="s">
        <v>1230</v>
      </c>
      <c r="G174" t="s">
        <v>73</v>
      </c>
      <c r="H174" s="156" t="s">
        <v>4782</v>
      </c>
      <c r="I174" s="156">
        <v>42019</v>
      </c>
      <c r="J174" s="156" t="s">
        <v>4523</v>
      </c>
      <c r="K174">
        <v>11101001</v>
      </c>
      <c r="L174" s="156" t="s">
        <v>4783</v>
      </c>
      <c r="M174" s="156">
        <v>42035</v>
      </c>
      <c r="N174" t="s">
        <v>25</v>
      </c>
      <c r="O174">
        <v>26900</v>
      </c>
      <c r="P174">
        <v>0</v>
      </c>
      <c r="Q174">
        <v>26900</v>
      </c>
      <c r="R174">
        <v>1</v>
      </c>
      <c r="S174">
        <v>26900</v>
      </c>
      <c r="T174" t="s">
        <v>4646</v>
      </c>
      <c r="U174" t="s">
        <v>4784</v>
      </c>
      <c r="V174" s="156">
        <v>42359</v>
      </c>
    </row>
    <row r="175" spans="3:22" hidden="1">
      <c r="C175" s="156"/>
      <c r="F175" t="s">
        <v>1230</v>
      </c>
      <c r="G175" t="s">
        <v>73</v>
      </c>
      <c r="H175" s="156" t="s">
        <v>6240</v>
      </c>
      <c r="I175" s="156">
        <v>42359</v>
      </c>
      <c r="J175" s="156" t="s">
        <v>6241</v>
      </c>
      <c r="K175">
        <v>13115016</v>
      </c>
      <c r="L175" s="156" t="s">
        <v>6242</v>
      </c>
      <c r="M175" s="156">
        <v>42361</v>
      </c>
      <c r="N175" t="s">
        <v>25</v>
      </c>
      <c r="O175">
        <v>1114.6199999999999</v>
      </c>
      <c r="P175">
        <v>0</v>
      </c>
      <c r="Q175">
        <v>1114.6199999999999</v>
      </c>
      <c r="R175">
        <v>1</v>
      </c>
      <c r="S175">
        <v>1114.6199999999999</v>
      </c>
      <c r="T175" t="s">
        <v>4664</v>
      </c>
      <c r="U175" t="s">
        <v>6243</v>
      </c>
      <c r="V175" s="156">
        <v>42359</v>
      </c>
    </row>
    <row r="176" spans="3:22" hidden="1">
      <c r="C176" s="156"/>
      <c r="F176" t="s">
        <v>1230</v>
      </c>
      <c r="G176" t="s">
        <v>76</v>
      </c>
      <c r="H176" s="156" t="s">
        <v>4786</v>
      </c>
      <c r="I176" s="156">
        <v>41712</v>
      </c>
      <c r="J176" s="156" t="s">
        <v>4787</v>
      </c>
      <c r="K176">
        <v>17101002</v>
      </c>
      <c r="L176" s="156" t="s">
        <v>4788</v>
      </c>
      <c r="M176" s="156">
        <v>41712</v>
      </c>
      <c r="N176" t="s">
        <v>25</v>
      </c>
      <c r="O176">
        <v>2500</v>
      </c>
      <c r="Q176">
        <v>2500</v>
      </c>
      <c r="R176">
        <v>1</v>
      </c>
      <c r="S176">
        <v>2500</v>
      </c>
      <c r="T176" t="s">
        <v>4665</v>
      </c>
      <c r="U176" t="s">
        <v>4789</v>
      </c>
      <c r="V176" s="156">
        <v>42359</v>
      </c>
    </row>
    <row r="177" spans="3:22" hidden="1">
      <c r="C177" s="156"/>
      <c r="F177" t="s">
        <v>1230</v>
      </c>
      <c r="G177" t="s">
        <v>71</v>
      </c>
      <c r="H177" s="156" t="s">
        <v>4916</v>
      </c>
      <c r="I177" s="156">
        <v>41282</v>
      </c>
      <c r="J177" s="156" t="s">
        <v>4696</v>
      </c>
      <c r="K177">
        <v>11107001</v>
      </c>
      <c r="L177" s="156" t="s">
        <v>4697</v>
      </c>
      <c r="M177" s="156">
        <v>42093</v>
      </c>
      <c r="N177" t="s">
        <v>25</v>
      </c>
      <c r="O177">
        <v>100000</v>
      </c>
      <c r="P177">
        <v>50000</v>
      </c>
      <c r="Q177">
        <v>50000</v>
      </c>
      <c r="R177">
        <v>1</v>
      </c>
      <c r="S177">
        <v>50000</v>
      </c>
      <c r="T177" t="s">
        <v>4651</v>
      </c>
      <c r="U177" t="s">
        <v>4698</v>
      </c>
      <c r="V177" s="156">
        <v>42359</v>
      </c>
    </row>
    <row r="178" spans="3:22" hidden="1">
      <c r="C178" s="156"/>
      <c r="F178" t="s">
        <v>1230</v>
      </c>
      <c r="G178" t="s">
        <v>73</v>
      </c>
      <c r="H178" s="156" t="s">
        <v>4790</v>
      </c>
      <c r="I178" s="156">
        <v>41353</v>
      </c>
      <c r="J178" s="156" t="s">
        <v>4791</v>
      </c>
      <c r="K178">
        <v>13101010</v>
      </c>
      <c r="L178" s="156" t="s">
        <v>4792</v>
      </c>
      <c r="M178" s="156">
        <v>41353</v>
      </c>
      <c r="N178" t="s">
        <v>25</v>
      </c>
      <c r="O178">
        <v>6128.25</v>
      </c>
      <c r="P178">
        <v>5200</v>
      </c>
      <c r="Q178">
        <v>928.25</v>
      </c>
      <c r="R178">
        <v>1</v>
      </c>
      <c r="S178">
        <v>928.25</v>
      </c>
      <c r="T178" t="s">
        <v>4665</v>
      </c>
      <c r="U178" t="s">
        <v>4793</v>
      </c>
      <c r="V178" s="156">
        <v>42359</v>
      </c>
    </row>
    <row r="179" spans="3:22" hidden="1">
      <c r="C179" s="156"/>
      <c r="F179" t="s">
        <v>1230</v>
      </c>
      <c r="G179" t="s">
        <v>73</v>
      </c>
      <c r="H179" s="156" t="s">
        <v>4794</v>
      </c>
      <c r="I179" s="156">
        <v>41353</v>
      </c>
      <c r="J179" s="156" t="s">
        <v>4795</v>
      </c>
      <c r="K179">
        <v>13101010</v>
      </c>
      <c r="L179" s="156" t="s">
        <v>4792</v>
      </c>
      <c r="M179" s="156">
        <v>41353</v>
      </c>
      <c r="N179" t="s">
        <v>25</v>
      </c>
      <c r="O179">
        <v>7703.32</v>
      </c>
      <c r="P179">
        <v>6200</v>
      </c>
      <c r="Q179">
        <v>1503.32</v>
      </c>
      <c r="R179">
        <v>1</v>
      </c>
      <c r="S179">
        <v>1503.32</v>
      </c>
      <c r="T179" t="s">
        <v>4665</v>
      </c>
      <c r="U179" t="s">
        <v>4793</v>
      </c>
      <c r="V179" s="156">
        <v>42359</v>
      </c>
    </row>
    <row r="180" spans="3:22" hidden="1">
      <c r="C180" s="156"/>
      <c r="F180" t="s">
        <v>1230</v>
      </c>
      <c r="G180" t="s">
        <v>72</v>
      </c>
      <c r="H180" s="156" t="s">
        <v>4804</v>
      </c>
      <c r="I180" s="156">
        <v>41541</v>
      </c>
      <c r="J180" s="156" t="s">
        <v>4805</v>
      </c>
      <c r="K180">
        <v>17101003</v>
      </c>
      <c r="L180" s="156" t="s">
        <v>4806</v>
      </c>
      <c r="M180" s="156">
        <v>41541</v>
      </c>
      <c r="N180" t="s">
        <v>25</v>
      </c>
      <c r="O180">
        <v>150</v>
      </c>
      <c r="P180">
        <v>121.45</v>
      </c>
      <c r="Q180">
        <v>28.55</v>
      </c>
      <c r="R180">
        <v>1</v>
      </c>
      <c r="S180">
        <v>28.55</v>
      </c>
      <c r="T180" t="s">
        <v>4663</v>
      </c>
      <c r="U180" t="s">
        <v>4807</v>
      </c>
      <c r="V180" s="156">
        <v>42359</v>
      </c>
    </row>
    <row r="181" spans="3:22" hidden="1">
      <c r="C181" s="156"/>
      <c r="F181" t="s">
        <v>4823</v>
      </c>
      <c r="G181" t="s">
        <v>5736</v>
      </c>
      <c r="H181" s="156" t="s">
        <v>6244</v>
      </c>
      <c r="I181" s="156">
        <v>42354</v>
      </c>
      <c r="J181" s="156" t="s">
        <v>6245</v>
      </c>
      <c r="K181">
        <v>19101011</v>
      </c>
      <c r="L181" s="156" t="s">
        <v>6246</v>
      </c>
      <c r="M181" s="156">
        <v>42361</v>
      </c>
      <c r="N181" t="s">
        <v>25</v>
      </c>
      <c r="O181">
        <v>620</v>
      </c>
      <c r="P181">
        <v>0</v>
      </c>
      <c r="Q181">
        <v>620</v>
      </c>
      <c r="R181">
        <v>1</v>
      </c>
      <c r="S181">
        <v>620</v>
      </c>
      <c r="T181" t="s">
        <v>4768</v>
      </c>
      <c r="U181" t="s">
        <v>6247</v>
      </c>
      <c r="V181" s="156">
        <v>42359</v>
      </c>
    </row>
    <row r="182" spans="3:22" hidden="1">
      <c r="C182" s="156"/>
      <c r="F182" t="s">
        <v>1230</v>
      </c>
      <c r="G182" t="s">
        <v>71</v>
      </c>
      <c r="H182" s="156" t="s">
        <v>4808</v>
      </c>
      <c r="I182" s="156">
        <v>42089</v>
      </c>
      <c r="J182" s="156" t="s">
        <v>4809</v>
      </c>
      <c r="K182">
        <v>17101002</v>
      </c>
      <c r="L182" s="156" t="s">
        <v>4810</v>
      </c>
      <c r="M182" s="156">
        <v>42089</v>
      </c>
      <c r="N182" t="s">
        <v>25</v>
      </c>
      <c r="O182">
        <v>268.7</v>
      </c>
      <c r="Q182">
        <v>268.7</v>
      </c>
      <c r="R182">
        <v>1</v>
      </c>
      <c r="S182">
        <v>268.7</v>
      </c>
      <c r="T182" t="s">
        <v>4665</v>
      </c>
      <c r="U182" t="s">
        <v>4811</v>
      </c>
      <c r="V182" s="156">
        <v>42359</v>
      </c>
    </row>
    <row r="183" spans="3:22" hidden="1">
      <c r="C183" s="156"/>
      <c r="F183" t="s">
        <v>1230</v>
      </c>
      <c r="G183" t="s">
        <v>72</v>
      </c>
      <c r="H183" s="156" t="s">
        <v>4814</v>
      </c>
      <c r="I183" s="156">
        <v>42026</v>
      </c>
      <c r="J183" s="156" t="s">
        <v>4815</v>
      </c>
      <c r="K183">
        <v>11301005</v>
      </c>
      <c r="L183" s="156" t="s">
        <v>4816</v>
      </c>
      <c r="M183" s="156">
        <v>42026</v>
      </c>
      <c r="N183" t="s">
        <v>25</v>
      </c>
      <c r="O183">
        <v>3750</v>
      </c>
      <c r="P183">
        <v>0</v>
      </c>
      <c r="Q183">
        <v>3750</v>
      </c>
      <c r="R183">
        <v>1</v>
      </c>
      <c r="S183">
        <v>3750</v>
      </c>
      <c r="T183" t="s">
        <v>4817</v>
      </c>
      <c r="U183" t="s">
        <v>4818</v>
      </c>
      <c r="V183" s="156">
        <v>42359</v>
      </c>
    </row>
    <row r="184" spans="3:22" hidden="1">
      <c r="C184" s="156"/>
      <c r="F184" t="s">
        <v>1230</v>
      </c>
      <c r="G184" t="s">
        <v>1012</v>
      </c>
      <c r="H184" s="156" t="s">
        <v>5017</v>
      </c>
      <c r="I184" s="156">
        <v>41885</v>
      </c>
      <c r="J184" s="156" t="s">
        <v>4846</v>
      </c>
      <c r="K184">
        <v>11107001</v>
      </c>
      <c r="L184" s="156" t="s">
        <v>4781</v>
      </c>
      <c r="M184" s="156">
        <v>43220</v>
      </c>
      <c r="N184" t="s">
        <v>25</v>
      </c>
      <c r="O184">
        <v>40000</v>
      </c>
      <c r="Q184">
        <v>40000</v>
      </c>
      <c r="R184">
        <v>1</v>
      </c>
      <c r="S184">
        <v>40000</v>
      </c>
      <c r="T184" t="s">
        <v>4669</v>
      </c>
      <c r="U184" t="s">
        <v>4847</v>
      </c>
      <c r="V184" s="156">
        <v>42359</v>
      </c>
    </row>
    <row r="185" spans="3:22" hidden="1">
      <c r="C185" s="156"/>
      <c r="F185" t="s">
        <v>1230</v>
      </c>
      <c r="G185" t="s">
        <v>72</v>
      </c>
      <c r="H185" s="156" t="s">
        <v>4819</v>
      </c>
      <c r="I185" s="156">
        <v>41991</v>
      </c>
      <c r="J185" s="156" t="s">
        <v>4707</v>
      </c>
      <c r="K185">
        <v>11101018</v>
      </c>
      <c r="L185" s="156" t="s">
        <v>4820</v>
      </c>
      <c r="M185" s="156">
        <v>42004</v>
      </c>
      <c r="N185" t="s">
        <v>25</v>
      </c>
      <c r="O185">
        <v>110925</v>
      </c>
      <c r="P185">
        <v>0</v>
      </c>
      <c r="Q185">
        <v>110925</v>
      </c>
      <c r="R185">
        <v>1</v>
      </c>
      <c r="S185">
        <v>110925</v>
      </c>
      <c r="T185" t="s">
        <v>4708</v>
      </c>
      <c r="U185" t="s">
        <v>4821</v>
      </c>
      <c r="V185" s="156">
        <v>42359</v>
      </c>
    </row>
    <row r="186" spans="3:22" hidden="1">
      <c r="C186" s="156"/>
      <c r="F186" t="s">
        <v>1230</v>
      </c>
      <c r="G186" t="s">
        <v>72</v>
      </c>
      <c r="H186" s="156" t="s">
        <v>6248</v>
      </c>
      <c r="I186" s="156">
        <v>42359</v>
      </c>
      <c r="J186" s="156" t="s">
        <v>5656</v>
      </c>
      <c r="K186">
        <v>11101017</v>
      </c>
      <c r="L186" s="156" t="s">
        <v>6249</v>
      </c>
      <c r="M186" s="156">
        <v>42444</v>
      </c>
      <c r="N186" t="s">
        <v>25</v>
      </c>
      <c r="O186">
        <v>100000</v>
      </c>
      <c r="P186">
        <v>0</v>
      </c>
      <c r="Q186">
        <v>100000</v>
      </c>
      <c r="R186">
        <v>1</v>
      </c>
      <c r="S186">
        <v>100000</v>
      </c>
      <c r="T186" t="s">
        <v>5934</v>
      </c>
      <c r="U186" t="s">
        <v>6088</v>
      </c>
      <c r="V186" s="156">
        <v>42359</v>
      </c>
    </row>
    <row r="187" spans="3:22" hidden="1">
      <c r="C187" s="156"/>
      <c r="F187" t="s">
        <v>1230</v>
      </c>
      <c r="G187" t="s">
        <v>72</v>
      </c>
      <c r="H187" s="156" t="s">
        <v>6250</v>
      </c>
      <c r="I187" s="156">
        <v>42359</v>
      </c>
      <c r="J187" s="156" t="s">
        <v>5656</v>
      </c>
      <c r="K187">
        <v>11101005</v>
      </c>
      <c r="L187" s="156" t="s">
        <v>6251</v>
      </c>
      <c r="M187" s="156">
        <v>42444</v>
      </c>
      <c r="N187" t="s">
        <v>25</v>
      </c>
      <c r="O187">
        <v>100000</v>
      </c>
      <c r="P187">
        <v>0</v>
      </c>
      <c r="Q187">
        <v>100000</v>
      </c>
      <c r="R187">
        <v>1</v>
      </c>
      <c r="S187">
        <v>100000</v>
      </c>
      <c r="T187" t="s">
        <v>4709</v>
      </c>
      <c r="U187" t="s">
        <v>6088</v>
      </c>
      <c r="V187" s="156">
        <v>42359</v>
      </c>
    </row>
    <row r="188" spans="3:22" hidden="1">
      <c r="C188" s="156"/>
      <c r="F188" t="s">
        <v>1230</v>
      </c>
      <c r="G188" t="s">
        <v>72</v>
      </c>
      <c r="H188" s="156" t="s">
        <v>6252</v>
      </c>
      <c r="I188" s="156">
        <v>42359</v>
      </c>
      <c r="J188" s="156" t="s">
        <v>5656</v>
      </c>
      <c r="K188">
        <v>11101008</v>
      </c>
      <c r="L188" s="156" t="s">
        <v>6253</v>
      </c>
      <c r="M188" s="156">
        <v>42444</v>
      </c>
      <c r="N188" t="s">
        <v>25</v>
      </c>
      <c r="O188">
        <v>100000</v>
      </c>
      <c r="P188">
        <v>0</v>
      </c>
      <c r="Q188">
        <v>100000</v>
      </c>
      <c r="R188">
        <v>1</v>
      </c>
      <c r="S188">
        <v>100000</v>
      </c>
      <c r="T188" t="s">
        <v>4716</v>
      </c>
      <c r="U188" t="s">
        <v>6088</v>
      </c>
      <c r="V188" s="156">
        <v>42359</v>
      </c>
    </row>
    <row r="189" spans="3:22" hidden="1">
      <c r="C189" s="156"/>
      <c r="F189" t="s">
        <v>1230</v>
      </c>
      <c r="G189" t="s">
        <v>72</v>
      </c>
      <c r="H189" s="156" t="s">
        <v>6254</v>
      </c>
      <c r="I189" s="156">
        <v>42338</v>
      </c>
      <c r="J189" s="156" t="s">
        <v>6255</v>
      </c>
      <c r="K189">
        <v>11101001</v>
      </c>
      <c r="L189" s="156" t="s">
        <v>6256</v>
      </c>
      <c r="M189" s="156">
        <v>42459</v>
      </c>
      <c r="N189" t="s">
        <v>25</v>
      </c>
      <c r="O189">
        <v>9102</v>
      </c>
      <c r="P189">
        <v>0</v>
      </c>
      <c r="Q189">
        <v>9102</v>
      </c>
      <c r="R189">
        <v>1</v>
      </c>
      <c r="S189">
        <v>9102</v>
      </c>
      <c r="T189" t="s">
        <v>4646</v>
      </c>
      <c r="U189" t="s">
        <v>6257</v>
      </c>
      <c r="V189" s="156">
        <v>42359</v>
      </c>
    </row>
    <row r="190" spans="3:22" hidden="1">
      <c r="C190" s="156"/>
      <c r="F190" t="s">
        <v>1230</v>
      </c>
      <c r="G190" t="s">
        <v>72</v>
      </c>
      <c r="H190" s="156" t="s">
        <v>5486</v>
      </c>
      <c r="I190" s="156">
        <v>42186</v>
      </c>
      <c r="J190" s="156" t="s">
        <v>1474</v>
      </c>
      <c r="K190">
        <v>11101004</v>
      </c>
      <c r="L190" s="156" t="s">
        <v>5487</v>
      </c>
      <c r="M190" s="156">
        <v>42277</v>
      </c>
      <c r="N190" t="s">
        <v>22</v>
      </c>
      <c r="O190">
        <v>2314800</v>
      </c>
      <c r="P190">
        <v>2236290.7799999998</v>
      </c>
      <c r="Q190">
        <v>78509.22</v>
      </c>
      <c r="R190">
        <v>3.9062000000000001</v>
      </c>
      <c r="S190">
        <v>306672.71516399999</v>
      </c>
      <c r="T190" t="s">
        <v>4647</v>
      </c>
      <c r="U190" t="s">
        <v>5488</v>
      </c>
      <c r="V190" s="156">
        <v>42359</v>
      </c>
    </row>
    <row r="191" spans="3:22" hidden="1">
      <c r="C191" s="156"/>
      <c r="F191" t="s">
        <v>1230</v>
      </c>
      <c r="G191" t="s">
        <v>73</v>
      </c>
      <c r="H191" s="156" t="s">
        <v>5927</v>
      </c>
      <c r="I191" s="156">
        <v>42371</v>
      </c>
      <c r="J191" s="156" t="s">
        <v>4516</v>
      </c>
      <c r="K191">
        <v>11101001</v>
      </c>
      <c r="L191" s="156" t="s">
        <v>5843</v>
      </c>
      <c r="M191" s="156">
        <v>42444</v>
      </c>
      <c r="N191" t="s">
        <v>22</v>
      </c>
      <c r="O191">
        <v>19780</v>
      </c>
      <c r="P191">
        <v>0</v>
      </c>
      <c r="Q191">
        <v>19780</v>
      </c>
      <c r="R191">
        <v>3.9062000000000001</v>
      </c>
      <c r="S191">
        <v>77264.635999999999</v>
      </c>
      <c r="T191" t="s">
        <v>4646</v>
      </c>
      <c r="U191" t="s">
        <v>5844</v>
      </c>
      <c r="V191" s="156">
        <v>42359</v>
      </c>
    </row>
    <row r="192" spans="3:22" hidden="1">
      <c r="C192" s="156"/>
      <c r="F192" t="s">
        <v>1230</v>
      </c>
      <c r="G192" t="s">
        <v>72</v>
      </c>
      <c r="H192" s="156" t="s">
        <v>5922</v>
      </c>
      <c r="I192" s="156">
        <v>42371</v>
      </c>
      <c r="J192" s="156" t="s">
        <v>4516</v>
      </c>
      <c r="K192">
        <v>11101005</v>
      </c>
      <c r="L192" s="156" t="s">
        <v>5889</v>
      </c>
      <c r="M192" s="156">
        <v>42674</v>
      </c>
      <c r="N192" t="s">
        <v>25</v>
      </c>
      <c r="O192">
        <v>3712600</v>
      </c>
      <c r="Q192">
        <v>3712600</v>
      </c>
      <c r="R192">
        <v>1</v>
      </c>
      <c r="S192">
        <v>3712600</v>
      </c>
      <c r="T192" t="s">
        <v>4709</v>
      </c>
      <c r="U192" t="s">
        <v>5853</v>
      </c>
      <c r="V192" s="156">
        <v>42359</v>
      </c>
    </row>
    <row r="193" spans="3:22" hidden="1">
      <c r="C193" s="156"/>
      <c r="F193" t="s">
        <v>1230</v>
      </c>
      <c r="G193" t="s">
        <v>72</v>
      </c>
      <c r="H193" s="156" t="s">
        <v>5930</v>
      </c>
      <c r="I193" s="156">
        <v>42371</v>
      </c>
      <c r="J193" s="156" t="s">
        <v>4516</v>
      </c>
      <c r="K193">
        <v>11101001</v>
      </c>
      <c r="L193" s="156" t="s">
        <v>5913</v>
      </c>
      <c r="M193" s="156">
        <v>42439</v>
      </c>
      <c r="N193" t="s">
        <v>25</v>
      </c>
      <c r="O193">
        <v>209044.06</v>
      </c>
      <c r="P193">
        <v>0</v>
      </c>
      <c r="Q193">
        <v>209044.06</v>
      </c>
      <c r="R193">
        <v>1</v>
      </c>
      <c r="S193">
        <v>209044.06</v>
      </c>
      <c r="T193" t="s">
        <v>4646</v>
      </c>
      <c r="U193" t="s">
        <v>5931</v>
      </c>
      <c r="V193" s="156">
        <v>42359</v>
      </c>
    </row>
    <row r="194" spans="3:22" hidden="1">
      <c r="C194" s="156"/>
      <c r="F194" t="s">
        <v>1230</v>
      </c>
      <c r="G194" t="s">
        <v>72</v>
      </c>
      <c r="H194" s="156" t="s">
        <v>5949</v>
      </c>
      <c r="I194" s="156">
        <v>42371</v>
      </c>
      <c r="J194" s="156" t="s">
        <v>4516</v>
      </c>
      <c r="K194">
        <v>11101001</v>
      </c>
      <c r="L194" s="156" t="s">
        <v>5843</v>
      </c>
      <c r="M194" s="156">
        <v>42444</v>
      </c>
      <c r="N194" t="s">
        <v>22</v>
      </c>
      <c r="O194">
        <v>29456.31</v>
      </c>
      <c r="P194">
        <v>0</v>
      </c>
      <c r="Q194" s="121">
        <v>29456.31</v>
      </c>
      <c r="R194">
        <v>3.9062000000000001</v>
      </c>
      <c r="S194">
        <v>115062.238122</v>
      </c>
      <c r="T194" t="s">
        <v>4646</v>
      </c>
      <c r="U194" t="s">
        <v>5844</v>
      </c>
      <c r="V194" s="156">
        <v>42359</v>
      </c>
    </row>
    <row r="195" spans="3:22" hidden="1">
      <c r="C195" s="156"/>
      <c r="F195" t="s">
        <v>1230</v>
      </c>
      <c r="G195" t="s">
        <v>76</v>
      </c>
      <c r="H195" s="156" t="s">
        <v>5899</v>
      </c>
      <c r="I195" s="156">
        <v>42371</v>
      </c>
      <c r="J195" s="156" t="s">
        <v>4518</v>
      </c>
      <c r="K195">
        <v>11101001</v>
      </c>
      <c r="L195" s="156" t="s">
        <v>5900</v>
      </c>
      <c r="M195" s="156">
        <v>42465</v>
      </c>
      <c r="N195" t="s">
        <v>25</v>
      </c>
      <c r="O195">
        <v>111224.41</v>
      </c>
      <c r="P195">
        <v>0</v>
      </c>
      <c r="Q195">
        <v>111224.41</v>
      </c>
      <c r="R195">
        <v>1</v>
      </c>
      <c r="S195">
        <v>111224.41</v>
      </c>
      <c r="T195" t="s">
        <v>4646</v>
      </c>
      <c r="U195" t="s">
        <v>5901</v>
      </c>
      <c r="V195" s="156">
        <v>42359</v>
      </c>
    </row>
    <row r="196" spans="3:22" hidden="1">
      <c r="C196" s="156"/>
      <c r="F196" t="s">
        <v>1230</v>
      </c>
      <c r="G196" t="s">
        <v>72</v>
      </c>
      <c r="H196" s="156" t="s">
        <v>5326</v>
      </c>
      <c r="I196" s="156">
        <v>42370</v>
      </c>
      <c r="J196" s="156" t="s">
        <v>4518</v>
      </c>
      <c r="K196">
        <v>11101003</v>
      </c>
      <c r="L196" s="156" t="s">
        <v>5327</v>
      </c>
      <c r="M196" s="156">
        <v>42612</v>
      </c>
      <c r="N196" t="s">
        <v>25</v>
      </c>
      <c r="O196">
        <v>2205000</v>
      </c>
      <c r="P196">
        <v>0</v>
      </c>
      <c r="Q196">
        <v>2205000</v>
      </c>
      <c r="R196">
        <v>1</v>
      </c>
      <c r="S196">
        <v>2205000</v>
      </c>
      <c r="T196" t="s">
        <v>4647</v>
      </c>
      <c r="U196" t="s">
        <v>6258</v>
      </c>
      <c r="V196" s="156">
        <v>42359</v>
      </c>
    </row>
    <row r="197" spans="3:22" hidden="1">
      <c r="C197" s="156"/>
      <c r="F197" t="s">
        <v>1230</v>
      </c>
      <c r="G197" t="s">
        <v>72</v>
      </c>
      <c r="H197" s="156" t="s">
        <v>5738</v>
      </c>
      <c r="I197" s="156">
        <v>42263</v>
      </c>
      <c r="J197" s="156" t="s">
        <v>4518</v>
      </c>
      <c r="K197">
        <v>11101005</v>
      </c>
      <c r="L197" s="156" t="s">
        <v>5739</v>
      </c>
      <c r="M197" s="156">
        <v>42492</v>
      </c>
      <c r="N197" t="s">
        <v>25</v>
      </c>
      <c r="O197">
        <v>858069.33</v>
      </c>
      <c r="P197">
        <v>19735.59</v>
      </c>
      <c r="Q197">
        <v>838333.74</v>
      </c>
      <c r="R197">
        <v>1</v>
      </c>
      <c r="S197">
        <v>838333.74</v>
      </c>
      <c r="T197" t="s">
        <v>4709</v>
      </c>
      <c r="U197" t="s">
        <v>5740</v>
      </c>
      <c r="V197" s="156">
        <v>42359</v>
      </c>
    </row>
    <row r="198" spans="3:22" hidden="1">
      <c r="C198" s="156"/>
      <c r="F198" t="s">
        <v>4823</v>
      </c>
      <c r="G198" t="s">
        <v>5736</v>
      </c>
      <c r="H198" s="156" t="s">
        <v>6259</v>
      </c>
      <c r="I198" s="156">
        <v>42341</v>
      </c>
      <c r="J198" s="156" t="s">
        <v>4767</v>
      </c>
      <c r="K198">
        <v>19105017</v>
      </c>
      <c r="L198" s="156" t="s">
        <v>6260</v>
      </c>
      <c r="M198" s="156">
        <v>42342</v>
      </c>
      <c r="N198" t="s">
        <v>25</v>
      </c>
      <c r="O198">
        <v>186.53</v>
      </c>
      <c r="P198">
        <v>0</v>
      </c>
      <c r="Q198">
        <v>186.53</v>
      </c>
      <c r="R198">
        <v>1</v>
      </c>
      <c r="S198">
        <v>186.53</v>
      </c>
      <c r="T198" t="s">
        <v>4768</v>
      </c>
      <c r="U198" t="s">
        <v>6261</v>
      </c>
      <c r="V198" s="156">
        <v>42359</v>
      </c>
    </row>
    <row r="199" spans="3:22" hidden="1">
      <c r="C199" s="156"/>
      <c r="F199" t="s">
        <v>1231</v>
      </c>
      <c r="G199" t="s">
        <v>71</v>
      </c>
      <c r="H199" s="156" t="s">
        <v>6262</v>
      </c>
      <c r="I199" s="156">
        <v>42339</v>
      </c>
      <c r="J199" s="156" t="s">
        <v>4767</v>
      </c>
      <c r="K199">
        <v>19105017</v>
      </c>
      <c r="L199" s="156" t="s">
        <v>6263</v>
      </c>
      <c r="M199" s="156">
        <v>42364</v>
      </c>
      <c r="N199" t="s">
        <v>25</v>
      </c>
      <c r="O199">
        <v>10427.14</v>
      </c>
      <c r="P199">
        <v>0</v>
      </c>
      <c r="Q199">
        <v>10427.14</v>
      </c>
      <c r="R199">
        <v>1</v>
      </c>
      <c r="S199">
        <v>10427.14</v>
      </c>
      <c r="T199" t="s">
        <v>4768</v>
      </c>
      <c r="U199" t="s">
        <v>6264</v>
      </c>
      <c r="V199" s="156">
        <v>42359</v>
      </c>
    </row>
    <row r="200" spans="3:22" hidden="1">
      <c r="C200" s="156"/>
      <c r="F200" t="s">
        <v>5046</v>
      </c>
      <c r="G200" t="s">
        <v>71</v>
      </c>
      <c r="H200" s="156" t="s">
        <v>6265</v>
      </c>
      <c r="I200" s="156">
        <v>42339</v>
      </c>
      <c r="J200" s="156" t="s">
        <v>4767</v>
      </c>
      <c r="K200">
        <v>19105017</v>
      </c>
      <c r="L200" s="156" t="s">
        <v>6266</v>
      </c>
      <c r="M200" s="156">
        <v>42358</v>
      </c>
      <c r="N200" t="s">
        <v>25</v>
      </c>
      <c r="O200">
        <v>4087.14</v>
      </c>
      <c r="P200">
        <v>0</v>
      </c>
      <c r="Q200">
        <v>4087.14</v>
      </c>
      <c r="R200">
        <v>1</v>
      </c>
      <c r="S200">
        <v>4087.14</v>
      </c>
      <c r="T200" t="s">
        <v>4768</v>
      </c>
      <c r="U200" t="s">
        <v>6267</v>
      </c>
      <c r="V200" s="156">
        <v>42359</v>
      </c>
    </row>
    <row r="201" spans="3:22" hidden="1">
      <c r="C201" s="156"/>
      <c r="F201" t="s">
        <v>1231</v>
      </c>
      <c r="G201" t="s">
        <v>71</v>
      </c>
      <c r="H201" s="156" t="s">
        <v>6268</v>
      </c>
      <c r="I201" s="156">
        <v>42346</v>
      </c>
      <c r="J201" s="156" t="s">
        <v>4767</v>
      </c>
      <c r="K201">
        <v>19105017</v>
      </c>
      <c r="L201" s="156" t="s">
        <v>6269</v>
      </c>
      <c r="M201" s="156">
        <v>42355</v>
      </c>
      <c r="N201" t="s">
        <v>25</v>
      </c>
      <c r="O201">
        <v>4010.7</v>
      </c>
      <c r="P201">
        <v>0</v>
      </c>
      <c r="Q201">
        <v>4010.7</v>
      </c>
      <c r="R201">
        <v>1</v>
      </c>
      <c r="S201">
        <v>4010.7</v>
      </c>
      <c r="T201" t="s">
        <v>4768</v>
      </c>
      <c r="U201" t="s">
        <v>6270</v>
      </c>
      <c r="V201" s="156">
        <v>42359</v>
      </c>
    </row>
    <row r="202" spans="3:22" hidden="1">
      <c r="C202" s="156"/>
      <c r="F202" t="s">
        <v>5046</v>
      </c>
      <c r="G202" t="s">
        <v>71</v>
      </c>
      <c r="H202" s="156" t="s">
        <v>5660</v>
      </c>
      <c r="I202" s="156">
        <v>42213</v>
      </c>
      <c r="J202" s="156" t="s">
        <v>4767</v>
      </c>
      <c r="K202">
        <v>19105017</v>
      </c>
      <c r="L202" s="156" t="s">
        <v>5661</v>
      </c>
      <c r="M202" s="156">
        <v>42356</v>
      </c>
      <c r="N202" t="s">
        <v>25</v>
      </c>
      <c r="O202">
        <v>20000</v>
      </c>
      <c r="Q202">
        <v>20000</v>
      </c>
      <c r="R202">
        <v>1</v>
      </c>
      <c r="S202">
        <v>20000</v>
      </c>
      <c r="T202" t="s">
        <v>4768</v>
      </c>
      <c r="U202" t="s">
        <v>5662</v>
      </c>
      <c r="V202" s="156">
        <v>42359</v>
      </c>
    </row>
    <row r="203" spans="3:22" hidden="1">
      <c r="C203" s="156"/>
      <c r="F203" t="s">
        <v>1230</v>
      </c>
      <c r="G203" t="s">
        <v>73</v>
      </c>
      <c r="H203" s="156" t="s">
        <v>6271</v>
      </c>
      <c r="I203" s="156">
        <v>42324</v>
      </c>
      <c r="J203" s="156" t="s">
        <v>4767</v>
      </c>
      <c r="K203">
        <v>13106003</v>
      </c>
      <c r="L203" s="156" t="s">
        <v>6272</v>
      </c>
      <c r="M203" s="156">
        <v>42324</v>
      </c>
      <c r="N203" t="s">
        <v>25</v>
      </c>
      <c r="O203">
        <v>49469.61</v>
      </c>
      <c r="Q203">
        <v>49469.61</v>
      </c>
      <c r="R203">
        <v>1</v>
      </c>
      <c r="S203">
        <v>49469.61</v>
      </c>
      <c r="T203" t="s">
        <v>6273</v>
      </c>
      <c r="U203" t="s">
        <v>6274</v>
      </c>
      <c r="V203" s="156">
        <v>42359</v>
      </c>
    </row>
    <row r="204" spans="3:22" hidden="1">
      <c r="C204" s="156"/>
      <c r="F204" t="s">
        <v>1230</v>
      </c>
      <c r="G204" t="s">
        <v>72</v>
      </c>
      <c r="H204" s="156" t="s">
        <v>4824</v>
      </c>
      <c r="I204" s="156">
        <v>41044</v>
      </c>
      <c r="J204" s="156" t="s">
        <v>4649</v>
      </c>
      <c r="K204">
        <v>11107001</v>
      </c>
      <c r="L204" s="156" t="s">
        <v>4655</v>
      </c>
      <c r="M204" s="156">
        <v>43600</v>
      </c>
      <c r="N204" t="s">
        <v>25</v>
      </c>
      <c r="O204">
        <v>28125</v>
      </c>
      <c r="Q204">
        <v>28125</v>
      </c>
      <c r="R204">
        <v>1</v>
      </c>
      <c r="S204">
        <v>28125</v>
      </c>
      <c r="T204" t="s">
        <v>4651</v>
      </c>
      <c r="U204" t="s">
        <v>4656</v>
      </c>
      <c r="V204" s="156">
        <v>42359</v>
      </c>
    </row>
    <row r="205" spans="3:22" hidden="1">
      <c r="C205" s="156"/>
      <c r="F205" t="s">
        <v>1230</v>
      </c>
      <c r="G205" t="s">
        <v>72</v>
      </c>
      <c r="H205" s="156" t="s">
        <v>4825</v>
      </c>
      <c r="I205" s="156">
        <v>41044</v>
      </c>
      <c r="J205" s="156" t="s">
        <v>4649</v>
      </c>
      <c r="K205">
        <v>11107001</v>
      </c>
      <c r="L205" s="156" t="s">
        <v>4658</v>
      </c>
      <c r="M205" s="156">
        <v>43235</v>
      </c>
      <c r="N205" t="s">
        <v>25</v>
      </c>
      <c r="O205">
        <v>28125</v>
      </c>
      <c r="Q205">
        <v>28125</v>
      </c>
      <c r="R205">
        <v>1</v>
      </c>
      <c r="S205">
        <v>28125</v>
      </c>
      <c r="T205" t="s">
        <v>4651</v>
      </c>
      <c r="U205" t="s">
        <v>4659</v>
      </c>
      <c r="V205" s="156">
        <v>42359</v>
      </c>
    </row>
    <row r="206" spans="3:22" hidden="1">
      <c r="C206" s="156"/>
      <c r="F206" t="s">
        <v>1230</v>
      </c>
      <c r="G206" t="s">
        <v>72</v>
      </c>
      <c r="H206" s="156" t="s">
        <v>4724</v>
      </c>
      <c r="I206" s="156">
        <v>41207</v>
      </c>
      <c r="J206" s="156" t="s">
        <v>4725</v>
      </c>
      <c r="K206">
        <v>17101002</v>
      </c>
      <c r="L206" s="156" t="s">
        <v>4726</v>
      </c>
      <c r="M206" s="156">
        <v>41208</v>
      </c>
      <c r="N206" t="s">
        <v>25</v>
      </c>
      <c r="O206">
        <v>2085</v>
      </c>
      <c r="Q206">
        <v>2085</v>
      </c>
      <c r="R206">
        <v>1</v>
      </c>
      <c r="S206">
        <v>2085</v>
      </c>
      <c r="T206" t="s">
        <v>6275</v>
      </c>
      <c r="U206" t="s">
        <v>4727</v>
      </c>
      <c r="V206" s="156">
        <v>42359</v>
      </c>
    </row>
    <row r="207" spans="3:22" hidden="1">
      <c r="C207" s="156"/>
      <c r="F207" t="s">
        <v>1230</v>
      </c>
      <c r="G207" t="s">
        <v>72</v>
      </c>
      <c r="H207" s="156" t="s">
        <v>6276</v>
      </c>
      <c r="I207" s="156">
        <v>42361</v>
      </c>
      <c r="J207" s="156" t="s">
        <v>4676</v>
      </c>
      <c r="K207">
        <v>17101002</v>
      </c>
      <c r="L207" s="156" t="s">
        <v>6277</v>
      </c>
      <c r="M207" s="156">
        <v>42361</v>
      </c>
      <c r="N207" t="s">
        <v>25</v>
      </c>
      <c r="O207">
        <v>10265</v>
      </c>
      <c r="Q207">
        <v>10265</v>
      </c>
      <c r="R207">
        <v>1</v>
      </c>
      <c r="S207">
        <v>10265</v>
      </c>
      <c r="T207" t="s">
        <v>4665</v>
      </c>
      <c r="U207" t="s">
        <v>6278</v>
      </c>
      <c r="V207" s="156">
        <v>42359</v>
      </c>
    </row>
    <row r="208" spans="3:22" hidden="1">
      <c r="C208" s="156"/>
      <c r="F208" t="s">
        <v>1230</v>
      </c>
      <c r="G208" t="s">
        <v>72</v>
      </c>
      <c r="H208" s="156" t="s">
        <v>6279</v>
      </c>
      <c r="I208" s="156">
        <v>42342</v>
      </c>
      <c r="J208" s="156" t="s">
        <v>4676</v>
      </c>
      <c r="K208">
        <v>17101002</v>
      </c>
      <c r="L208" s="156" t="s">
        <v>6280</v>
      </c>
      <c r="M208" s="156">
        <v>42342</v>
      </c>
      <c r="N208" t="s">
        <v>25</v>
      </c>
      <c r="O208">
        <v>22876</v>
      </c>
      <c r="Q208">
        <v>22876</v>
      </c>
      <c r="R208">
        <v>1</v>
      </c>
      <c r="S208">
        <v>22876</v>
      </c>
      <c r="T208" t="s">
        <v>4665</v>
      </c>
      <c r="U208" t="s">
        <v>5321</v>
      </c>
      <c r="V208" s="156">
        <v>42359</v>
      </c>
    </row>
    <row r="209" spans="3:22" hidden="1">
      <c r="C209" s="156"/>
      <c r="F209" t="s">
        <v>1230</v>
      </c>
      <c r="G209" t="s">
        <v>1012</v>
      </c>
      <c r="H209" s="156" t="s">
        <v>6281</v>
      </c>
      <c r="I209" s="156">
        <v>42341</v>
      </c>
      <c r="J209" s="156" t="s">
        <v>6013</v>
      </c>
      <c r="K209">
        <v>11102001</v>
      </c>
      <c r="L209" s="156" t="s">
        <v>6282</v>
      </c>
      <c r="M209" s="156">
        <v>42373</v>
      </c>
      <c r="N209" t="s">
        <v>25</v>
      </c>
      <c r="O209">
        <v>33480</v>
      </c>
      <c r="P209">
        <v>0</v>
      </c>
      <c r="Q209">
        <v>33480</v>
      </c>
      <c r="R209">
        <v>1</v>
      </c>
      <c r="S209">
        <v>33480</v>
      </c>
      <c r="T209" t="s">
        <v>6015</v>
      </c>
      <c r="U209" t="s">
        <v>6016</v>
      </c>
      <c r="V209" s="156">
        <v>42359</v>
      </c>
    </row>
    <row r="210" spans="3:22" hidden="1">
      <c r="C210" s="156"/>
      <c r="F210" t="s">
        <v>1230</v>
      </c>
      <c r="G210" t="s">
        <v>6023</v>
      </c>
      <c r="H210" s="156" t="s">
        <v>6283</v>
      </c>
      <c r="I210" s="156">
        <v>42347</v>
      </c>
      <c r="J210" s="156" t="s">
        <v>6013</v>
      </c>
      <c r="K210">
        <v>11102001</v>
      </c>
      <c r="L210" s="156" t="s">
        <v>6284</v>
      </c>
      <c r="M210" s="156">
        <v>42376</v>
      </c>
      <c r="N210" t="s">
        <v>25</v>
      </c>
      <c r="O210">
        <v>76000</v>
      </c>
      <c r="P210">
        <v>0</v>
      </c>
      <c r="Q210">
        <v>76000</v>
      </c>
      <c r="R210">
        <v>1</v>
      </c>
      <c r="S210">
        <v>76000</v>
      </c>
      <c r="T210" t="s">
        <v>6015</v>
      </c>
      <c r="U210" t="s">
        <v>6072</v>
      </c>
      <c r="V210" s="156">
        <v>42359</v>
      </c>
    </row>
    <row r="211" spans="3:22" hidden="1">
      <c r="C211" s="156"/>
      <c r="F211" t="s">
        <v>1230</v>
      </c>
      <c r="G211" t="s">
        <v>6023</v>
      </c>
      <c r="H211" s="156" t="s">
        <v>6285</v>
      </c>
      <c r="I211" s="156">
        <v>42347</v>
      </c>
      <c r="J211" s="156" t="s">
        <v>6013</v>
      </c>
      <c r="K211">
        <v>11102001</v>
      </c>
      <c r="L211" s="156" t="s">
        <v>6286</v>
      </c>
      <c r="M211" s="156">
        <v>42377</v>
      </c>
      <c r="N211" t="s">
        <v>25</v>
      </c>
      <c r="O211">
        <v>76000</v>
      </c>
      <c r="P211">
        <v>0</v>
      </c>
      <c r="Q211">
        <v>76000</v>
      </c>
      <c r="R211">
        <v>1</v>
      </c>
      <c r="S211">
        <v>76000</v>
      </c>
      <c r="T211" t="s">
        <v>6015</v>
      </c>
      <c r="U211" t="s">
        <v>6029</v>
      </c>
      <c r="V211" s="156">
        <v>42359</v>
      </c>
    </row>
    <row r="212" spans="3:22" hidden="1">
      <c r="C212" s="156"/>
      <c r="F212" t="s">
        <v>1230</v>
      </c>
      <c r="G212" t="s">
        <v>6023</v>
      </c>
      <c r="H212" s="156" t="s">
        <v>6287</v>
      </c>
      <c r="I212" s="156">
        <v>42334</v>
      </c>
      <c r="J212" s="156" t="s">
        <v>6013</v>
      </c>
      <c r="K212">
        <v>11102001</v>
      </c>
      <c r="L212" s="156" t="s">
        <v>6288</v>
      </c>
      <c r="M212" s="156">
        <v>42373</v>
      </c>
      <c r="N212" t="s">
        <v>25</v>
      </c>
      <c r="O212">
        <v>76000</v>
      </c>
      <c r="P212">
        <v>0</v>
      </c>
      <c r="Q212">
        <v>76000</v>
      </c>
      <c r="R212">
        <v>1</v>
      </c>
      <c r="S212">
        <v>76000</v>
      </c>
      <c r="T212" t="s">
        <v>6015</v>
      </c>
      <c r="U212" t="s">
        <v>6037</v>
      </c>
      <c r="V212" s="156">
        <v>42359</v>
      </c>
    </row>
    <row r="213" spans="3:22" hidden="1">
      <c r="C213" s="156"/>
      <c r="F213" t="s">
        <v>1230</v>
      </c>
      <c r="G213" t="s">
        <v>6023</v>
      </c>
      <c r="H213" s="156" t="s">
        <v>6289</v>
      </c>
      <c r="I213" s="156">
        <v>42347</v>
      </c>
      <c r="J213" s="156" t="s">
        <v>6013</v>
      </c>
      <c r="K213">
        <v>11102001</v>
      </c>
      <c r="L213" s="156" t="s">
        <v>6290</v>
      </c>
      <c r="M213" s="156">
        <v>42377</v>
      </c>
      <c r="N213" t="s">
        <v>25</v>
      </c>
      <c r="O213">
        <v>76000</v>
      </c>
      <c r="P213">
        <v>0</v>
      </c>
      <c r="Q213">
        <v>76000</v>
      </c>
      <c r="R213">
        <v>1</v>
      </c>
      <c r="S213">
        <v>76000</v>
      </c>
      <c r="T213" t="s">
        <v>6015</v>
      </c>
      <c r="U213" t="s">
        <v>6029</v>
      </c>
      <c r="V213" s="156">
        <v>42359</v>
      </c>
    </row>
    <row r="214" spans="3:22" hidden="1">
      <c r="C214" s="156"/>
      <c r="F214" t="s">
        <v>1230</v>
      </c>
      <c r="G214" t="s">
        <v>6023</v>
      </c>
      <c r="H214" s="156" t="s">
        <v>6291</v>
      </c>
      <c r="I214" s="156">
        <v>42347</v>
      </c>
      <c r="J214" s="156" t="s">
        <v>6013</v>
      </c>
      <c r="K214">
        <v>11102001</v>
      </c>
      <c r="L214" s="156" t="s">
        <v>6292</v>
      </c>
      <c r="M214" s="156">
        <v>42377</v>
      </c>
      <c r="N214" t="s">
        <v>25</v>
      </c>
      <c r="O214">
        <v>76000</v>
      </c>
      <c r="P214">
        <v>0</v>
      </c>
      <c r="Q214">
        <v>76000</v>
      </c>
      <c r="R214">
        <v>1</v>
      </c>
      <c r="S214">
        <v>76000</v>
      </c>
      <c r="T214" t="s">
        <v>6015</v>
      </c>
      <c r="U214" t="s">
        <v>6029</v>
      </c>
      <c r="V214" s="156">
        <v>42359</v>
      </c>
    </row>
    <row r="215" spans="3:22" hidden="1">
      <c r="C215" s="156"/>
      <c r="F215" t="s">
        <v>1230</v>
      </c>
      <c r="G215" t="s">
        <v>6023</v>
      </c>
      <c r="H215" s="156" t="s">
        <v>6293</v>
      </c>
      <c r="I215" s="156">
        <v>42334</v>
      </c>
      <c r="J215" s="156" t="s">
        <v>6013</v>
      </c>
      <c r="K215">
        <v>11102001</v>
      </c>
      <c r="L215" s="156" t="s">
        <v>6294</v>
      </c>
      <c r="M215" s="156">
        <v>42373</v>
      </c>
      <c r="N215" t="s">
        <v>25</v>
      </c>
      <c r="O215">
        <v>76000</v>
      </c>
      <c r="P215">
        <v>0</v>
      </c>
      <c r="Q215">
        <v>76000</v>
      </c>
      <c r="R215">
        <v>1</v>
      </c>
      <c r="S215">
        <v>76000</v>
      </c>
      <c r="T215" t="s">
        <v>6015</v>
      </c>
      <c r="U215" t="s">
        <v>6037</v>
      </c>
      <c r="V215" s="156">
        <v>42359</v>
      </c>
    </row>
    <row r="216" spans="3:22" hidden="1">
      <c r="C216" s="156"/>
      <c r="F216" t="s">
        <v>1230</v>
      </c>
      <c r="G216" t="s">
        <v>6023</v>
      </c>
      <c r="H216" s="156" t="s">
        <v>6295</v>
      </c>
      <c r="I216" s="156">
        <v>42347</v>
      </c>
      <c r="J216" s="156" t="s">
        <v>6013</v>
      </c>
      <c r="K216">
        <v>11102001</v>
      </c>
      <c r="L216" s="156" t="s">
        <v>6296</v>
      </c>
      <c r="M216" s="156">
        <v>42377</v>
      </c>
      <c r="N216" t="s">
        <v>25</v>
      </c>
      <c r="O216">
        <v>435065.36</v>
      </c>
      <c r="P216">
        <v>0</v>
      </c>
      <c r="Q216">
        <v>435065.36</v>
      </c>
      <c r="R216">
        <v>1</v>
      </c>
      <c r="S216">
        <v>435065.36</v>
      </c>
      <c r="T216" t="s">
        <v>6015</v>
      </c>
      <c r="U216" t="s">
        <v>6029</v>
      </c>
      <c r="V216" s="156">
        <v>42359</v>
      </c>
    </row>
    <row r="217" spans="3:22" hidden="1">
      <c r="C217" s="156"/>
      <c r="F217" t="s">
        <v>1230</v>
      </c>
      <c r="G217" t="s">
        <v>6023</v>
      </c>
      <c r="H217" s="156" t="s">
        <v>6297</v>
      </c>
      <c r="I217" s="156">
        <v>42333</v>
      </c>
      <c r="J217" s="156" t="s">
        <v>6013</v>
      </c>
      <c r="K217">
        <v>11102001</v>
      </c>
      <c r="L217" s="156" t="s">
        <v>6298</v>
      </c>
      <c r="M217" s="156">
        <v>42373</v>
      </c>
      <c r="N217" t="s">
        <v>25</v>
      </c>
      <c r="O217">
        <v>98838</v>
      </c>
      <c r="P217">
        <v>0</v>
      </c>
      <c r="Q217">
        <v>98838</v>
      </c>
      <c r="R217">
        <v>1</v>
      </c>
      <c r="S217">
        <v>98838</v>
      </c>
      <c r="T217" t="s">
        <v>6015</v>
      </c>
      <c r="U217" t="s">
        <v>6026</v>
      </c>
      <c r="V217" s="156">
        <v>42359</v>
      </c>
    </row>
    <row r="218" spans="3:22" hidden="1">
      <c r="C218" s="156"/>
      <c r="F218" t="s">
        <v>1230</v>
      </c>
      <c r="G218" t="s">
        <v>6023</v>
      </c>
      <c r="H218" s="156" t="s">
        <v>6299</v>
      </c>
      <c r="I218" s="156">
        <v>42333</v>
      </c>
      <c r="J218" s="156" t="s">
        <v>6013</v>
      </c>
      <c r="K218">
        <v>11102001</v>
      </c>
      <c r="L218" s="156" t="s">
        <v>6300</v>
      </c>
      <c r="M218" s="156">
        <v>42373</v>
      </c>
      <c r="N218" t="s">
        <v>25</v>
      </c>
      <c r="O218">
        <v>76000</v>
      </c>
      <c r="P218">
        <v>0</v>
      </c>
      <c r="Q218">
        <v>76000</v>
      </c>
      <c r="R218">
        <v>1</v>
      </c>
      <c r="S218">
        <v>76000</v>
      </c>
      <c r="T218" t="s">
        <v>6015</v>
      </c>
      <c r="U218" t="s">
        <v>6058</v>
      </c>
      <c r="V218" s="156">
        <v>42359</v>
      </c>
    </row>
    <row r="219" spans="3:22" hidden="1">
      <c r="C219" s="156"/>
      <c r="F219" t="s">
        <v>1230</v>
      </c>
      <c r="G219" t="s">
        <v>6023</v>
      </c>
      <c r="H219" s="156" t="s">
        <v>6301</v>
      </c>
      <c r="I219" s="156">
        <v>42334</v>
      </c>
      <c r="J219" s="156" t="s">
        <v>6013</v>
      </c>
      <c r="K219">
        <v>11102001</v>
      </c>
      <c r="L219" s="156" t="s">
        <v>6302</v>
      </c>
      <c r="M219" s="156">
        <v>42373</v>
      </c>
      <c r="N219" t="s">
        <v>25</v>
      </c>
      <c r="O219">
        <v>76000</v>
      </c>
      <c r="P219">
        <v>0</v>
      </c>
      <c r="Q219">
        <v>76000</v>
      </c>
      <c r="R219">
        <v>1</v>
      </c>
      <c r="S219">
        <v>76000</v>
      </c>
      <c r="T219" t="s">
        <v>6015</v>
      </c>
      <c r="U219" t="s">
        <v>6037</v>
      </c>
      <c r="V219" s="156">
        <v>42359</v>
      </c>
    </row>
    <row r="220" spans="3:22" hidden="1">
      <c r="C220" s="156"/>
      <c r="F220" t="s">
        <v>1230</v>
      </c>
      <c r="G220" t="s">
        <v>6023</v>
      </c>
      <c r="H220" s="156" t="s">
        <v>6303</v>
      </c>
      <c r="I220" s="156">
        <v>42334</v>
      </c>
      <c r="J220" s="156" t="s">
        <v>6013</v>
      </c>
      <c r="K220">
        <v>11102001</v>
      </c>
      <c r="L220" s="156" t="s">
        <v>6304</v>
      </c>
      <c r="M220" s="156">
        <v>42373</v>
      </c>
      <c r="N220" t="s">
        <v>25</v>
      </c>
      <c r="O220">
        <v>76000</v>
      </c>
      <c r="P220">
        <v>0</v>
      </c>
      <c r="Q220">
        <v>76000</v>
      </c>
      <c r="R220">
        <v>1</v>
      </c>
      <c r="S220">
        <v>76000</v>
      </c>
      <c r="T220" t="s">
        <v>6015</v>
      </c>
      <c r="U220" t="s">
        <v>6037</v>
      </c>
      <c r="V220" s="156">
        <v>42359</v>
      </c>
    </row>
    <row r="221" spans="3:22" hidden="1">
      <c r="C221" s="156"/>
      <c r="F221" t="s">
        <v>1230</v>
      </c>
      <c r="G221" t="s">
        <v>6023</v>
      </c>
      <c r="H221" s="156" t="s">
        <v>6305</v>
      </c>
      <c r="I221" s="156">
        <v>42338</v>
      </c>
      <c r="J221" s="156" t="s">
        <v>6013</v>
      </c>
      <c r="K221">
        <v>11102001</v>
      </c>
      <c r="L221" s="156" t="s">
        <v>6306</v>
      </c>
      <c r="M221" s="156">
        <v>42373</v>
      </c>
      <c r="N221" t="s">
        <v>25</v>
      </c>
      <c r="O221">
        <v>76000</v>
      </c>
      <c r="P221">
        <v>0</v>
      </c>
      <c r="Q221">
        <v>76000</v>
      </c>
      <c r="R221">
        <v>1</v>
      </c>
      <c r="S221">
        <v>76000</v>
      </c>
      <c r="T221" t="s">
        <v>6015</v>
      </c>
      <c r="U221" t="s">
        <v>6061</v>
      </c>
      <c r="V221" s="156">
        <v>42359</v>
      </c>
    </row>
    <row r="222" spans="3:22" hidden="1">
      <c r="C222" s="156"/>
      <c r="F222" t="s">
        <v>1230</v>
      </c>
      <c r="G222" t="s">
        <v>6023</v>
      </c>
      <c r="H222" s="156" t="s">
        <v>6307</v>
      </c>
      <c r="I222" s="156">
        <v>42334</v>
      </c>
      <c r="J222" s="156" t="s">
        <v>6013</v>
      </c>
      <c r="K222">
        <v>11102001</v>
      </c>
      <c r="L222" s="156" t="s">
        <v>6308</v>
      </c>
      <c r="M222" s="156">
        <v>42373</v>
      </c>
      <c r="N222" t="s">
        <v>25</v>
      </c>
      <c r="O222">
        <v>76000</v>
      </c>
      <c r="P222">
        <v>0</v>
      </c>
      <c r="Q222">
        <v>76000</v>
      </c>
      <c r="R222">
        <v>1</v>
      </c>
      <c r="S222">
        <v>76000</v>
      </c>
      <c r="T222" t="s">
        <v>6015</v>
      </c>
      <c r="U222" t="s">
        <v>6037</v>
      </c>
      <c r="V222" s="156">
        <v>42359</v>
      </c>
    </row>
    <row r="223" spans="3:22" hidden="1">
      <c r="C223" s="156"/>
      <c r="F223" t="s">
        <v>1230</v>
      </c>
      <c r="G223" t="s">
        <v>6023</v>
      </c>
      <c r="H223" s="156" t="s">
        <v>6309</v>
      </c>
      <c r="I223" s="156">
        <v>42338</v>
      </c>
      <c r="J223" s="156" t="s">
        <v>6013</v>
      </c>
      <c r="K223">
        <v>11102001</v>
      </c>
      <c r="L223" s="156" t="s">
        <v>6310</v>
      </c>
      <c r="M223" s="156">
        <v>42373</v>
      </c>
      <c r="N223" t="s">
        <v>25</v>
      </c>
      <c r="O223">
        <v>76000</v>
      </c>
      <c r="P223">
        <v>0</v>
      </c>
      <c r="Q223">
        <v>76000</v>
      </c>
      <c r="R223">
        <v>1</v>
      </c>
      <c r="S223">
        <v>76000</v>
      </c>
      <c r="T223" t="s">
        <v>6015</v>
      </c>
      <c r="U223" t="s">
        <v>6061</v>
      </c>
      <c r="V223" s="156">
        <v>42359</v>
      </c>
    </row>
    <row r="224" spans="3:22" hidden="1">
      <c r="C224" s="156"/>
      <c r="F224" t="s">
        <v>1230</v>
      </c>
      <c r="G224" t="s">
        <v>6023</v>
      </c>
      <c r="H224" s="156" t="s">
        <v>6311</v>
      </c>
      <c r="I224" s="156">
        <v>42338</v>
      </c>
      <c r="J224" s="156" t="s">
        <v>6013</v>
      </c>
      <c r="K224">
        <v>11102001</v>
      </c>
      <c r="L224" s="156" t="s">
        <v>6312</v>
      </c>
      <c r="M224" s="156">
        <v>42373</v>
      </c>
      <c r="N224" t="s">
        <v>25</v>
      </c>
      <c r="O224">
        <v>76000</v>
      </c>
      <c r="P224">
        <v>0</v>
      </c>
      <c r="Q224">
        <v>76000</v>
      </c>
      <c r="R224">
        <v>1</v>
      </c>
      <c r="S224">
        <v>76000</v>
      </c>
      <c r="T224" t="s">
        <v>6015</v>
      </c>
      <c r="U224" t="s">
        <v>6061</v>
      </c>
      <c r="V224" s="156">
        <v>42359</v>
      </c>
    </row>
    <row r="225" spans="3:22" hidden="1">
      <c r="C225" s="156"/>
      <c r="F225" t="s">
        <v>1230</v>
      </c>
      <c r="G225" t="s">
        <v>6023</v>
      </c>
      <c r="H225" s="156" t="s">
        <v>6313</v>
      </c>
      <c r="I225" s="156">
        <v>42333</v>
      </c>
      <c r="J225" s="156" t="s">
        <v>6013</v>
      </c>
      <c r="K225">
        <v>11102001</v>
      </c>
      <c r="L225" s="156" t="s">
        <v>6314</v>
      </c>
      <c r="M225" s="156">
        <v>42373</v>
      </c>
      <c r="N225" t="s">
        <v>25</v>
      </c>
      <c r="O225">
        <v>76000</v>
      </c>
      <c r="P225">
        <v>0</v>
      </c>
      <c r="Q225">
        <v>76000</v>
      </c>
      <c r="R225">
        <v>1</v>
      </c>
      <c r="S225">
        <v>76000</v>
      </c>
      <c r="T225" t="s">
        <v>6015</v>
      </c>
      <c r="U225" t="s">
        <v>6058</v>
      </c>
      <c r="V225" s="156">
        <v>42359</v>
      </c>
    </row>
    <row r="226" spans="3:22" hidden="1">
      <c r="C226" s="156"/>
      <c r="F226" t="s">
        <v>1230</v>
      </c>
      <c r="G226" t="s">
        <v>6023</v>
      </c>
      <c r="H226" s="156" t="s">
        <v>6315</v>
      </c>
      <c r="I226" s="156">
        <v>42347</v>
      </c>
      <c r="J226" s="156" t="s">
        <v>6013</v>
      </c>
      <c r="K226">
        <v>11102001</v>
      </c>
      <c r="L226" s="156" t="s">
        <v>6316</v>
      </c>
      <c r="M226" s="156">
        <v>42376</v>
      </c>
      <c r="N226" t="s">
        <v>25</v>
      </c>
      <c r="O226">
        <v>653311.66</v>
      </c>
      <c r="P226">
        <v>0</v>
      </c>
      <c r="Q226">
        <v>653311.66</v>
      </c>
      <c r="R226">
        <v>1</v>
      </c>
      <c r="S226">
        <v>653311.66</v>
      </c>
      <c r="T226" t="s">
        <v>6015</v>
      </c>
      <c r="U226" t="s">
        <v>6072</v>
      </c>
      <c r="V226" s="156">
        <v>42359</v>
      </c>
    </row>
    <row r="227" spans="3:22" hidden="1">
      <c r="C227" s="156"/>
      <c r="F227" t="s">
        <v>1230</v>
      </c>
      <c r="G227" t="s">
        <v>72</v>
      </c>
      <c r="H227" s="156" t="s">
        <v>4826</v>
      </c>
      <c r="I227" s="156">
        <v>40897</v>
      </c>
      <c r="J227" s="156" t="s">
        <v>4827</v>
      </c>
      <c r="K227">
        <v>11107001</v>
      </c>
      <c r="L227" s="156" t="s">
        <v>4828</v>
      </c>
      <c r="M227" s="156">
        <v>41151</v>
      </c>
      <c r="N227" t="s">
        <v>25</v>
      </c>
      <c r="O227">
        <v>76666</v>
      </c>
      <c r="P227">
        <v>0</v>
      </c>
      <c r="Q227">
        <v>76666</v>
      </c>
      <c r="R227">
        <v>1</v>
      </c>
      <c r="S227">
        <v>76666</v>
      </c>
      <c r="T227" t="s">
        <v>4651</v>
      </c>
      <c r="U227" t="s">
        <v>4829</v>
      </c>
      <c r="V227" s="156">
        <v>42359</v>
      </c>
    </row>
    <row r="228" spans="3:22" hidden="1">
      <c r="C228" s="156"/>
      <c r="F228" t="s">
        <v>1230</v>
      </c>
      <c r="G228" t="s">
        <v>72</v>
      </c>
      <c r="H228" s="156" t="s">
        <v>4830</v>
      </c>
      <c r="I228" s="156">
        <v>41638</v>
      </c>
      <c r="J228" s="156" t="s">
        <v>4683</v>
      </c>
      <c r="K228">
        <v>17101002</v>
      </c>
      <c r="L228" s="156" t="s">
        <v>4831</v>
      </c>
      <c r="M228" s="156">
        <v>41638</v>
      </c>
      <c r="N228" t="s">
        <v>25</v>
      </c>
      <c r="O228">
        <v>27325.66</v>
      </c>
      <c r="Q228">
        <v>27325.66</v>
      </c>
      <c r="R228">
        <v>1</v>
      </c>
      <c r="S228">
        <v>27325.66</v>
      </c>
      <c r="T228" t="s">
        <v>4665</v>
      </c>
      <c r="U228" t="s">
        <v>4832</v>
      </c>
      <c r="V228" s="156">
        <v>42359</v>
      </c>
    </row>
    <row r="229" spans="3:22" hidden="1">
      <c r="C229" s="156"/>
      <c r="F229" t="s">
        <v>1230</v>
      </c>
      <c r="G229" t="s">
        <v>72</v>
      </c>
      <c r="H229" s="156" t="s">
        <v>5904</v>
      </c>
      <c r="I229" s="156">
        <v>42285</v>
      </c>
      <c r="J229" s="156" t="s">
        <v>4683</v>
      </c>
      <c r="K229">
        <v>17101002</v>
      </c>
      <c r="L229" s="156" t="s">
        <v>5905</v>
      </c>
      <c r="M229" s="156">
        <v>42285</v>
      </c>
      <c r="N229" t="s">
        <v>25</v>
      </c>
      <c r="O229">
        <v>21410.7</v>
      </c>
      <c r="Q229">
        <v>21410.7</v>
      </c>
      <c r="R229">
        <v>1</v>
      </c>
      <c r="S229">
        <v>21410.7</v>
      </c>
      <c r="T229" t="s">
        <v>4665</v>
      </c>
      <c r="U229" t="s">
        <v>5866</v>
      </c>
      <c r="V229" s="156">
        <v>42359</v>
      </c>
    </row>
    <row r="230" spans="3:22" hidden="1">
      <c r="C230" s="156"/>
      <c r="F230" t="s">
        <v>1230</v>
      </c>
      <c r="G230" t="s">
        <v>72</v>
      </c>
      <c r="H230" s="156" t="s">
        <v>4833</v>
      </c>
      <c r="I230" s="156">
        <v>42044</v>
      </c>
      <c r="J230" s="156" t="s">
        <v>4684</v>
      </c>
      <c r="K230">
        <v>11107001</v>
      </c>
      <c r="L230" s="156" t="s">
        <v>4685</v>
      </c>
      <c r="M230" s="156">
        <v>43343</v>
      </c>
      <c r="N230" t="s">
        <v>25</v>
      </c>
      <c r="O230">
        <v>80000</v>
      </c>
      <c r="Q230">
        <v>80000</v>
      </c>
      <c r="R230">
        <v>1</v>
      </c>
      <c r="S230">
        <v>80000</v>
      </c>
      <c r="T230" t="s">
        <v>4651</v>
      </c>
      <c r="U230" t="s">
        <v>4686</v>
      </c>
      <c r="V230" s="156">
        <v>42359</v>
      </c>
    </row>
    <row r="231" spans="3:22" hidden="1">
      <c r="C231" s="156"/>
      <c r="F231" t="s">
        <v>1230</v>
      </c>
      <c r="G231" t="s">
        <v>72</v>
      </c>
      <c r="H231" s="156" t="s">
        <v>4834</v>
      </c>
      <c r="I231" s="156">
        <v>42044</v>
      </c>
      <c r="J231" s="156" t="s">
        <v>4684</v>
      </c>
      <c r="K231">
        <v>11107001</v>
      </c>
      <c r="L231" s="156" t="s">
        <v>4688</v>
      </c>
      <c r="M231" s="156">
        <v>42978</v>
      </c>
      <c r="N231" t="s">
        <v>25</v>
      </c>
      <c r="O231">
        <v>80000</v>
      </c>
      <c r="Q231">
        <v>80000</v>
      </c>
      <c r="R231">
        <v>1</v>
      </c>
      <c r="S231">
        <v>80000</v>
      </c>
      <c r="T231" t="s">
        <v>4651</v>
      </c>
      <c r="U231" t="s">
        <v>4686</v>
      </c>
      <c r="V231" s="156">
        <v>42359</v>
      </c>
    </row>
    <row r="232" spans="3:22" hidden="1">
      <c r="C232" s="156"/>
      <c r="F232" t="s">
        <v>1230</v>
      </c>
      <c r="G232" t="s">
        <v>74</v>
      </c>
      <c r="H232" s="156" t="s">
        <v>5664</v>
      </c>
      <c r="I232" s="156">
        <v>42215</v>
      </c>
      <c r="J232" s="156" t="s">
        <v>5665</v>
      </c>
      <c r="K232">
        <v>17101002</v>
      </c>
      <c r="L232" s="156" t="s">
        <v>5666</v>
      </c>
      <c r="M232" s="156">
        <v>42215</v>
      </c>
      <c r="N232" t="s">
        <v>25</v>
      </c>
      <c r="O232">
        <v>1250.2</v>
      </c>
      <c r="Q232">
        <v>1250.2</v>
      </c>
      <c r="R232">
        <v>1</v>
      </c>
      <c r="S232">
        <v>1250.2</v>
      </c>
      <c r="T232" t="s">
        <v>4665</v>
      </c>
      <c r="U232" t="s">
        <v>5667</v>
      </c>
      <c r="V232" s="156">
        <v>42359</v>
      </c>
    </row>
    <row r="233" spans="3:22" hidden="1">
      <c r="C233" s="156"/>
      <c r="F233" t="s">
        <v>1230</v>
      </c>
      <c r="G233" t="s">
        <v>76</v>
      </c>
      <c r="H233" s="156" t="s">
        <v>6317</v>
      </c>
      <c r="I233" s="156">
        <v>42361</v>
      </c>
      <c r="J233" s="156" t="s">
        <v>5867</v>
      </c>
      <c r="K233">
        <v>17101002</v>
      </c>
      <c r="L233" s="156" t="s">
        <v>5324</v>
      </c>
      <c r="M233" s="156">
        <v>42361</v>
      </c>
      <c r="N233" t="s">
        <v>25</v>
      </c>
      <c r="O233">
        <v>32506.73</v>
      </c>
      <c r="Q233">
        <v>32506.73</v>
      </c>
      <c r="R233">
        <v>1</v>
      </c>
      <c r="S233">
        <v>32506.73</v>
      </c>
      <c r="T233" t="s">
        <v>4665</v>
      </c>
      <c r="U233" t="s">
        <v>6318</v>
      </c>
      <c r="V233" s="156">
        <v>42359</v>
      </c>
    </row>
    <row r="234" spans="3:22" hidden="1">
      <c r="C234" s="156"/>
      <c r="F234" t="s">
        <v>1230</v>
      </c>
      <c r="G234" t="s">
        <v>76</v>
      </c>
      <c r="H234" s="156" t="s">
        <v>5624</v>
      </c>
      <c r="I234" s="156">
        <v>42212</v>
      </c>
      <c r="J234" s="156" t="s">
        <v>5867</v>
      </c>
      <c r="K234">
        <v>17101002</v>
      </c>
      <c r="L234" s="156" t="s">
        <v>5324</v>
      </c>
      <c r="M234" s="156">
        <v>42212</v>
      </c>
      <c r="N234" t="s">
        <v>25</v>
      </c>
      <c r="O234">
        <v>32506.73</v>
      </c>
      <c r="Q234">
        <v>32506.73</v>
      </c>
      <c r="R234">
        <v>1</v>
      </c>
      <c r="S234">
        <v>32506.73</v>
      </c>
      <c r="T234" t="s">
        <v>4665</v>
      </c>
      <c r="U234" t="s">
        <v>5625</v>
      </c>
      <c r="V234" s="156">
        <v>42359</v>
      </c>
    </row>
    <row r="235" spans="3:22" hidden="1">
      <c r="C235" s="156"/>
      <c r="F235" t="s">
        <v>1230</v>
      </c>
      <c r="G235" t="s">
        <v>76</v>
      </c>
      <c r="H235" s="156" t="s">
        <v>6319</v>
      </c>
      <c r="I235" s="156">
        <v>42333</v>
      </c>
      <c r="J235" s="156" t="s">
        <v>5867</v>
      </c>
      <c r="K235">
        <v>17101002</v>
      </c>
      <c r="L235" s="156" t="s">
        <v>5324</v>
      </c>
      <c r="M235" s="156">
        <v>42333</v>
      </c>
      <c r="N235" t="s">
        <v>25</v>
      </c>
      <c r="O235">
        <v>32506.73</v>
      </c>
      <c r="Q235">
        <v>32506.73</v>
      </c>
      <c r="R235">
        <v>1</v>
      </c>
      <c r="S235">
        <v>32506.73</v>
      </c>
      <c r="T235" t="s">
        <v>4665</v>
      </c>
      <c r="U235" t="s">
        <v>6320</v>
      </c>
      <c r="V235" s="156">
        <v>42359</v>
      </c>
    </row>
    <row r="236" spans="3:22" hidden="1">
      <c r="C236" s="156"/>
      <c r="F236" t="s">
        <v>1230</v>
      </c>
      <c r="G236" t="s">
        <v>72</v>
      </c>
      <c r="H236" s="156" t="s">
        <v>5504</v>
      </c>
      <c r="I236" s="156">
        <v>42185</v>
      </c>
      <c r="J236" s="156" t="s">
        <v>5044</v>
      </c>
      <c r="K236">
        <v>11101003</v>
      </c>
      <c r="L236" s="156" t="s">
        <v>5315</v>
      </c>
      <c r="M236" s="156">
        <v>42338</v>
      </c>
      <c r="N236" t="s">
        <v>22</v>
      </c>
      <c r="O236">
        <v>4299000</v>
      </c>
      <c r="P236">
        <v>3792954.34</v>
      </c>
      <c r="Q236">
        <v>506045.66</v>
      </c>
      <c r="R236">
        <v>3.9062000000000001</v>
      </c>
      <c r="S236">
        <v>1976715.557092</v>
      </c>
      <c r="T236" t="s">
        <v>4647</v>
      </c>
      <c r="U236" t="s">
        <v>5505</v>
      </c>
      <c r="V236" s="156">
        <v>42359</v>
      </c>
    </row>
    <row r="237" spans="3:22" hidden="1">
      <c r="C237" s="156"/>
      <c r="F237" t="s">
        <v>1230</v>
      </c>
      <c r="G237" t="s">
        <v>71</v>
      </c>
      <c r="H237" s="156" t="s">
        <v>4837</v>
      </c>
      <c r="I237" s="156">
        <v>41761</v>
      </c>
      <c r="J237" s="156" t="s">
        <v>4838</v>
      </c>
      <c r="K237">
        <v>17101003</v>
      </c>
      <c r="L237" s="156" t="s">
        <v>4839</v>
      </c>
      <c r="M237" s="156">
        <v>41761</v>
      </c>
      <c r="N237" t="s">
        <v>25</v>
      </c>
      <c r="O237">
        <v>590</v>
      </c>
      <c r="Q237">
        <v>590</v>
      </c>
      <c r="R237">
        <v>1</v>
      </c>
      <c r="S237">
        <v>590</v>
      </c>
      <c r="T237" t="s">
        <v>4663</v>
      </c>
      <c r="U237" t="s">
        <v>4840</v>
      </c>
      <c r="V237" s="156">
        <v>42359</v>
      </c>
    </row>
    <row r="238" spans="3:22" hidden="1">
      <c r="C238" s="156"/>
      <c r="F238" t="s">
        <v>1230</v>
      </c>
      <c r="G238" t="s">
        <v>1012</v>
      </c>
      <c r="H238" s="156" t="s">
        <v>4841</v>
      </c>
      <c r="I238" s="156">
        <v>42012</v>
      </c>
      <c r="J238" s="156" t="s">
        <v>4842</v>
      </c>
      <c r="K238">
        <v>11101020</v>
      </c>
      <c r="L238" s="156" t="s">
        <v>4781</v>
      </c>
      <c r="M238" s="156">
        <v>42154</v>
      </c>
      <c r="N238" t="s">
        <v>25</v>
      </c>
      <c r="O238">
        <v>3250</v>
      </c>
      <c r="P238">
        <v>0</v>
      </c>
      <c r="Q238">
        <v>3250</v>
      </c>
      <c r="R238">
        <v>1</v>
      </c>
      <c r="S238">
        <v>3250</v>
      </c>
      <c r="T238" t="s">
        <v>4737</v>
      </c>
      <c r="U238" t="s">
        <v>4843</v>
      </c>
      <c r="V238" s="156">
        <v>42359</v>
      </c>
    </row>
    <row r="239" spans="3:22" hidden="1">
      <c r="C239" s="156"/>
      <c r="F239" t="s">
        <v>1230</v>
      </c>
      <c r="G239" t="s">
        <v>71</v>
      </c>
      <c r="H239" s="156" t="s">
        <v>5004</v>
      </c>
      <c r="I239" s="156">
        <v>41122</v>
      </c>
      <c r="J239" s="156" t="s">
        <v>5066</v>
      </c>
      <c r="K239">
        <v>19105011</v>
      </c>
      <c r="L239" s="156" t="s">
        <v>5005</v>
      </c>
      <c r="M239" s="156">
        <v>41455</v>
      </c>
      <c r="N239" t="s">
        <v>25</v>
      </c>
      <c r="O239">
        <v>12000</v>
      </c>
      <c r="P239">
        <v>0</v>
      </c>
      <c r="Q239">
        <v>12000</v>
      </c>
      <c r="R239">
        <v>1</v>
      </c>
      <c r="S239">
        <v>12000</v>
      </c>
      <c r="T239" t="s">
        <v>4952</v>
      </c>
      <c r="U239" t="s">
        <v>5006</v>
      </c>
      <c r="V239" s="156">
        <v>42359</v>
      </c>
    </row>
    <row r="240" spans="3:22" hidden="1">
      <c r="C240" s="156"/>
      <c r="F240" t="s">
        <v>1230</v>
      </c>
      <c r="G240" t="s">
        <v>72</v>
      </c>
      <c r="H240" s="156" t="s">
        <v>5918</v>
      </c>
      <c r="I240" s="156">
        <v>42371</v>
      </c>
      <c r="J240" s="156" t="s">
        <v>5908</v>
      </c>
      <c r="K240">
        <v>11101001</v>
      </c>
      <c r="L240" s="156" t="s">
        <v>5909</v>
      </c>
      <c r="M240" s="156">
        <v>42464</v>
      </c>
      <c r="N240" t="s">
        <v>22</v>
      </c>
      <c r="O240">
        <v>1240000</v>
      </c>
      <c r="Q240">
        <v>1240000</v>
      </c>
      <c r="R240">
        <v>3.9062000000000001</v>
      </c>
      <c r="S240">
        <v>4843688</v>
      </c>
      <c r="T240" t="s">
        <v>4646</v>
      </c>
      <c r="U240" t="s">
        <v>5910</v>
      </c>
      <c r="V240" s="156">
        <v>42359</v>
      </c>
    </row>
    <row r="241" spans="3:22" hidden="1">
      <c r="C241" s="156"/>
      <c r="F241" t="s">
        <v>1230</v>
      </c>
      <c r="G241" t="s">
        <v>5698</v>
      </c>
      <c r="H241" s="156" t="s">
        <v>5699</v>
      </c>
      <c r="I241" s="156">
        <v>42248</v>
      </c>
      <c r="J241" s="156" t="s">
        <v>5439</v>
      </c>
      <c r="K241">
        <v>11101005</v>
      </c>
      <c r="L241" s="156" t="s">
        <v>5700</v>
      </c>
      <c r="M241" s="156">
        <v>42277</v>
      </c>
      <c r="N241" t="s">
        <v>25</v>
      </c>
      <c r="O241">
        <v>24752</v>
      </c>
      <c r="P241">
        <v>0</v>
      </c>
      <c r="Q241">
        <v>24752</v>
      </c>
      <c r="R241">
        <v>1</v>
      </c>
      <c r="S241">
        <v>24752</v>
      </c>
      <c r="T241" t="s">
        <v>4709</v>
      </c>
      <c r="U241" t="s">
        <v>5701</v>
      </c>
      <c r="V241" s="156">
        <v>42359</v>
      </c>
    </row>
    <row r="242" spans="3:22" hidden="1">
      <c r="C242" s="156"/>
      <c r="F242" t="s">
        <v>1230</v>
      </c>
      <c r="G242" t="s">
        <v>72</v>
      </c>
      <c r="H242" s="156" t="s">
        <v>5938</v>
      </c>
      <c r="I242" s="156">
        <v>42296</v>
      </c>
      <c r="J242" s="156" t="s">
        <v>5939</v>
      </c>
      <c r="K242">
        <v>11310002</v>
      </c>
      <c r="L242" s="156" t="s">
        <v>5940</v>
      </c>
      <c r="M242" s="156">
        <v>42307</v>
      </c>
      <c r="N242" t="s">
        <v>22</v>
      </c>
      <c r="O242">
        <v>600</v>
      </c>
      <c r="P242">
        <v>0</v>
      </c>
      <c r="Q242">
        <v>600</v>
      </c>
      <c r="R242">
        <v>3.9062000000000001</v>
      </c>
      <c r="S242">
        <v>2343.7199999999998</v>
      </c>
      <c r="T242" t="s">
        <v>5697</v>
      </c>
      <c r="U242" t="s">
        <v>5941</v>
      </c>
      <c r="V242" s="156">
        <v>42359</v>
      </c>
    </row>
    <row r="243" spans="3:22" hidden="1">
      <c r="C243" s="156"/>
      <c r="F243" t="s">
        <v>1230</v>
      </c>
      <c r="G243" t="s">
        <v>72</v>
      </c>
      <c r="H243" s="156" t="s">
        <v>5672</v>
      </c>
      <c r="I243" s="156">
        <v>42230</v>
      </c>
      <c r="J243" s="156" t="s">
        <v>1479</v>
      </c>
      <c r="K243">
        <v>11101004</v>
      </c>
      <c r="L243" s="156" t="s">
        <v>5673</v>
      </c>
      <c r="M243" s="156">
        <v>42277</v>
      </c>
      <c r="N243" t="s">
        <v>22</v>
      </c>
      <c r="O243">
        <v>1999977.92</v>
      </c>
      <c r="P243">
        <v>1915631.99</v>
      </c>
      <c r="Q243">
        <v>84345.93</v>
      </c>
      <c r="R243">
        <v>3.9062000000000001</v>
      </c>
      <c r="S243">
        <v>329472.07176600001</v>
      </c>
      <c r="T243" t="s">
        <v>4647</v>
      </c>
      <c r="V243" s="156">
        <v>42359</v>
      </c>
    </row>
    <row r="244" spans="3:22" hidden="1">
      <c r="C244" s="156"/>
      <c r="F244" t="s">
        <v>1230</v>
      </c>
      <c r="G244" t="s">
        <v>72</v>
      </c>
      <c r="H244" s="156" t="s">
        <v>5595</v>
      </c>
      <c r="I244" s="156">
        <v>42205</v>
      </c>
      <c r="J244" s="156" t="s">
        <v>5589</v>
      </c>
      <c r="K244">
        <v>11310005</v>
      </c>
      <c r="L244" s="156" t="s">
        <v>5596</v>
      </c>
      <c r="M244" s="156">
        <v>42215</v>
      </c>
      <c r="N244" t="s">
        <v>25</v>
      </c>
      <c r="O244">
        <v>1339.99</v>
      </c>
      <c r="P244">
        <v>0</v>
      </c>
      <c r="Q244">
        <v>1339.99</v>
      </c>
      <c r="R244">
        <v>1</v>
      </c>
      <c r="S244">
        <v>1339.99</v>
      </c>
      <c r="T244" t="s">
        <v>4693</v>
      </c>
      <c r="U244" t="s">
        <v>5597</v>
      </c>
      <c r="V244" s="156">
        <v>42359</v>
      </c>
    </row>
    <row r="245" spans="3:22" hidden="1">
      <c r="C245" s="156"/>
      <c r="F245" t="s">
        <v>1230</v>
      </c>
      <c r="G245" t="s">
        <v>72</v>
      </c>
      <c r="H245" s="156" t="s">
        <v>5942</v>
      </c>
      <c r="I245" s="156">
        <v>42270</v>
      </c>
      <c r="J245" s="156" t="s">
        <v>5656</v>
      </c>
      <c r="K245">
        <v>11101001</v>
      </c>
      <c r="L245" s="156" t="s">
        <v>5703</v>
      </c>
      <c r="M245" s="156">
        <v>42444</v>
      </c>
      <c r="N245" t="s">
        <v>25</v>
      </c>
      <c r="O245">
        <v>1125000</v>
      </c>
      <c r="P245">
        <v>302100</v>
      </c>
      <c r="Q245">
        <v>822900</v>
      </c>
      <c r="R245">
        <v>1</v>
      </c>
      <c r="S245">
        <v>822900</v>
      </c>
      <c r="T245" t="s">
        <v>4646</v>
      </c>
      <c r="U245" t="s">
        <v>5943</v>
      </c>
      <c r="V245" s="156">
        <v>42359</v>
      </c>
    </row>
    <row r="246" spans="3:22" hidden="1">
      <c r="C246" s="156"/>
      <c r="F246" t="s">
        <v>1230</v>
      </c>
      <c r="G246" t="s">
        <v>72</v>
      </c>
      <c r="H246" s="156" t="s">
        <v>6321</v>
      </c>
      <c r="I246" s="156">
        <v>42359</v>
      </c>
      <c r="J246" s="156" t="s">
        <v>5656</v>
      </c>
      <c r="K246">
        <v>11101006</v>
      </c>
      <c r="L246" s="156" t="s">
        <v>6322</v>
      </c>
      <c r="M246" s="156">
        <v>42444</v>
      </c>
      <c r="N246" t="s">
        <v>25</v>
      </c>
      <c r="O246">
        <v>150000</v>
      </c>
      <c r="P246">
        <v>0</v>
      </c>
      <c r="Q246">
        <v>150000</v>
      </c>
      <c r="R246">
        <v>1</v>
      </c>
      <c r="S246">
        <v>150000</v>
      </c>
      <c r="T246" t="s">
        <v>5934</v>
      </c>
      <c r="U246" t="s">
        <v>6088</v>
      </c>
      <c r="V246" s="156">
        <v>42359</v>
      </c>
    </row>
    <row r="247" spans="3:22" hidden="1">
      <c r="C247" s="156"/>
      <c r="F247" t="s">
        <v>1230</v>
      </c>
      <c r="G247" t="s">
        <v>72</v>
      </c>
      <c r="H247" s="156" t="s">
        <v>6323</v>
      </c>
      <c r="I247" s="156">
        <v>42359</v>
      </c>
      <c r="J247" s="156" t="s">
        <v>5656</v>
      </c>
      <c r="K247">
        <v>11101008</v>
      </c>
      <c r="L247" s="156" t="s">
        <v>6324</v>
      </c>
      <c r="M247" s="156">
        <v>42444</v>
      </c>
      <c r="N247" t="s">
        <v>25</v>
      </c>
      <c r="O247">
        <v>30000</v>
      </c>
      <c r="P247">
        <v>0</v>
      </c>
      <c r="Q247">
        <v>30000</v>
      </c>
      <c r="R247">
        <v>1</v>
      </c>
      <c r="S247">
        <v>30000</v>
      </c>
      <c r="T247" t="s">
        <v>5934</v>
      </c>
      <c r="U247" t="s">
        <v>6088</v>
      </c>
      <c r="V247" s="156">
        <v>42359</v>
      </c>
    </row>
    <row r="248" spans="3:22" hidden="1">
      <c r="C248" s="156"/>
      <c r="F248" t="s">
        <v>1230</v>
      </c>
      <c r="G248" t="s">
        <v>72</v>
      </c>
      <c r="H248" s="156" t="s">
        <v>6325</v>
      </c>
      <c r="I248" s="156">
        <v>42359</v>
      </c>
      <c r="J248" s="156" t="s">
        <v>5656</v>
      </c>
      <c r="K248">
        <v>11101008</v>
      </c>
      <c r="L248" s="156" t="s">
        <v>6326</v>
      </c>
      <c r="M248" s="156">
        <v>42444</v>
      </c>
      <c r="N248" t="s">
        <v>25</v>
      </c>
      <c r="O248">
        <v>30000</v>
      </c>
      <c r="P248">
        <v>0</v>
      </c>
      <c r="Q248">
        <v>30000</v>
      </c>
      <c r="R248">
        <v>1</v>
      </c>
      <c r="S248">
        <v>30000</v>
      </c>
      <c r="T248" t="s">
        <v>5934</v>
      </c>
      <c r="U248" t="s">
        <v>6088</v>
      </c>
      <c r="V248" s="156">
        <v>42359</v>
      </c>
    </row>
    <row r="249" spans="3:22" hidden="1">
      <c r="C249" s="156"/>
      <c r="F249" t="s">
        <v>1230</v>
      </c>
      <c r="G249" t="s">
        <v>73</v>
      </c>
      <c r="H249" s="156" t="s">
        <v>4848</v>
      </c>
      <c r="I249" s="156">
        <v>42051</v>
      </c>
      <c r="J249" s="156" t="s">
        <v>4849</v>
      </c>
      <c r="K249">
        <v>11107001</v>
      </c>
      <c r="L249" s="156" t="s">
        <v>4850</v>
      </c>
      <c r="M249" s="156">
        <v>42885</v>
      </c>
      <c r="N249" t="s">
        <v>25</v>
      </c>
      <c r="O249">
        <v>30000</v>
      </c>
      <c r="Q249">
        <v>30000</v>
      </c>
      <c r="R249">
        <v>1</v>
      </c>
      <c r="S249">
        <v>30000</v>
      </c>
      <c r="T249" t="s">
        <v>4651</v>
      </c>
      <c r="U249" t="s">
        <v>4851</v>
      </c>
      <c r="V249" s="156">
        <v>42359</v>
      </c>
    </row>
    <row r="250" spans="3:22" hidden="1">
      <c r="C250" s="156"/>
      <c r="F250" t="s">
        <v>1230</v>
      </c>
      <c r="G250" t="s">
        <v>72</v>
      </c>
      <c r="H250" s="156" t="s">
        <v>6327</v>
      </c>
      <c r="I250" s="156">
        <v>42342</v>
      </c>
      <c r="J250" s="156" t="s">
        <v>5896</v>
      </c>
      <c r="K250">
        <v>11101018</v>
      </c>
      <c r="L250" s="156" t="s">
        <v>6328</v>
      </c>
      <c r="M250" s="156">
        <v>42345</v>
      </c>
      <c r="N250" t="s">
        <v>25</v>
      </c>
      <c r="O250">
        <v>5688.62</v>
      </c>
      <c r="P250">
        <v>0</v>
      </c>
      <c r="Q250">
        <v>5688.62</v>
      </c>
      <c r="R250">
        <v>1</v>
      </c>
      <c r="S250">
        <v>5688.62</v>
      </c>
      <c r="T250" t="s">
        <v>4708</v>
      </c>
      <c r="U250" t="s">
        <v>6329</v>
      </c>
      <c r="V250" s="156">
        <v>42359</v>
      </c>
    </row>
    <row r="251" spans="3:22" hidden="1">
      <c r="C251" s="156"/>
      <c r="F251" t="s">
        <v>1230</v>
      </c>
      <c r="G251" t="s">
        <v>71</v>
      </c>
      <c r="H251" s="156" t="s">
        <v>5427</v>
      </c>
      <c r="I251" s="156">
        <v>42156</v>
      </c>
      <c r="J251" s="156" t="s">
        <v>5428</v>
      </c>
      <c r="K251">
        <v>11107002</v>
      </c>
      <c r="L251" s="156" t="s">
        <v>5429</v>
      </c>
      <c r="M251" s="156">
        <v>42156</v>
      </c>
      <c r="N251" t="s">
        <v>25</v>
      </c>
      <c r="O251">
        <v>20000</v>
      </c>
      <c r="P251">
        <v>0</v>
      </c>
      <c r="Q251">
        <v>20000</v>
      </c>
      <c r="R251">
        <v>1</v>
      </c>
      <c r="S251">
        <v>20000</v>
      </c>
      <c r="T251" t="s">
        <v>4669</v>
      </c>
      <c r="U251" t="s">
        <v>5430</v>
      </c>
      <c r="V251" s="156">
        <v>42359</v>
      </c>
    </row>
    <row r="252" spans="3:22" hidden="1">
      <c r="C252" s="156"/>
      <c r="F252" t="s">
        <v>1230</v>
      </c>
      <c r="G252" t="s">
        <v>72</v>
      </c>
      <c r="H252" s="156" t="s">
        <v>6330</v>
      </c>
      <c r="I252" s="156">
        <v>42311</v>
      </c>
      <c r="J252" s="156" t="s">
        <v>5743</v>
      </c>
      <c r="K252">
        <v>11101009</v>
      </c>
      <c r="L252" s="156" t="s">
        <v>6331</v>
      </c>
      <c r="M252" s="156">
        <v>42338</v>
      </c>
      <c r="N252" t="s">
        <v>25</v>
      </c>
      <c r="O252">
        <v>60500</v>
      </c>
      <c r="P252">
        <v>32643.599999999999</v>
      </c>
      <c r="Q252">
        <v>27856.400000000001</v>
      </c>
      <c r="R252">
        <v>1</v>
      </c>
      <c r="S252">
        <v>27856.400000000001</v>
      </c>
      <c r="T252" t="s">
        <v>4675</v>
      </c>
      <c r="U252" t="s">
        <v>6332</v>
      </c>
      <c r="V252" s="156">
        <v>42359</v>
      </c>
    </row>
    <row r="253" spans="3:22" hidden="1">
      <c r="C253" s="156"/>
      <c r="F253" t="s">
        <v>1230</v>
      </c>
      <c r="G253" t="s">
        <v>71</v>
      </c>
      <c r="H253" s="156" t="s">
        <v>6333</v>
      </c>
      <c r="I253" s="156">
        <v>42328</v>
      </c>
      <c r="J253" s="156" t="s">
        <v>5746</v>
      </c>
      <c r="K253">
        <v>19105001</v>
      </c>
      <c r="L253" s="156" t="s">
        <v>6334</v>
      </c>
      <c r="M253" s="156">
        <v>42328</v>
      </c>
      <c r="N253" t="s">
        <v>25</v>
      </c>
      <c r="O253">
        <v>2700000</v>
      </c>
      <c r="P253">
        <v>0</v>
      </c>
      <c r="Q253">
        <v>2700000</v>
      </c>
      <c r="R253">
        <v>1</v>
      </c>
      <c r="S253">
        <v>2700000</v>
      </c>
      <c r="T253" t="s">
        <v>6335</v>
      </c>
      <c r="U253" t="s">
        <v>6336</v>
      </c>
      <c r="V253" s="156">
        <v>42359</v>
      </c>
    </row>
    <row r="254" spans="3:22" hidden="1">
      <c r="C254" s="156"/>
      <c r="F254" t="s">
        <v>1230</v>
      </c>
      <c r="G254" t="s">
        <v>1012</v>
      </c>
      <c r="H254" s="156" t="s">
        <v>5887</v>
      </c>
      <c r="I254" s="156">
        <v>42371</v>
      </c>
      <c r="J254" s="156" t="s">
        <v>4516</v>
      </c>
      <c r="K254">
        <v>11101005</v>
      </c>
      <c r="L254" s="156" t="s">
        <v>5869</v>
      </c>
      <c r="M254" s="156">
        <v>42643</v>
      </c>
      <c r="N254" t="s">
        <v>25</v>
      </c>
      <c r="O254">
        <v>2051700</v>
      </c>
      <c r="Q254">
        <v>2051700</v>
      </c>
      <c r="R254">
        <v>1</v>
      </c>
      <c r="S254">
        <v>2051700</v>
      </c>
      <c r="T254" t="s">
        <v>4709</v>
      </c>
      <c r="U254" t="s">
        <v>5850</v>
      </c>
      <c r="V254" s="156">
        <v>42359</v>
      </c>
    </row>
    <row r="255" spans="3:22" hidden="1">
      <c r="C255" s="156"/>
      <c r="F255" t="s">
        <v>1230</v>
      </c>
      <c r="G255" t="s">
        <v>72</v>
      </c>
      <c r="H255" s="156" t="s">
        <v>5947</v>
      </c>
      <c r="I255" s="156">
        <v>42371</v>
      </c>
      <c r="J255" s="156" t="s">
        <v>4516</v>
      </c>
      <c r="K255">
        <v>11101005</v>
      </c>
      <c r="L255" s="156" t="s">
        <v>5852</v>
      </c>
      <c r="M255" s="156">
        <v>42674</v>
      </c>
      <c r="N255" t="s">
        <v>25</v>
      </c>
      <c r="O255">
        <v>87400</v>
      </c>
      <c r="P255">
        <v>0</v>
      </c>
      <c r="Q255">
        <v>87400</v>
      </c>
      <c r="R255">
        <v>1</v>
      </c>
      <c r="S255">
        <v>87400</v>
      </c>
      <c r="T255" t="s">
        <v>4709</v>
      </c>
      <c r="U255" t="s">
        <v>5853</v>
      </c>
      <c r="V255" s="156">
        <v>42359</v>
      </c>
    </row>
    <row r="256" spans="3:22" hidden="1">
      <c r="C256" s="156"/>
      <c r="F256" t="s">
        <v>1230</v>
      </c>
      <c r="G256" t="s">
        <v>72</v>
      </c>
      <c r="H256" s="156" t="s">
        <v>5898</v>
      </c>
      <c r="I256" s="156">
        <v>42371</v>
      </c>
      <c r="J256" s="156" t="s">
        <v>4516</v>
      </c>
      <c r="K256">
        <v>11101001</v>
      </c>
      <c r="L256" s="156" t="s">
        <v>5843</v>
      </c>
      <c r="M256" s="156">
        <v>42444</v>
      </c>
      <c r="N256" t="s">
        <v>22</v>
      </c>
      <c r="O256">
        <v>830543.69</v>
      </c>
      <c r="Q256">
        <v>830543.69</v>
      </c>
      <c r="R256">
        <v>3.9062000000000001</v>
      </c>
      <c r="S256">
        <v>3244269.7618780001</v>
      </c>
      <c r="T256" t="s">
        <v>4646</v>
      </c>
      <c r="U256" t="s">
        <v>5844</v>
      </c>
      <c r="V256" s="156">
        <v>42359</v>
      </c>
    </row>
    <row r="257" spans="3:22" hidden="1">
      <c r="C257" s="156"/>
      <c r="F257" t="s">
        <v>1230</v>
      </c>
      <c r="G257" t="s">
        <v>72</v>
      </c>
      <c r="H257" s="156" t="s">
        <v>5912</v>
      </c>
      <c r="I257" s="156">
        <v>42371</v>
      </c>
      <c r="J257" s="156" t="s">
        <v>4516</v>
      </c>
      <c r="K257">
        <v>11101001</v>
      </c>
      <c r="L257" s="156" t="s">
        <v>5913</v>
      </c>
      <c r="M257" s="156">
        <v>42439</v>
      </c>
      <c r="N257" t="s">
        <v>25</v>
      </c>
      <c r="O257">
        <v>5790955.9400000004</v>
      </c>
      <c r="Q257">
        <v>5790955.9400000004</v>
      </c>
      <c r="R257">
        <v>1</v>
      </c>
      <c r="S257">
        <v>5790955.9400000004</v>
      </c>
      <c r="T257" t="s">
        <v>4646</v>
      </c>
      <c r="U257" t="s">
        <v>5914</v>
      </c>
      <c r="V257" s="156">
        <v>42359</v>
      </c>
    </row>
    <row r="258" spans="3:22" hidden="1">
      <c r="C258" s="156"/>
      <c r="F258" t="s">
        <v>4823</v>
      </c>
      <c r="G258" t="s">
        <v>5736</v>
      </c>
      <c r="H258" s="156" t="s">
        <v>6337</v>
      </c>
      <c r="I258" s="156">
        <v>42313</v>
      </c>
      <c r="J258" s="156" t="s">
        <v>4767</v>
      </c>
      <c r="K258">
        <v>19105017</v>
      </c>
      <c r="L258" s="156" t="s">
        <v>6338</v>
      </c>
      <c r="M258" s="156">
        <v>42365</v>
      </c>
      <c r="N258" t="s">
        <v>25</v>
      </c>
      <c r="O258">
        <v>1534</v>
      </c>
      <c r="Q258">
        <v>1534</v>
      </c>
      <c r="R258">
        <v>1</v>
      </c>
      <c r="S258">
        <v>1534</v>
      </c>
      <c r="T258" t="s">
        <v>4768</v>
      </c>
      <c r="U258" t="s">
        <v>6339</v>
      </c>
      <c r="V258" s="156">
        <v>42359</v>
      </c>
    </row>
    <row r="259" spans="3:22" hidden="1">
      <c r="C259" s="156"/>
      <c r="F259" t="s">
        <v>1230</v>
      </c>
      <c r="G259" t="s">
        <v>72</v>
      </c>
      <c r="H259" s="156" t="s">
        <v>4852</v>
      </c>
      <c r="I259" s="156">
        <v>41044</v>
      </c>
      <c r="J259" s="156" t="s">
        <v>4649</v>
      </c>
      <c r="K259">
        <v>11107001</v>
      </c>
      <c r="L259" s="156" t="s">
        <v>4655</v>
      </c>
      <c r="M259" s="156">
        <v>43235</v>
      </c>
      <c r="N259" t="s">
        <v>25</v>
      </c>
      <c r="O259">
        <v>28125</v>
      </c>
      <c r="Q259">
        <v>28125</v>
      </c>
      <c r="R259">
        <v>1</v>
      </c>
      <c r="S259">
        <v>28125</v>
      </c>
      <c r="T259" t="s">
        <v>4651</v>
      </c>
      <c r="U259" t="s">
        <v>4656</v>
      </c>
      <c r="V259" s="156">
        <v>42359</v>
      </c>
    </row>
    <row r="260" spans="3:22" hidden="1">
      <c r="C260" s="156"/>
      <c r="F260" t="s">
        <v>1230</v>
      </c>
      <c r="G260" t="s">
        <v>72</v>
      </c>
      <c r="H260" s="156" t="s">
        <v>4853</v>
      </c>
      <c r="I260" s="156">
        <v>41044</v>
      </c>
      <c r="J260" s="156" t="s">
        <v>4649</v>
      </c>
      <c r="K260">
        <v>11107001</v>
      </c>
      <c r="L260" s="156" t="s">
        <v>4658</v>
      </c>
      <c r="M260" s="156">
        <v>42870</v>
      </c>
      <c r="N260" t="s">
        <v>25</v>
      </c>
      <c r="O260">
        <v>28125</v>
      </c>
      <c r="Q260">
        <v>28125</v>
      </c>
      <c r="R260">
        <v>1</v>
      </c>
      <c r="S260">
        <v>28125</v>
      </c>
      <c r="T260" t="s">
        <v>4651</v>
      </c>
      <c r="U260" t="s">
        <v>4659</v>
      </c>
      <c r="V260" s="156">
        <v>42359</v>
      </c>
    </row>
    <row r="261" spans="3:22" hidden="1">
      <c r="C261" s="156"/>
      <c r="F261" t="s">
        <v>1230</v>
      </c>
      <c r="G261" t="s">
        <v>72</v>
      </c>
      <c r="H261" s="156" t="s">
        <v>4854</v>
      </c>
      <c r="I261" s="156">
        <v>41044</v>
      </c>
      <c r="J261" s="156" t="s">
        <v>4649</v>
      </c>
      <c r="K261">
        <v>11107001</v>
      </c>
      <c r="L261" s="156" t="s">
        <v>4661</v>
      </c>
      <c r="M261" s="156">
        <v>43966</v>
      </c>
      <c r="N261" t="s">
        <v>25</v>
      </c>
      <c r="O261">
        <v>28125</v>
      </c>
      <c r="Q261">
        <v>28125</v>
      </c>
      <c r="R261">
        <v>1</v>
      </c>
      <c r="S261">
        <v>28125</v>
      </c>
      <c r="T261" t="s">
        <v>4651</v>
      </c>
      <c r="U261" t="s">
        <v>4659</v>
      </c>
      <c r="V261" s="156">
        <v>42359</v>
      </c>
    </row>
    <row r="262" spans="3:22" hidden="1">
      <c r="C262" s="156"/>
      <c r="F262" t="s">
        <v>1230</v>
      </c>
      <c r="G262" t="s">
        <v>72</v>
      </c>
      <c r="H262" s="156" t="s">
        <v>6340</v>
      </c>
      <c r="I262" s="156">
        <v>42333</v>
      </c>
      <c r="J262" s="156" t="s">
        <v>4676</v>
      </c>
      <c r="K262">
        <v>17101002</v>
      </c>
      <c r="L262" s="156" t="s">
        <v>6341</v>
      </c>
      <c r="M262" s="156">
        <v>42333</v>
      </c>
      <c r="N262" t="s">
        <v>25</v>
      </c>
      <c r="O262">
        <v>38508</v>
      </c>
      <c r="Q262">
        <v>38508</v>
      </c>
      <c r="R262">
        <v>1</v>
      </c>
      <c r="S262">
        <v>38508</v>
      </c>
      <c r="T262" t="s">
        <v>4665</v>
      </c>
      <c r="U262" t="s">
        <v>6342</v>
      </c>
      <c r="V262" s="156">
        <v>42359</v>
      </c>
    </row>
    <row r="263" spans="3:22" hidden="1">
      <c r="C263" s="156"/>
      <c r="F263" t="s">
        <v>1230</v>
      </c>
      <c r="G263" t="s">
        <v>72</v>
      </c>
      <c r="H263" s="156" t="s">
        <v>6343</v>
      </c>
      <c r="I263" s="156">
        <v>42348</v>
      </c>
      <c r="J263" s="156" t="s">
        <v>4676</v>
      </c>
      <c r="K263">
        <v>17101002</v>
      </c>
      <c r="L263" s="156" t="s">
        <v>6344</v>
      </c>
      <c r="M263" s="156">
        <v>42348</v>
      </c>
      <c r="N263" t="s">
        <v>25</v>
      </c>
      <c r="O263">
        <v>35976</v>
      </c>
      <c r="Q263">
        <v>35976</v>
      </c>
      <c r="R263">
        <v>1</v>
      </c>
      <c r="S263">
        <v>35976</v>
      </c>
      <c r="T263" t="s">
        <v>4665</v>
      </c>
      <c r="U263" t="s">
        <v>5321</v>
      </c>
      <c r="V263" s="156">
        <v>42359</v>
      </c>
    </row>
    <row r="264" spans="3:22" hidden="1">
      <c r="C264" s="156"/>
      <c r="F264" t="s">
        <v>1230</v>
      </c>
      <c r="G264" t="s">
        <v>72</v>
      </c>
      <c r="H264" s="156" t="s">
        <v>6345</v>
      </c>
      <c r="I264" s="156">
        <v>42348</v>
      </c>
      <c r="J264" s="156" t="s">
        <v>4676</v>
      </c>
      <c r="K264">
        <v>17101002</v>
      </c>
      <c r="L264" s="156" t="s">
        <v>6346</v>
      </c>
      <c r="M264" s="156">
        <v>42348</v>
      </c>
      <c r="N264" t="s">
        <v>25</v>
      </c>
      <c r="O264">
        <v>9116</v>
      </c>
      <c r="Q264">
        <v>9116</v>
      </c>
      <c r="R264">
        <v>1</v>
      </c>
      <c r="S264">
        <v>9116</v>
      </c>
      <c r="T264" t="s">
        <v>4665</v>
      </c>
      <c r="U264" t="s">
        <v>5321</v>
      </c>
      <c r="V264" s="156">
        <v>42359</v>
      </c>
    </row>
    <row r="265" spans="3:22" hidden="1">
      <c r="C265" s="156"/>
      <c r="F265" t="s">
        <v>1230</v>
      </c>
      <c r="G265" t="s">
        <v>71</v>
      </c>
      <c r="H265" s="156" t="s">
        <v>6347</v>
      </c>
      <c r="I265" s="156">
        <v>42339</v>
      </c>
      <c r="J265" s="156" t="s">
        <v>5663</v>
      </c>
      <c r="K265">
        <v>17101003</v>
      </c>
      <c r="L265" s="156" t="s">
        <v>6348</v>
      </c>
      <c r="M265" s="156">
        <v>42339</v>
      </c>
      <c r="N265" t="s">
        <v>25</v>
      </c>
      <c r="O265">
        <v>1000</v>
      </c>
      <c r="Q265">
        <v>1000</v>
      </c>
      <c r="R265">
        <v>1</v>
      </c>
      <c r="S265">
        <v>1000</v>
      </c>
      <c r="T265" t="s">
        <v>4663</v>
      </c>
      <c r="U265" t="s">
        <v>6349</v>
      </c>
      <c r="V265" s="156">
        <v>42359</v>
      </c>
    </row>
    <row r="266" spans="3:22" hidden="1">
      <c r="C266" s="156"/>
      <c r="F266" t="s">
        <v>1230</v>
      </c>
      <c r="G266" t="s">
        <v>1012</v>
      </c>
      <c r="H266" s="156" t="s">
        <v>6350</v>
      </c>
      <c r="I266" s="156">
        <v>42341</v>
      </c>
      <c r="J266" s="156" t="s">
        <v>6013</v>
      </c>
      <c r="K266">
        <v>11102001</v>
      </c>
      <c r="L266" s="156" t="s">
        <v>6351</v>
      </c>
      <c r="M266" s="156">
        <v>42373</v>
      </c>
      <c r="N266" t="s">
        <v>25</v>
      </c>
      <c r="O266">
        <v>33480</v>
      </c>
      <c r="P266">
        <v>0</v>
      </c>
      <c r="Q266">
        <v>33480</v>
      </c>
      <c r="R266">
        <v>1</v>
      </c>
      <c r="S266">
        <v>33480</v>
      </c>
      <c r="T266" t="s">
        <v>6015</v>
      </c>
      <c r="V266" s="156">
        <v>42359</v>
      </c>
    </row>
    <row r="267" spans="3:22" hidden="1">
      <c r="C267" s="156"/>
      <c r="F267" t="s">
        <v>1230</v>
      </c>
      <c r="G267" t="s">
        <v>1012</v>
      </c>
      <c r="H267" s="156" t="s">
        <v>6352</v>
      </c>
      <c r="I267" s="156">
        <v>42341</v>
      </c>
      <c r="J267" s="156" t="s">
        <v>6013</v>
      </c>
      <c r="K267">
        <v>11102001</v>
      </c>
      <c r="L267" s="156" t="s">
        <v>6353</v>
      </c>
      <c r="M267" s="156">
        <v>42373</v>
      </c>
      <c r="N267" t="s">
        <v>25</v>
      </c>
      <c r="O267">
        <v>33480</v>
      </c>
      <c r="P267">
        <v>0</v>
      </c>
      <c r="Q267">
        <v>33480</v>
      </c>
      <c r="R267">
        <v>1</v>
      </c>
      <c r="S267">
        <v>33480</v>
      </c>
      <c r="T267" t="s">
        <v>6015</v>
      </c>
      <c r="U267" t="s">
        <v>6016</v>
      </c>
      <c r="V267" s="156">
        <v>42359</v>
      </c>
    </row>
    <row r="268" spans="3:22" hidden="1">
      <c r="C268" s="156"/>
      <c r="F268" t="s">
        <v>1230</v>
      </c>
      <c r="G268" t="s">
        <v>1012</v>
      </c>
      <c r="H268" s="156" t="s">
        <v>6354</v>
      </c>
      <c r="I268" s="156">
        <v>42341</v>
      </c>
      <c r="J268" s="156" t="s">
        <v>6013</v>
      </c>
      <c r="K268">
        <v>11102001</v>
      </c>
      <c r="L268" s="156" t="s">
        <v>6355</v>
      </c>
      <c r="M268" s="156">
        <v>42373</v>
      </c>
      <c r="N268" t="s">
        <v>25</v>
      </c>
      <c r="O268">
        <v>33480</v>
      </c>
      <c r="P268">
        <v>0</v>
      </c>
      <c r="Q268">
        <v>33480</v>
      </c>
      <c r="R268">
        <v>1</v>
      </c>
      <c r="S268">
        <v>33480</v>
      </c>
      <c r="T268" t="s">
        <v>6015</v>
      </c>
      <c r="U268" t="s">
        <v>6016</v>
      </c>
      <c r="V268" s="156">
        <v>42359</v>
      </c>
    </row>
    <row r="269" spans="3:22" hidden="1">
      <c r="C269" s="156"/>
      <c r="F269" t="s">
        <v>1230</v>
      </c>
      <c r="G269" t="s">
        <v>6023</v>
      </c>
      <c r="H269" s="156" t="s">
        <v>6356</v>
      </c>
      <c r="I269" s="156">
        <v>42347</v>
      </c>
      <c r="J269" s="156" t="s">
        <v>6013</v>
      </c>
      <c r="K269">
        <v>11102001</v>
      </c>
      <c r="L269" s="156" t="s">
        <v>6357</v>
      </c>
      <c r="M269" s="156">
        <v>42376</v>
      </c>
      <c r="N269" t="s">
        <v>25</v>
      </c>
      <c r="O269">
        <v>76000</v>
      </c>
      <c r="P269">
        <v>0</v>
      </c>
      <c r="Q269">
        <v>76000</v>
      </c>
      <c r="R269">
        <v>1</v>
      </c>
      <c r="S269">
        <v>76000</v>
      </c>
      <c r="T269" t="s">
        <v>6015</v>
      </c>
      <c r="U269" t="s">
        <v>6072</v>
      </c>
      <c r="V269" s="156">
        <v>42359</v>
      </c>
    </row>
    <row r="270" spans="3:22" hidden="1">
      <c r="C270" s="156"/>
      <c r="F270" t="s">
        <v>1230</v>
      </c>
      <c r="G270" t="s">
        <v>6023</v>
      </c>
      <c r="H270" s="156" t="s">
        <v>6358</v>
      </c>
      <c r="I270" s="156">
        <v>42347</v>
      </c>
      <c r="J270" s="156" t="s">
        <v>6013</v>
      </c>
      <c r="K270">
        <v>11102001</v>
      </c>
      <c r="L270" s="156" t="s">
        <v>6359</v>
      </c>
      <c r="M270" s="156">
        <v>42377</v>
      </c>
      <c r="N270" t="s">
        <v>25</v>
      </c>
      <c r="O270">
        <v>76000</v>
      </c>
      <c r="P270">
        <v>0</v>
      </c>
      <c r="Q270">
        <v>76000</v>
      </c>
      <c r="R270">
        <v>1</v>
      </c>
      <c r="S270">
        <v>76000</v>
      </c>
      <c r="T270" t="s">
        <v>6015</v>
      </c>
      <c r="U270" t="s">
        <v>6029</v>
      </c>
      <c r="V270" s="156">
        <v>42359</v>
      </c>
    </row>
    <row r="271" spans="3:22" hidden="1">
      <c r="C271" s="156"/>
      <c r="F271" t="s">
        <v>1230</v>
      </c>
      <c r="G271" t="s">
        <v>6023</v>
      </c>
      <c r="H271" s="156" t="s">
        <v>6360</v>
      </c>
      <c r="I271" s="156">
        <v>42347</v>
      </c>
      <c r="J271" s="156" t="s">
        <v>6013</v>
      </c>
      <c r="K271">
        <v>11102001</v>
      </c>
      <c r="L271" s="156" t="s">
        <v>6361</v>
      </c>
      <c r="M271" s="156">
        <v>42377</v>
      </c>
      <c r="N271" t="s">
        <v>25</v>
      </c>
      <c r="O271">
        <v>76000</v>
      </c>
      <c r="P271">
        <v>0</v>
      </c>
      <c r="Q271">
        <v>76000</v>
      </c>
      <c r="R271">
        <v>1</v>
      </c>
      <c r="S271">
        <v>76000</v>
      </c>
      <c r="T271" t="s">
        <v>6015</v>
      </c>
      <c r="U271" t="s">
        <v>6029</v>
      </c>
      <c r="V271" s="156">
        <v>42359</v>
      </c>
    </row>
    <row r="272" spans="3:22" hidden="1">
      <c r="C272" s="156"/>
      <c r="F272" t="s">
        <v>1230</v>
      </c>
      <c r="G272" t="s">
        <v>6023</v>
      </c>
      <c r="H272" s="156" t="s">
        <v>6362</v>
      </c>
      <c r="I272" s="156">
        <v>42346</v>
      </c>
      <c r="J272" s="156" t="s">
        <v>6013</v>
      </c>
      <c r="K272">
        <v>11102001</v>
      </c>
      <c r="L272" s="156" t="s">
        <v>6363</v>
      </c>
      <c r="M272" s="156">
        <v>42375</v>
      </c>
      <c r="N272" t="s">
        <v>25</v>
      </c>
      <c r="O272">
        <v>76000</v>
      </c>
      <c r="P272">
        <v>0</v>
      </c>
      <c r="Q272">
        <v>76000</v>
      </c>
      <c r="R272">
        <v>1</v>
      </c>
      <c r="S272">
        <v>76000</v>
      </c>
      <c r="T272" t="s">
        <v>6015</v>
      </c>
      <c r="U272" t="s">
        <v>6032</v>
      </c>
      <c r="V272" s="156">
        <v>42359</v>
      </c>
    </row>
    <row r="273" spans="3:22" hidden="1">
      <c r="C273" s="156"/>
      <c r="F273" t="s">
        <v>1230</v>
      </c>
      <c r="G273" t="s">
        <v>6023</v>
      </c>
      <c r="H273" s="156" t="s">
        <v>6364</v>
      </c>
      <c r="I273" s="156">
        <v>42346</v>
      </c>
      <c r="J273" s="156" t="s">
        <v>6013</v>
      </c>
      <c r="K273">
        <v>11102001</v>
      </c>
      <c r="L273" s="156" t="s">
        <v>6365</v>
      </c>
      <c r="M273" s="156">
        <v>42375</v>
      </c>
      <c r="N273" t="s">
        <v>25</v>
      </c>
      <c r="O273">
        <v>76000</v>
      </c>
      <c r="P273">
        <v>0</v>
      </c>
      <c r="Q273">
        <v>76000</v>
      </c>
      <c r="R273">
        <v>1</v>
      </c>
      <c r="S273">
        <v>76000</v>
      </c>
      <c r="T273" t="s">
        <v>6015</v>
      </c>
      <c r="U273" t="s">
        <v>6032</v>
      </c>
      <c r="V273" s="156">
        <v>42359</v>
      </c>
    </row>
    <row r="274" spans="3:22" hidden="1">
      <c r="C274" s="156"/>
      <c r="F274" t="s">
        <v>1230</v>
      </c>
      <c r="G274" t="s">
        <v>6023</v>
      </c>
      <c r="H274" s="156" t="s">
        <v>6366</v>
      </c>
      <c r="I274" s="156">
        <v>42334</v>
      </c>
      <c r="J274" s="156" t="s">
        <v>6013</v>
      </c>
      <c r="K274">
        <v>11102001</v>
      </c>
      <c r="L274" s="156" t="s">
        <v>6367</v>
      </c>
      <c r="M274" s="156">
        <v>42373</v>
      </c>
      <c r="N274" t="s">
        <v>25</v>
      </c>
      <c r="O274">
        <v>76000</v>
      </c>
      <c r="P274">
        <v>0</v>
      </c>
      <c r="Q274">
        <v>76000</v>
      </c>
      <c r="R274">
        <v>1</v>
      </c>
      <c r="S274">
        <v>76000</v>
      </c>
      <c r="T274" t="s">
        <v>6015</v>
      </c>
      <c r="U274" t="s">
        <v>6037</v>
      </c>
      <c r="V274" s="156">
        <v>42359</v>
      </c>
    </row>
    <row r="275" spans="3:22" hidden="1">
      <c r="C275" s="156"/>
      <c r="F275" t="s">
        <v>1230</v>
      </c>
      <c r="G275" t="s">
        <v>6023</v>
      </c>
      <c r="H275" s="156" t="s">
        <v>6368</v>
      </c>
      <c r="I275" s="156">
        <v>42347</v>
      </c>
      <c r="J275" s="156" t="s">
        <v>6013</v>
      </c>
      <c r="K275">
        <v>11102001</v>
      </c>
      <c r="L275" s="156" t="s">
        <v>6369</v>
      </c>
      <c r="M275" s="156">
        <v>42377</v>
      </c>
      <c r="N275" t="s">
        <v>25</v>
      </c>
      <c r="O275">
        <v>76000</v>
      </c>
      <c r="P275">
        <v>0</v>
      </c>
      <c r="Q275">
        <v>76000</v>
      </c>
      <c r="R275">
        <v>1</v>
      </c>
      <c r="S275">
        <v>76000</v>
      </c>
      <c r="T275" t="s">
        <v>6015</v>
      </c>
      <c r="U275" t="s">
        <v>6029</v>
      </c>
      <c r="V275" s="156">
        <v>42359</v>
      </c>
    </row>
    <row r="276" spans="3:22" hidden="1">
      <c r="C276" s="156"/>
      <c r="F276" t="s">
        <v>1230</v>
      </c>
      <c r="G276" t="s">
        <v>6023</v>
      </c>
      <c r="H276" s="156" t="s">
        <v>6370</v>
      </c>
      <c r="I276" s="156">
        <v>42347</v>
      </c>
      <c r="J276" s="156" t="s">
        <v>6013</v>
      </c>
      <c r="K276">
        <v>11102001</v>
      </c>
      <c r="L276" s="156" t="s">
        <v>6371</v>
      </c>
      <c r="M276" s="156">
        <v>42377</v>
      </c>
      <c r="N276" t="s">
        <v>25</v>
      </c>
      <c r="O276">
        <v>76000</v>
      </c>
      <c r="P276">
        <v>0</v>
      </c>
      <c r="Q276">
        <v>76000</v>
      </c>
      <c r="R276">
        <v>1</v>
      </c>
      <c r="S276">
        <v>76000</v>
      </c>
      <c r="T276" t="s">
        <v>6015</v>
      </c>
      <c r="U276" t="s">
        <v>6029</v>
      </c>
      <c r="V276" s="156">
        <v>42359</v>
      </c>
    </row>
    <row r="277" spans="3:22" hidden="1">
      <c r="C277" s="156"/>
      <c r="F277" t="s">
        <v>1230</v>
      </c>
      <c r="G277" t="s">
        <v>6023</v>
      </c>
      <c r="H277" s="156" t="s">
        <v>6372</v>
      </c>
      <c r="I277" s="156">
        <v>42347</v>
      </c>
      <c r="J277" s="156" t="s">
        <v>6013</v>
      </c>
      <c r="K277">
        <v>11102001</v>
      </c>
      <c r="L277" s="156" t="s">
        <v>6373</v>
      </c>
      <c r="M277" s="156">
        <v>42377</v>
      </c>
      <c r="N277" t="s">
        <v>25</v>
      </c>
      <c r="O277">
        <v>76000</v>
      </c>
      <c r="P277">
        <v>0</v>
      </c>
      <c r="Q277">
        <v>76000</v>
      </c>
      <c r="R277">
        <v>1</v>
      </c>
      <c r="S277">
        <v>76000</v>
      </c>
      <c r="T277" t="s">
        <v>6015</v>
      </c>
      <c r="U277" t="s">
        <v>6029</v>
      </c>
      <c r="V277" s="156">
        <v>42359</v>
      </c>
    </row>
    <row r="278" spans="3:22" hidden="1">
      <c r="C278" s="156"/>
      <c r="F278" t="s">
        <v>1230</v>
      </c>
      <c r="G278" t="s">
        <v>6023</v>
      </c>
      <c r="H278" s="156" t="s">
        <v>6374</v>
      </c>
      <c r="I278" s="156">
        <v>42346</v>
      </c>
      <c r="J278" s="156" t="s">
        <v>6013</v>
      </c>
      <c r="K278">
        <v>11102001</v>
      </c>
      <c r="L278" s="156" t="s">
        <v>6375</v>
      </c>
      <c r="M278" s="156">
        <v>42375</v>
      </c>
      <c r="N278" t="s">
        <v>25</v>
      </c>
      <c r="O278">
        <v>76000</v>
      </c>
      <c r="P278">
        <v>0</v>
      </c>
      <c r="Q278">
        <v>76000</v>
      </c>
      <c r="R278">
        <v>1</v>
      </c>
      <c r="S278">
        <v>76000</v>
      </c>
      <c r="T278" t="s">
        <v>6015</v>
      </c>
      <c r="U278" t="s">
        <v>6032</v>
      </c>
      <c r="V278" s="156">
        <v>42359</v>
      </c>
    </row>
    <row r="279" spans="3:22" hidden="1">
      <c r="C279" s="156"/>
      <c r="F279" t="s">
        <v>1230</v>
      </c>
      <c r="G279" t="s">
        <v>6023</v>
      </c>
      <c r="H279" s="156" t="s">
        <v>6376</v>
      </c>
      <c r="I279" s="156">
        <v>42338</v>
      </c>
      <c r="J279" s="156" t="s">
        <v>6013</v>
      </c>
      <c r="K279">
        <v>11102001</v>
      </c>
      <c r="L279" s="156" t="s">
        <v>6377</v>
      </c>
      <c r="M279" s="156">
        <v>42373</v>
      </c>
      <c r="N279" t="s">
        <v>25</v>
      </c>
      <c r="O279">
        <v>76000</v>
      </c>
      <c r="P279">
        <v>0</v>
      </c>
      <c r="Q279">
        <v>76000</v>
      </c>
      <c r="R279">
        <v>1</v>
      </c>
      <c r="S279">
        <v>76000</v>
      </c>
      <c r="T279" t="s">
        <v>6015</v>
      </c>
      <c r="U279" t="s">
        <v>6061</v>
      </c>
      <c r="V279" s="156">
        <v>42359</v>
      </c>
    </row>
    <row r="280" spans="3:22" hidden="1">
      <c r="C280" s="156"/>
      <c r="F280" t="s">
        <v>1230</v>
      </c>
      <c r="G280" t="s">
        <v>6023</v>
      </c>
      <c r="H280" s="156" t="s">
        <v>6378</v>
      </c>
      <c r="I280" s="156">
        <v>42338</v>
      </c>
      <c r="J280" s="156" t="s">
        <v>6013</v>
      </c>
      <c r="K280">
        <v>11102001</v>
      </c>
      <c r="L280" s="156" t="s">
        <v>6379</v>
      </c>
      <c r="M280" s="156">
        <v>42373</v>
      </c>
      <c r="N280" t="s">
        <v>25</v>
      </c>
      <c r="O280">
        <v>76000</v>
      </c>
      <c r="P280">
        <v>0</v>
      </c>
      <c r="Q280">
        <v>76000</v>
      </c>
      <c r="R280">
        <v>1</v>
      </c>
      <c r="S280">
        <v>76000</v>
      </c>
      <c r="T280" t="s">
        <v>6015</v>
      </c>
      <c r="U280" t="s">
        <v>6061</v>
      </c>
      <c r="V280" s="156">
        <v>42359</v>
      </c>
    </row>
    <row r="281" spans="3:22" hidden="1">
      <c r="C281" s="156"/>
      <c r="F281" t="s">
        <v>1230</v>
      </c>
      <c r="G281" t="s">
        <v>6023</v>
      </c>
      <c r="H281" s="156" t="s">
        <v>6380</v>
      </c>
      <c r="I281" s="156">
        <v>42338</v>
      </c>
      <c r="J281" s="156" t="s">
        <v>6013</v>
      </c>
      <c r="K281">
        <v>11102001</v>
      </c>
      <c r="L281" s="156" t="s">
        <v>6381</v>
      </c>
      <c r="M281" s="156">
        <v>42373</v>
      </c>
      <c r="N281" t="s">
        <v>25</v>
      </c>
      <c r="O281">
        <v>76000</v>
      </c>
      <c r="P281">
        <v>0</v>
      </c>
      <c r="Q281">
        <v>76000</v>
      </c>
      <c r="R281">
        <v>1</v>
      </c>
      <c r="S281">
        <v>76000</v>
      </c>
      <c r="T281" t="s">
        <v>6015</v>
      </c>
      <c r="U281" t="s">
        <v>6061</v>
      </c>
      <c r="V281" s="156">
        <v>42359</v>
      </c>
    </row>
    <row r="282" spans="3:22" hidden="1">
      <c r="C282" s="156"/>
      <c r="F282" t="s">
        <v>1230</v>
      </c>
      <c r="G282" t="s">
        <v>6023</v>
      </c>
      <c r="H282" s="156" t="s">
        <v>6382</v>
      </c>
      <c r="I282" s="156">
        <v>42333</v>
      </c>
      <c r="J282" s="156" t="s">
        <v>6013</v>
      </c>
      <c r="K282">
        <v>11102001</v>
      </c>
      <c r="L282" s="156" t="s">
        <v>6383</v>
      </c>
      <c r="M282" s="156">
        <v>42373</v>
      </c>
      <c r="N282" t="s">
        <v>25</v>
      </c>
      <c r="O282">
        <v>98838</v>
      </c>
      <c r="P282">
        <v>0</v>
      </c>
      <c r="Q282">
        <v>98838</v>
      </c>
      <c r="R282">
        <v>1</v>
      </c>
      <c r="S282">
        <v>98838</v>
      </c>
      <c r="T282" t="s">
        <v>6015</v>
      </c>
      <c r="U282" t="s">
        <v>6058</v>
      </c>
      <c r="V282" s="156">
        <v>42359</v>
      </c>
    </row>
    <row r="283" spans="3:22" hidden="1">
      <c r="C283" s="156"/>
      <c r="F283" t="s">
        <v>1230</v>
      </c>
      <c r="G283" t="s">
        <v>6023</v>
      </c>
      <c r="H283" s="156" t="s">
        <v>6384</v>
      </c>
      <c r="I283" s="156">
        <v>42346</v>
      </c>
      <c r="J283" s="156" t="s">
        <v>6013</v>
      </c>
      <c r="K283">
        <v>11102001</v>
      </c>
      <c r="L283" s="156" t="s">
        <v>6385</v>
      </c>
      <c r="M283" s="156">
        <v>42375</v>
      </c>
      <c r="N283" t="s">
        <v>25</v>
      </c>
      <c r="O283">
        <v>1093681.8999999999</v>
      </c>
      <c r="P283">
        <v>0</v>
      </c>
      <c r="Q283">
        <v>1093681.8999999999</v>
      </c>
      <c r="R283">
        <v>1</v>
      </c>
      <c r="S283">
        <v>1093681.8999999999</v>
      </c>
      <c r="T283" t="s">
        <v>6015</v>
      </c>
      <c r="U283" t="s">
        <v>6032</v>
      </c>
      <c r="V283" s="156">
        <v>42359</v>
      </c>
    </row>
    <row r="284" spans="3:22" hidden="1">
      <c r="C284" s="156"/>
      <c r="F284" t="s">
        <v>1230</v>
      </c>
      <c r="G284" t="s">
        <v>6023</v>
      </c>
      <c r="H284" s="156" t="s">
        <v>6386</v>
      </c>
      <c r="I284" s="156">
        <v>42347</v>
      </c>
      <c r="J284" s="156" t="s">
        <v>6013</v>
      </c>
      <c r="K284">
        <v>11102001</v>
      </c>
      <c r="L284" s="156" t="s">
        <v>6387</v>
      </c>
      <c r="M284" s="156">
        <v>42376</v>
      </c>
      <c r="N284" t="s">
        <v>25</v>
      </c>
      <c r="O284">
        <v>76000</v>
      </c>
      <c r="P284">
        <v>0</v>
      </c>
      <c r="Q284">
        <v>76000</v>
      </c>
      <c r="R284">
        <v>1</v>
      </c>
      <c r="S284">
        <v>76000</v>
      </c>
      <c r="T284" t="s">
        <v>6015</v>
      </c>
      <c r="U284" t="s">
        <v>6072</v>
      </c>
      <c r="V284" s="156">
        <v>42359</v>
      </c>
    </row>
    <row r="285" spans="3:22" hidden="1">
      <c r="C285" s="156"/>
      <c r="F285" t="s">
        <v>1230</v>
      </c>
      <c r="G285" t="s">
        <v>6023</v>
      </c>
      <c r="H285" s="156" t="s">
        <v>6388</v>
      </c>
      <c r="I285" s="156">
        <v>42347</v>
      </c>
      <c r="J285" s="156" t="s">
        <v>6013</v>
      </c>
      <c r="K285">
        <v>11102001</v>
      </c>
      <c r="L285" s="156" t="s">
        <v>6389</v>
      </c>
      <c r="M285" s="156">
        <v>42376</v>
      </c>
      <c r="N285" t="s">
        <v>25</v>
      </c>
      <c r="O285">
        <v>76000</v>
      </c>
      <c r="P285">
        <v>0</v>
      </c>
      <c r="Q285">
        <v>76000</v>
      </c>
      <c r="R285">
        <v>1</v>
      </c>
      <c r="S285">
        <v>76000</v>
      </c>
      <c r="T285" t="s">
        <v>6015</v>
      </c>
      <c r="U285" t="s">
        <v>6072</v>
      </c>
      <c r="V285" s="156">
        <v>42359</v>
      </c>
    </row>
    <row r="286" spans="3:22" hidden="1">
      <c r="C286" s="156"/>
      <c r="F286" t="s">
        <v>1230</v>
      </c>
      <c r="G286" t="s">
        <v>71</v>
      </c>
      <c r="H286" s="156" t="s">
        <v>4855</v>
      </c>
      <c r="I286" s="156">
        <v>40837</v>
      </c>
      <c r="J286" s="156" t="s">
        <v>4679</v>
      </c>
      <c r="K286">
        <v>11107001</v>
      </c>
      <c r="L286" s="156" t="s">
        <v>4680</v>
      </c>
      <c r="M286" s="156">
        <v>41394</v>
      </c>
      <c r="N286" t="s">
        <v>25</v>
      </c>
      <c r="O286">
        <v>50000</v>
      </c>
      <c r="P286">
        <v>26292</v>
      </c>
      <c r="Q286">
        <v>23708</v>
      </c>
      <c r="R286">
        <v>1</v>
      </c>
      <c r="S286">
        <v>23708</v>
      </c>
      <c r="T286" t="s">
        <v>4651</v>
      </c>
      <c r="U286" t="s">
        <v>4681</v>
      </c>
      <c r="V286" s="156">
        <v>42359</v>
      </c>
    </row>
    <row r="287" spans="3:22" hidden="1">
      <c r="C287" s="156"/>
      <c r="F287" t="s">
        <v>1230</v>
      </c>
      <c r="G287" t="s">
        <v>72</v>
      </c>
      <c r="H287" s="156" t="s">
        <v>6390</v>
      </c>
      <c r="I287" s="156">
        <v>42332</v>
      </c>
      <c r="J287" s="156" t="s">
        <v>4683</v>
      </c>
      <c r="K287">
        <v>17101002</v>
      </c>
      <c r="L287" s="156" t="s">
        <v>6391</v>
      </c>
      <c r="M287" s="156">
        <v>42332</v>
      </c>
      <c r="N287" t="s">
        <v>25</v>
      </c>
      <c r="O287">
        <v>34339</v>
      </c>
      <c r="Q287">
        <v>34339</v>
      </c>
      <c r="R287">
        <v>1</v>
      </c>
      <c r="S287">
        <v>34339</v>
      </c>
      <c r="T287" t="s">
        <v>4665</v>
      </c>
      <c r="U287" t="s">
        <v>5866</v>
      </c>
      <c r="V287" s="156">
        <v>42359</v>
      </c>
    </row>
    <row r="288" spans="3:22" hidden="1">
      <c r="C288" s="156"/>
      <c r="F288" t="s">
        <v>1230</v>
      </c>
      <c r="G288" t="s">
        <v>72</v>
      </c>
      <c r="H288" s="156" t="s">
        <v>6392</v>
      </c>
      <c r="I288" s="156">
        <v>42335</v>
      </c>
      <c r="J288" s="156" t="s">
        <v>4683</v>
      </c>
      <c r="K288">
        <v>17101002</v>
      </c>
      <c r="L288" s="156" t="s">
        <v>6393</v>
      </c>
      <c r="M288" s="156">
        <v>42335</v>
      </c>
      <c r="N288" t="s">
        <v>25</v>
      </c>
      <c r="O288">
        <v>2800.25</v>
      </c>
      <c r="Q288">
        <v>2800.25</v>
      </c>
      <c r="R288">
        <v>1</v>
      </c>
      <c r="S288">
        <v>2800.25</v>
      </c>
      <c r="T288" t="s">
        <v>4665</v>
      </c>
      <c r="U288" t="s">
        <v>5866</v>
      </c>
      <c r="V288" s="156">
        <v>42359</v>
      </c>
    </row>
    <row r="289" spans="3:22" hidden="1">
      <c r="C289" s="156"/>
      <c r="F289" t="s">
        <v>1230</v>
      </c>
      <c r="G289" t="s">
        <v>72</v>
      </c>
      <c r="H289" s="156" t="s">
        <v>4856</v>
      </c>
      <c r="I289" s="156">
        <v>42044</v>
      </c>
      <c r="J289" s="156" t="s">
        <v>4684</v>
      </c>
      <c r="K289">
        <v>11107001</v>
      </c>
      <c r="L289" s="156" t="s">
        <v>4685</v>
      </c>
      <c r="M289" s="156">
        <v>43708</v>
      </c>
      <c r="N289" t="s">
        <v>25</v>
      </c>
      <c r="O289">
        <v>80000</v>
      </c>
      <c r="Q289">
        <v>80000</v>
      </c>
      <c r="R289">
        <v>1</v>
      </c>
      <c r="S289">
        <v>80000</v>
      </c>
      <c r="T289" t="s">
        <v>4651</v>
      </c>
      <c r="U289" t="s">
        <v>4686</v>
      </c>
      <c r="V289" s="156">
        <v>42359</v>
      </c>
    </row>
    <row r="290" spans="3:22" hidden="1">
      <c r="C290" s="156"/>
      <c r="F290" t="s">
        <v>1230</v>
      </c>
      <c r="G290" t="s">
        <v>72</v>
      </c>
      <c r="H290" s="156" t="s">
        <v>4857</v>
      </c>
      <c r="I290" s="156">
        <v>41404</v>
      </c>
      <c r="J290" s="156" t="s">
        <v>4684</v>
      </c>
      <c r="K290">
        <v>11107001</v>
      </c>
      <c r="L290" s="156" t="s">
        <v>4858</v>
      </c>
      <c r="M290" s="156">
        <v>42855</v>
      </c>
      <c r="N290" t="s">
        <v>25</v>
      </c>
      <c r="O290">
        <v>100000</v>
      </c>
      <c r="Q290">
        <v>100000</v>
      </c>
      <c r="R290">
        <v>1</v>
      </c>
      <c r="S290">
        <v>100000</v>
      </c>
      <c r="T290" t="s">
        <v>4651</v>
      </c>
      <c r="U290" t="s">
        <v>4859</v>
      </c>
      <c r="V290" s="156">
        <v>42359</v>
      </c>
    </row>
    <row r="291" spans="3:22" hidden="1">
      <c r="C291" s="156"/>
      <c r="F291" t="s">
        <v>1230</v>
      </c>
      <c r="G291" t="s">
        <v>71</v>
      </c>
      <c r="H291" s="156" t="s">
        <v>4860</v>
      </c>
      <c r="I291" s="156">
        <v>40975</v>
      </c>
      <c r="J291" s="156" t="s">
        <v>4861</v>
      </c>
      <c r="K291">
        <v>11107001</v>
      </c>
      <c r="L291" s="156" t="s">
        <v>4862</v>
      </c>
      <c r="M291" s="156">
        <v>42093</v>
      </c>
      <c r="N291" t="s">
        <v>25</v>
      </c>
      <c r="O291">
        <v>3000000</v>
      </c>
      <c r="P291">
        <v>2235936</v>
      </c>
      <c r="Q291">
        <v>764064</v>
      </c>
      <c r="R291">
        <v>1</v>
      </c>
      <c r="S291">
        <v>764064</v>
      </c>
      <c r="T291" t="s">
        <v>4651</v>
      </c>
      <c r="U291" t="s">
        <v>4863</v>
      </c>
      <c r="V291" s="156">
        <v>42359</v>
      </c>
    </row>
    <row r="292" spans="3:22" hidden="1">
      <c r="C292" s="156"/>
      <c r="F292" t="s">
        <v>1230</v>
      </c>
      <c r="G292" t="s">
        <v>76</v>
      </c>
      <c r="H292" s="156" t="s">
        <v>5915</v>
      </c>
      <c r="I292" s="156">
        <v>42272</v>
      </c>
      <c r="J292" s="156" t="s">
        <v>5867</v>
      </c>
      <c r="K292">
        <v>17101002</v>
      </c>
      <c r="L292" s="156" t="s">
        <v>5324</v>
      </c>
      <c r="M292" s="156">
        <v>42272</v>
      </c>
      <c r="N292" t="s">
        <v>25</v>
      </c>
      <c r="O292">
        <v>32506.73</v>
      </c>
      <c r="Q292">
        <v>32506.73</v>
      </c>
      <c r="R292">
        <v>1</v>
      </c>
      <c r="S292">
        <v>32506.73</v>
      </c>
      <c r="T292" t="s">
        <v>4665</v>
      </c>
      <c r="U292" t="s">
        <v>5916</v>
      </c>
      <c r="V292" s="156">
        <v>42359</v>
      </c>
    </row>
    <row r="293" spans="3:22" hidden="1">
      <c r="C293" s="156"/>
      <c r="F293" t="s">
        <v>1230</v>
      </c>
      <c r="G293" t="s">
        <v>73</v>
      </c>
      <c r="H293" s="156" t="s">
        <v>5882</v>
      </c>
      <c r="I293" s="156">
        <v>42306</v>
      </c>
      <c r="J293" s="156" t="s">
        <v>5598</v>
      </c>
      <c r="K293">
        <v>11101005</v>
      </c>
      <c r="L293" s="156" t="s">
        <v>5883</v>
      </c>
      <c r="M293" s="156">
        <v>42384</v>
      </c>
      <c r="N293" t="s">
        <v>25</v>
      </c>
      <c r="O293">
        <v>738</v>
      </c>
      <c r="P293">
        <v>0</v>
      </c>
      <c r="Q293">
        <v>738</v>
      </c>
      <c r="R293">
        <v>1</v>
      </c>
      <c r="S293">
        <v>738</v>
      </c>
      <c r="T293" t="s">
        <v>4709</v>
      </c>
      <c r="U293" t="s">
        <v>5884</v>
      </c>
      <c r="V293" s="156">
        <v>42359</v>
      </c>
    </row>
    <row r="294" spans="3:22" hidden="1">
      <c r="C294" s="156"/>
      <c r="F294" t="s">
        <v>1230</v>
      </c>
      <c r="G294" t="s">
        <v>71</v>
      </c>
      <c r="H294" s="156" t="s">
        <v>5495</v>
      </c>
      <c r="I294" s="156">
        <v>42184</v>
      </c>
      <c r="J294" s="156" t="s">
        <v>4754</v>
      </c>
      <c r="K294">
        <v>17101002</v>
      </c>
      <c r="L294" s="156" t="s">
        <v>5496</v>
      </c>
      <c r="M294" s="156">
        <v>42184</v>
      </c>
      <c r="N294" t="s">
        <v>25</v>
      </c>
      <c r="O294">
        <v>1669.98</v>
      </c>
      <c r="Q294">
        <v>1669.98</v>
      </c>
      <c r="R294">
        <v>1</v>
      </c>
      <c r="S294">
        <v>1669.98</v>
      </c>
      <c r="T294" t="s">
        <v>4665</v>
      </c>
      <c r="U294" t="s">
        <v>5497</v>
      </c>
      <c r="V294" s="156">
        <v>42359</v>
      </c>
    </row>
    <row r="295" spans="3:22" hidden="1">
      <c r="C295" s="156"/>
      <c r="F295" t="s">
        <v>1230</v>
      </c>
      <c r="G295" t="s">
        <v>71</v>
      </c>
      <c r="H295" s="156" t="s">
        <v>4864</v>
      </c>
      <c r="I295" s="156">
        <v>41745</v>
      </c>
      <c r="J295" s="156" t="s">
        <v>4787</v>
      </c>
      <c r="K295">
        <v>17101002</v>
      </c>
      <c r="L295" s="156" t="s">
        <v>4865</v>
      </c>
      <c r="M295" s="156">
        <v>41745</v>
      </c>
      <c r="N295" t="s">
        <v>25</v>
      </c>
      <c r="O295">
        <v>2000</v>
      </c>
      <c r="Q295">
        <v>2000</v>
      </c>
      <c r="R295">
        <v>1</v>
      </c>
      <c r="S295">
        <v>2000</v>
      </c>
      <c r="T295" t="s">
        <v>4665</v>
      </c>
      <c r="U295" t="s">
        <v>4866</v>
      </c>
      <c r="V295" s="156">
        <v>42359</v>
      </c>
    </row>
    <row r="296" spans="3:22" hidden="1">
      <c r="C296" s="156"/>
      <c r="F296" t="s">
        <v>1230</v>
      </c>
      <c r="G296" t="s">
        <v>71</v>
      </c>
      <c r="H296" s="156" t="s">
        <v>4867</v>
      </c>
      <c r="I296" s="156">
        <v>41774</v>
      </c>
      <c r="J296" s="156" t="s">
        <v>4787</v>
      </c>
      <c r="K296">
        <v>17101002</v>
      </c>
      <c r="L296" s="156" t="s">
        <v>4868</v>
      </c>
      <c r="M296" s="156">
        <v>41774</v>
      </c>
      <c r="N296" t="s">
        <v>25</v>
      </c>
      <c r="O296">
        <v>2000</v>
      </c>
      <c r="Q296">
        <v>2000</v>
      </c>
      <c r="R296">
        <v>1</v>
      </c>
      <c r="S296">
        <v>2000</v>
      </c>
      <c r="T296" t="s">
        <v>4665</v>
      </c>
      <c r="U296" t="s">
        <v>4869</v>
      </c>
      <c r="V296" s="156">
        <v>42359</v>
      </c>
    </row>
    <row r="297" spans="3:22" hidden="1">
      <c r="C297" s="156"/>
      <c r="F297" t="s">
        <v>1230</v>
      </c>
      <c r="G297" t="s">
        <v>72</v>
      </c>
      <c r="H297" s="156" t="s">
        <v>4870</v>
      </c>
      <c r="I297" s="156">
        <v>42048</v>
      </c>
      <c r="J297" s="156" t="s">
        <v>4871</v>
      </c>
      <c r="K297">
        <v>17101002</v>
      </c>
      <c r="L297" s="156" t="s">
        <v>4872</v>
      </c>
      <c r="M297" s="156">
        <v>42048</v>
      </c>
      <c r="N297" t="s">
        <v>25</v>
      </c>
      <c r="O297">
        <v>490</v>
      </c>
      <c r="Q297">
        <v>490</v>
      </c>
      <c r="R297">
        <v>1</v>
      </c>
      <c r="S297">
        <v>490</v>
      </c>
      <c r="T297" t="s">
        <v>4665</v>
      </c>
      <c r="U297" t="s">
        <v>4873</v>
      </c>
      <c r="V297" s="156">
        <v>42359</v>
      </c>
    </row>
    <row r="298" spans="3:22" hidden="1">
      <c r="C298" s="156"/>
      <c r="F298" t="s">
        <v>1230</v>
      </c>
      <c r="G298" t="s">
        <v>72</v>
      </c>
      <c r="H298" s="156" t="s">
        <v>4874</v>
      </c>
      <c r="I298" s="156">
        <v>41708</v>
      </c>
      <c r="J298" s="156" t="s">
        <v>4875</v>
      </c>
      <c r="K298">
        <v>17101002</v>
      </c>
      <c r="L298" s="156" t="s">
        <v>4876</v>
      </c>
      <c r="M298" s="156">
        <v>41708</v>
      </c>
      <c r="N298" t="s">
        <v>25</v>
      </c>
      <c r="O298">
        <v>1279.8900000000001</v>
      </c>
      <c r="Q298">
        <v>1279.8900000000001</v>
      </c>
      <c r="R298">
        <v>1</v>
      </c>
      <c r="S298">
        <v>1279.8900000000001</v>
      </c>
      <c r="T298" t="s">
        <v>4665</v>
      </c>
      <c r="U298" t="s">
        <v>4877</v>
      </c>
      <c r="V298" s="156">
        <v>42359</v>
      </c>
    </row>
    <row r="299" spans="3:22" hidden="1">
      <c r="C299" s="156"/>
      <c r="F299" t="s">
        <v>1230</v>
      </c>
      <c r="G299" t="s">
        <v>72</v>
      </c>
      <c r="H299" s="156" t="s">
        <v>4878</v>
      </c>
      <c r="I299" s="156">
        <v>41962</v>
      </c>
      <c r="J299" s="156" t="s">
        <v>4707</v>
      </c>
      <c r="K299">
        <v>11101001</v>
      </c>
      <c r="L299" s="156" t="s">
        <v>4879</v>
      </c>
      <c r="M299" s="156">
        <v>41988</v>
      </c>
      <c r="N299" t="s">
        <v>25</v>
      </c>
      <c r="O299">
        <v>8095</v>
      </c>
      <c r="P299">
        <v>0</v>
      </c>
      <c r="Q299">
        <v>8095</v>
      </c>
      <c r="R299">
        <v>1</v>
      </c>
      <c r="S299">
        <v>8095</v>
      </c>
      <c r="T299" t="s">
        <v>4646</v>
      </c>
      <c r="U299" t="s">
        <v>4880</v>
      </c>
      <c r="V299" s="156">
        <v>42359</v>
      </c>
    </row>
    <row r="300" spans="3:22" hidden="1">
      <c r="C300" s="156"/>
      <c r="F300" t="s">
        <v>1230</v>
      </c>
      <c r="G300" t="s">
        <v>71</v>
      </c>
      <c r="H300" s="156" t="s">
        <v>6394</v>
      </c>
      <c r="I300" s="156">
        <v>42312</v>
      </c>
      <c r="J300" s="156" t="s">
        <v>5656</v>
      </c>
      <c r="K300">
        <v>17101002</v>
      </c>
      <c r="L300" s="156" t="s">
        <v>6395</v>
      </c>
      <c r="M300" s="156">
        <v>42312</v>
      </c>
      <c r="N300" t="s">
        <v>25</v>
      </c>
      <c r="O300">
        <v>59852.800000000003</v>
      </c>
      <c r="P300">
        <v>39600</v>
      </c>
      <c r="Q300">
        <v>20252.8</v>
      </c>
      <c r="R300">
        <v>1</v>
      </c>
      <c r="S300">
        <v>20252.8</v>
      </c>
      <c r="T300" t="s">
        <v>4665</v>
      </c>
      <c r="U300" t="s">
        <v>6396</v>
      </c>
      <c r="V300" s="156">
        <v>42359</v>
      </c>
    </row>
    <row r="301" spans="3:22" hidden="1">
      <c r="C301" s="156"/>
      <c r="F301" t="s">
        <v>1230</v>
      </c>
      <c r="G301" t="s">
        <v>72</v>
      </c>
      <c r="H301" s="156" t="s">
        <v>6397</v>
      </c>
      <c r="I301" s="156">
        <v>42359</v>
      </c>
      <c r="J301" s="156" t="s">
        <v>5656</v>
      </c>
      <c r="K301">
        <v>11101008</v>
      </c>
      <c r="L301" s="156" t="s">
        <v>6398</v>
      </c>
      <c r="M301" s="156">
        <v>42444</v>
      </c>
      <c r="N301" t="s">
        <v>25</v>
      </c>
      <c r="O301">
        <v>100000</v>
      </c>
      <c r="P301">
        <v>0</v>
      </c>
      <c r="Q301">
        <v>100000</v>
      </c>
      <c r="R301">
        <v>1</v>
      </c>
      <c r="S301">
        <v>100000</v>
      </c>
      <c r="T301" t="s">
        <v>4716</v>
      </c>
      <c r="U301" t="s">
        <v>6088</v>
      </c>
      <c r="V301" s="156">
        <v>42359</v>
      </c>
    </row>
    <row r="302" spans="3:22" hidden="1">
      <c r="C302" s="156"/>
      <c r="F302" t="s">
        <v>1230</v>
      </c>
      <c r="G302" t="s">
        <v>71</v>
      </c>
      <c r="H302" s="156" t="s">
        <v>4881</v>
      </c>
      <c r="I302" s="156">
        <v>42036</v>
      </c>
      <c r="J302" s="156" t="s">
        <v>4762</v>
      </c>
      <c r="K302">
        <v>11107001</v>
      </c>
      <c r="L302" s="156" t="s">
        <v>4740</v>
      </c>
      <c r="M302" s="156">
        <v>42449</v>
      </c>
      <c r="N302" t="s">
        <v>25</v>
      </c>
      <c r="O302">
        <v>25000</v>
      </c>
      <c r="Q302">
        <v>25000</v>
      </c>
      <c r="R302">
        <v>1</v>
      </c>
      <c r="S302">
        <v>25000</v>
      </c>
      <c r="T302" t="s">
        <v>4651</v>
      </c>
      <c r="U302" t="s">
        <v>4763</v>
      </c>
      <c r="V302" s="156">
        <v>42359</v>
      </c>
    </row>
    <row r="303" spans="3:22" hidden="1">
      <c r="C303" s="156"/>
      <c r="F303" t="s">
        <v>1230</v>
      </c>
      <c r="G303" t="s">
        <v>72</v>
      </c>
      <c r="H303" s="156" t="s">
        <v>5668</v>
      </c>
      <c r="I303" s="156">
        <v>42227</v>
      </c>
      <c r="J303" s="156" t="s">
        <v>5669</v>
      </c>
      <c r="K303">
        <v>17101002</v>
      </c>
      <c r="L303" s="156" t="s">
        <v>5670</v>
      </c>
      <c r="M303" s="156">
        <v>42227</v>
      </c>
      <c r="N303" t="s">
        <v>25</v>
      </c>
      <c r="O303">
        <v>1326.54</v>
      </c>
      <c r="Q303">
        <v>1326.54</v>
      </c>
      <c r="R303">
        <v>1</v>
      </c>
      <c r="S303">
        <v>1326.54</v>
      </c>
      <c r="T303" t="s">
        <v>4665</v>
      </c>
      <c r="U303" t="s">
        <v>5671</v>
      </c>
      <c r="V303" s="156">
        <v>42359</v>
      </c>
    </row>
    <row r="304" spans="3:22" hidden="1">
      <c r="C304" s="156"/>
      <c r="F304" t="s">
        <v>1230</v>
      </c>
      <c r="G304" t="s">
        <v>72</v>
      </c>
      <c r="H304" s="156" t="s">
        <v>4925</v>
      </c>
      <c r="I304" s="156">
        <v>41985</v>
      </c>
      <c r="J304" s="156" t="s">
        <v>1474</v>
      </c>
      <c r="K304">
        <v>11101004</v>
      </c>
      <c r="L304" s="156" t="s">
        <v>4926</v>
      </c>
      <c r="M304" s="156">
        <v>42369</v>
      </c>
      <c r="N304" t="s">
        <v>22</v>
      </c>
      <c r="O304">
        <v>7264000</v>
      </c>
      <c r="P304">
        <v>6553884.6500000004</v>
      </c>
      <c r="Q304" s="121">
        <v>710115.35</v>
      </c>
      <c r="R304">
        <v>3.9062000000000001</v>
      </c>
      <c r="S304">
        <v>2773852.58017</v>
      </c>
      <c r="T304" t="s">
        <v>4647</v>
      </c>
      <c r="U304" t="s">
        <v>4927</v>
      </c>
      <c r="V304" s="156">
        <v>42359</v>
      </c>
    </row>
    <row r="305" spans="3:22" hidden="1">
      <c r="C305" s="156"/>
      <c r="F305" t="s">
        <v>4823</v>
      </c>
      <c r="G305" t="s">
        <v>5736</v>
      </c>
      <c r="H305" s="156" t="s">
        <v>6399</v>
      </c>
      <c r="I305" s="156">
        <v>42313</v>
      </c>
      <c r="J305" s="156" t="s">
        <v>4767</v>
      </c>
      <c r="K305">
        <v>19105017</v>
      </c>
      <c r="L305" s="156" t="s">
        <v>6400</v>
      </c>
      <c r="M305" s="156">
        <v>42365</v>
      </c>
      <c r="N305" t="s">
        <v>25</v>
      </c>
      <c r="O305">
        <v>42.5</v>
      </c>
      <c r="Q305">
        <v>42.5</v>
      </c>
      <c r="R305">
        <v>1</v>
      </c>
      <c r="S305">
        <v>42.5</v>
      </c>
      <c r="T305" t="s">
        <v>4768</v>
      </c>
      <c r="U305" t="s">
        <v>6401</v>
      </c>
      <c r="V305" s="156">
        <v>42359</v>
      </c>
    </row>
    <row r="306" spans="3:22" hidden="1">
      <c r="C306" s="156"/>
      <c r="F306" t="s">
        <v>4823</v>
      </c>
      <c r="G306" t="s">
        <v>5736</v>
      </c>
      <c r="H306" s="156" t="s">
        <v>6402</v>
      </c>
      <c r="I306" s="156">
        <v>42324</v>
      </c>
      <c r="J306" s="156" t="s">
        <v>4767</v>
      </c>
      <c r="K306">
        <v>19105017</v>
      </c>
      <c r="L306" s="156" t="s">
        <v>6403</v>
      </c>
      <c r="M306" s="156">
        <v>42348</v>
      </c>
      <c r="N306" t="s">
        <v>25</v>
      </c>
      <c r="O306">
        <v>39.5</v>
      </c>
      <c r="P306">
        <v>0</v>
      </c>
      <c r="Q306">
        <v>39.5</v>
      </c>
      <c r="R306">
        <v>1</v>
      </c>
      <c r="S306">
        <v>39.5</v>
      </c>
      <c r="T306" t="s">
        <v>4768</v>
      </c>
      <c r="U306" t="s">
        <v>6404</v>
      </c>
      <c r="V306" s="156">
        <v>42359</v>
      </c>
    </row>
    <row r="307" spans="3:22" hidden="1">
      <c r="C307" s="156"/>
      <c r="F307" t="s">
        <v>1405</v>
      </c>
      <c r="G307" t="s">
        <v>71</v>
      </c>
      <c r="H307" s="156" t="s">
        <v>6405</v>
      </c>
      <c r="I307" s="156">
        <v>42311</v>
      </c>
      <c r="J307" s="156" t="s">
        <v>4767</v>
      </c>
      <c r="K307">
        <v>19105017</v>
      </c>
      <c r="L307" s="156" t="s">
        <v>6406</v>
      </c>
      <c r="M307" s="156">
        <v>42311</v>
      </c>
      <c r="N307" t="s">
        <v>25</v>
      </c>
      <c r="O307">
        <v>50000</v>
      </c>
      <c r="P307">
        <v>0</v>
      </c>
      <c r="Q307">
        <v>50000</v>
      </c>
      <c r="R307">
        <v>1</v>
      </c>
      <c r="S307">
        <v>50000</v>
      </c>
      <c r="T307" t="s">
        <v>4768</v>
      </c>
      <c r="U307" t="s">
        <v>6407</v>
      </c>
      <c r="V307" s="156">
        <v>42359</v>
      </c>
    </row>
    <row r="308" spans="3:22" hidden="1">
      <c r="C308" s="156"/>
      <c r="F308" t="s">
        <v>1231</v>
      </c>
      <c r="G308" t="s">
        <v>71</v>
      </c>
      <c r="H308" s="156" t="s">
        <v>6408</v>
      </c>
      <c r="I308" s="156">
        <v>42356</v>
      </c>
      <c r="J308" s="156" t="s">
        <v>4767</v>
      </c>
      <c r="K308">
        <v>19105017</v>
      </c>
      <c r="L308" s="156" t="s">
        <v>6409</v>
      </c>
      <c r="M308" s="156">
        <v>42366</v>
      </c>
      <c r="N308" t="s">
        <v>25</v>
      </c>
      <c r="O308">
        <v>2202.7600000000002</v>
      </c>
      <c r="P308">
        <v>0</v>
      </c>
      <c r="Q308">
        <v>2202.7600000000002</v>
      </c>
      <c r="R308">
        <v>1</v>
      </c>
      <c r="S308">
        <v>2202.7600000000002</v>
      </c>
      <c r="T308" t="s">
        <v>4768</v>
      </c>
      <c r="U308" t="s">
        <v>6410</v>
      </c>
      <c r="V308" s="156">
        <v>42359</v>
      </c>
    </row>
    <row r="309" spans="3:22" hidden="1">
      <c r="C309" s="156"/>
      <c r="F309" t="s">
        <v>5046</v>
      </c>
      <c r="G309" t="s">
        <v>71</v>
      </c>
      <c r="H309" s="156" t="s">
        <v>6411</v>
      </c>
      <c r="I309" s="156">
        <v>42356</v>
      </c>
      <c r="J309" s="156" t="s">
        <v>4767</v>
      </c>
      <c r="K309">
        <v>19101011</v>
      </c>
      <c r="L309" s="156" t="s">
        <v>6412</v>
      </c>
      <c r="M309" s="156">
        <v>42360</v>
      </c>
      <c r="N309" t="s">
        <v>25</v>
      </c>
      <c r="O309">
        <v>13514.52</v>
      </c>
      <c r="P309">
        <v>0</v>
      </c>
      <c r="Q309">
        <v>13514.52</v>
      </c>
      <c r="R309">
        <v>1</v>
      </c>
      <c r="S309">
        <v>13514.52</v>
      </c>
      <c r="T309" t="s">
        <v>4768</v>
      </c>
      <c r="U309" t="s">
        <v>6413</v>
      </c>
      <c r="V309" s="156">
        <v>42359</v>
      </c>
    </row>
    <row r="310" spans="3:22" hidden="1">
      <c r="C310" s="156"/>
      <c r="F310" t="s">
        <v>1230</v>
      </c>
      <c r="G310" t="s">
        <v>72</v>
      </c>
      <c r="H310" s="156" t="s">
        <v>4885</v>
      </c>
      <c r="I310" s="156">
        <v>41044</v>
      </c>
      <c r="J310" s="156" t="s">
        <v>4649</v>
      </c>
      <c r="K310">
        <v>11107001</v>
      </c>
      <c r="L310" s="156" t="s">
        <v>4711</v>
      </c>
      <c r="M310" s="156">
        <v>42505</v>
      </c>
      <c r="N310" t="s">
        <v>25</v>
      </c>
      <c r="O310">
        <v>28125</v>
      </c>
      <c r="Q310">
        <v>28125</v>
      </c>
      <c r="R310">
        <v>1</v>
      </c>
      <c r="S310">
        <v>28125</v>
      </c>
      <c r="T310" t="s">
        <v>4651</v>
      </c>
      <c r="U310" t="s">
        <v>4659</v>
      </c>
      <c r="V310" s="156">
        <v>42359</v>
      </c>
    </row>
    <row r="311" spans="3:22" hidden="1">
      <c r="C311" s="156"/>
      <c r="F311" t="s">
        <v>1230</v>
      </c>
      <c r="G311" t="s">
        <v>72</v>
      </c>
      <c r="H311" s="156" t="s">
        <v>4886</v>
      </c>
      <c r="I311" s="156">
        <v>41044</v>
      </c>
      <c r="J311" s="156" t="s">
        <v>4649</v>
      </c>
      <c r="K311">
        <v>11107001</v>
      </c>
      <c r="L311" s="156" t="s">
        <v>4711</v>
      </c>
      <c r="M311" s="156">
        <v>43600</v>
      </c>
      <c r="N311" t="s">
        <v>25</v>
      </c>
      <c r="O311">
        <v>28125</v>
      </c>
      <c r="Q311">
        <v>28125</v>
      </c>
      <c r="R311">
        <v>1</v>
      </c>
      <c r="S311" s="121">
        <v>28125</v>
      </c>
      <c r="T311" t="s">
        <v>4651</v>
      </c>
      <c r="U311" t="s">
        <v>4659</v>
      </c>
      <c r="V311" s="156">
        <v>42359</v>
      </c>
    </row>
    <row r="312" spans="3:22" hidden="1">
      <c r="C312" s="156"/>
      <c r="F312" t="s">
        <v>1230</v>
      </c>
      <c r="G312" t="s">
        <v>72</v>
      </c>
      <c r="H312" s="156" t="s">
        <v>4887</v>
      </c>
      <c r="I312" s="156">
        <v>41044</v>
      </c>
      <c r="J312" s="156" t="s">
        <v>4649</v>
      </c>
      <c r="K312">
        <v>11107001</v>
      </c>
      <c r="L312" s="156" t="s">
        <v>4712</v>
      </c>
      <c r="M312" s="156">
        <v>43235</v>
      </c>
      <c r="N312" t="s">
        <v>25</v>
      </c>
      <c r="O312">
        <v>28125</v>
      </c>
      <c r="Q312">
        <v>28125</v>
      </c>
      <c r="R312">
        <v>1</v>
      </c>
      <c r="S312" s="121">
        <v>28125</v>
      </c>
      <c r="T312" t="s">
        <v>4651</v>
      </c>
      <c r="U312" t="s">
        <v>4659</v>
      </c>
      <c r="V312" s="156">
        <v>42359</v>
      </c>
    </row>
    <row r="313" spans="3:22" hidden="1">
      <c r="C313" s="156"/>
      <c r="F313" t="s">
        <v>1230</v>
      </c>
      <c r="G313" t="s">
        <v>72</v>
      </c>
      <c r="H313" s="156" t="s">
        <v>4888</v>
      </c>
      <c r="I313" s="156">
        <v>41044</v>
      </c>
      <c r="J313" s="156" t="s">
        <v>4649</v>
      </c>
      <c r="K313">
        <v>11107001</v>
      </c>
      <c r="L313" s="156" t="s">
        <v>4661</v>
      </c>
      <c r="M313" s="156">
        <v>43235</v>
      </c>
      <c r="N313" t="s">
        <v>25</v>
      </c>
      <c r="O313">
        <v>28125</v>
      </c>
      <c r="Q313">
        <v>28125</v>
      </c>
      <c r="R313">
        <v>1</v>
      </c>
      <c r="S313" s="121">
        <v>28125</v>
      </c>
      <c r="T313" t="s">
        <v>4651</v>
      </c>
      <c r="U313" t="s">
        <v>4659</v>
      </c>
      <c r="V313" s="156">
        <v>42359</v>
      </c>
    </row>
    <row r="314" spans="3:22" hidden="1">
      <c r="C314" s="156"/>
      <c r="F314" t="s">
        <v>1230</v>
      </c>
      <c r="G314" t="s">
        <v>72</v>
      </c>
      <c r="H314" s="156" t="s">
        <v>4889</v>
      </c>
      <c r="I314" s="156">
        <v>41044</v>
      </c>
      <c r="J314" s="156" t="s">
        <v>4649</v>
      </c>
      <c r="K314">
        <v>11107001</v>
      </c>
      <c r="L314" s="156" t="s">
        <v>4773</v>
      </c>
      <c r="M314" s="156">
        <v>42505</v>
      </c>
      <c r="N314" t="s">
        <v>25</v>
      </c>
      <c r="O314">
        <v>28125</v>
      </c>
      <c r="Q314">
        <v>28125</v>
      </c>
      <c r="R314">
        <v>1</v>
      </c>
      <c r="S314">
        <v>28125</v>
      </c>
      <c r="T314" t="s">
        <v>4651</v>
      </c>
      <c r="U314" t="s">
        <v>4659</v>
      </c>
      <c r="V314" s="156">
        <v>42359</v>
      </c>
    </row>
    <row r="315" spans="3:22" hidden="1">
      <c r="C315" s="156"/>
      <c r="F315" t="s">
        <v>1230</v>
      </c>
      <c r="G315" t="s">
        <v>72</v>
      </c>
      <c r="H315" s="156" t="s">
        <v>4890</v>
      </c>
      <c r="I315" s="156">
        <v>41044</v>
      </c>
      <c r="J315" s="156" t="s">
        <v>4649</v>
      </c>
      <c r="K315">
        <v>11107001</v>
      </c>
      <c r="L315" s="156" t="s">
        <v>4773</v>
      </c>
      <c r="M315" s="156">
        <v>43966</v>
      </c>
      <c r="N315" t="s">
        <v>25</v>
      </c>
      <c r="O315">
        <v>28125</v>
      </c>
      <c r="Q315">
        <v>28125</v>
      </c>
      <c r="R315">
        <v>1</v>
      </c>
      <c r="S315">
        <v>28125</v>
      </c>
      <c r="T315" t="s">
        <v>4651</v>
      </c>
      <c r="U315" t="s">
        <v>4659</v>
      </c>
      <c r="V315" s="156">
        <v>42359</v>
      </c>
    </row>
    <row r="316" spans="3:22" hidden="1">
      <c r="C316" s="156"/>
      <c r="F316" t="s">
        <v>1230</v>
      </c>
      <c r="G316" t="s">
        <v>72</v>
      </c>
      <c r="H316" s="156" t="s">
        <v>6414</v>
      </c>
      <c r="I316" s="156">
        <v>42359</v>
      </c>
      <c r="J316" s="156" t="s">
        <v>6415</v>
      </c>
      <c r="K316">
        <v>13115016</v>
      </c>
      <c r="L316" s="156" t="s">
        <v>6416</v>
      </c>
      <c r="M316" s="156">
        <v>42360</v>
      </c>
      <c r="N316" t="s">
        <v>25</v>
      </c>
      <c r="O316">
        <v>1989.29</v>
      </c>
      <c r="P316">
        <v>0</v>
      </c>
      <c r="Q316">
        <v>1989.29</v>
      </c>
      <c r="R316">
        <v>1</v>
      </c>
      <c r="S316">
        <v>1989.29</v>
      </c>
      <c r="T316" t="s">
        <v>4664</v>
      </c>
      <c r="U316" t="s">
        <v>6417</v>
      </c>
      <c r="V316" s="156">
        <v>42359</v>
      </c>
    </row>
    <row r="317" spans="3:22" hidden="1">
      <c r="C317" s="156"/>
      <c r="F317" t="s">
        <v>1230</v>
      </c>
      <c r="G317" t="s">
        <v>72</v>
      </c>
      <c r="H317" s="156" t="s">
        <v>4891</v>
      </c>
      <c r="I317" s="156">
        <v>40837</v>
      </c>
      <c r="J317" s="156" t="s">
        <v>4892</v>
      </c>
      <c r="K317">
        <v>11107001</v>
      </c>
      <c r="L317" s="156" t="s">
        <v>4893</v>
      </c>
      <c r="M317" s="156">
        <v>41759</v>
      </c>
      <c r="N317" t="s">
        <v>25</v>
      </c>
      <c r="O317">
        <v>50000</v>
      </c>
      <c r="P317">
        <v>0</v>
      </c>
      <c r="Q317">
        <v>50000</v>
      </c>
      <c r="R317">
        <v>1</v>
      </c>
      <c r="S317">
        <v>50000</v>
      </c>
      <c r="T317" t="s">
        <v>4651</v>
      </c>
      <c r="U317" t="s">
        <v>4894</v>
      </c>
      <c r="V317" s="156">
        <v>42359</v>
      </c>
    </row>
    <row r="318" spans="3:22" hidden="1">
      <c r="C318" s="156"/>
      <c r="F318" t="s">
        <v>1230</v>
      </c>
      <c r="G318" t="s">
        <v>72</v>
      </c>
      <c r="H318" s="156" t="s">
        <v>4895</v>
      </c>
      <c r="I318" s="156">
        <v>40837</v>
      </c>
      <c r="J318" s="156" t="s">
        <v>4892</v>
      </c>
      <c r="K318">
        <v>11107001</v>
      </c>
      <c r="L318" s="156" t="s">
        <v>4893</v>
      </c>
      <c r="M318" s="156">
        <v>42124</v>
      </c>
      <c r="N318" t="s">
        <v>25</v>
      </c>
      <c r="O318">
        <v>50000</v>
      </c>
      <c r="P318">
        <v>0</v>
      </c>
      <c r="Q318">
        <v>50000</v>
      </c>
      <c r="R318">
        <v>1</v>
      </c>
      <c r="S318">
        <v>50000</v>
      </c>
      <c r="T318" t="s">
        <v>4651</v>
      </c>
      <c r="U318" t="s">
        <v>4894</v>
      </c>
      <c r="V318" s="156">
        <v>42359</v>
      </c>
    </row>
    <row r="319" spans="3:22" hidden="1">
      <c r="C319" s="156"/>
      <c r="F319" t="s">
        <v>1230</v>
      </c>
      <c r="G319" t="s">
        <v>72</v>
      </c>
      <c r="H319" s="156" t="s">
        <v>4775</v>
      </c>
      <c r="I319" s="156">
        <v>42027</v>
      </c>
      <c r="J319" s="156" t="s">
        <v>4721</v>
      </c>
      <c r="K319">
        <v>17101003</v>
      </c>
      <c r="L319" s="156" t="s">
        <v>4730</v>
      </c>
      <c r="M319" s="156">
        <v>42027</v>
      </c>
      <c r="N319" t="s">
        <v>25</v>
      </c>
      <c r="O319">
        <v>3000</v>
      </c>
      <c r="P319">
        <v>2412.66</v>
      </c>
      <c r="Q319">
        <v>587.34</v>
      </c>
      <c r="R319">
        <v>1</v>
      </c>
      <c r="S319">
        <v>587.34</v>
      </c>
      <c r="T319" t="s">
        <v>4663</v>
      </c>
      <c r="U319" t="s">
        <v>4776</v>
      </c>
      <c r="V319" s="156">
        <v>42359</v>
      </c>
    </row>
    <row r="320" spans="3:22" hidden="1">
      <c r="C320" s="156"/>
      <c r="F320" t="s">
        <v>1230</v>
      </c>
      <c r="G320" t="s">
        <v>72</v>
      </c>
      <c r="H320" s="156" t="s">
        <v>6418</v>
      </c>
      <c r="I320" s="156">
        <v>42342</v>
      </c>
      <c r="J320" s="156" t="s">
        <v>4676</v>
      </c>
      <c r="K320">
        <v>17101002</v>
      </c>
      <c r="L320" s="156" t="s">
        <v>6419</v>
      </c>
      <c r="M320" s="156">
        <v>42342</v>
      </c>
      <c r="N320" t="s">
        <v>25</v>
      </c>
      <c r="O320">
        <v>6364</v>
      </c>
      <c r="Q320">
        <v>6364</v>
      </c>
      <c r="R320">
        <v>1</v>
      </c>
      <c r="S320">
        <v>6364</v>
      </c>
      <c r="T320" t="s">
        <v>4665</v>
      </c>
      <c r="U320" t="s">
        <v>5321</v>
      </c>
      <c r="V320" s="156">
        <v>42359</v>
      </c>
    </row>
    <row r="321" spans="3:22" hidden="1">
      <c r="C321" s="156"/>
      <c r="F321" t="s">
        <v>1230</v>
      </c>
      <c r="G321" t="s">
        <v>6023</v>
      </c>
      <c r="H321" s="156" t="s">
        <v>6420</v>
      </c>
      <c r="I321" s="156">
        <v>42347</v>
      </c>
      <c r="J321" s="156" t="s">
        <v>6013</v>
      </c>
      <c r="K321">
        <v>11102001</v>
      </c>
      <c r="L321" s="156" t="s">
        <v>6421</v>
      </c>
      <c r="M321" s="156">
        <v>42376</v>
      </c>
      <c r="N321" t="s">
        <v>25</v>
      </c>
      <c r="O321">
        <v>76000</v>
      </c>
      <c r="P321">
        <v>0</v>
      </c>
      <c r="Q321">
        <v>76000</v>
      </c>
      <c r="R321">
        <v>1</v>
      </c>
      <c r="S321">
        <v>76000</v>
      </c>
      <c r="T321" t="s">
        <v>6015</v>
      </c>
      <c r="U321" t="s">
        <v>6072</v>
      </c>
      <c r="V321" s="156">
        <v>42359</v>
      </c>
    </row>
    <row r="322" spans="3:22" hidden="1">
      <c r="C322" s="156"/>
      <c r="F322" t="s">
        <v>1230</v>
      </c>
      <c r="G322" t="s">
        <v>6023</v>
      </c>
      <c r="H322" s="156" t="s">
        <v>6422</v>
      </c>
      <c r="I322" s="156">
        <v>42347</v>
      </c>
      <c r="J322" s="156" t="s">
        <v>6013</v>
      </c>
      <c r="K322">
        <v>11102001</v>
      </c>
      <c r="L322" s="156" t="s">
        <v>6423</v>
      </c>
      <c r="M322" s="156">
        <v>42376</v>
      </c>
      <c r="N322" t="s">
        <v>25</v>
      </c>
      <c r="O322">
        <v>76000</v>
      </c>
      <c r="P322">
        <v>0</v>
      </c>
      <c r="Q322">
        <v>76000</v>
      </c>
      <c r="R322">
        <v>1</v>
      </c>
      <c r="S322">
        <v>76000</v>
      </c>
      <c r="T322" t="s">
        <v>6015</v>
      </c>
      <c r="U322" t="s">
        <v>6072</v>
      </c>
      <c r="V322" s="156">
        <v>42359</v>
      </c>
    </row>
    <row r="323" spans="3:22" hidden="1">
      <c r="C323" s="156"/>
      <c r="F323" t="s">
        <v>1230</v>
      </c>
      <c r="G323" t="s">
        <v>6023</v>
      </c>
      <c r="H323" s="156" t="s">
        <v>6424</v>
      </c>
      <c r="I323" s="156">
        <v>42347</v>
      </c>
      <c r="J323" s="156" t="s">
        <v>6013</v>
      </c>
      <c r="K323">
        <v>11102001</v>
      </c>
      <c r="L323" s="156" t="s">
        <v>6425</v>
      </c>
      <c r="M323" s="156">
        <v>42376</v>
      </c>
      <c r="N323" t="s">
        <v>25</v>
      </c>
      <c r="O323">
        <v>96000</v>
      </c>
      <c r="P323">
        <v>0</v>
      </c>
      <c r="Q323">
        <v>96000</v>
      </c>
      <c r="R323">
        <v>1</v>
      </c>
      <c r="S323">
        <v>96000</v>
      </c>
      <c r="T323" t="s">
        <v>6015</v>
      </c>
      <c r="U323" t="s">
        <v>6072</v>
      </c>
      <c r="V323" s="156">
        <v>42359</v>
      </c>
    </row>
    <row r="324" spans="3:22" hidden="1">
      <c r="C324" s="156"/>
      <c r="F324" t="s">
        <v>1230</v>
      </c>
      <c r="G324" t="s">
        <v>6023</v>
      </c>
      <c r="H324" s="156" t="s">
        <v>6426</v>
      </c>
      <c r="I324" s="156">
        <v>42347</v>
      </c>
      <c r="J324" s="156" t="s">
        <v>6013</v>
      </c>
      <c r="K324">
        <v>11102001</v>
      </c>
      <c r="L324" s="156" t="s">
        <v>6427</v>
      </c>
      <c r="M324" s="156">
        <v>42377</v>
      </c>
      <c r="N324" t="s">
        <v>25</v>
      </c>
      <c r="O324">
        <v>76000</v>
      </c>
      <c r="P324">
        <v>0</v>
      </c>
      <c r="Q324">
        <v>76000</v>
      </c>
      <c r="R324">
        <v>1</v>
      </c>
      <c r="S324">
        <v>76000</v>
      </c>
      <c r="T324" t="s">
        <v>6015</v>
      </c>
      <c r="U324" t="s">
        <v>6029</v>
      </c>
      <c r="V324" s="156">
        <v>42359</v>
      </c>
    </row>
    <row r="325" spans="3:22" hidden="1">
      <c r="C325" s="156"/>
      <c r="F325" t="s">
        <v>1230</v>
      </c>
      <c r="G325" t="s">
        <v>6023</v>
      </c>
      <c r="H325" s="156" t="s">
        <v>6428</v>
      </c>
      <c r="I325" s="156">
        <v>42347</v>
      </c>
      <c r="J325" s="156" t="s">
        <v>6013</v>
      </c>
      <c r="K325">
        <v>11102001</v>
      </c>
      <c r="L325" s="156" t="s">
        <v>6429</v>
      </c>
      <c r="M325" s="156">
        <v>42377</v>
      </c>
      <c r="N325" t="s">
        <v>25</v>
      </c>
      <c r="O325">
        <v>76000</v>
      </c>
      <c r="P325">
        <v>0</v>
      </c>
      <c r="Q325">
        <v>76000</v>
      </c>
      <c r="R325">
        <v>1</v>
      </c>
      <c r="S325">
        <v>76000</v>
      </c>
      <c r="T325" t="s">
        <v>6015</v>
      </c>
      <c r="U325" t="s">
        <v>6029</v>
      </c>
      <c r="V325" s="156">
        <v>42359</v>
      </c>
    </row>
    <row r="326" spans="3:22" hidden="1">
      <c r="C326" s="156"/>
      <c r="F326" t="s">
        <v>1230</v>
      </c>
      <c r="G326" t="s">
        <v>6023</v>
      </c>
      <c r="H326" s="156" t="s">
        <v>6430</v>
      </c>
      <c r="I326" s="156">
        <v>42347</v>
      </c>
      <c r="J326" s="156" t="s">
        <v>6013</v>
      </c>
      <c r="K326">
        <v>11102001</v>
      </c>
      <c r="L326" s="156" t="s">
        <v>6431</v>
      </c>
      <c r="M326" s="156">
        <v>42377</v>
      </c>
      <c r="N326" t="s">
        <v>25</v>
      </c>
      <c r="O326">
        <v>76000</v>
      </c>
      <c r="P326">
        <v>0</v>
      </c>
      <c r="Q326">
        <v>76000</v>
      </c>
      <c r="R326">
        <v>1</v>
      </c>
      <c r="S326">
        <v>76000</v>
      </c>
      <c r="T326" t="s">
        <v>6015</v>
      </c>
      <c r="U326" t="s">
        <v>6029</v>
      </c>
      <c r="V326" s="156">
        <v>42359</v>
      </c>
    </row>
    <row r="327" spans="3:22" hidden="1">
      <c r="C327" s="156"/>
      <c r="F327" t="s">
        <v>1230</v>
      </c>
      <c r="G327" t="s">
        <v>6023</v>
      </c>
      <c r="H327" s="156" t="s">
        <v>6432</v>
      </c>
      <c r="I327" s="156">
        <v>42347</v>
      </c>
      <c r="J327" s="156" t="s">
        <v>6013</v>
      </c>
      <c r="K327">
        <v>11102001</v>
      </c>
      <c r="L327" s="156" t="s">
        <v>6433</v>
      </c>
      <c r="M327" s="156">
        <v>42377</v>
      </c>
      <c r="N327" t="s">
        <v>25</v>
      </c>
      <c r="O327">
        <v>76000</v>
      </c>
      <c r="P327">
        <v>0</v>
      </c>
      <c r="Q327">
        <v>76000</v>
      </c>
      <c r="R327">
        <v>1</v>
      </c>
      <c r="S327">
        <v>76000</v>
      </c>
      <c r="T327" t="s">
        <v>6015</v>
      </c>
      <c r="U327" t="s">
        <v>6029</v>
      </c>
      <c r="V327" s="156">
        <v>42359</v>
      </c>
    </row>
    <row r="328" spans="3:22" hidden="1">
      <c r="C328" s="156"/>
      <c r="F328" t="s">
        <v>1230</v>
      </c>
      <c r="G328" t="s">
        <v>6023</v>
      </c>
      <c r="H328" s="156" t="s">
        <v>6434</v>
      </c>
      <c r="I328" s="156">
        <v>42346</v>
      </c>
      <c r="J328" s="156" t="s">
        <v>6013</v>
      </c>
      <c r="K328">
        <v>11102001</v>
      </c>
      <c r="L328" s="156" t="s">
        <v>6435</v>
      </c>
      <c r="M328" s="156">
        <v>42375</v>
      </c>
      <c r="N328" t="s">
        <v>25</v>
      </c>
      <c r="O328">
        <v>76000</v>
      </c>
      <c r="P328">
        <v>0</v>
      </c>
      <c r="Q328">
        <v>76000</v>
      </c>
      <c r="R328">
        <v>1</v>
      </c>
      <c r="S328">
        <v>76000</v>
      </c>
      <c r="T328" t="s">
        <v>6015</v>
      </c>
      <c r="U328" t="s">
        <v>6032</v>
      </c>
      <c r="V328" s="156">
        <v>42359</v>
      </c>
    </row>
    <row r="329" spans="3:22" hidden="1">
      <c r="C329" s="156"/>
      <c r="F329" t="s">
        <v>1230</v>
      </c>
      <c r="G329" t="s">
        <v>6023</v>
      </c>
      <c r="H329" s="156" t="s">
        <v>6436</v>
      </c>
      <c r="I329" s="156">
        <v>42334</v>
      </c>
      <c r="J329" s="156" t="s">
        <v>6013</v>
      </c>
      <c r="K329">
        <v>11102001</v>
      </c>
      <c r="L329" s="156" t="s">
        <v>6437</v>
      </c>
      <c r="M329" s="156">
        <v>42373</v>
      </c>
      <c r="N329" t="s">
        <v>25</v>
      </c>
      <c r="O329">
        <v>76000</v>
      </c>
      <c r="P329">
        <v>0</v>
      </c>
      <c r="Q329">
        <v>76000</v>
      </c>
      <c r="R329">
        <v>1</v>
      </c>
      <c r="S329">
        <v>76000</v>
      </c>
      <c r="T329" t="s">
        <v>6015</v>
      </c>
      <c r="U329" t="s">
        <v>6037</v>
      </c>
      <c r="V329" s="156">
        <v>42359</v>
      </c>
    </row>
    <row r="330" spans="3:22" hidden="1">
      <c r="C330" s="156"/>
      <c r="F330" t="s">
        <v>1230</v>
      </c>
      <c r="G330" t="s">
        <v>6023</v>
      </c>
      <c r="H330" s="156" t="s">
        <v>6438</v>
      </c>
      <c r="I330" s="156">
        <v>42347</v>
      </c>
      <c r="J330" s="156" t="s">
        <v>6013</v>
      </c>
      <c r="K330">
        <v>11102001</v>
      </c>
      <c r="L330" s="156" t="s">
        <v>6439</v>
      </c>
      <c r="M330" s="156">
        <v>42377</v>
      </c>
      <c r="N330" t="s">
        <v>25</v>
      </c>
      <c r="O330">
        <v>76000</v>
      </c>
      <c r="P330">
        <v>0</v>
      </c>
      <c r="Q330">
        <v>76000</v>
      </c>
      <c r="R330">
        <v>1</v>
      </c>
      <c r="S330">
        <v>76000</v>
      </c>
      <c r="T330" t="s">
        <v>6015</v>
      </c>
      <c r="U330" t="s">
        <v>6029</v>
      </c>
      <c r="V330" s="156">
        <v>42359</v>
      </c>
    </row>
    <row r="331" spans="3:22" hidden="1">
      <c r="C331" s="156"/>
      <c r="F331" t="s">
        <v>1230</v>
      </c>
      <c r="G331" t="s">
        <v>6023</v>
      </c>
      <c r="H331" s="156" t="s">
        <v>6440</v>
      </c>
      <c r="I331" s="156">
        <v>42347</v>
      </c>
      <c r="J331" s="156" t="s">
        <v>6013</v>
      </c>
      <c r="K331">
        <v>11102001</v>
      </c>
      <c r="L331" s="156" t="s">
        <v>6441</v>
      </c>
      <c r="M331" s="156">
        <v>42377</v>
      </c>
      <c r="N331" t="s">
        <v>25</v>
      </c>
      <c r="O331">
        <v>76000</v>
      </c>
      <c r="P331">
        <v>0</v>
      </c>
      <c r="Q331">
        <v>76000</v>
      </c>
      <c r="R331">
        <v>1</v>
      </c>
      <c r="S331">
        <v>76000</v>
      </c>
      <c r="T331" t="s">
        <v>6015</v>
      </c>
      <c r="U331" t="s">
        <v>6029</v>
      </c>
      <c r="V331" s="156">
        <v>42359</v>
      </c>
    </row>
    <row r="332" spans="3:22" hidden="1">
      <c r="C332" s="156"/>
      <c r="F332" t="s">
        <v>1230</v>
      </c>
      <c r="G332" t="s">
        <v>6023</v>
      </c>
      <c r="H332" s="156" t="s">
        <v>6442</v>
      </c>
      <c r="I332" s="156">
        <v>42334</v>
      </c>
      <c r="J332" s="156" t="s">
        <v>6013</v>
      </c>
      <c r="K332">
        <v>11102001</v>
      </c>
      <c r="L332" s="156" t="s">
        <v>6443</v>
      </c>
      <c r="M332" s="156">
        <v>42373</v>
      </c>
      <c r="N332" t="s">
        <v>25</v>
      </c>
      <c r="O332">
        <v>76000</v>
      </c>
      <c r="P332">
        <v>0</v>
      </c>
      <c r="Q332">
        <v>76000</v>
      </c>
      <c r="R332">
        <v>1</v>
      </c>
      <c r="S332">
        <v>76000</v>
      </c>
      <c r="T332" t="s">
        <v>6015</v>
      </c>
      <c r="U332" t="s">
        <v>6037</v>
      </c>
      <c r="V332" s="156">
        <v>42359</v>
      </c>
    </row>
    <row r="333" spans="3:22" hidden="1">
      <c r="C333" s="156"/>
      <c r="F333" t="s">
        <v>1230</v>
      </c>
      <c r="G333" t="s">
        <v>6023</v>
      </c>
      <c r="H333" s="156" t="s">
        <v>6444</v>
      </c>
      <c r="I333" s="156">
        <v>42340</v>
      </c>
      <c r="J333" s="156" t="s">
        <v>6013</v>
      </c>
      <c r="K333">
        <v>11102001</v>
      </c>
      <c r="L333" s="156" t="s">
        <v>6445</v>
      </c>
      <c r="M333" s="156">
        <v>42373</v>
      </c>
      <c r="N333" t="s">
        <v>25</v>
      </c>
      <c r="O333">
        <v>779476.86</v>
      </c>
      <c r="P333">
        <v>2000</v>
      </c>
      <c r="Q333">
        <v>777476.86</v>
      </c>
      <c r="R333">
        <v>1</v>
      </c>
      <c r="S333">
        <v>777476.86</v>
      </c>
      <c r="T333" t="s">
        <v>6015</v>
      </c>
      <c r="U333" t="s">
        <v>6058</v>
      </c>
      <c r="V333" s="156">
        <v>42359</v>
      </c>
    </row>
    <row r="334" spans="3:22" hidden="1">
      <c r="C334" s="156"/>
      <c r="F334" t="s">
        <v>1230</v>
      </c>
      <c r="G334" t="s">
        <v>6023</v>
      </c>
      <c r="H334" s="156" t="s">
        <v>6446</v>
      </c>
      <c r="I334" s="156">
        <v>42338</v>
      </c>
      <c r="J334" s="156" t="s">
        <v>6013</v>
      </c>
      <c r="K334">
        <v>11102001</v>
      </c>
      <c r="L334" s="156" t="s">
        <v>6447</v>
      </c>
      <c r="M334" s="156">
        <v>42373</v>
      </c>
      <c r="N334" t="s">
        <v>25</v>
      </c>
      <c r="O334">
        <v>76000</v>
      </c>
      <c r="P334">
        <v>0</v>
      </c>
      <c r="Q334">
        <v>76000</v>
      </c>
      <c r="R334">
        <v>1</v>
      </c>
      <c r="S334">
        <v>76000</v>
      </c>
      <c r="T334" t="s">
        <v>6015</v>
      </c>
      <c r="U334" t="s">
        <v>6061</v>
      </c>
      <c r="V334" s="156">
        <v>42359</v>
      </c>
    </row>
    <row r="335" spans="3:22" hidden="1">
      <c r="C335" s="156"/>
      <c r="F335" t="s">
        <v>1230</v>
      </c>
      <c r="G335" t="s">
        <v>6023</v>
      </c>
      <c r="H335" s="156" t="s">
        <v>6448</v>
      </c>
      <c r="I335" s="156">
        <v>42338</v>
      </c>
      <c r="J335" s="156" t="s">
        <v>6013</v>
      </c>
      <c r="K335">
        <v>11102001</v>
      </c>
      <c r="L335" s="156" t="s">
        <v>6449</v>
      </c>
      <c r="M335" s="156">
        <v>42373</v>
      </c>
      <c r="N335" t="s">
        <v>25</v>
      </c>
      <c r="O335">
        <v>76000</v>
      </c>
      <c r="P335">
        <v>0</v>
      </c>
      <c r="Q335">
        <v>76000</v>
      </c>
      <c r="R335">
        <v>1</v>
      </c>
      <c r="S335">
        <v>76000</v>
      </c>
      <c r="T335" t="s">
        <v>6015</v>
      </c>
      <c r="U335" t="s">
        <v>6061</v>
      </c>
      <c r="V335" s="156">
        <v>42359</v>
      </c>
    </row>
    <row r="336" spans="3:22" hidden="1">
      <c r="C336" s="156"/>
      <c r="F336" t="s">
        <v>1230</v>
      </c>
      <c r="G336" t="s">
        <v>6023</v>
      </c>
      <c r="H336" s="156" t="s">
        <v>6450</v>
      </c>
      <c r="I336" s="156">
        <v>42333</v>
      </c>
      <c r="J336" s="156" t="s">
        <v>6013</v>
      </c>
      <c r="K336">
        <v>11102001</v>
      </c>
      <c r="L336" s="156" t="s">
        <v>6451</v>
      </c>
      <c r="M336" s="156">
        <v>42373</v>
      </c>
      <c r="N336" t="s">
        <v>25</v>
      </c>
      <c r="O336">
        <v>76000</v>
      </c>
      <c r="P336">
        <v>0</v>
      </c>
      <c r="Q336">
        <v>76000</v>
      </c>
      <c r="R336">
        <v>1</v>
      </c>
      <c r="S336">
        <v>76000</v>
      </c>
      <c r="T336" t="s">
        <v>6015</v>
      </c>
      <c r="U336" t="s">
        <v>6058</v>
      </c>
      <c r="V336" s="156">
        <v>42359</v>
      </c>
    </row>
    <row r="337" spans="3:22" hidden="1">
      <c r="C337" s="156"/>
      <c r="F337" t="s">
        <v>1230</v>
      </c>
      <c r="G337" t="s">
        <v>6023</v>
      </c>
      <c r="H337" s="156" t="s">
        <v>6452</v>
      </c>
      <c r="I337" s="156">
        <v>42333</v>
      </c>
      <c r="J337" s="156" t="s">
        <v>6013</v>
      </c>
      <c r="K337">
        <v>11102001</v>
      </c>
      <c r="L337" s="156" t="s">
        <v>6453</v>
      </c>
      <c r="M337" s="156">
        <v>42373</v>
      </c>
      <c r="N337" t="s">
        <v>25</v>
      </c>
      <c r="O337">
        <v>76000</v>
      </c>
      <c r="P337">
        <v>0</v>
      </c>
      <c r="Q337">
        <v>76000</v>
      </c>
      <c r="R337">
        <v>1</v>
      </c>
      <c r="S337">
        <v>76000</v>
      </c>
      <c r="T337" t="s">
        <v>6015</v>
      </c>
      <c r="U337" t="s">
        <v>6058</v>
      </c>
      <c r="V337" s="156">
        <v>42359</v>
      </c>
    </row>
    <row r="338" spans="3:22" hidden="1">
      <c r="C338" s="156"/>
      <c r="F338" t="s">
        <v>1230</v>
      </c>
      <c r="G338" t="s">
        <v>6023</v>
      </c>
      <c r="H338" s="156" t="s">
        <v>6454</v>
      </c>
      <c r="I338" s="156">
        <v>42342</v>
      </c>
      <c r="J338" s="156" t="s">
        <v>6013</v>
      </c>
      <c r="K338">
        <v>11102001</v>
      </c>
      <c r="L338" s="156" t="s">
        <v>6455</v>
      </c>
      <c r="M338" s="156">
        <v>42373</v>
      </c>
      <c r="N338" t="s">
        <v>25</v>
      </c>
      <c r="O338">
        <v>860849.78</v>
      </c>
      <c r="P338">
        <v>0</v>
      </c>
      <c r="Q338">
        <v>860849.78</v>
      </c>
      <c r="R338">
        <v>1</v>
      </c>
      <c r="S338">
        <v>860849.78</v>
      </c>
      <c r="T338" t="s">
        <v>6015</v>
      </c>
      <c r="U338" t="s">
        <v>6456</v>
      </c>
      <c r="V338" s="156">
        <v>42359</v>
      </c>
    </row>
    <row r="339" spans="3:22" hidden="1">
      <c r="C339" s="156"/>
      <c r="F339" t="s">
        <v>1230</v>
      </c>
      <c r="G339" t="s">
        <v>6023</v>
      </c>
      <c r="H339" s="156" t="s">
        <v>6457</v>
      </c>
      <c r="I339" s="156">
        <v>42347</v>
      </c>
      <c r="J339" s="156" t="s">
        <v>6013</v>
      </c>
      <c r="K339">
        <v>11102001</v>
      </c>
      <c r="L339" s="156" t="s">
        <v>6458</v>
      </c>
      <c r="M339" s="156">
        <v>42376</v>
      </c>
      <c r="N339" t="s">
        <v>25</v>
      </c>
      <c r="O339">
        <v>76000</v>
      </c>
      <c r="P339">
        <v>0</v>
      </c>
      <c r="Q339">
        <v>76000</v>
      </c>
      <c r="R339">
        <v>1</v>
      </c>
      <c r="S339">
        <v>76000</v>
      </c>
      <c r="T339" t="s">
        <v>6015</v>
      </c>
      <c r="U339" t="s">
        <v>6072</v>
      </c>
      <c r="V339" s="156">
        <v>42359</v>
      </c>
    </row>
    <row r="340" spans="3:22" hidden="1">
      <c r="C340" s="156"/>
      <c r="F340" t="s">
        <v>1230</v>
      </c>
      <c r="G340" t="s">
        <v>6023</v>
      </c>
      <c r="H340" s="156" t="s">
        <v>6459</v>
      </c>
      <c r="I340" s="156">
        <v>42347</v>
      </c>
      <c r="J340" s="156" t="s">
        <v>6013</v>
      </c>
      <c r="K340">
        <v>11102001</v>
      </c>
      <c r="L340" s="156" t="s">
        <v>6460</v>
      </c>
      <c r="M340" s="156">
        <v>42376</v>
      </c>
      <c r="N340" t="s">
        <v>25</v>
      </c>
      <c r="O340">
        <v>76000</v>
      </c>
      <c r="P340">
        <v>0</v>
      </c>
      <c r="Q340">
        <v>76000</v>
      </c>
      <c r="R340">
        <v>1</v>
      </c>
      <c r="S340">
        <v>76000</v>
      </c>
      <c r="T340" t="s">
        <v>6015</v>
      </c>
      <c r="U340" t="s">
        <v>6072</v>
      </c>
      <c r="V340" s="156">
        <v>42359</v>
      </c>
    </row>
    <row r="341" spans="3:22" hidden="1">
      <c r="C341" s="156"/>
      <c r="F341" t="s">
        <v>1230</v>
      </c>
      <c r="G341" t="s">
        <v>6023</v>
      </c>
      <c r="H341" s="156" t="s">
        <v>6461</v>
      </c>
      <c r="I341" s="156">
        <v>42347</v>
      </c>
      <c r="J341" s="156" t="s">
        <v>6013</v>
      </c>
      <c r="K341">
        <v>11102001</v>
      </c>
      <c r="L341" s="156" t="s">
        <v>6462</v>
      </c>
      <c r="M341" s="156">
        <v>42376</v>
      </c>
      <c r="N341" t="s">
        <v>25</v>
      </c>
      <c r="O341">
        <v>76000</v>
      </c>
      <c r="P341">
        <v>0</v>
      </c>
      <c r="Q341">
        <v>76000</v>
      </c>
      <c r="R341">
        <v>1</v>
      </c>
      <c r="S341">
        <v>76000</v>
      </c>
      <c r="T341" t="s">
        <v>6015</v>
      </c>
      <c r="U341" t="s">
        <v>6072</v>
      </c>
      <c r="V341" s="156">
        <v>42359</v>
      </c>
    </row>
    <row r="342" spans="3:22" hidden="1">
      <c r="C342" s="156"/>
      <c r="F342" t="s">
        <v>1230</v>
      </c>
      <c r="G342" t="s">
        <v>6023</v>
      </c>
      <c r="H342" s="156" t="s">
        <v>6463</v>
      </c>
      <c r="I342" s="156">
        <v>42347</v>
      </c>
      <c r="J342" s="156" t="s">
        <v>6013</v>
      </c>
      <c r="K342">
        <v>11102001</v>
      </c>
      <c r="L342" s="156" t="s">
        <v>6464</v>
      </c>
      <c r="M342" s="156">
        <v>42376</v>
      </c>
      <c r="N342" t="s">
        <v>25</v>
      </c>
      <c r="O342">
        <v>76000</v>
      </c>
      <c r="P342">
        <v>0</v>
      </c>
      <c r="Q342">
        <v>76000</v>
      </c>
      <c r="R342">
        <v>1</v>
      </c>
      <c r="S342">
        <v>76000</v>
      </c>
      <c r="T342" t="s">
        <v>6015</v>
      </c>
      <c r="U342" t="s">
        <v>6072</v>
      </c>
      <c r="V342" s="156">
        <v>42359</v>
      </c>
    </row>
    <row r="343" spans="3:22" hidden="1">
      <c r="C343" s="156"/>
      <c r="F343" t="s">
        <v>1230</v>
      </c>
      <c r="G343" t="s">
        <v>72</v>
      </c>
      <c r="H343" s="156" t="s">
        <v>4896</v>
      </c>
      <c r="I343" s="156">
        <v>41515</v>
      </c>
      <c r="J343" s="156" t="s">
        <v>4897</v>
      </c>
      <c r="K343">
        <v>17101003</v>
      </c>
      <c r="L343" s="156" t="s">
        <v>4898</v>
      </c>
      <c r="M343" s="156">
        <v>41515</v>
      </c>
      <c r="N343" t="s">
        <v>25</v>
      </c>
      <c r="O343">
        <v>380</v>
      </c>
      <c r="Q343">
        <v>380</v>
      </c>
      <c r="R343">
        <v>1</v>
      </c>
      <c r="S343">
        <v>380</v>
      </c>
      <c r="T343" t="s">
        <v>4663</v>
      </c>
      <c r="U343" t="s">
        <v>4899</v>
      </c>
      <c r="V343" s="156">
        <v>42359</v>
      </c>
    </row>
    <row r="344" spans="3:22" hidden="1">
      <c r="C344" s="156"/>
      <c r="F344" t="s">
        <v>1230</v>
      </c>
      <c r="G344" t="s">
        <v>72</v>
      </c>
      <c r="H344" s="156" t="s">
        <v>4900</v>
      </c>
      <c r="I344" s="156">
        <v>41638</v>
      </c>
      <c r="J344" s="156" t="s">
        <v>4683</v>
      </c>
      <c r="K344">
        <v>17101002</v>
      </c>
      <c r="L344" s="156" t="s">
        <v>4901</v>
      </c>
      <c r="M344" s="156">
        <v>41638</v>
      </c>
      <c r="N344" t="s">
        <v>25</v>
      </c>
      <c r="O344">
        <v>16395.169999999998</v>
      </c>
      <c r="Q344">
        <v>16395.169999999998</v>
      </c>
      <c r="R344">
        <v>1</v>
      </c>
      <c r="S344">
        <v>16395.169999999998</v>
      </c>
      <c r="T344" t="s">
        <v>4665</v>
      </c>
      <c r="U344" t="s">
        <v>4902</v>
      </c>
      <c r="V344" s="156">
        <v>42359</v>
      </c>
    </row>
    <row r="345" spans="3:22" hidden="1">
      <c r="C345" s="156"/>
      <c r="F345" t="s">
        <v>1230</v>
      </c>
      <c r="G345" t="s">
        <v>72</v>
      </c>
      <c r="H345" s="156" t="s">
        <v>6465</v>
      </c>
      <c r="I345" s="156">
        <v>42332</v>
      </c>
      <c r="J345" s="156" t="s">
        <v>4683</v>
      </c>
      <c r="K345">
        <v>17101002</v>
      </c>
      <c r="L345" s="156" t="s">
        <v>6466</v>
      </c>
      <c r="M345" s="156">
        <v>42332</v>
      </c>
      <c r="N345" t="s">
        <v>25</v>
      </c>
      <c r="O345">
        <v>2784.15</v>
      </c>
      <c r="Q345">
        <v>2784.15</v>
      </c>
      <c r="R345">
        <v>1</v>
      </c>
      <c r="S345">
        <v>2784.15</v>
      </c>
      <c r="T345" t="s">
        <v>4665</v>
      </c>
      <c r="U345" t="s">
        <v>5866</v>
      </c>
      <c r="V345" s="156">
        <v>42359</v>
      </c>
    </row>
    <row r="346" spans="3:22" hidden="1">
      <c r="C346" s="156"/>
      <c r="F346" t="s">
        <v>1230</v>
      </c>
      <c r="G346" t="s">
        <v>72</v>
      </c>
      <c r="H346" s="156" t="s">
        <v>6467</v>
      </c>
      <c r="I346" s="156">
        <v>42332</v>
      </c>
      <c r="J346" s="156" t="s">
        <v>4683</v>
      </c>
      <c r="K346">
        <v>17101002</v>
      </c>
      <c r="L346" s="156" t="s">
        <v>6468</v>
      </c>
      <c r="M346" s="156">
        <v>42332</v>
      </c>
      <c r="N346" t="s">
        <v>25</v>
      </c>
      <c r="O346">
        <v>15940.15</v>
      </c>
      <c r="Q346">
        <v>15940.15</v>
      </c>
      <c r="R346">
        <v>1</v>
      </c>
      <c r="S346">
        <v>15940.15</v>
      </c>
      <c r="T346" t="s">
        <v>4665</v>
      </c>
      <c r="U346" t="s">
        <v>5321</v>
      </c>
      <c r="V346" s="156">
        <v>42359</v>
      </c>
    </row>
    <row r="347" spans="3:22" hidden="1">
      <c r="C347" s="156"/>
      <c r="F347" t="s">
        <v>1230</v>
      </c>
      <c r="G347" t="s">
        <v>72</v>
      </c>
      <c r="H347" s="156" t="s">
        <v>4903</v>
      </c>
      <c r="I347" s="156">
        <v>42102</v>
      </c>
      <c r="J347" s="156" t="s">
        <v>4683</v>
      </c>
      <c r="K347">
        <v>17101002</v>
      </c>
      <c r="L347" s="156" t="s">
        <v>4904</v>
      </c>
      <c r="M347" s="156">
        <v>42102</v>
      </c>
      <c r="N347" t="s">
        <v>25</v>
      </c>
      <c r="O347">
        <v>350</v>
      </c>
      <c r="Q347">
        <v>350</v>
      </c>
      <c r="R347">
        <v>1</v>
      </c>
      <c r="S347">
        <v>350</v>
      </c>
      <c r="T347" t="s">
        <v>4665</v>
      </c>
      <c r="U347" t="s">
        <v>4905</v>
      </c>
      <c r="V347" s="156">
        <v>42359</v>
      </c>
    </row>
    <row r="348" spans="3:22" hidden="1">
      <c r="C348" s="156"/>
      <c r="F348" t="s">
        <v>1230</v>
      </c>
      <c r="G348" t="s">
        <v>72</v>
      </c>
      <c r="H348" s="156" t="s">
        <v>6469</v>
      </c>
      <c r="I348" s="156">
        <v>42345</v>
      </c>
      <c r="J348" s="156" t="s">
        <v>4683</v>
      </c>
      <c r="K348">
        <v>17101002</v>
      </c>
      <c r="L348" s="156" t="s">
        <v>6470</v>
      </c>
      <c r="M348" s="156">
        <v>42345</v>
      </c>
      <c r="N348" t="s">
        <v>25</v>
      </c>
      <c r="O348">
        <v>19537.349999999999</v>
      </c>
      <c r="Q348">
        <v>19537.349999999999</v>
      </c>
      <c r="R348">
        <v>1</v>
      </c>
      <c r="S348">
        <v>19537.349999999999</v>
      </c>
      <c r="T348" t="s">
        <v>4665</v>
      </c>
      <c r="U348" t="s">
        <v>5321</v>
      </c>
      <c r="V348" s="156">
        <v>42359</v>
      </c>
    </row>
    <row r="349" spans="3:22" hidden="1">
      <c r="C349" s="156"/>
      <c r="F349" t="s">
        <v>1230</v>
      </c>
      <c r="G349" t="s">
        <v>72</v>
      </c>
      <c r="H349" s="156" t="s">
        <v>6471</v>
      </c>
      <c r="I349" s="156">
        <v>42317</v>
      </c>
      <c r="J349" s="156" t="s">
        <v>4683</v>
      </c>
      <c r="K349">
        <v>17101002</v>
      </c>
      <c r="L349" s="156" t="s">
        <v>6472</v>
      </c>
      <c r="M349" s="156">
        <v>42317</v>
      </c>
      <c r="N349" t="s">
        <v>25</v>
      </c>
      <c r="O349">
        <v>30818.85</v>
      </c>
      <c r="Q349">
        <v>30818.85</v>
      </c>
      <c r="R349">
        <v>1</v>
      </c>
      <c r="S349">
        <v>30818.85</v>
      </c>
      <c r="T349" t="s">
        <v>4665</v>
      </c>
      <c r="U349" t="s">
        <v>6342</v>
      </c>
      <c r="V349" s="156">
        <v>42359</v>
      </c>
    </row>
    <row r="350" spans="3:22" hidden="1">
      <c r="C350" s="156"/>
      <c r="F350" t="s">
        <v>1230</v>
      </c>
      <c r="G350" t="s">
        <v>72</v>
      </c>
      <c r="H350" s="156" t="s">
        <v>6473</v>
      </c>
      <c r="I350" s="156">
        <v>42360</v>
      </c>
      <c r="J350" s="156" t="s">
        <v>4683</v>
      </c>
      <c r="K350">
        <v>17101002</v>
      </c>
      <c r="L350" s="156" t="s">
        <v>6474</v>
      </c>
      <c r="M350" s="156">
        <v>42360</v>
      </c>
      <c r="N350" t="s">
        <v>25</v>
      </c>
      <c r="O350">
        <v>35983.5</v>
      </c>
      <c r="Q350">
        <v>35983.5</v>
      </c>
      <c r="R350">
        <v>1</v>
      </c>
      <c r="S350">
        <v>35983.5</v>
      </c>
      <c r="T350" t="s">
        <v>4665</v>
      </c>
      <c r="U350" t="s">
        <v>6172</v>
      </c>
      <c r="V350" s="156">
        <v>42359</v>
      </c>
    </row>
    <row r="351" spans="3:22" hidden="1">
      <c r="C351" s="156"/>
      <c r="F351" t="s">
        <v>1230</v>
      </c>
      <c r="G351" t="s">
        <v>72</v>
      </c>
      <c r="H351" s="156" t="s">
        <v>6475</v>
      </c>
      <c r="I351" s="156">
        <v>42360</v>
      </c>
      <c r="J351" s="156" t="s">
        <v>4683</v>
      </c>
      <c r="K351">
        <v>17101002</v>
      </c>
      <c r="L351" s="156" t="s">
        <v>6476</v>
      </c>
      <c r="M351" s="156">
        <v>42360</v>
      </c>
      <c r="N351" t="s">
        <v>25</v>
      </c>
      <c r="O351">
        <v>19531.599999999999</v>
      </c>
      <c r="Q351">
        <v>19531.599999999999</v>
      </c>
      <c r="R351">
        <v>1</v>
      </c>
      <c r="S351">
        <v>19531.599999999999</v>
      </c>
      <c r="T351" t="s">
        <v>4665</v>
      </c>
      <c r="U351" t="s">
        <v>6172</v>
      </c>
      <c r="V351" s="156">
        <v>42359</v>
      </c>
    </row>
    <row r="352" spans="3:22" hidden="1">
      <c r="C352" s="156"/>
      <c r="F352" t="s">
        <v>1230</v>
      </c>
      <c r="G352" t="s">
        <v>72</v>
      </c>
      <c r="H352" s="156" t="s">
        <v>4907</v>
      </c>
      <c r="I352" s="156">
        <v>41404</v>
      </c>
      <c r="J352" s="156" t="s">
        <v>4684</v>
      </c>
      <c r="K352">
        <v>11107001</v>
      </c>
      <c r="L352" s="156" t="s">
        <v>4858</v>
      </c>
      <c r="M352" s="156">
        <v>42490</v>
      </c>
      <c r="N352" t="s">
        <v>25</v>
      </c>
      <c r="O352">
        <v>100000</v>
      </c>
      <c r="Q352">
        <v>100000</v>
      </c>
      <c r="R352">
        <v>1</v>
      </c>
      <c r="S352">
        <v>100000</v>
      </c>
      <c r="T352" t="s">
        <v>4651</v>
      </c>
      <c r="U352" t="s">
        <v>4859</v>
      </c>
      <c r="V352" s="156">
        <v>42359</v>
      </c>
    </row>
    <row r="353" spans="3:22" hidden="1">
      <c r="C353" s="156"/>
      <c r="F353" t="s">
        <v>1230</v>
      </c>
      <c r="G353" t="s">
        <v>72</v>
      </c>
      <c r="H353" s="156" t="s">
        <v>5472</v>
      </c>
      <c r="I353" s="156">
        <v>42170</v>
      </c>
      <c r="J353" s="156" t="s">
        <v>5473</v>
      </c>
      <c r="K353">
        <v>11101008</v>
      </c>
      <c r="L353" s="156" t="s">
        <v>5474</v>
      </c>
      <c r="M353" s="156">
        <v>42338</v>
      </c>
      <c r="N353" t="s">
        <v>25</v>
      </c>
      <c r="O353">
        <v>255000</v>
      </c>
      <c r="P353">
        <v>58000</v>
      </c>
      <c r="Q353">
        <v>197000</v>
      </c>
      <c r="R353">
        <v>1</v>
      </c>
      <c r="S353">
        <v>197000</v>
      </c>
      <c r="T353" t="s">
        <v>4716</v>
      </c>
      <c r="U353" t="s">
        <v>5475</v>
      </c>
      <c r="V353" s="156">
        <v>42359</v>
      </c>
    </row>
    <row r="354" spans="3:22" hidden="1">
      <c r="C354" s="156"/>
      <c r="F354" t="s">
        <v>1230</v>
      </c>
      <c r="G354" t="s">
        <v>1012</v>
      </c>
      <c r="H354" s="156" t="s">
        <v>4908</v>
      </c>
      <c r="I354" s="156">
        <v>42061</v>
      </c>
      <c r="J354" s="156" t="s">
        <v>4739</v>
      </c>
      <c r="K354">
        <v>11107001</v>
      </c>
      <c r="L354" s="156" t="s">
        <v>4740</v>
      </c>
      <c r="M354" s="156">
        <v>43342</v>
      </c>
      <c r="N354" t="s">
        <v>25</v>
      </c>
      <c r="O354">
        <v>95000</v>
      </c>
      <c r="Q354">
        <v>95000</v>
      </c>
      <c r="R354">
        <v>1</v>
      </c>
      <c r="S354">
        <v>95000</v>
      </c>
      <c r="T354" t="s">
        <v>4651</v>
      </c>
      <c r="U354" t="s">
        <v>4741</v>
      </c>
      <c r="V354" s="156">
        <v>42359</v>
      </c>
    </row>
    <row r="355" spans="3:22" hidden="1">
      <c r="C355" s="156"/>
      <c r="F355" t="s">
        <v>1230</v>
      </c>
      <c r="G355" t="s">
        <v>76</v>
      </c>
      <c r="H355" s="156" t="s">
        <v>6477</v>
      </c>
      <c r="I355" s="156">
        <v>42326</v>
      </c>
      <c r="J355" s="156" t="s">
        <v>6077</v>
      </c>
      <c r="K355">
        <v>19101012</v>
      </c>
      <c r="L355" s="156" t="s">
        <v>6478</v>
      </c>
      <c r="M355" s="156">
        <v>42326</v>
      </c>
      <c r="N355" t="s">
        <v>25</v>
      </c>
      <c r="O355">
        <v>64027.88</v>
      </c>
      <c r="P355">
        <v>46790.9</v>
      </c>
      <c r="Q355">
        <v>17236.98</v>
      </c>
      <c r="R355">
        <v>1</v>
      </c>
      <c r="S355">
        <v>17236.98</v>
      </c>
      <c r="T355" t="s">
        <v>4664</v>
      </c>
      <c r="V355" s="156">
        <v>42359</v>
      </c>
    </row>
    <row r="356" spans="3:22" hidden="1">
      <c r="C356" s="156"/>
      <c r="F356" t="s">
        <v>1230</v>
      </c>
      <c r="G356" t="s">
        <v>72</v>
      </c>
      <c r="H356" s="156" t="s">
        <v>6479</v>
      </c>
      <c r="I356" s="156">
        <v>42342</v>
      </c>
      <c r="J356" s="156" t="s">
        <v>4743</v>
      </c>
      <c r="K356">
        <v>17101003</v>
      </c>
      <c r="L356" s="156" t="s">
        <v>6166</v>
      </c>
      <c r="M356" s="156">
        <v>42342</v>
      </c>
      <c r="N356" t="s">
        <v>25</v>
      </c>
      <c r="O356">
        <v>677.25</v>
      </c>
      <c r="Q356">
        <v>677.25</v>
      </c>
      <c r="R356">
        <v>1</v>
      </c>
      <c r="S356">
        <v>677.25</v>
      </c>
      <c r="T356" t="s">
        <v>4663</v>
      </c>
      <c r="U356" t="s">
        <v>5953</v>
      </c>
      <c r="V356" s="156">
        <v>42359</v>
      </c>
    </row>
    <row r="357" spans="3:22" hidden="1">
      <c r="C357" s="156"/>
      <c r="F357" t="s">
        <v>1230</v>
      </c>
      <c r="G357" t="s">
        <v>72</v>
      </c>
      <c r="H357" s="156" t="s">
        <v>4909</v>
      </c>
      <c r="I357" s="156">
        <v>41988</v>
      </c>
      <c r="J357" s="156" t="s">
        <v>4523</v>
      </c>
      <c r="K357">
        <v>11101018</v>
      </c>
      <c r="L357" s="156" t="s">
        <v>4910</v>
      </c>
      <c r="M357" s="156">
        <v>42078</v>
      </c>
      <c r="N357" t="s">
        <v>25</v>
      </c>
      <c r="O357">
        <v>6988.8</v>
      </c>
      <c r="P357">
        <v>0</v>
      </c>
      <c r="Q357">
        <v>6988.8</v>
      </c>
      <c r="R357">
        <v>1</v>
      </c>
      <c r="S357">
        <v>6988.8</v>
      </c>
      <c r="T357" t="s">
        <v>4708</v>
      </c>
      <c r="U357" t="s">
        <v>4911</v>
      </c>
      <c r="V357" s="156">
        <v>42359</v>
      </c>
    </row>
    <row r="358" spans="3:22" hidden="1">
      <c r="C358" s="156"/>
      <c r="F358" t="s">
        <v>1230</v>
      </c>
      <c r="G358" t="s">
        <v>71</v>
      </c>
      <c r="H358" s="156" t="s">
        <v>4947</v>
      </c>
      <c r="I358" s="156">
        <v>42082</v>
      </c>
      <c r="J358" s="156" t="s">
        <v>4752</v>
      </c>
      <c r="K358">
        <v>17101002</v>
      </c>
      <c r="L358" s="156" t="s">
        <v>4948</v>
      </c>
      <c r="M358" s="156">
        <v>42082</v>
      </c>
      <c r="N358" t="s">
        <v>25</v>
      </c>
      <c r="O358">
        <v>870</v>
      </c>
      <c r="P358">
        <v>30</v>
      </c>
      <c r="Q358">
        <v>840</v>
      </c>
      <c r="R358">
        <v>1</v>
      </c>
      <c r="S358">
        <v>840</v>
      </c>
      <c r="T358" t="s">
        <v>4665</v>
      </c>
      <c r="U358" t="s">
        <v>4949</v>
      </c>
      <c r="V358" s="156">
        <v>42359</v>
      </c>
    </row>
    <row r="359" spans="3:22" hidden="1">
      <c r="C359" s="156"/>
      <c r="F359" t="s">
        <v>1230</v>
      </c>
      <c r="G359" t="s">
        <v>72</v>
      </c>
      <c r="H359" s="156" t="s">
        <v>6480</v>
      </c>
      <c r="I359" s="156">
        <v>42325</v>
      </c>
      <c r="J359" s="156" t="s">
        <v>4785</v>
      </c>
      <c r="K359">
        <v>17101003</v>
      </c>
      <c r="L359" s="156" t="s">
        <v>6114</v>
      </c>
      <c r="M359" s="156">
        <v>42325</v>
      </c>
      <c r="N359" t="s">
        <v>25</v>
      </c>
      <c r="O359">
        <v>904.5</v>
      </c>
      <c r="Q359">
        <v>904.5</v>
      </c>
      <c r="R359">
        <v>1</v>
      </c>
      <c r="S359">
        <v>904.5</v>
      </c>
      <c r="T359" t="s">
        <v>4663</v>
      </c>
      <c r="U359" t="s">
        <v>6115</v>
      </c>
      <c r="V359" s="156">
        <v>42359</v>
      </c>
    </row>
    <row r="360" spans="3:22" hidden="1">
      <c r="C360" s="156"/>
      <c r="F360" t="s">
        <v>1230</v>
      </c>
      <c r="G360" t="s">
        <v>72</v>
      </c>
      <c r="H360" s="156" t="s">
        <v>4912</v>
      </c>
      <c r="I360" s="156">
        <v>41113</v>
      </c>
      <c r="J360" s="156" t="s">
        <v>4913</v>
      </c>
      <c r="K360">
        <v>11107001</v>
      </c>
      <c r="L360" s="156" t="s">
        <v>4914</v>
      </c>
      <c r="M360" s="156">
        <v>41263</v>
      </c>
      <c r="N360" t="s">
        <v>25</v>
      </c>
      <c r="O360">
        <v>50000</v>
      </c>
      <c r="P360">
        <v>3827.55</v>
      </c>
      <c r="Q360">
        <v>46172.45</v>
      </c>
      <c r="R360">
        <v>1</v>
      </c>
      <c r="S360">
        <v>46172.45</v>
      </c>
      <c r="T360" t="s">
        <v>4651</v>
      </c>
      <c r="U360" t="s">
        <v>4915</v>
      </c>
      <c r="V360" s="156">
        <v>42359</v>
      </c>
    </row>
    <row r="361" spans="3:22" hidden="1">
      <c r="C361" s="156"/>
      <c r="F361" t="s">
        <v>1230</v>
      </c>
      <c r="G361" t="s">
        <v>71</v>
      </c>
      <c r="H361" s="156" t="s">
        <v>5332</v>
      </c>
      <c r="I361" s="156">
        <v>42144</v>
      </c>
      <c r="J361" s="156" t="s">
        <v>4754</v>
      </c>
      <c r="K361">
        <v>17101002</v>
      </c>
      <c r="L361" s="156" t="s">
        <v>5333</v>
      </c>
      <c r="M361" s="156">
        <v>42144</v>
      </c>
      <c r="N361" t="s">
        <v>25</v>
      </c>
      <c r="O361">
        <v>547.46</v>
      </c>
      <c r="Q361">
        <v>547.46</v>
      </c>
      <c r="R361">
        <v>1</v>
      </c>
      <c r="S361">
        <v>547.46</v>
      </c>
      <c r="T361" t="s">
        <v>4665</v>
      </c>
      <c r="U361" t="s">
        <v>5334</v>
      </c>
      <c r="V361" s="156">
        <v>42359</v>
      </c>
    </row>
    <row r="362" spans="3:22" hidden="1">
      <c r="C362" s="156"/>
      <c r="F362" t="s">
        <v>1230</v>
      </c>
      <c r="G362" t="s">
        <v>72</v>
      </c>
      <c r="H362" s="156" t="s">
        <v>4796</v>
      </c>
      <c r="I362" s="156">
        <v>42248</v>
      </c>
      <c r="J362" s="156" t="s">
        <v>4797</v>
      </c>
      <c r="K362">
        <v>11107001</v>
      </c>
      <c r="L362" s="156" t="s">
        <v>4798</v>
      </c>
      <c r="M362" s="156">
        <v>42668</v>
      </c>
      <c r="N362" t="s">
        <v>25</v>
      </c>
      <c r="O362">
        <v>45000</v>
      </c>
      <c r="Q362">
        <v>45000</v>
      </c>
      <c r="R362">
        <v>1</v>
      </c>
      <c r="S362">
        <v>45000</v>
      </c>
      <c r="T362" t="s">
        <v>4651</v>
      </c>
      <c r="U362" t="s">
        <v>4799</v>
      </c>
      <c r="V362" s="156">
        <v>42359</v>
      </c>
    </row>
    <row r="363" spans="3:22" hidden="1">
      <c r="C363" s="156"/>
      <c r="F363" t="s">
        <v>1230</v>
      </c>
      <c r="G363" t="s">
        <v>72</v>
      </c>
      <c r="H363" s="156" t="s">
        <v>6481</v>
      </c>
      <c r="I363" s="156">
        <v>42355</v>
      </c>
      <c r="J363" s="156" t="s">
        <v>6482</v>
      </c>
      <c r="K363">
        <v>11101018</v>
      </c>
      <c r="L363" s="156" t="s">
        <v>6328</v>
      </c>
      <c r="M363" s="156">
        <v>42401</v>
      </c>
      <c r="N363" t="s">
        <v>25</v>
      </c>
      <c r="O363">
        <v>17480</v>
      </c>
      <c r="P363">
        <v>0</v>
      </c>
      <c r="Q363">
        <v>17480</v>
      </c>
      <c r="R363">
        <v>1</v>
      </c>
      <c r="S363">
        <v>17480</v>
      </c>
      <c r="T363" t="s">
        <v>4708</v>
      </c>
      <c r="U363" t="s">
        <v>6483</v>
      </c>
      <c r="V363" s="156">
        <v>42359</v>
      </c>
    </row>
    <row r="364" spans="3:22" hidden="1">
      <c r="C364" s="156"/>
      <c r="F364" t="s">
        <v>1230</v>
      </c>
      <c r="G364" t="s">
        <v>72</v>
      </c>
      <c r="H364" s="156" t="s">
        <v>4917</v>
      </c>
      <c r="I364" s="156">
        <v>41848</v>
      </c>
      <c r="J364" s="156" t="s">
        <v>4815</v>
      </c>
      <c r="K364">
        <v>11107001</v>
      </c>
      <c r="L364" s="156" t="s">
        <v>4918</v>
      </c>
      <c r="M364" s="156">
        <v>41973</v>
      </c>
      <c r="N364" t="s">
        <v>25</v>
      </c>
      <c r="O364">
        <v>3750</v>
      </c>
      <c r="Q364">
        <v>3750</v>
      </c>
      <c r="R364">
        <v>1</v>
      </c>
      <c r="S364">
        <v>3750</v>
      </c>
      <c r="T364" t="s">
        <v>4651</v>
      </c>
      <c r="U364" t="s">
        <v>4659</v>
      </c>
      <c r="V364" s="156">
        <v>42359</v>
      </c>
    </row>
    <row r="365" spans="3:22" hidden="1">
      <c r="C365" s="156"/>
      <c r="F365" t="s">
        <v>1230</v>
      </c>
      <c r="G365" t="s">
        <v>71</v>
      </c>
      <c r="H365" s="156" t="s">
        <v>6484</v>
      </c>
      <c r="I365" s="156">
        <v>42312</v>
      </c>
      <c r="J365" s="156" t="s">
        <v>5656</v>
      </c>
      <c r="K365">
        <v>17101002</v>
      </c>
      <c r="L365" s="156" t="s">
        <v>6184</v>
      </c>
      <c r="M365" s="156">
        <v>42312</v>
      </c>
      <c r="N365" t="s">
        <v>25</v>
      </c>
      <c r="O365">
        <v>2492.8000000000002</v>
      </c>
      <c r="Q365">
        <v>2492.8000000000002</v>
      </c>
      <c r="R365">
        <v>1</v>
      </c>
      <c r="S365">
        <v>2492.8000000000002</v>
      </c>
      <c r="T365" t="s">
        <v>4665</v>
      </c>
      <c r="U365" t="s">
        <v>6485</v>
      </c>
      <c r="V365" s="156">
        <v>42359</v>
      </c>
    </row>
    <row r="366" spans="3:22" hidden="1">
      <c r="C366" s="156"/>
      <c r="F366" t="s">
        <v>1230</v>
      </c>
      <c r="G366" t="s">
        <v>72</v>
      </c>
      <c r="H366" s="156" t="s">
        <v>6486</v>
      </c>
      <c r="I366" s="156">
        <v>42359</v>
      </c>
      <c r="J366" s="156" t="s">
        <v>5656</v>
      </c>
      <c r="K366">
        <v>11101006</v>
      </c>
      <c r="L366" s="156" t="s">
        <v>6487</v>
      </c>
      <c r="M366" s="156">
        <v>42444</v>
      </c>
      <c r="N366" t="s">
        <v>25</v>
      </c>
      <c r="O366">
        <v>150000</v>
      </c>
      <c r="P366">
        <v>0</v>
      </c>
      <c r="Q366">
        <v>150000</v>
      </c>
      <c r="R366">
        <v>1</v>
      </c>
      <c r="S366">
        <v>150000</v>
      </c>
      <c r="T366" t="s">
        <v>5934</v>
      </c>
      <c r="U366" t="s">
        <v>6088</v>
      </c>
      <c r="V366" s="156">
        <v>42359</v>
      </c>
    </row>
    <row r="367" spans="3:22" hidden="1">
      <c r="C367" s="156"/>
      <c r="F367" t="s">
        <v>1230</v>
      </c>
      <c r="G367" t="s">
        <v>72</v>
      </c>
      <c r="H367" s="156" t="s">
        <v>6488</v>
      </c>
      <c r="I367" s="156">
        <v>42359</v>
      </c>
      <c r="J367" s="156" t="s">
        <v>5656</v>
      </c>
      <c r="K367">
        <v>11101008</v>
      </c>
      <c r="L367" s="156" t="s">
        <v>6489</v>
      </c>
      <c r="M367" s="156">
        <v>42444</v>
      </c>
      <c r="N367" t="s">
        <v>25</v>
      </c>
      <c r="O367">
        <v>30000</v>
      </c>
      <c r="P367">
        <v>0</v>
      </c>
      <c r="Q367">
        <v>30000</v>
      </c>
      <c r="R367">
        <v>1</v>
      </c>
      <c r="S367">
        <v>30000</v>
      </c>
      <c r="T367" t="s">
        <v>5934</v>
      </c>
      <c r="U367" t="s">
        <v>6088</v>
      </c>
      <c r="V367" s="156">
        <v>42359</v>
      </c>
    </row>
    <row r="368" spans="3:22" hidden="1">
      <c r="C368" s="156"/>
      <c r="F368" t="s">
        <v>1230</v>
      </c>
      <c r="G368" t="s">
        <v>72</v>
      </c>
      <c r="H368" s="156" t="s">
        <v>6490</v>
      </c>
      <c r="I368" s="156">
        <v>42359</v>
      </c>
      <c r="J368" s="156" t="s">
        <v>5656</v>
      </c>
      <c r="K368">
        <v>11101005</v>
      </c>
      <c r="L368" s="156" t="s">
        <v>6491</v>
      </c>
      <c r="M368" s="156">
        <v>42444</v>
      </c>
      <c r="N368" t="s">
        <v>25</v>
      </c>
      <c r="O368">
        <v>100000</v>
      </c>
      <c r="P368">
        <v>0</v>
      </c>
      <c r="Q368">
        <v>100000</v>
      </c>
      <c r="R368">
        <v>1</v>
      </c>
      <c r="S368">
        <v>100000</v>
      </c>
      <c r="T368" t="s">
        <v>4709</v>
      </c>
      <c r="U368" t="s">
        <v>6088</v>
      </c>
      <c r="V368" s="156">
        <v>42359</v>
      </c>
    </row>
    <row r="369" spans="3:22" hidden="1">
      <c r="C369" s="156"/>
      <c r="F369" t="s">
        <v>1230</v>
      </c>
      <c r="G369" t="s">
        <v>1012</v>
      </c>
      <c r="H369" s="156" t="s">
        <v>4920</v>
      </c>
      <c r="I369" s="156">
        <v>42055</v>
      </c>
      <c r="J369" s="156" t="s">
        <v>4921</v>
      </c>
      <c r="K369">
        <v>11107001</v>
      </c>
      <c r="L369" s="156" t="s">
        <v>4740</v>
      </c>
      <c r="M369" s="156">
        <v>42520</v>
      </c>
      <c r="N369" t="s">
        <v>25</v>
      </c>
      <c r="O369">
        <v>25000</v>
      </c>
      <c r="Q369">
        <v>25000</v>
      </c>
      <c r="R369">
        <v>1</v>
      </c>
      <c r="S369">
        <v>25000</v>
      </c>
      <c r="T369" t="s">
        <v>4651</v>
      </c>
      <c r="U369" t="s">
        <v>4922</v>
      </c>
      <c r="V369" s="156">
        <v>42359</v>
      </c>
    </row>
    <row r="370" spans="3:22" hidden="1">
      <c r="C370" s="156"/>
      <c r="F370" t="s">
        <v>1230</v>
      </c>
      <c r="G370" t="s">
        <v>73</v>
      </c>
      <c r="H370" s="156" t="s">
        <v>4924</v>
      </c>
      <c r="I370" s="156">
        <v>42051</v>
      </c>
      <c r="J370" s="156" t="s">
        <v>4849</v>
      </c>
      <c r="K370">
        <v>11107001</v>
      </c>
      <c r="L370" s="156" t="s">
        <v>4850</v>
      </c>
      <c r="M370" s="156">
        <v>42520</v>
      </c>
      <c r="N370" t="s">
        <v>25</v>
      </c>
      <c r="O370">
        <v>30000</v>
      </c>
      <c r="Q370">
        <v>30000</v>
      </c>
      <c r="R370">
        <v>1</v>
      </c>
      <c r="S370">
        <v>30000</v>
      </c>
      <c r="T370" t="s">
        <v>4651</v>
      </c>
      <c r="U370" t="s">
        <v>4851</v>
      </c>
      <c r="V370" s="156">
        <v>42359</v>
      </c>
    </row>
    <row r="371" spans="3:22" hidden="1">
      <c r="C371" s="156"/>
      <c r="F371" t="s">
        <v>1230</v>
      </c>
      <c r="G371" t="s">
        <v>71</v>
      </c>
      <c r="H371" s="156" t="s">
        <v>6492</v>
      </c>
      <c r="I371" s="156">
        <v>42333</v>
      </c>
      <c r="J371" s="156" t="s">
        <v>6493</v>
      </c>
      <c r="K371">
        <v>17101002</v>
      </c>
      <c r="L371" s="156" t="s">
        <v>6494</v>
      </c>
      <c r="M371" s="156">
        <v>42333</v>
      </c>
      <c r="N371" t="s">
        <v>25</v>
      </c>
      <c r="O371">
        <v>10000</v>
      </c>
      <c r="Q371">
        <v>10000</v>
      </c>
      <c r="R371">
        <v>1</v>
      </c>
      <c r="S371">
        <v>10000</v>
      </c>
      <c r="T371" t="s">
        <v>4665</v>
      </c>
      <c r="U371" t="s">
        <v>6495</v>
      </c>
      <c r="V371" s="156">
        <v>42359</v>
      </c>
    </row>
    <row r="372" spans="3:22" hidden="1">
      <c r="C372" s="156"/>
      <c r="F372" t="s">
        <v>1230</v>
      </c>
      <c r="G372" t="s">
        <v>71</v>
      </c>
      <c r="H372" s="156" t="s">
        <v>5542</v>
      </c>
      <c r="I372" s="156">
        <v>42188</v>
      </c>
      <c r="J372" s="156" t="s">
        <v>5543</v>
      </c>
      <c r="K372">
        <v>17101002</v>
      </c>
      <c r="L372" s="156" t="s">
        <v>5544</v>
      </c>
      <c r="M372" s="156">
        <v>42188</v>
      </c>
      <c r="N372" t="s">
        <v>25</v>
      </c>
      <c r="O372">
        <v>7597</v>
      </c>
      <c r="Q372">
        <v>7597</v>
      </c>
      <c r="R372">
        <v>1</v>
      </c>
      <c r="S372">
        <v>7597</v>
      </c>
      <c r="T372" t="s">
        <v>4665</v>
      </c>
      <c r="U372" t="s">
        <v>5545</v>
      </c>
      <c r="V372" s="156">
        <v>42359</v>
      </c>
    </row>
    <row r="373" spans="3:22" hidden="1">
      <c r="C373" s="156"/>
      <c r="F373" t="s">
        <v>1230</v>
      </c>
      <c r="G373" t="s">
        <v>72</v>
      </c>
      <c r="H373" s="156" t="s">
        <v>6496</v>
      </c>
      <c r="I373" s="156">
        <v>42348</v>
      </c>
      <c r="J373" s="156" t="s">
        <v>6497</v>
      </c>
      <c r="K373">
        <v>11101020</v>
      </c>
      <c r="L373" s="156" t="s">
        <v>4740</v>
      </c>
      <c r="M373" s="156">
        <v>42400</v>
      </c>
      <c r="N373" t="s">
        <v>25</v>
      </c>
      <c r="O373">
        <v>49265</v>
      </c>
      <c r="P373">
        <v>48300</v>
      </c>
      <c r="Q373">
        <v>965</v>
      </c>
      <c r="R373">
        <v>1</v>
      </c>
      <c r="S373">
        <v>965</v>
      </c>
      <c r="T373" t="s">
        <v>6498</v>
      </c>
      <c r="U373" t="s">
        <v>6499</v>
      </c>
      <c r="V373" s="156">
        <v>42359</v>
      </c>
    </row>
    <row r="374" spans="3:22" hidden="1">
      <c r="C374" s="156"/>
      <c r="F374" t="s">
        <v>1230</v>
      </c>
      <c r="G374" t="s">
        <v>71</v>
      </c>
      <c r="H374" s="156" t="s">
        <v>5068</v>
      </c>
      <c r="I374" s="156">
        <v>42121</v>
      </c>
      <c r="J374" s="156" t="s">
        <v>5069</v>
      </c>
      <c r="K374">
        <v>17101002</v>
      </c>
      <c r="L374" s="156" t="s">
        <v>4813</v>
      </c>
      <c r="M374" s="156">
        <v>42121</v>
      </c>
      <c r="N374" t="s">
        <v>25</v>
      </c>
      <c r="O374">
        <v>1730.4</v>
      </c>
      <c r="P374">
        <v>587</v>
      </c>
      <c r="Q374">
        <v>1143.4000000000001</v>
      </c>
      <c r="R374">
        <v>1</v>
      </c>
      <c r="S374">
        <v>1143.4000000000001</v>
      </c>
      <c r="T374" t="s">
        <v>4665</v>
      </c>
      <c r="U374" t="s">
        <v>5070</v>
      </c>
      <c r="V374" s="156">
        <v>42359</v>
      </c>
    </row>
    <row r="375" spans="3:22" hidden="1">
      <c r="C375" s="156"/>
      <c r="F375" t="s">
        <v>1230</v>
      </c>
      <c r="G375" t="s">
        <v>72</v>
      </c>
      <c r="H375" s="156" t="s">
        <v>5674</v>
      </c>
      <c r="I375" s="156">
        <v>42230</v>
      </c>
      <c r="J375" s="156" t="s">
        <v>5675</v>
      </c>
      <c r="K375">
        <v>11101009</v>
      </c>
      <c r="L375" s="156" t="s">
        <v>5676</v>
      </c>
      <c r="M375" s="156">
        <v>42236</v>
      </c>
      <c r="N375" t="s">
        <v>25</v>
      </c>
      <c r="O375">
        <v>34469.4</v>
      </c>
      <c r="P375">
        <v>0</v>
      </c>
      <c r="Q375">
        <v>34469.4</v>
      </c>
      <c r="R375">
        <v>1</v>
      </c>
      <c r="S375">
        <v>34469.4</v>
      </c>
      <c r="T375" t="s">
        <v>4675</v>
      </c>
      <c r="U375" t="s">
        <v>5677</v>
      </c>
      <c r="V375" s="156">
        <v>42359</v>
      </c>
    </row>
    <row r="376" spans="3:22" hidden="1">
      <c r="C376" s="156"/>
      <c r="F376" t="s">
        <v>1230</v>
      </c>
      <c r="G376" t="s">
        <v>72</v>
      </c>
      <c r="H376" s="156" t="s">
        <v>5944</v>
      </c>
      <c r="I376" s="156">
        <v>42284</v>
      </c>
      <c r="J376" s="156" t="s">
        <v>1469</v>
      </c>
      <c r="K376">
        <v>11101004</v>
      </c>
      <c r="L376" s="156" t="s">
        <v>5945</v>
      </c>
      <c r="M376" s="156">
        <v>42338</v>
      </c>
      <c r="N376" t="s">
        <v>22</v>
      </c>
      <c r="O376">
        <v>167325</v>
      </c>
      <c r="P376">
        <v>0</v>
      </c>
      <c r="Q376">
        <v>167325</v>
      </c>
      <c r="R376">
        <v>3.9062000000000001</v>
      </c>
      <c r="S376">
        <v>653604.91500000004</v>
      </c>
      <c r="T376" t="s">
        <v>4647</v>
      </c>
      <c r="U376" t="s">
        <v>5946</v>
      </c>
      <c r="V376" s="156">
        <v>42359</v>
      </c>
    </row>
    <row r="377" spans="3:22" hidden="1">
      <c r="C377" s="156"/>
      <c r="F377" t="s">
        <v>1230</v>
      </c>
      <c r="G377" t="s">
        <v>73</v>
      </c>
      <c r="H377" s="156" t="s">
        <v>5870</v>
      </c>
      <c r="I377" s="156">
        <v>42371</v>
      </c>
      <c r="J377" s="156" t="s">
        <v>4516</v>
      </c>
      <c r="K377">
        <v>11101005</v>
      </c>
      <c r="L377" s="156" t="s">
        <v>5846</v>
      </c>
      <c r="M377" s="156">
        <v>42674</v>
      </c>
      <c r="N377" t="s">
        <v>25</v>
      </c>
      <c r="O377">
        <v>1856300</v>
      </c>
      <c r="Q377">
        <v>1856300</v>
      </c>
      <c r="R377">
        <v>1</v>
      </c>
      <c r="S377">
        <v>1856300</v>
      </c>
      <c r="T377" t="s">
        <v>4709</v>
      </c>
      <c r="U377" t="s">
        <v>5847</v>
      </c>
      <c r="V377" s="156">
        <v>42359</v>
      </c>
    </row>
    <row r="378" spans="3:22" hidden="1">
      <c r="C378" s="156"/>
      <c r="F378" t="s">
        <v>1230</v>
      </c>
      <c r="G378" t="s">
        <v>73</v>
      </c>
      <c r="H378" s="156" t="s">
        <v>5848</v>
      </c>
      <c r="I378" s="156">
        <v>42371</v>
      </c>
      <c r="J378" s="156" t="s">
        <v>4516</v>
      </c>
      <c r="K378">
        <v>11101005</v>
      </c>
      <c r="L378" s="156" t="s">
        <v>5849</v>
      </c>
      <c r="M378" s="156">
        <v>42612</v>
      </c>
      <c r="N378" t="s">
        <v>25</v>
      </c>
      <c r="O378">
        <v>2051700</v>
      </c>
      <c r="Q378">
        <v>2051700</v>
      </c>
      <c r="R378">
        <v>1</v>
      </c>
      <c r="S378">
        <v>2051700</v>
      </c>
      <c r="T378" t="s">
        <v>4709</v>
      </c>
      <c r="U378" t="s">
        <v>5850</v>
      </c>
      <c r="V378" s="156">
        <v>42359</v>
      </c>
    </row>
    <row r="379" spans="3:22" hidden="1">
      <c r="C379" s="156"/>
      <c r="F379" t="s">
        <v>1230</v>
      </c>
      <c r="G379" t="s">
        <v>72</v>
      </c>
      <c r="H379" s="156" t="s">
        <v>5897</v>
      </c>
      <c r="I379" s="156">
        <v>42371</v>
      </c>
      <c r="J379" s="156" t="s">
        <v>4516</v>
      </c>
      <c r="K379">
        <v>11101005</v>
      </c>
      <c r="L379" s="156" t="s">
        <v>5855</v>
      </c>
      <c r="M379" s="156">
        <v>42643</v>
      </c>
      <c r="N379" t="s">
        <v>25</v>
      </c>
      <c r="O379">
        <v>141450</v>
      </c>
      <c r="P379">
        <v>0</v>
      </c>
      <c r="Q379">
        <v>141450</v>
      </c>
      <c r="R379">
        <v>1</v>
      </c>
      <c r="S379">
        <v>141450</v>
      </c>
      <c r="T379" t="s">
        <v>4709</v>
      </c>
      <c r="U379" t="s">
        <v>5856</v>
      </c>
      <c r="V379" s="156">
        <v>42359</v>
      </c>
    </row>
    <row r="380" spans="3:22" hidden="1">
      <c r="C380" s="156"/>
      <c r="F380" t="s">
        <v>1230</v>
      </c>
      <c r="G380" t="s">
        <v>72</v>
      </c>
      <c r="H380" s="156" t="s">
        <v>5948</v>
      </c>
      <c r="I380" s="156">
        <v>42371</v>
      </c>
      <c r="J380" s="156" t="s">
        <v>4516</v>
      </c>
      <c r="K380">
        <v>11101005</v>
      </c>
      <c r="L380" s="156" t="s">
        <v>5929</v>
      </c>
      <c r="M380" s="156">
        <v>42612</v>
      </c>
      <c r="N380" t="s">
        <v>25</v>
      </c>
      <c r="O380">
        <v>141450</v>
      </c>
      <c r="P380">
        <v>0</v>
      </c>
      <c r="Q380">
        <v>141450</v>
      </c>
      <c r="R380">
        <v>1</v>
      </c>
      <c r="S380">
        <v>141450</v>
      </c>
      <c r="T380" t="s">
        <v>4709</v>
      </c>
      <c r="U380" t="s">
        <v>5856</v>
      </c>
      <c r="V380" s="156">
        <v>42359</v>
      </c>
    </row>
    <row r="381" spans="3:22" hidden="1">
      <c r="C381" s="156"/>
      <c r="F381" t="s">
        <v>1230</v>
      </c>
      <c r="G381" t="s">
        <v>72</v>
      </c>
      <c r="H381" s="156" t="s">
        <v>5871</v>
      </c>
      <c r="I381" s="156">
        <v>42371</v>
      </c>
      <c r="J381" s="156" t="s">
        <v>4516</v>
      </c>
      <c r="K381">
        <v>11101001</v>
      </c>
      <c r="L381" s="156" t="s">
        <v>5858</v>
      </c>
      <c r="M381" s="156">
        <v>42453</v>
      </c>
      <c r="N381" t="s">
        <v>25</v>
      </c>
      <c r="O381">
        <v>242945.57</v>
      </c>
      <c r="P381">
        <v>0</v>
      </c>
      <c r="Q381">
        <v>242945.57</v>
      </c>
      <c r="R381">
        <v>1</v>
      </c>
      <c r="S381">
        <v>242945.57</v>
      </c>
      <c r="T381" t="s">
        <v>4646</v>
      </c>
      <c r="U381" t="s">
        <v>5872</v>
      </c>
      <c r="V381" s="156">
        <v>42359</v>
      </c>
    </row>
    <row r="382" spans="3:22" hidden="1">
      <c r="C382" s="156"/>
      <c r="F382" t="s">
        <v>1230</v>
      </c>
      <c r="G382" t="s">
        <v>73</v>
      </c>
      <c r="H382" s="156" t="s">
        <v>5932</v>
      </c>
      <c r="I382" s="156">
        <v>42277</v>
      </c>
      <c r="J382" s="156" t="s">
        <v>4518</v>
      </c>
      <c r="K382">
        <v>11101005</v>
      </c>
      <c r="L382" s="156" t="s">
        <v>5933</v>
      </c>
      <c r="M382" s="156">
        <v>42358</v>
      </c>
      <c r="N382" t="s">
        <v>25</v>
      </c>
      <c r="O382">
        <v>114585.67</v>
      </c>
      <c r="P382">
        <v>0</v>
      </c>
      <c r="Q382">
        <v>114585.67</v>
      </c>
      <c r="R382">
        <v>1</v>
      </c>
      <c r="S382">
        <v>114585.67</v>
      </c>
      <c r="T382" t="s">
        <v>5934</v>
      </c>
      <c r="U382" t="s">
        <v>5935</v>
      </c>
      <c r="V382" s="156">
        <v>42359</v>
      </c>
    </row>
    <row r="383" spans="3:22" hidden="1">
      <c r="C383" s="156"/>
      <c r="F383" t="s">
        <v>4823</v>
      </c>
      <c r="G383" t="s">
        <v>5736</v>
      </c>
      <c r="H383" s="156" t="s">
        <v>6500</v>
      </c>
      <c r="I383" s="156">
        <v>42324</v>
      </c>
      <c r="J383" s="156" t="s">
        <v>4767</v>
      </c>
      <c r="K383">
        <v>19105017</v>
      </c>
      <c r="L383" s="156" t="s">
        <v>6501</v>
      </c>
      <c r="M383" s="156">
        <v>42348</v>
      </c>
      <c r="N383" t="s">
        <v>25</v>
      </c>
      <c r="O383">
        <v>2480</v>
      </c>
      <c r="P383">
        <v>0</v>
      </c>
      <c r="Q383">
        <v>2480</v>
      </c>
      <c r="R383">
        <v>1</v>
      </c>
      <c r="S383">
        <v>2480</v>
      </c>
      <c r="T383" t="s">
        <v>4768</v>
      </c>
      <c r="U383" t="s">
        <v>6502</v>
      </c>
      <c r="V383" s="156">
        <v>42359</v>
      </c>
    </row>
    <row r="384" spans="3:22" hidden="1">
      <c r="C384" s="156"/>
      <c r="F384" t="s">
        <v>4823</v>
      </c>
      <c r="G384" t="s">
        <v>5741</v>
      </c>
      <c r="H384" s="156" t="s">
        <v>6503</v>
      </c>
      <c r="I384" s="156">
        <v>42335</v>
      </c>
      <c r="J384" s="156" t="s">
        <v>4767</v>
      </c>
      <c r="K384">
        <v>19105017</v>
      </c>
      <c r="L384" s="156" t="s">
        <v>6504</v>
      </c>
      <c r="M384" s="156">
        <v>42358</v>
      </c>
      <c r="N384" t="s">
        <v>25</v>
      </c>
      <c r="O384">
        <v>248</v>
      </c>
      <c r="P384">
        <v>0</v>
      </c>
      <c r="Q384">
        <v>248</v>
      </c>
      <c r="R384">
        <v>1</v>
      </c>
      <c r="S384">
        <v>248</v>
      </c>
      <c r="T384" t="s">
        <v>4768</v>
      </c>
      <c r="U384" t="s">
        <v>6505</v>
      </c>
      <c r="V384" s="156">
        <v>42359</v>
      </c>
    </row>
    <row r="385" spans="3:22" hidden="1">
      <c r="C385" s="156"/>
      <c r="F385" t="s">
        <v>5046</v>
      </c>
      <c r="G385" t="s">
        <v>71</v>
      </c>
      <c r="H385" s="156" t="s">
        <v>6506</v>
      </c>
      <c r="I385" s="156">
        <v>42356</v>
      </c>
      <c r="J385" s="156" t="s">
        <v>4767</v>
      </c>
      <c r="K385">
        <v>19105017</v>
      </c>
      <c r="L385" s="156" t="s">
        <v>6507</v>
      </c>
      <c r="M385" s="156">
        <v>42360</v>
      </c>
      <c r="N385" t="s">
        <v>25</v>
      </c>
      <c r="O385">
        <v>24051.39</v>
      </c>
      <c r="P385">
        <v>0</v>
      </c>
      <c r="Q385">
        <v>24051.39</v>
      </c>
      <c r="R385">
        <v>1</v>
      </c>
      <c r="S385">
        <v>24051.39</v>
      </c>
      <c r="T385" t="s">
        <v>4768</v>
      </c>
      <c r="U385" t="s">
        <v>6508</v>
      </c>
      <c r="V385" s="156">
        <v>42359</v>
      </c>
    </row>
    <row r="386" spans="3:22" hidden="1">
      <c r="C386" s="156"/>
      <c r="F386" t="s">
        <v>1230</v>
      </c>
      <c r="G386" t="s">
        <v>72</v>
      </c>
      <c r="H386" s="156" t="s">
        <v>6509</v>
      </c>
      <c r="I386" s="156">
        <v>42324</v>
      </c>
      <c r="J386" s="156" t="s">
        <v>4767</v>
      </c>
      <c r="K386">
        <v>13106003</v>
      </c>
      <c r="L386" s="156" t="s">
        <v>6510</v>
      </c>
      <c r="M386" s="156">
        <v>42324</v>
      </c>
      <c r="N386" t="s">
        <v>25</v>
      </c>
      <c r="O386">
        <v>73507.7</v>
      </c>
      <c r="Q386">
        <v>73507.7</v>
      </c>
      <c r="R386">
        <v>1</v>
      </c>
      <c r="S386">
        <v>73507.7</v>
      </c>
      <c r="T386" t="s">
        <v>6273</v>
      </c>
      <c r="U386" t="s">
        <v>6274</v>
      </c>
      <c r="V386" s="156">
        <v>42359</v>
      </c>
    </row>
    <row r="387" spans="3:22" hidden="1">
      <c r="C387" s="156"/>
      <c r="F387" t="s">
        <v>1230</v>
      </c>
      <c r="G387" t="s">
        <v>74</v>
      </c>
      <c r="H387" s="156" t="s">
        <v>6511</v>
      </c>
      <c r="I387" s="156">
        <v>42324</v>
      </c>
      <c r="J387" s="156" t="s">
        <v>4767</v>
      </c>
      <c r="K387">
        <v>13106003</v>
      </c>
      <c r="L387" s="156" t="s">
        <v>6510</v>
      </c>
      <c r="M387" s="156">
        <v>42324</v>
      </c>
      <c r="N387" t="s">
        <v>25</v>
      </c>
      <c r="O387">
        <v>25083.33</v>
      </c>
      <c r="Q387">
        <v>25083.33</v>
      </c>
      <c r="R387">
        <v>1</v>
      </c>
      <c r="S387">
        <v>25083.33</v>
      </c>
      <c r="T387" t="s">
        <v>6273</v>
      </c>
      <c r="U387" t="s">
        <v>6274</v>
      </c>
      <c r="V387" s="156">
        <v>42359</v>
      </c>
    </row>
    <row r="388" spans="3:22" hidden="1">
      <c r="C388" s="156"/>
      <c r="F388" t="s">
        <v>1230</v>
      </c>
      <c r="G388" t="s">
        <v>72</v>
      </c>
      <c r="H388" s="156" t="s">
        <v>4930</v>
      </c>
      <c r="I388" s="156">
        <v>41044</v>
      </c>
      <c r="J388" s="156" t="s">
        <v>4649</v>
      </c>
      <c r="K388">
        <v>11107001</v>
      </c>
      <c r="L388" s="156" t="s">
        <v>4711</v>
      </c>
      <c r="M388" s="156">
        <v>43966</v>
      </c>
      <c r="N388" t="s">
        <v>25</v>
      </c>
      <c r="O388">
        <v>28125</v>
      </c>
      <c r="Q388">
        <v>28125</v>
      </c>
      <c r="R388">
        <v>1</v>
      </c>
      <c r="S388">
        <v>28125</v>
      </c>
      <c r="T388" t="s">
        <v>4651</v>
      </c>
      <c r="U388" t="s">
        <v>4659</v>
      </c>
      <c r="V388" s="156">
        <v>42359</v>
      </c>
    </row>
    <row r="389" spans="3:22" hidden="1">
      <c r="C389" s="156"/>
      <c r="F389" t="s">
        <v>1230</v>
      </c>
      <c r="G389" t="s">
        <v>72</v>
      </c>
      <c r="H389" s="156" t="s">
        <v>4931</v>
      </c>
      <c r="I389" s="156">
        <v>41044</v>
      </c>
      <c r="J389" s="156" t="s">
        <v>4649</v>
      </c>
      <c r="K389">
        <v>11107001</v>
      </c>
      <c r="L389" s="156" t="s">
        <v>4655</v>
      </c>
      <c r="M389" s="156">
        <v>42870</v>
      </c>
      <c r="N389" t="s">
        <v>25</v>
      </c>
      <c r="O389">
        <v>28125</v>
      </c>
      <c r="Q389">
        <v>28125</v>
      </c>
      <c r="R389">
        <v>1</v>
      </c>
      <c r="S389">
        <v>28125</v>
      </c>
      <c r="T389" t="s">
        <v>4651</v>
      </c>
      <c r="U389" t="s">
        <v>4656</v>
      </c>
      <c r="V389" s="156">
        <v>42359</v>
      </c>
    </row>
    <row r="390" spans="3:22" hidden="1">
      <c r="C390" s="156"/>
      <c r="F390" t="s">
        <v>1230</v>
      </c>
      <c r="G390" t="s">
        <v>72</v>
      </c>
      <c r="H390" s="156" t="s">
        <v>4932</v>
      </c>
      <c r="I390" s="156">
        <v>41044</v>
      </c>
      <c r="J390" s="156" t="s">
        <v>4649</v>
      </c>
      <c r="K390">
        <v>11107001</v>
      </c>
      <c r="L390" s="156" t="s">
        <v>4658</v>
      </c>
      <c r="M390" s="156">
        <v>43600</v>
      </c>
      <c r="N390" t="s">
        <v>25</v>
      </c>
      <c r="O390">
        <v>28125</v>
      </c>
      <c r="Q390">
        <v>28125</v>
      </c>
      <c r="R390">
        <v>1</v>
      </c>
      <c r="S390">
        <v>28125</v>
      </c>
      <c r="T390" t="s">
        <v>4651</v>
      </c>
      <c r="U390" t="s">
        <v>4659</v>
      </c>
      <c r="V390" s="156">
        <v>42359</v>
      </c>
    </row>
    <row r="391" spans="3:22" hidden="1">
      <c r="C391" s="156"/>
      <c r="F391" t="s">
        <v>1230</v>
      </c>
      <c r="G391" t="s">
        <v>72</v>
      </c>
      <c r="H391" s="156" t="s">
        <v>4981</v>
      </c>
      <c r="I391" s="156">
        <v>41044</v>
      </c>
      <c r="J391" s="156" t="s">
        <v>4649</v>
      </c>
      <c r="K391">
        <v>11107001</v>
      </c>
      <c r="L391" s="156" t="s">
        <v>4661</v>
      </c>
      <c r="M391" s="156">
        <v>42505</v>
      </c>
      <c r="N391" t="s">
        <v>25</v>
      </c>
      <c r="O391">
        <v>28125</v>
      </c>
      <c r="P391">
        <v>10940</v>
      </c>
      <c r="Q391">
        <v>17185</v>
      </c>
      <c r="R391">
        <v>1</v>
      </c>
      <c r="S391">
        <v>17185</v>
      </c>
      <c r="T391" t="s">
        <v>4651</v>
      </c>
      <c r="U391" t="s">
        <v>4659</v>
      </c>
      <c r="V391" s="156">
        <v>42359</v>
      </c>
    </row>
    <row r="392" spans="3:22" hidden="1">
      <c r="C392" s="156"/>
      <c r="F392" t="s">
        <v>1230</v>
      </c>
      <c r="G392" t="s">
        <v>72</v>
      </c>
      <c r="H392" s="156" t="s">
        <v>4933</v>
      </c>
      <c r="I392" s="156">
        <v>41044</v>
      </c>
      <c r="J392" s="156" t="s">
        <v>4649</v>
      </c>
      <c r="K392">
        <v>11107001</v>
      </c>
      <c r="L392" s="156" t="s">
        <v>4773</v>
      </c>
      <c r="M392" s="156">
        <v>43235</v>
      </c>
      <c r="N392" t="s">
        <v>25</v>
      </c>
      <c r="O392">
        <v>28125</v>
      </c>
      <c r="Q392">
        <v>28125</v>
      </c>
      <c r="R392">
        <v>1</v>
      </c>
      <c r="S392">
        <v>28125</v>
      </c>
      <c r="T392" t="s">
        <v>4651</v>
      </c>
      <c r="U392" t="s">
        <v>4659</v>
      </c>
      <c r="V392" s="156">
        <v>42359</v>
      </c>
    </row>
    <row r="393" spans="3:22" hidden="1">
      <c r="C393" s="156"/>
      <c r="F393" t="s">
        <v>1230</v>
      </c>
      <c r="G393" t="s">
        <v>72</v>
      </c>
      <c r="H393" s="156" t="s">
        <v>6512</v>
      </c>
      <c r="I393" s="156">
        <v>42342</v>
      </c>
      <c r="J393" s="156" t="s">
        <v>4676</v>
      </c>
      <c r="K393">
        <v>17101002</v>
      </c>
      <c r="L393" s="156" t="s">
        <v>6513</v>
      </c>
      <c r="M393" s="156">
        <v>42342</v>
      </c>
      <c r="N393" t="s">
        <v>25</v>
      </c>
      <c r="O393">
        <v>11868</v>
      </c>
      <c r="Q393">
        <v>11868</v>
      </c>
      <c r="R393">
        <v>1</v>
      </c>
      <c r="S393">
        <v>11868</v>
      </c>
      <c r="T393" t="s">
        <v>4665</v>
      </c>
      <c r="U393" t="s">
        <v>5321</v>
      </c>
      <c r="V393" s="156">
        <v>42359</v>
      </c>
    </row>
    <row r="394" spans="3:22" hidden="1">
      <c r="C394" s="156"/>
      <c r="F394" t="s">
        <v>1230</v>
      </c>
      <c r="G394" t="s">
        <v>72</v>
      </c>
      <c r="H394" s="156" t="s">
        <v>6514</v>
      </c>
      <c r="I394" s="156">
        <v>42353</v>
      </c>
      <c r="J394" s="156" t="s">
        <v>4676</v>
      </c>
      <c r="K394">
        <v>17101002</v>
      </c>
      <c r="L394" s="156" t="s">
        <v>6515</v>
      </c>
      <c r="M394" s="156">
        <v>42353</v>
      </c>
      <c r="N394" t="s">
        <v>25</v>
      </c>
      <c r="O394">
        <v>18590</v>
      </c>
      <c r="Q394">
        <v>18590</v>
      </c>
      <c r="R394">
        <v>1</v>
      </c>
      <c r="S394">
        <v>18590</v>
      </c>
      <c r="T394" t="s">
        <v>4665</v>
      </c>
      <c r="U394" t="s">
        <v>5321</v>
      </c>
      <c r="V394" s="156">
        <v>42359</v>
      </c>
    </row>
    <row r="395" spans="3:22" hidden="1">
      <c r="C395" s="156"/>
      <c r="F395" t="s">
        <v>1230</v>
      </c>
      <c r="G395" t="s">
        <v>1012</v>
      </c>
      <c r="H395" s="156" t="s">
        <v>6516</v>
      </c>
      <c r="I395" s="156">
        <v>42341</v>
      </c>
      <c r="J395" s="156" t="s">
        <v>6013</v>
      </c>
      <c r="K395">
        <v>11102001</v>
      </c>
      <c r="L395" s="156" t="s">
        <v>6517</v>
      </c>
      <c r="M395" s="156">
        <v>42373</v>
      </c>
      <c r="N395" t="s">
        <v>25</v>
      </c>
      <c r="O395">
        <v>33480</v>
      </c>
      <c r="P395">
        <v>0</v>
      </c>
      <c r="Q395">
        <v>33480</v>
      </c>
      <c r="R395">
        <v>1</v>
      </c>
      <c r="S395">
        <v>33480</v>
      </c>
      <c r="T395" t="s">
        <v>6015</v>
      </c>
      <c r="U395" t="s">
        <v>6016</v>
      </c>
      <c r="V395" s="156">
        <v>42359</v>
      </c>
    </row>
    <row r="396" spans="3:22" hidden="1">
      <c r="C396" s="156"/>
      <c r="F396" t="s">
        <v>1230</v>
      </c>
      <c r="G396" t="s">
        <v>1012</v>
      </c>
      <c r="H396" s="156" t="s">
        <v>6518</v>
      </c>
      <c r="I396" s="156">
        <v>42341</v>
      </c>
      <c r="J396" s="156" t="s">
        <v>6013</v>
      </c>
      <c r="K396">
        <v>11102001</v>
      </c>
      <c r="L396" s="156" t="s">
        <v>6519</v>
      </c>
      <c r="M396" s="156">
        <v>42373</v>
      </c>
      <c r="N396" t="s">
        <v>25</v>
      </c>
      <c r="O396">
        <v>33480</v>
      </c>
      <c r="P396">
        <v>0</v>
      </c>
      <c r="Q396">
        <v>33480</v>
      </c>
      <c r="R396">
        <v>1</v>
      </c>
      <c r="S396">
        <v>33480</v>
      </c>
      <c r="T396" t="s">
        <v>6015</v>
      </c>
      <c r="U396" t="s">
        <v>6016</v>
      </c>
      <c r="V396" s="156">
        <v>42359</v>
      </c>
    </row>
    <row r="397" spans="3:22" hidden="1">
      <c r="C397" s="156"/>
      <c r="F397" t="s">
        <v>1230</v>
      </c>
      <c r="G397" t="s">
        <v>1012</v>
      </c>
      <c r="H397" s="156" t="s">
        <v>6520</v>
      </c>
      <c r="I397" s="156">
        <v>42341</v>
      </c>
      <c r="J397" s="156" t="s">
        <v>6013</v>
      </c>
      <c r="K397">
        <v>11102001</v>
      </c>
      <c r="L397" s="156" t="s">
        <v>6521</v>
      </c>
      <c r="M397" s="156">
        <v>42373</v>
      </c>
      <c r="N397" t="s">
        <v>25</v>
      </c>
      <c r="O397">
        <v>33480</v>
      </c>
      <c r="P397">
        <v>0</v>
      </c>
      <c r="Q397">
        <v>33480</v>
      </c>
      <c r="R397">
        <v>1</v>
      </c>
      <c r="S397">
        <v>33480</v>
      </c>
      <c r="T397" t="s">
        <v>6015</v>
      </c>
      <c r="U397" t="s">
        <v>6016</v>
      </c>
      <c r="V397" s="156">
        <v>42359</v>
      </c>
    </row>
    <row r="398" spans="3:22" hidden="1">
      <c r="C398" s="156"/>
      <c r="F398" t="s">
        <v>1230</v>
      </c>
      <c r="G398" t="s">
        <v>6023</v>
      </c>
      <c r="H398" s="156" t="s">
        <v>6522</v>
      </c>
      <c r="I398" s="156">
        <v>42347</v>
      </c>
      <c r="J398" s="156" t="s">
        <v>6013</v>
      </c>
      <c r="K398">
        <v>11102001</v>
      </c>
      <c r="L398" s="156" t="s">
        <v>6523</v>
      </c>
      <c r="M398" s="156">
        <v>42376</v>
      </c>
      <c r="N398" t="s">
        <v>25</v>
      </c>
      <c r="O398">
        <v>76000</v>
      </c>
      <c r="P398">
        <v>0</v>
      </c>
      <c r="Q398">
        <v>76000</v>
      </c>
      <c r="R398">
        <v>1</v>
      </c>
      <c r="S398">
        <v>76000</v>
      </c>
      <c r="T398" t="s">
        <v>6015</v>
      </c>
      <c r="U398" t="s">
        <v>6072</v>
      </c>
      <c r="V398" s="156">
        <v>42359</v>
      </c>
    </row>
    <row r="399" spans="3:22" hidden="1">
      <c r="C399" s="156"/>
      <c r="F399" t="s">
        <v>1230</v>
      </c>
      <c r="G399" t="s">
        <v>6023</v>
      </c>
      <c r="H399" s="156" t="s">
        <v>6524</v>
      </c>
      <c r="I399" s="156">
        <v>42347</v>
      </c>
      <c r="J399" s="156" t="s">
        <v>6013</v>
      </c>
      <c r="K399">
        <v>11102001</v>
      </c>
      <c r="L399" s="156" t="s">
        <v>6525</v>
      </c>
      <c r="M399" s="156">
        <v>42376</v>
      </c>
      <c r="N399" t="s">
        <v>25</v>
      </c>
      <c r="O399">
        <v>76000</v>
      </c>
      <c r="P399">
        <v>0</v>
      </c>
      <c r="Q399">
        <v>76000</v>
      </c>
      <c r="R399">
        <v>1</v>
      </c>
      <c r="S399">
        <v>76000</v>
      </c>
      <c r="T399" t="s">
        <v>6015</v>
      </c>
      <c r="U399" t="s">
        <v>6072</v>
      </c>
      <c r="V399" s="156">
        <v>42359</v>
      </c>
    </row>
    <row r="400" spans="3:22" hidden="1">
      <c r="C400" s="156"/>
      <c r="F400" t="s">
        <v>1230</v>
      </c>
      <c r="G400" t="s">
        <v>6023</v>
      </c>
      <c r="H400" s="156" t="s">
        <v>6526</v>
      </c>
      <c r="I400" s="156">
        <v>42347</v>
      </c>
      <c r="J400" s="156" t="s">
        <v>6013</v>
      </c>
      <c r="K400">
        <v>11102001</v>
      </c>
      <c r="L400" s="156" t="s">
        <v>6527</v>
      </c>
      <c r="M400" s="156">
        <v>42376</v>
      </c>
      <c r="N400" t="s">
        <v>25</v>
      </c>
      <c r="O400">
        <v>76000</v>
      </c>
      <c r="P400">
        <v>0</v>
      </c>
      <c r="Q400">
        <v>76000</v>
      </c>
      <c r="R400">
        <v>1</v>
      </c>
      <c r="S400">
        <v>76000</v>
      </c>
      <c r="T400" t="s">
        <v>6015</v>
      </c>
      <c r="U400" t="s">
        <v>6072</v>
      </c>
      <c r="V400" s="156">
        <v>42359</v>
      </c>
    </row>
    <row r="401" spans="3:22" hidden="1">
      <c r="C401" s="156"/>
      <c r="F401" t="s">
        <v>1230</v>
      </c>
      <c r="G401" t="s">
        <v>6023</v>
      </c>
      <c r="H401" s="156" t="s">
        <v>6528</v>
      </c>
      <c r="I401" s="156">
        <v>42347</v>
      </c>
      <c r="J401" s="156" t="s">
        <v>6013</v>
      </c>
      <c r="K401">
        <v>11102001</v>
      </c>
      <c r="L401" s="156" t="s">
        <v>6529</v>
      </c>
      <c r="M401" s="156">
        <v>42377</v>
      </c>
      <c r="N401" t="s">
        <v>25</v>
      </c>
      <c r="O401">
        <v>76000</v>
      </c>
      <c r="P401">
        <v>0</v>
      </c>
      <c r="Q401">
        <v>76000</v>
      </c>
      <c r="R401">
        <v>1</v>
      </c>
      <c r="S401">
        <v>76000</v>
      </c>
      <c r="T401" t="s">
        <v>6015</v>
      </c>
      <c r="U401" t="s">
        <v>6029</v>
      </c>
      <c r="V401" s="156">
        <v>42359</v>
      </c>
    </row>
    <row r="402" spans="3:22" hidden="1">
      <c r="C402" s="156"/>
      <c r="F402" t="s">
        <v>1230</v>
      </c>
      <c r="G402" t="s">
        <v>6023</v>
      </c>
      <c r="H402" s="156" t="s">
        <v>6530</v>
      </c>
      <c r="I402" s="156">
        <v>42346</v>
      </c>
      <c r="J402" s="156" t="s">
        <v>6013</v>
      </c>
      <c r="K402">
        <v>11102001</v>
      </c>
      <c r="L402" s="156" t="s">
        <v>6531</v>
      </c>
      <c r="M402" s="156">
        <v>42375</v>
      </c>
      <c r="N402" t="s">
        <v>25</v>
      </c>
      <c r="O402">
        <v>76000</v>
      </c>
      <c r="P402">
        <v>0</v>
      </c>
      <c r="Q402">
        <v>76000</v>
      </c>
      <c r="R402">
        <v>1</v>
      </c>
      <c r="S402">
        <v>76000</v>
      </c>
      <c r="T402" t="s">
        <v>6015</v>
      </c>
      <c r="U402" t="s">
        <v>6032</v>
      </c>
      <c r="V402" s="156">
        <v>42359</v>
      </c>
    </row>
    <row r="403" spans="3:22" hidden="1">
      <c r="C403" s="156"/>
      <c r="F403" t="s">
        <v>1230</v>
      </c>
      <c r="G403" t="s">
        <v>6023</v>
      </c>
      <c r="H403" s="156" t="s">
        <v>6532</v>
      </c>
      <c r="I403" s="156">
        <v>42346</v>
      </c>
      <c r="J403" s="156" t="s">
        <v>6013</v>
      </c>
      <c r="K403">
        <v>11102001</v>
      </c>
      <c r="L403" s="156" t="s">
        <v>6533</v>
      </c>
      <c r="M403" s="156">
        <v>42375</v>
      </c>
      <c r="N403" t="s">
        <v>25</v>
      </c>
      <c r="O403">
        <v>76000</v>
      </c>
      <c r="P403">
        <v>0</v>
      </c>
      <c r="Q403">
        <v>76000</v>
      </c>
      <c r="R403">
        <v>1</v>
      </c>
      <c r="S403">
        <v>76000</v>
      </c>
      <c r="T403" t="s">
        <v>6015</v>
      </c>
      <c r="U403" t="s">
        <v>6032</v>
      </c>
      <c r="V403" s="156">
        <v>42359</v>
      </c>
    </row>
    <row r="404" spans="3:22" hidden="1">
      <c r="C404" s="156"/>
      <c r="F404" t="s">
        <v>1230</v>
      </c>
      <c r="G404" t="s">
        <v>6023</v>
      </c>
      <c r="H404" s="156" t="s">
        <v>6534</v>
      </c>
      <c r="I404" s="156">
        <v>42334</v>
      </c>
      <c r="J404" s="156" t="s">
        <v>6013</v>
      </c>
      <c r="K404">
        <v>11102001</v>
      </c>
      <c r="L404" s="156" t="s">
        <v>6535</v>
      </c>
      <c r="M404" s="156">
        <v>42373</v>
      </c>
      <c r="N404" t="s">
        <v>25</v>
      </c>
      <c r="O404">
        <v>76000</v>
      </c>
      <c r="P404">
        <v>0</v>
      </c>
      <c r="Q404">
        <v>76000</v>
      </c>
      <c r="R404">
        <v>1</v>
      </c>
      <c r="S404">
        <v>76000</v>
      </c>
      <c r="T404" t="s">
        <v>6015</v>
      </c>
      <c r="U404" t="s">
        <v>6037</v>
      </c>
      <c r="V404" s="156">
        <v>42359</v>
      </c>
    </row>
    <row r="405" spans="3:22" hidden="1">
      <c r="C405" s="156"/>
      <c r="F405" t="s">
        <v>1230</v>
      </c>
      <c r="G405" t="s">
        <v>6023</v>
      </c>
      <c r="H405" s="156" t="s">
        <v>6536</v>
      </c>
      <c r="I405" s="156">
        <v>42347</v>
      </c>
      <c r="J405" s="156" t="s">
        <v>6013</v>
      </c>
      <c r="K405">
        <v>11102001</v>
      </c>
      <c r="L405" s="156" t="s">
        <v>6537</v>
      </c>
      <c r="M405" s="156">
        <v>42377</v>
      </c>
      <c r="N405" t="s">
        <v>25</v>
      </c>
      <c r="O405">
        <v>76000</v>
      </c>
      <c r="P405">
        <v>0</v>
      </c>
      <c r="Q405">
        <v>76000</v>
      </c>
      <c r="R405">
        <v>1</v>
      </c>
      <c r="S405">
        <v>76000</v>
      </c>
      <c r="T405" t="s">
        <v>6015</v>
      </c>
      <c r="U405" t="s">
        <v>6029</v>
      </c>
      <c r="V405" s="156">
        <v>42359</v>
      </c>
    </row>
    <row r="406" spans="3:22" hidden="1">
      <c r="C406" s="156"/>
      <c r="F406" t="s">
        <v>1230</v>
      </c>
      <c r="G406" t="s">
        <v>6023</v>
      </c>
      <c r="H406" s="156" t="s">
        <v>6538</v>
      </c>
      <c r="I406" s="156">
        <v>42334</v>
      </c>
      <c r="J406" s="156" t="s">
        <v>6013</v>
      </c>
      <c r="K406">
        <v>11102001</v>
      </c>
      <c r="L406" s="156" t="s">
        <v>6539</v>
      </c>
      <c r="M406" s="156">
        <v>42373</v>
      </c>
      <c r="N406" t="s">
        <v>25</v>
      </c>
      <c r="O406">
        <v>76000</v>
      </c>
      <c r="P406">
        <v>0</v>
      </c>
      <c r="Q406">
        <v>76000</v>
      </c>
      <c r="R406">
        <v>1</v>
      </c>
      <c r="S406">
        <v>76000</v>
      </c>
      <c r="T406" t="s">
        <v>6015</v>
      </c>
      <c r="U406" t="s">
        <v>6037</v>
      </c>
      <c r="V406" s="156">
        <v>42359</v>
      </c>
    </row>
    <row r="407" spans="3:22" hidden="1">
      <c r="C407" s="156"/>
      <c r="F407" t="s">
        <v>1230</v>
      </c>
      <c r="G407" t="s">
        <v>6023</v>
      </c>
      <c r="H407" s="156" t="s">
        <v>6540</v>
      </c>
      <c r="I407" s="156">
        <v>42346</v>
      </c>
      <c r="J407" s="156" t="s">
        <v>6013</v>
      </c>
      <c r="K407">
        <v>11102001</v>
      </c>
      <c r="L407" s="156" t="s">
        <v>6541</v>
      </c>
      <c r="M407" s="156">
        <v>42375</v>
      </c>
      <c r="N407" t="s">
        <v>25</v>
      </c>
      <c r="O407">
        <v>76000</v>
      </c>
      <c r="P407">
        <v>0</v>
      </c>
      <c r="Q407">
        <v>76000</v>
      </c>
      <c r="R407">
        <v>1</v>
      </c>
      <c r="S407">
        <v>76000</v>
      </c>
      <c r="T407" t="s">
        <v>6015</v>
      </c>
      <c r="U407" t="s">
        <v>6032</v>
      </c>
      <c r="V407" s="156">
        <v>42359</v>
      </c>
    </row>
    <row r="408" spans="3:22" hidden="1">
      <c r="C408" s="156"/>
      <c r="F408" t="s">
        <v>1230</v>
      </c>
      <c r="G408" t="s">
        <v>6023</v>
      </c>
      <c r="H408" s="156" t="s">
        <v>6542</v>
      </c>
      <c r="I408" s="156">
        <v>42346</v>
      </c>
      <c r="J408" s="156" t="s">
        <v>6013</v>
      </c>
      <c r="K408">
        <v>11102001</v>
      </c>
      <c r="L408" s="156" t="s">
        <v>6543</v>
      </c>
      <c r="M408" s="156">
        <v>42375</v>
      </c>
      <c r="N408" t="s">
        <v>25</v>
      </c>
      <c r="O408">
        <v>76000</v>
      </c>
      <c r="P408">
        <v>0</v>
      </c>
      <c r="Q408">
        <v>76000</v>
      </c>
      <c r="R408">
        <v>1</v>
      </c>
      <c r="S408">
        <v>76000</v>
      </c>
      <c r="T408" t="s">
        <v>6015</v>
      </c>
      <c r="U408" t="s">
        <v>6032</v>
      </c>
      <c r="V408" s="156">
        <v>42359</v>
      </c>
    </row>
    <row r="409" spans="3:22" hidden="1">
      <c r="C409" s="156"/>
      <c r="F409" t="s">
        <v>1230</v>
      </c>
      <c r="G409" t="s">
        <v>6023</v>
      </c>
      <c r="H409" s="156" t="s">
        <v>6544</v>
      </c>
      <c r="I409" s="156">
        <v>42346</v>
      </c>
      <c r="J409" s="156" t="s">
        <v>6013</v>
      </c>
      <c r="K409">
        <v>11102001</v>
      </c>
      <c r="L409" s="156" t="s">
        <v>6545</v>
      </c>
      <c r="M409" s="156">
        <v>42375</v>
      </c>
      <c r="N409" t="s">
        <v>25</v>
      </c>
      <c r="O409">
        <v>76000</v>
      </c>
      <c r="P409">
        <v>0</v>
      </c>
      <c r="Q409">
        <v>76000</v>
      </c>
      <c r="R409">
        <v>1</v>
      </c>
      <c r="S409">
        <v>76000</v>
      </c>
      <c r="T409" t="s">
        <v>6015</v>
      </c>
      <c r="U409" t="s">
        <v>6032</v>
      </c>
      <c r="V409" s="156">
        <v>42359</v>
      </c>
    </row>
    <row r="410" spans="3:22" hidden="1">
      <c r="C410" s="156"/>
      <c r="F410" t="s">
        <v>1230</v>
      </c>
      <c r="G410" t="s">
        <v>6023</v>
      </c>
      <c r="H410" s="156" t="s">
        <v>6546</v>
      </c>
      <c r="I410" s="156">
        <v>42333</v>
      </c>
      <c r="J410" s="156" t="s">
        <v>6013</v>
      </c>
      <c r="K410">
        <v>11102001</v>
      </c>
      <c r="L410" s="156" t="s">
        <v>6547</v>
      </c>
      <c r="M410" s="156">
        <v>42373</v>
      </c>
      <c r="N410" t="s">
        <v>25</v>
      </c>
      <c r="O410">
        <v>98838</v>
      </c>
      <c r="P410">
        <v>0</v>
      </c>
      <c r="Q410">
        <v>98838</v>
      </c>
      <c r="R410">
        <v>1</v>
      </c>
      <c r="S410">
        <v>98838</v>
      </c>
      <c r="T410" t="s">
        <v>6015</v>
      </c>
      <c r="U410" t="s">
        <v>6026</v>
      </c>
      <c r="V410" s="156">
        <v>42359</v>
      </c>
    </row>
    <row r="411" spans="3:22" hidden="1">
      <c r="C411" s="156"/>
      <c r="F411" t="s">
        <v>1230</v>
      </c>
      <c r="G411" t="s">
        <v>6023</v>
      </c>
      <c r="H411" s="156" t="s">
        <v>6548</v>
      </c>
      <c r="I411" s="156">
        <v>42338</v>
      </c>
      <c r="J411" s="156" t="s">
        <v>6013</v>
      </c>
      <c r="K411">
        <v>11102001</v>
      </c>
      <c r="L411" s="156" t="s">
        <v>6549</v>
      </c>
      <c r="M411" s="156">
        <v>42373</v>
      </c>
      <c r="N411" t="s">
        <v>25</v>
      </c>
      <c r="O411">
        <v>76000</v>
      </c>
      <c r="P411">
        <v>0</v>
      </c>
      <c r="Q411">
        <v>76000</v>
      </c>
      <c r="R411">
        <v>1</v>
      </c>
      <c r="S411">
        <v>76000</v>
      </c>
      <c r="T411" t="s">
        <v>6015</v>
      </c>
      <c r="U411" t="s">
        <v>6061</v>
      </c>
      <c r="V411" s="156">
        <v>42359</v>
      </c>
    </row>
    <row r="412" spans="3:22" hidden="1">
      <c r="C412" s="156"/>
      <c r="F412" t="s">
        <v>1230</v>
      </c>
      <c r="G412" t="s">
        <v>6023</v>
      </c>
      <c r="H412" s="156" t="s">
        <v>6550</v>
      </c>
      <c r="I412" s="156">
        <v>42338</v>
      </c>
      <c r="J412" s="156" t="s">
        <v>6013</v>
      </c>
      <c r="K412">
        <v>11102001</v>
      </c>
      <c r="L412" s="156" t="s">
        <v>6551</v>
      </c>
      <c r="M412" s="156">
        <v>42373</v>
      </c>
      <c r="N412" t="s">
        <v>25</v>
      </c>
      <c r="O412">
        <v>76000</v>
      </c>
      <c r="P412">
        <v>0</v>
      </c>
      <c r="Q412">
        <v>76000</v>
      </c>
      <c r="R412">
        <v>1</v>
      </c>
      <c r="S412">
        <v>76000</v>
      </c>
      <c r="T412" t="s">
        <v>6015</v>
      </c>
      <c r="U412" t="s">
        <v>6061</v>
      </c>
      <c r="V412" s="156">
        <v>42359</v>
      </c>
    </row>
    <row r="413" spans="3:22" hidden="1">
      <c r="C413" s="156"/>
      <c r="F413" t="s">
        <v>1230</v>
      </c>
      <c r="G413" t="s">
        <v>6023</v>
      </c>
      <c r="H413" s="156" t="s">
        <v>6552</v>
      </c>
      <c r="I413" s="156">
        <v>42333</v>
      </c>
      <c r="J413" s="156" t="s">
        <v>6013</v>
      </c>
      <c r="K413">
        <v>11102001</v>
      </c>
      <c r="L413" s="156" t="s">
        <v>6553</v>
      </c>
      <c r="M413" s="156">
        <v>42373</v>
      </c>
      <c r="N413" t="s">
        <v>25</v>
      </c>
      <c r="O413">
        <v>98838</v>
      </c>
      <c r="P413">
        <v>0</v>
      </c>
      <c r="Q413">
        <v>98838</v>
      </c>
      <c r="R413">
        <v>1</v>
      </c>
      <c r="S413">
        <v>98838</v>
      </c>
      <c r="T413" t="s">
        <v>6015</v>
      </c>
      <c r="U413" t="s">
        <v>6058</v>
      </c>
      <c r="V413" s="156">
        <v>42359</v>
      </c>
    </row>
    <row r="414" spans="3:22" hidden="1">
      <c r="C414" s="156"/>
      <c r="F414" t="s">
        <v>1230</v>
      </c>
      <c r="G414" t="s">
        <v>6023</v>
      </c>
      <c r="H414" s="156" t="s">
        <v>6554</v>
      </c>
      <c r="I414" s="156">
        <v>42333</v>
      </c>
      <c r="J414" s="156" t="s">
        <v>6013</v>
      </c>
      <c r="K414">
        <v>11102001</v>
      </c>
      <c r="L414" s="156" t="s">
        <v>6555</v>
      </c>
      <c r="M414" s="156">
        <v>42373</v>
      </c>
      <c r="N414" t="s">
        <v>25</v>
      </c>
      <c r="O414">
        <v>95232</v>
      </c>
      <c r="P414">
        <v>0</v>
      </c>
      <c r="Q414">
        <v>95232</v>
      </c>
      <c r="R414">
        <v>1</v>
      </c>
      <c r="S414">
        <v>95232</v>
      </c>
      <c r="T414" t="s">
        <v>6015</v>
      </c>
      <c r="U414" t="s">
        <v>6058</v>
      </c>
      <c r="V414" s="156">
        <v>42359</v>
      </c>
    </row>
    <row r="415" spans="3:22" hidden="1">
      <c r="C415" s="156"/>
      <c r="F415" t="s">
        <v>1230</v>
      </c>
      <c r="G415" t="s">
        <v>6023</v>
      </c>
      <c r="H415" s="156" t="s">
        <v>6556</v>
      </c>
      <c r="I415" s="156">
        <v>42333</v>
      </c>
      <c r="J415" s="156" t="s">
        <v>6013</v>
      </c>
      <c r="K415">
        <v>11102001</v>
      </c>
      <c r="L415" s="156" t="s">
        <v>6557</v>
      </c>
      <c r="M415" s="156">
        <v>42373</v>
      </c>
      <c r="N415" t="s">
        <v>25</v>
      </c>
      <c r="O415">
        <v>76000</v>
      </c>
      <c r="P415">
        <v>0</v>
      </c>
      <c r="Q415">
        <v>76000</v>
      </c>
      <c r="R415">
        <v>1</v>
      </c>
      <c r="S415">
        <v>76000</v>
      </c>
      <c r="T415" t="s">
        <v>6015</v>
      </c>
      <c r="U415" t="s">
        <v>6058</v>
      </c>
      <c r="V415" s="156">
        <v>42359</v>
      </c>
    </row>
    <row r="416" spans="3:22" hidden="1">
      <c r="C416" s="156"/>
      <c r="F416" t="s">
        <v>1230</v>
      </c>
      <c r="G416" t="s">
        <v>6023</v>
      </c>
      <c r="H416" s="156" t="s">
        <v>6558</v>
      </c>
      <c r="I416" s="156">
        <v>42338</v>
      </c>
      <c r="J416" s="156" t="s">
        <v>6013</v>
      </c>
      <c r="K416">
        <v>11102001</v>
      </c>
      <c r="L416" s="156" t="s">
        <v>6559</v>
      </c>
      <c r="M416" s="156">
        <v>42373</v>
      </c>
      <c r="N416" t="s">
        <v>25</v>
      </c>
      <c r="O416">
        <v>76000</v>
      </c>
      <c r="P416">
        <v>0</v>
      </c>
      <c r="Q416">
        <v>76000</v>
      </c>
      <c r="R416">
        <v>1</v>
      </c>
      <c r="S416">
        <v>76000</v>
      </c>
      <c r="T416" t="s">
        <v>6015</v>
      </c>
      <c r="U416" t="s">
        <v>6061</v>
      </c>
      <c r="V416" s="156">
        <v>42359</v>
      </c>
    </row>
    <row r="417" spans="3:22" hidden="1">
      <c r="C417" s="156"/>
      <c r="F417" t="s">
        <v>1230</v>
      </c>
      <c r="G417" t="s">
        <v>6023</v>
      </c>
      <c r="H417" s="156" t="s">
        <v>6560</v>
      </c>
      <c r="I417" s="156">
        <v>42338</v>
      </c>
      <c r="J417" s="156" t="s">
        <v>6013</v>
      </c>
      <c r="K417">
        <v>11102001</v>
      </c>
      <c r="L417" s="156" t="s">
        <v>6561</v>
      </c>
      <c r="M417" s="156">
        <v>42373</v>
      </c>
      <c r="N417" t="s">
        <v>25</v>
      </c>
      <c r="O417">
        <v>76000</v>
      </c>
      <c r="P417">
        <v>0</v>
      </c>
      <c r="Q417">
        <v>76000</v>
      </c>
      <c r="R417">
        <v>1</v>
      </c>
      <c r="S417">
        <v>76000</v>
      </c>
      <c r="T417" t="s">
        <v>6015</v>
      </c>
      <c r="U417" t="s">
        <v>6061</v>
      </c>
      <c r="V417" s="156">
        <v>42359</v>
      </c>
    </row>
    <row r="418" spans="3:22" hidden="1">
      <c r="C418" s="156"/>
      <c r="F418" t="s">
        <v>1230</v>
      </c>
      <c r="G418" t="s">
        <v>6023</v>
      </c>
      <c r="H418" s="156" t="s">
        <v>6562</v>
      </c>
      <c r="I418" s="156">
        <v>42333</v>
      </c>
      <c r="J418" s="156" t="s">
        <v>6013</v>
      </c>
      <c r="K418">
        <v>11102001</v>
      </c>
      <c r="L418" s="156" t="s">
        <v>6563</v>
      </c>
      <c r="M418" s="156">
        <v>42373</v>
      </c>
      <c r="N418" t="s">
        <v>25</v>
      </c>
      <c r="O418">
        <v>76000</v>
      </c>
      <c r="P418">
        <v>0</v>
      </c>
      <c r="Q418">
        <v>76000</v>
      </c>
      <c r="R418">
        <v>1</v>
      </c>
      <c r="S418">
        <v>76000</v>
      </c>
      <c r="T418" t="s">
        <v>6015</v>
      </c>
      <c r="U418" t="s">
        <v>6058</v>
      </c>
      <c r="V418" s="156">
        <v>42359</v>
      </c>
    </row>
    <row r="419" spans="3:22" hidden="1">
      <c r="C419" s="156"/>
      <c r="F419" t="s">
        <v>1230</v>
      </c>
      <c r="G419" t="s">
        <v>6023</v>
      </c>
      <c r="H419" s="156" t="s">
        <v>6564</v>
      </c>
      <c r="I419" s="156">
        <v>42333</v>
      </c>
      <c r="J419" s="156" t="s">
        <v>6013</v>
      </c>
      <c r="K419">
        <v>11102001</v>
      </c>
      <c r="L419" s="156" t="s">
        <v>6565</v>
      </c>
      <c r="M419" s="156">
        <v>42373</v>
      </c>
      <c r="N419" t="s">
        <v>25</v>
      </c>
      <c r="O419">
        <v>76000</v>
      </c>
      <c r="P419">
        <v>0</v>
      </c>
      <c r="Q419">
        <v>76000</v>
      </c>
      <c r="R419">
        <v>1</v>
      </c>
      <c r="S419">
        <v>76000</v>
      </c>
      <c r="T419" t="s">
        <v>6015</v>
      </c>
      <c r="U419" t="s">
        <v>6058</v>
      </c>
      <c r="V419" s="156">
        <v>42359</v>
      </c>
    </row>
    <row r="420" spans="3:22" hidden="1">
      <c r="C420" s="156"/>
      <c r="F420" t="s">
        <v>1230</v>
      </c>
      <c r="G420" t="s">
        <v>6023</v>
      </c>
      <c r="H420" s="156" t="s">
        <v>6566</v>
      </c>
      <c r="I420" s="156">
        <v>42333</v>
      </c>
      <c r="J420" s="156" t="s">
        <v>6013</v>
      </c>
      <c r="K420">
        <v>11102001</v>
      </c>
      <c r="L420" s="156" t="s">
        <v>6567</v>
      </c>
      <c r="M420" s="156">
        <v>42373</v>
      </c>
      <c r="N420" t="s">
        <v>25</v>
      </c>
      <c r="O420">
        <v>76000</v>
      </c>
      <c r="P420">
        <v>0</v>
      </c>
      <c r="Q420">
        <v>76000</v>
      </c>
      <c r="R420">
        <v>1</v>
      </c>
      <c r="S420">
        <v>76000</v>
      </c>
      <c r="T420" t="s">
        <v>6015</v>
      </c>
      <c r="U420" t="s">
        <v>6058</v>
      </c>
      <c r="V420" s="156">
        <v>42359</v>
      </c>
    </row>
    <row r="421" spans="3:22" hidden="1">
      <c r="C421" s="156"/>
      <c r="F421" t="s">
        <v>1230</v>
      </c>
      <c r="G421" t="s">
        <v>6023</v>
      </c>
      <c r="H421" s="156" t="s">
        <v>6568</v>
      </c>
      <c r="I421" s="156">
        <v>42347</v>
      </c>
      <c r="J421" s="156" t="s">
        <v>6013</v>
      </c>
      <c r="K421">
        <v>11102001</v>
      </c>
      <c r="L421" s="156" t="s">
        <v>6569</v>
      </c>
      <c r="M421" s="156">
        <v>42376</v>
      </c>
      <c r="N421" t="s">
        <v>25</v>
      </c>
      <c r="O421">
        <v>76000</v>
      </c>
      <c r="P421">
        <v>0</v>
      </c>
      <c r="Q421">
        <v>76000</v>
      </c>
      <c r="R421">
        <v>1</v>
      </c>
      <c r="S421">
        <v>76000</v>
      </c>
      <c r="T421" t="s">
        <v>6015</v>
      </c>
      <c r="U421" t="s">
        <v>6072</v>
      </c>
      <c r="V421" s="156">
        <v>42359</v>
      </c>
    </row>
    <row r="422" spans="3:22" hidden="1">
      <c r="C422" s="156"/>
      <c r="F422" t="s">
        <v>1230</v>
      </c>
      <c r="G422" t="s">
        <v>72</v>
      </c>
      <c r="H422" s="156" t="s">
        <v>4934</v>
      </c>
      <c r="I422" s="156">
        <v>41479</v>
      </c>
      <c r="J422" s="156" t="s">
        <v>4677</v>
      </c>
      <c r="K422">
        <v>17101002</v>
      </c>
      <c r="L422" s="156" t="s">
        <v>4935</v>
      </c>
      <c r="M422" s="156">
        <v>41479</v>
      </c>
      <c r="N422" t="s">
        <v>25</v>
      </c>
      <c r="O422">
        <v>258297.27</v>
      </c>
      <c r="P422">
        <v>61561.71</v>
      </c>
      <c r="Q422">
        <v>196735.56</v>
      </c>
      <c r="R422">
        <v>1</v>
      </c>
      <c r="S422">
        <v>196735.56</v>
      </c>
      <c r="T422" t="s">
        <v>4665</v>
      </c>
      <c r="U422" t="s">
        <v>4936</v>
      </c>
      <c r="V422" s="156">
        <v>42359</v>
      </c>
    </row>
    <row r="423" spans="3:22" hidden="1">
      <c r="C423" s="156"/>
      <c r="F423" t="s">
        <v>1230</v>
      </c>
      <c r="G423" t="s">
        <v>71</v>
      </c>
      <c r="H423" s="156" t="s">
        <v>6570</v>
      </c>
      <c r="I423" s="156">
        <v>42352</v>
      </c>
      <c r="J423" s="156" t="s">
        <v>4777</v>
      </c>
      <c r="K423">
        <v>17101003</v>
      </c>
      <c r="L423" s="156" t="s">
        <v>6571</v>
      </c>
      <c r="M423" s="156">
        <v>42352</v>
      </c>
      <c r="N423" t="s">
        <v>25</v>
      </c>
      <c r="O423">
        <v>1000</v>
      </c>
      <c r="Q423">
        <v>1000</v>
      </c>
      <c r="R423">
        <v>1</v>
      </c>
      <c r="S423">
        <v>1000</v>
      </c>
      <c r="T423" t="s">
        <v>4663</v>
      </c>
      <c r="U423" t="s">
        <v>6572</v>
      </c>
      <c r="V423" s="156">
        <v>42359</v>
      </c>
    </row>
    <row r="424" spans="3:22" hidden="1">
      <c r="C424" s="156"/>
      <c r="F424" t="s">
        <v>1230</v>
      </c>
      <c r="G424" t="s">
        <v>72</v>
      </c>
      <c r="H424" s="156" t="s">
        <v>6573</v>
      </c>
      <c r="I424" s="156">
        <v>42335</v>
      </c>
      <c r="J424" s="156" t="s">
        <v>4683</v>
      </c>
      <c r="K424">
        <v>17101002</v>
      </c>
      <c r="L424" s="156" t="s">
        <v>6574</v>
      </c>
      <c r="M424" s="156">
        <v>42335</v>
      </c>
      <c r="N424" t="s">
        <v>25</v>
      </c>
      <c r="O424">
        <v>13415.9</v>
      </c>
      <c r="Q424">
        <v>13415.9</v>
      </c>
      <c r="R424">
        <v>1</v>
      </c>
      <c r="S424">
        <v>13415.9</v>
      </c>
      <c r="T424" t="s">
        <v>4665</v>
      </c>
      <c r="U424" t="s">
        <v>6575</v>
      </c>
      <c r="V424" s="156">
        <v>42359</v>
      </c>
    </row>
    <row r="425" spans="3:22" hidden="1">
      <c r="C425" s="156"/>
      <c r="F425" t="s">
        <v>1230</v>
      </c>
      <c r="G425" t="s">
        <v>72</v>
      </c>
      <c r="H425" s="156" t="s">
        <v>5936</v>
      </c>
      <c r="I425" s="156">
        <v>42285</v>
      </c>
      <c r="J425" s="156" t="s">
        <v>4683</v>
      </c>
      <c r="K425">
        <v>17101002</v>
      </c>
      <c r="L425" s="156" t="s">
        <v>5937</v>
      </c>
      <c r="M425" s="156">
        <v>42285</v>
      </c>
      <c r="N425" t="s">
        <v>25</v>
      </c>
      <c r="O425">
        <v>42977.8</v>
      </c>
      <c r="Q425">
        <v>42977.8</v>
      </c>
      <c r="R425">
        <v>1</v>
      </c>
      <c r="S425">
        <v>42977.8</v>
      </c>
      <c r="T425" t="s">
        <v>4665</v>
      </c>
      <c r="U425" t="s">
        <v>5866</v>
      </c>
      <c r="V425" s="156">
        <v>42359</v>
      </c>
    </row>
    <row r="426" spans="3:22" hidden="1">
      <c r="C426" s="156"/>
      <c r="F426" t="s">
        <v>1230</v>
      </c>
      <c r="G426" t="s">
        <v>72</v>
      </c>
      <c r="H426" s="156" t="s">
        <v>6576</v>
      </c>
      <c r="I426" s="156">
        <v>42360</v>
      </c>
      <c r="J426" s="156" t="s">
        <v>4683</v>
      </c>
      <c r="K426">
        <v>17101002</v>
      </c>
      <c r="L426" s="156" t="s">
        <v>6577</v>
      </c>
      <c r="M426" s="156">
        <v>42360</v>
      </c>
      <c r="N426" t="s">
        <v>25</v>
      </c>
      <c r="O426">
        <v>2768.05</v>
      </c>
      <c r="Q426">
        <v>2768.05</v>
      </c>
      <c r="R426">
        <v>1</v>
      </c>
      <c r="S426">
        <v>2768.05</v>
      </c>
      <c r="T426" t="s">
        <v>4665</v>
      </c>
      <c r="U426" t="s">
        <v>6172</v>
      </c>
      <c r="V426" s="156">
        <v>42359</v>
      </c>
    </row>
    <row r="427" spans="3:22" hidden="1">
      <c r="C427" s="156"/>
      <c r="F427" t="s">
        <v>1230</v>
      </c>
      <c r="G427" t="s">
        <v>72</v>
      </c>
      <c r="H427" s="156" t="s">
        <v>6578</v>
      </c>
      <c r="I427" s="156">
        <v>42360</v>
      </c>
      <c r="J427" s="156" t="s">
        <v>4683</v>
      </c>
      <c r="K427">
        <v>17101002</v>
      </c>
      <c r="L427" s="156" t="s">
        <v>6579</v>
      </c>
      <c r="M427" s="156">
        <v>42360</v>
      </c>
      <c r="N427" t="s">
        <v>25</v>
      </c>
      <c r="O427">
        <v>2569.1</v>
      </c>
      <c r="Q427">
        <v>2569.1</v>
      </c>
      <c r="R427">
        <v>1</v>
      </c>
      <c r="S427">
        <v>2569.1</v>
      </c>
      <c r="T427" t="s">
        <v>4665</v>
      </c>
      <c r="U427" t="s">
        <v>6172</v>
      </c>
      <c r="V427" s="156">
        <v>42359</v>
      </c>
    </row>
    <row r="428" spans="3:22" hidden="1">
      <c r="C428" s="156"/>
      <c r="F428" t="s">
        <v>1230</v>
      </c>
      <c r="G428" t="s">
        <v>72</v>
      </c>
      <c r="H428" s="156" t="s">
        <v>6580</v>
      </c>
      <c r="I428" s="156">
        <v>42360</v>
      </c>
      <c r="J428" s="156" t="s">
        <v>4683</v>
      </c>
      <c r="K428">
        <v>17101002</v>
      </c>
      <c r="L428" s="156" t="s">
        <v>6581</v>
      </c>
      <c r="M428" s="156">
        <v>42360</v>
      </c>
      <c r="N428" t="s">
        <v>25</v>
      </c>
      <c r="O428">
        <v>2474.8000000000002</v>
      </c>
      <c r="Q428">
        <v>2474.8000000000002</v>
      </c>
      <c r="R428">
        <v>1</v>
      </c>
      <c r="S428">
        <v>2474.8000000000002</v>
      </c>
      <c r="T428" t="s">
        <v>4665</v>
      </c>
      <c r="U428" t="s">
        <v>6172</v>
      </c>
      <c r="V428" s="156">
        <v>42359</v>
      </c>
    </row>
    <row r="429" spans="3:22" hidden="1">
      <c r="C429" s="156"/>
      <c r="F429" t="s">
        <v>1230</v>
      </c>
      <c r="G429" t="s">
        <v>73</v>
      </c>
      <c r="H429" s="156" t="s">
        <v>6582</v>
      </c>
      <c r="I429" s="156">
        <v>42360</v>
      </c>
      <c r="J429" s="156" t="s">
        <v>6583</v>
      </c>
      <c r="K429">
        <v>17101002</v>
      </c>
      <c r="L429" s="156" t="s">
        <v>6584</v>
      </c>
      <c r="M429" s="156">
        <v>42360</v>
      </c>
      <c r="N429" t="s">
        <v>25</v>
      </c>
      <c r="O429">
        <v>515.80999999999995</v>
      </c>
      <c r="Q429">
        <v>515.80999999999995</v>
      </c>
      <c r="R429">
        <v>1</v>
      </c>
      <c r="S429">
        <v>515.80999999999995</v>
      </c>
      <c r="T429" t="s">
        <v>4665</v>
      </c>
      <c r="U429" t="s">
        <v>6585</v>
      </c>
      <c r="V429" s="156">
        <v>42359</v>
      </c>
    </row>
    <row r="430" spans="3:22" hidden="1">
      <c r="C430" s="156"/>
      <c r="F430" t="s">
        <v>1230</v>
      </c>
      <c r="G430" t="s">
        <v>71</v>
      </c>
      <c r="H430" s="156" t="s">
        <v>4937</v>
      </c>
      <c r="I430" s="156">
        <v>41019</v>
      </c>
      <c r="J430" s="156" t="s">
        <v>4731</v>
      </c>
      <c r="K430">
        <v>11107001</v>
      </c>
      <c r="L430" s="156" t="s">
        <v>4732</v>
      </c>
      <c r="M430" s="156">
        <v>42093</v>
      </c>
      <c r="N430" t="s">
        <v>25</v>
      </c>
      <c r="O430">
        <v>60000</v>
      </c>
      <c r="Q430">
        <v>60000</v>
      </c>
      <c r="R430">
        <v>1</v>
      </c>
      <c r="S430">
        <v>60000</v>
      </c>
      <c r="T430" t="s">
        <v>4651</v>
      </c>
      <c r="U430" t="s">
        <v>4733</v>
      </c>
      <c r="V430" s="156">
        <v>42359</v>
      </c>
    </row>
    <row r="431" spans="3:22" hidden="1">
      <c r="C431" s="156"/>
      <c r="F431" t="s">
        <v>1230</v>
      </c>
      <c r="G431" t="s">
        <v>71</v>
      </c>
      <c r="H431" s="156" t="s">
        <v>4938</v>
      </c>
      <c r="I431" s="156">
        <v>40847</v>
      </c>
      <c r="J431" s="156" t="s">
        <v>4835</v>
      </c>
      <c r="K431">
        <v>11107001</v>
      </c>
      <c r="L431" s="156" t="s">
        <v>4939</v>
      </c>
      <c r="M431" s="156">
        <v>41759</v>
      </c>
      <c r="N431" t="s">
        <v>25</v>
      </c>
      <c r="O431">
        <v>30000</v>
      </c>
      <c r="Q431">
        <v>30000</v>
      </c>
      <c r="R431">
        <v>1</v>
      </c>
      <c r="S431">
        <v>30000</v>
      </c>
      <c r="T431" t="s">
        <v>4651</v>
      </c>
      <c r="U431" t="s">
        <v>4940</v>
      </c>
      <c r="V431" s="156">
        <v>42359</v>
      </c>
    </row>
    <row r="432" spans="3:22" hidden="1">
      <c r="C432" s="156"/>
      <c r="F432" t="s">
        <v>1230</v>
      </c>
      <c r="G432" t="s">
        <v>71</v>
      </c>
      <c r="H432" s="156" t="s">
        <v>5709</v>
      </c>
      <c r="I432" s="156">
        <v>42235</v>
      </c>
      <c r="J432" s="156" t="s">
        <v>5710</v>
      </c>
      <c r="K432">
        <v>17101002</v>
      </c>
      <c r="L432" s="156" t="s">
        <v>5659</v>
      </c>
      <c r="M432" s="156">
        <v>42235</v>
      </c>
      <c r="N432" t="s">
        <v>25</v>
      </c>
      <c r="O432">
        <v>16.8</v>
      </c>
      <c r="Q432">
        <v>16.8</v>
      </c>
      <c r="R432">
        <v>1</v>
      </c>
      <c r="S432">
        <v>16.8</v>
      </c>
      <c r="T432" t="s">
        <v>4665</v>
      </c>
      <c r="U432" t="s">
        <v>5711</v>
      </c>
      <c r="V432" s="156">
        <v>42359</v>
      </c>
    </row>
    <row r="433" spans="3:22" hidden="1">
      <c r="C433" s="156"/>
      <c r="F433" t="s">
        <v>1230</v>
      </c>
      <c r="G433" t="s">
        <v>72</v>
      </c>
      <c r="H433" s="156" t="s">
        <v>6586</v>
      </c>
      <c r="I433" s="156">
        <v>42334</v>
      </c>
      <c r="J433" s="156" t="s">
        <v>4743</v>
      </c>
      <c r="K433">
        <v>17101003</v>
      </c>
      <c r="L433" s="156" t="s">
        <v>6174</v>
      </c>
      <c r="M433" s="156">
        <v>42334</v>
      </c>
      <c r="N433" t="s">
        <v>25</v>
      </c>
      <c r="O433">
        <v>2000</v>
      </c>
      <c r="P433">
        <v>1677.25</v>
      </c>
      <c r="Q433">
        <v>322.75</v>
      </c>
      <c r="R433">
        <v>1</v>
      </c>
      <c r="S433">
        <v>322.75</v>
      </c>
      <c r="T433" t="s">
        <v>4663</v>
      </c>
      <c r="U433" t="s">
        <v>6587</v>
      </c>
      <c r="V433" s="156">
        <v>42359</v>
      </c>
    </row>
    <row r="434" spans="3:22" hidden="1">
      <c r="C434" s="156"/>
      <c r="F434" t="s">
        <v>1230</v>
      </c>
      <c r="G434" t="s">
        <v>72</v>
      </c>
      <c r="H434" s="156" t="s">
        <v>4941</v>
      </c>
      <c r="I434" s="156">
        <v>41967</v>
      </c>
      <c r="J434" s="156" t="s">
        <v>4691</v>
      </c>
      <c r="K434">
        <v>11310005</v>
      </c>
      <c r="L434" s="156" t="s">
        <v>4942</v>
      </c>
      <c r="M434" s="156">
        <v>41988</v>
      </c>
      <c r="N434" t="s">
        <v>25</v>
      </c>
      <c r="O434">
        <v>1731.66</v>
      </c>
      <c r="P434">
        <v>0</v>
      </c>
      <c r="Q434">
        <v>1731.66</v>
      </c>
      <c r="R434">
        <v>1</v>
      </c>
      <c r="S434">
        <v>1731.66</v>
      </c>
      <c r="T434" t="s">
        <v>4693</v>
      </c>
      <c r="U434" t="s">
        <v>4943</v>
      </c>
      <c r="V434" s="156">
        <v>42359</v>
      </c>
    </row>
    <row r="435" spans="3:22" hidden="1">
      <c r="C435" s="156"/>
      <c r="F435" t="s">
        <v>1230</v>
      </c>
      <c r="G435" t="s">
        <v>72</v>
      </c>
      <c r="H435" s="156" t="s">
        <v>4944</v>
      </c>
      <c r="I435" s="156">
        <v>42023</v>
      </c>
      <c r="J435" s="156" t="s">
        <v>4691</v>
      </c>
      <c r="K435">
        <v>11101001</v>
      </c>
      <c r="L435" s="156" t="s">
        <v>4945</v>
      </c>
      <c r="M435" s="156">
        <v>42082</v>
      </c>
      <c r="N435" t="s">
        <v>25</v>
      </c>
      <c r="O435">
        <v>9000</v>
      </c>
      <c r="P435">
        <v>0</v>
      </c>
      <c r="Q435">
        <v>9000</v>
      </c>
      <c r="R435">
        <v>1</v>
      </c>
      <c r="S435">
        <v>9000</v>
      </c>
      <c r="T435" t="s">
        <v>4646</v>
      </c>
      <c r="U435" t="s">
        <v>4946</v>
      </c>
      <c r="V435" s="156">
        <v>42359</v>
      </c>
    </row>
    <row r="436" spans="3:22" hidden="1">
      <c r="C436" s="156"/>
      <c r="F436" t="s">
        <v>1230</v>
      </c>
      <c r="G436" t="s">
        <v>76</v>
      </c>
      <c r="H436" s="156" t="s">
        <v>5695</v>
      </c>
      <c r="I436" s="156">
        <v>42241</v>
      </c>
      <c r="J436" s="156" t="s">
        <v>5867</v>
      </c>
      <c r="K436">
        <v>17101002</v>
      </c>
      <c r="L436" s="156" t="s">
        <v>5324</v>
      </c>
      <c r="M436" s="156">
        <v>42241</v>
      </c>
      <c r="N436" t="s">
        <v>25</v>
      </c>
      <c r="O436">
        <v>32506.73</v>
      </c>
      <c r="Q436">
        <v>32506.73</v>
      </c>
      <c r="R436">
        <v>1</v>
      </c>
      <c r="S436">
        <v>32506.73</v>
      </c>
      <c r="T436" t="s">
        <v>4665</v>
      </c>
      <c r="U436" t="s">
        <v>5696</v>
      </c>
      <c r="V436" s="156">
        <v>42359</v>
      </c>
    </row>
    <row r="437" spans="3:22" hidden="1">
      <c r="C437" s="156"/>
      <c r="F437" t="s">
        <v>1230</v>
      </c>
      <c r="G437" t="s">
        <v>72</v>
      </c>
      <c r="H437" s="156" t="s">
        <v>4997</v>
      </c>
      <c r="I437" s="156">
        <v>41911</v>
      </c>
      <c r="J437" s="156" t="s">
        <v>4749</v>
      </c>
      <c r="K437">
        <v>11101001</v>
      </c>
      <c r="L437" s="156" t="s">
        <v>4998</v>
      </c>
      <c r="M437" s="156">
        <v>42004</v>
      </c>
      <c r="N437" t="s">
        <v>25</v>
      </c>
      <c r="O437">
        <v>1107200</v>
      </c>
      <c r="P437">
        <v>638871.5</v>
      </c>
      <c r="Q437">
        <v>468328.5</v>
      </c>
      <c r="R437">
        <v>1</v>
      </c>
      <c r="S437">
        <v>468328.5</v>
      </c>
      <c r="T437" t="s">
        <v>4646</v>
      </c>
      <c r="U437" t="s">
        <v>4999</v>
      </c>
      <c r="V437" s="156">
        <v>42359</v>
      </c>
    </row>
    <row r="438" spans="3:22" hidden="1">
      <c r="C438" s="156"/>
      <c r="F438" t="s">
        <v>1230</v>
      </c>
      <c r="G438" t="s">
        <v>71</v>
      </c>
      <c r="H438" s="156" t="s">
        <v>5506</v>
      </c>
      <c r="I438" s="156">
        <v>42185</v>
      </c>
      <c r="J438" s="156" t="s">
        <v>4752</v>
      </c>
      <c r="K438">
        <v>17101002</v>
      </c>
      <c r="L438" s="156" t="s">
        <v>5425</v>
      </c>
      <c r="M438" s="156">
        <v>42185</v>
      </c>
      <c r="N438" t="s">
        <v>25</v>
      </c>
      <c r="O438">
        <v>1180</v>
      </c>
      <c r="Q438">
        <v>1180</v>
      </c>
      <c r="R438">
        <v>1</v>
      </c>
      <c r="S438">
        <v>1180</v>
      </c>
      <c r="T438" t="s">
        <v>4665</v>
      </c>
      <c r="U438" t="s">
        <v>5507</v>
      </c>
      <c r="V438" s="156">
        <v>42359</v>
      </c>
    </row>
    <row r="439" spans="3:22" hidden="1">
      <c r="C439" s="156"/>
      <c r="F439" t="s">
        <v>1230</v>
      </c>
      <c r="G439" t="s">
        <v>72</v>
      </c>
      <c r="H439" s="156" t="s">
        <v>6588</v>
      </c>
      <c r="I439" s="156">
        <v>42341</v>
      </c>
      <c r="J439" s="156" t="s">
        <v>6589</v>
      </c>
      <c r="K439">
        <v>11101018</v>
      </c>
      <c r="L439" s="156" t="s">
        <v>6590</v>
      </c>
      <c r="M439" s="156">
        <v>42444</v>
      </c>
      <c r="N439" t="s">
        <v>25</v>
      </c>
      <c r="O439">
        <v>19933.34</v>
      </c>
      <c r="P439">
        <v>0</v>
      </c>
      <c r="Q439">
        <v>19933.34</v>
      </c>
      <c r="R439">
        <v>1</v>
      </c>
      <c r="S439">
        <v>19933.34</v>
      </c>
      <c r="T439" t="s">
        <v>4708</v>
      </c>
      <c r="U439" t="s">
        <v>6591</v>
      </c>
      <c r="V439" s="156">
        <v>42359</v>
      </c>
    </row>
    <row r="440" spans="3:22" hidden="1">
      <c r="C440" s="156"/>
      <c r="F440" t="s">
        <v>1230</v>
      </c>
      <c r="G440" t="s">
        <v>72</v>
      </c>
      <c r="H440" s="156" t="s">
        <v>6592</v>
      </c>
      <c r="I440" s="156">
        <v>42318</v>
      </c>
      <c r="J440" s="156" t="s">
        <v>6593</v>
      </c>
      <c r="K440">
        <v>17101002</v>
      </c>
      <c r="L440" s="156" t="s">
        <v>6594</v>
      </c>
      <c r="M440" s="156">
        <v>42318</v>
      </c>
      <c r="N440" t="s">
        <v>25</v>
      </c>
      <c r="O440">
        <v>12000</v>
      </c>
      <c r="Q440">
        <v>12000</v>
      </c>
      <c r="R440">
        <v>1</v>
      </c>
      <c r="S440">
        <v>12000</v>
      </c>
      <c r="T440" t="s">
        <v>4665</v>
      </c>
      <c r="U440" t="s">
        <v>6595</v>
      </c>
      <c r="V440" s="156">
        <v>42359</v>
      </c>
    </row>
    <row r="441" spans="3:22" hidden="1">
      <c r="C441" s="156"/>
      <c r="F441" t="s">
        <v>1230</v>
      </c>
      <c r="G441" t="s">
        <v>71</v>
      </c>
      <c r="H441" s="156" t="s">
        <v>4950</v>
      </c>
      <c r="I441" s="156">
        <v>41122</v>
      </c>
      <c r="J441" s="156" t="s">
        <v>5066</v>
      </c>
      <c r="K441">
        <v>19105011</v>
      </c>
      <c r="L441" s="156" t="s">
        <v>4951</v>
      </c>
      <c r="M441" s="156">
        <v>41455</v>
      </c>
      <c r="N441" t="s">
        <v>25</v>
      </c>
      <c r="O441">
        <v>12000</v>
      </c>
      <c r="P441">
        <v>0</v>
      </c>
      <c r="Q441">
        <v>12000</v>
      </c>
      <c r="R441">
        <v>1</v>
      </c>
      <c r="S441">
        <v>12000</v>
      </c>
      <c r="T441" t="s">
        <v>4952</v>
      </c>
      <c r="U441" t="s">
        <v>4953</v>
      </c>
      <c r="V441" s="156">
        <v>42359</v>
      </c>
    </row>
    <row r="442" spans="3:22" hidden="1">
      <c r="C442" s="156"/>
      <c r="F442" t="s">
        <v>1230</v>
      </c>
      <c r="G442" t="s">
        <v>71</v>
      </c>
      <c r="H442" s="156" t="s">
        <v>4954</v>
      </c>
      <c r="I442" s="156">
        <v>41282</v>
      </c>
      <c r="J442" s="156" t="s">
        <v>4696</v>
      </c>
      <c r="K442">
        <v>11107001</v>
      </c>
      <c r="L442" s="156" t="s">
        <v>4697</v>
      </c>
      <c r="M442" s="156">
        <v>42459</v>
      </c>
      <c r="N442" t="s">
        <v>25</v>
      </c>
      <c r="O442">
        <v>100000</v>
      </c>
      <c r="Q442">
        <v>100000</v>
      </c>
      <c r="R442">
        <v>1</v>
      </c>
      <c r="S442">
        <v>100000</v>
      </c>
      <c r="T442" t="s">
        <v>4651</v>
      </c>
      <c r="U442" t="s">
        <v>4698</v>
      </c>
      <c r="V442" s="156">
        <v>42359</v>
      </c>
    </row>
    <row r="443" spans="3:22" hidden="1">
      <c r="C443" s="156"/>
      <c r="F443" t="s">
        <v>1230</v>
      </c>
      <c r="G443" t="s">
        <v>72</v>
      </c>
      <c r="H443" s="156" t="s">
        <v>4955</v>
      </c>
      <c r="I443" s="156">
        <v>41710</v>
      </c>
      <c r="J443" s="156" t="s">
        <v>4801</v>
      </c>
      <c r="K443">
        <v>13115012</v>
      </c>
      <c r="L443" s="156" t="s">
        <v>4802</v>
      </c>
      <c r="M443" s="156">
        <v>41881</v>
      </c>
      <c r="N443" t="s">
        <v>25</v>
      </c>
      <c r="O443">
        <v>50000</v>
      </c>
      <c r="P443">
        <v>40000</v>
      </c>
      <c r="Q443">
        <v>10000</v>
      </c>
      <c r="R443">
        <v>1</v>
      </c>
      <c r="S443">
        <v>10000</v>
      </c>
      <c r="T443" t="s">
        <v>4760</v>
      </c>
      <c r="U443" t="s">
        <v>4803</v>
      </c>
      <c r="V443" s="156">
        <v>42359</v>
      </c>
    </row>
    <row r="444" spans="3:22" hidden="1">
      <c r="C444" s="156"/>
      <c r="F444" t="s">
        <v>1230</v>
      </c>
      <c r="G444" t="s">
        <v>970</v>
      </c>
      <c r="H444" s="156" t="s">
        <v>5432</v>
      </c>
      <c r="I444" s="156">
        <v>42157</v>
      </c>
      <c r="J444" s="156" t="s">
        <v>5433</v>
      </c>
      <c r="K444">
        <v>17101003</v>
      </c>
      <c r="L444" s="156" t="s">
        <v>5047</v>
      </c>
      <c r="M444" s="156">
        <v>42157</v>
      </c>
      <c r="N444" t="s">
        <v>25</v>
      </c>
      <c r="O444">
        <v>150</v>
      </c>
      <c r="P444">
        <v>140</v>
      </c>
      <c r="Q444">
        <v>10</v>
      </c>
      <c r="R444">
        <v>1</v>
      </c>
      <c r="S444">
        <v>10</v>
      </c>
      <c r="T444" t="s">
        <v>4663</v>
      </c>
      <c r="U444" t="s">
        <v>5434</v>
      </c>
      <c r="V444" s="156">
        <v>42359</v>
      </c>
    </row>
    <row r="445" spans="3:22" hidden="1">
      <c r="C445" s="156"/>
      <c r="F445" t="s">
        <v>1230</v>
      </c>
      <c r="G445" t="s">
        <v>72</v>
      </c>
      <c r="H445" s="156" t="s">
        <v>4956</v>
      </c>
      <c r="I445" s="156">
        <v>42083</v>
      </c>
      <c r="J445" s="156" t="s">
        <v>4957</v>
      </c>
      <c r="K445">
        <v>11101014</v>
      </c>
      <c r="L445" s="156" t="s">
        <v>4958</v>
      </c>
      <c r="M445" s="156">
        <v>42090</v>
      </c>
      <c r="N445" t="s">
        <v>25</v>
      </c>
      <c r="O445">
        <v>60411.82</v>
      </c>
      <c r="P445">
        <v>59936.160000000003</v>
      </c>
      <c r="Q445">
        <v>475.66</v>
      </c>
      <c r="R445">
        <v>1</v>
      </c>
      <c r="S445">
        <v>475.66</v>
      </c>
      <c r="T445" t="s">
        <v>4959</v>
      </c>
      <c r="U445" t="s">
        <v>4960</v>
      </c>
      <c r="V445" s="156">
        <v>42359</v>
      </c>
    </row>
    <row r="446" spans="3:22" hidden="1">
      <c r="C446" s="156"/>
      <c r="F446" t="s">
        <v>1230</v>
      </c>
      <c r="G446" t="s">
        <v>72</v>
      </c>
      <c r="H446" s="156" t="s">
        <v>5436</v>
      </c>
      <c r="I446" s="156">
        <v>42151</v>
      </c>
      <c r="J446" s="156" t="s">
        <v>4957</v>
      </c>
      <c r="K446">
        <v>11101014</v>
      </c>
      <c r="L446" s="156" t="s">
        <v>5437</v>
      </c>
      <c r="M446" s="156">
        <v>42185</v>
      </c>
      <c r="N446" t="s">
        <v>25</v>
      </c>
      <c r="O446">
        <v>27142.61</v>
      </c>
      <c r="P446">
        <v>21086.65</v>
      </c>
      <c r="Q446">
        <v>6055.96</v>
      </c>
      <c r="R446">
        <v>1</v>
      </c>
      <c r="S446">
        <v>6055.96</v>
      </c>
      <c r="T446" t="s">
        <v>4959</v>
      </c>
      <c r="U446" t="s">
        <v>5438</v>
      </c>
      <c r="V446" s="156">
        <v>42359</v>
      </c>
    </row>
    <row r="447" spans="3:22" hidden="1">
      <c r="C447" s="156"/>
      <c r="F447" t="s">
        <v>1230</v>
      </c>
      <c r="G447" t="s">
        <v>72</v>
      </c>
      <c r="H447" s="156" t="s">
        <v>5702</v>
      </c>
      <c r="I447" s="156">
        <v>42244</v>
      </c>
      <c r="J447" s="156" t="s">
        <v>4525</v>
      </c>
      <c r="K447">
        <v>11101020</v>
      </c>
      <c r="L447" s="156" t="s">
        <v>5703</v>
      </c>
      <c r="M447" s="156">
        <v>42308</v>
      </c>
      <c r="N447" t="s">
        <v>25</v>
      </c>
      <c r="O447">
        <v>4593213.8499999996</v>
      </c>
      <c r="P447">
        <v>4475560.26</v>
      </c>
      <c r="Q447">
        <v>117653.59</v>
      </c>
      <c r="R447">
        <v>1</v>
      </c>
      <c r="S447">
        <v>117653.59</v>
      </c>
      <c r="T447" t="s">
        <v>5704</v>
      </c>
      <c r="U447" t="s">
        <v>5705</v>
      </c>
      <c r="V447" s="156">
        <v>42359</v>
      </c>
    </row>
    <row r="448" spans="3:22" hidden="1">
      <c r="C448" s="156"/>
      <c r="F448" t="s">
        <v>1230</v>
      </c>
      <c r="G448" t="s">
        <v>72</v>
      </c>
      <c r="H448" s="156" t="s">
        <v>4961</v>
      </c>
      <c r="I448" s="156">
        <v>41969</v>
      </c>
      <c r="J448" s="156" t="s">
        <v>4707</v>
      </c>
      <c r="K448">
        <v>11101018</v>
      </c>
      <c r="L448" s="156" t="s">
        <v>4962</v>
      </c>
      <c r="M448" s="156">
        <v>41988</v>
      </c>
      <c r="N448" t="s">
        <v>25</v>
      </c>
      <c r="O448">
        <v>21448.34</v>
      </c>
      <c r="P448">
        <v>0</v>
      </c>
      <c r="Q448">
        <v>21448.34</v>
      </c>
      <c r="R448">
        <v>1</v>
      </c>
      <c r="S448">
        <v>21448.34</v>
      </c>
      <c r="T448" t="s">
        <v>4708</v>
      </c>
      <c r="U448" t="s">
        <v>4728</v>
      </c>
      <c r="V448" s="156">
        <v>42359</v>
      </c>
    </row>
    <row r="449" spans="3:22" hidden="1">
      <c r="C449" s="156"/>
      <c r="F449" t="s">
        <v>1230</v>
      </c>
      <c r="G449" t="s">
        <v>72</v>
      </c>
      <c r="H449" s="156" t="s">
        <v>4963</v>
      </c>
      <c r="I449" s="156">
        <v>41991</v>
      </c>
      <c r="J449" s="156" t="s">
        <v>4707</v>
      </c>
      <c r="K449">
        <v>11101018</v>
      </c>
      <c r="L449" s="156" t="s">
        <v>4964</v>
      </c>
      <c r="M449" s="156">
        <v>42004</v>
      </c>
      <c r="N449" t="s">
        <v>25</v>
      </c>
      <c r="O449">
        <v>21250</v>
      </c>
      <c r="P449">
        <v>0</v>
      </c>
      <c r="Q449">
        <v>21250</v>
      </c>
      <c r="R449">
        <v>1</v>
      </c>
      <c r="S449">
        <v>21250</v>
      </c>
      <c r="T449" t="s">
        <v>4708</v>
      </c>
      <c r="U449" t="s">
        <v>4965</v>
      </c>
      <c r="V449" s="156">
        <v>42359</v>
      </c>
    </row>
    <row r="450" spans="3:22" hidden="1">
      <c r="C450" s="156"/>
      <c r="F450" t="s">
        <v>1230</v>
      </c>
      <c r="G450" t="s">
        <v>72</v>
      </c>
      <c r="H450" s="156" t="s">
        <v>4966</v>
      </c>
      <c r="I450" s="156">
        <v>41890</v>
      </c>
      <c r="J450" s="156" t="s">
        <v>4967</v>
      </c>
      <c r="K450">
        <v>17101003</v>
      </c>
      <c r="L450" s="156" t="s">
        <v>4662</v>
      </c>
      <c r="M450" s="156">
        <v>41890</v>
      </c>
      <c r="N450" t="s">
        <v>25</v>
      </c>
      <c r="O450">
        <v>150</v>
      </c>
      <c r="Q450">
        <v>150</v>
      </c>
      <c r="R450">
        <v>1</v>
      </c>
      <c r="S450">
        <v>150</v>
      </c>
      <c r="T450" t="s">
        <v>4663</v>
      </c>
      <c r="U450" t="s">
        <v>4968</v>
      </c>
      <c r="V450" s="156">
        <v>42359</v>
      </c>
    </row>
    <row r="451" spans="3:22" hidden="1">
      <c r="C451" s="156"/>
      <c r="F451" t="s">
        <v>1230</v>
      </c>
      <c r="G451" t="s">
        <v>72</v>
      </c>
      <c r="H451" s="156" t="s">
        <v>6596</v>
      </c>
      <c r="I451" s="156">
        <v>42321</v>
      </c>
      <c r="J451" s="156" t="s">
        <v>1479</v>
      </c>
      <c r="K451">
        <v>11101004</v>
      </c>
      <c r="L451" s="156" t="s">
        <v>6597</v>
      </c>
      <c r="M451" s="156">
        <v>42428</v>
      </c>
      <c r="N451" t="s">
        <v>22</v>
      </c>
      <c r="O451">
        <v>3344470.23</v>
      </c>
      <c r="P451">
        <v>3009917.51</v>
      </c>
      <c r="Q451">
        <v>334552.71999999997</v>
      </c>
      <c r="R451">
        <v>3.9062000000000001</v>
      </c>
      <c r="S451">
        <v>1306829.8348640001</v>
      </c>
      <c r="T451" t="s">
        <v>4647</v>
      </c>
      <c r="U451" t="s">
        <v>6000</v>
      </c>
      <c r="V451" s="156">
        <v>42359</v>
      </c>
    </row>
    <row r="452" spans="3:22" hidden="1">
      <c r="C452" s="156"/>
      <c r="F452" t="s">
        <v>1230</v>
      </c>
      <c r="G452" t="s">
        <v>72</v>
      </c>
      <c r="H452" s="156" t="s">
        <v>6598</v>
      </c>
      <c r="I452" s="156">
        <v>42359</v>
      </c>
      <c r="J452" s="156" t="s">
        <v>5656</v>
      </c>
      <c r="K452">
        <v>11101006</v>
      </c>
      <c r="L452" s="156" t="s">
        <v>6599</v>
      </c>
      <c r="M452" s="156">
        <v>42444</v>
      </c>
      <c r="N452" t="s">
        <v>25</v>
      </c>
      <c r="O452">
        <v>150000</v>
      </c>
      <c r="P452">
        <v>0</v>
      </c>
      <c r="Q452">
        <v>150000</v>
      </c>
      <c r="R452">
        <v>1</v>
      </c>
      <c r="S452">
        <v>150000</v>
      </c>
      <c r="T452" t="s">
        <v>5934</v>
      </c>
      <c r="U452" t="s">
        <v>6088</v>
      </c>
      <c r="V452" s="156">
        <v>42359</v>
      </c>
    </row>
    <row r="453" spans="3:22" hidden="1">
      <c r="C453" s="156"/>
      <c r="F453" t="s">
        <v>1230</v>
      </c>
      <c r="G453" t="s">
        <v>72</v>
      </c>
      <c r="H453" s="156" t="s">
        <v>6600</v>
      </c>
      <c r="I453" s="156">
        <v>42359</v>
      </c>
      <c r="J453" s="156" t="s">
        <v>5656</v>
      </c>
      <c r="K453">
        <v>11101017</v>
      </c>
      <c r="L453" s="156" t="s">
        <v>6601</v>
      </c>
      <c r="M453" s="156">
        <v>42444</v>
      </c>
      <c r="N453" t="s">
        <v>25</v>
      </c>
      <c r="O453">
        <v>75000</v>
      </c>
      <c r="P453">
        <v>0</v>
      </c>
      <c r="Q453">
        <v>75000</v>
      </c>
      <c r="R453">
        <v>1</v>
      </c>
      <c r="S453">
        <v>75000</v>
      </c>
      <c r="T453" t="s">
        <v>5934</v>
      </c>
      <c r="U453" t="s">
        <v>6088</v>
      </c>
      <c r="V453" s="156">
        <v>42359</v>
      </c>
    </row>
    <row r="454" spans="3:22" hidden="1">
      <c r="F454" t="s">
        <v>1230</v>
      </c>
      <c r="G454" t="s">
        <v>72</v>
      </c>
      <c r="H454" s="156" t="s">
        <v>6602</v>
      </c>
      <c r="I454" s="156">
        <v>42359</v>
      </c>
      <c r="J454" s="156" t="s">
        <v>5656</v>
      </c>
      <c r="K454">
        <v>11101017</v>
      </c>
      <c r="L454" s="156" t="s">
        <v>6603</v>
      </c>
      <c r="M454" s="156">
        <v>42444</v>
      </c>
      <c r="N454" t="s">
        <v>25</v>
      </c>
      <c r="O454">
        <v>75000</v>
      </c>
      <c r="P454">
        <v>0</v>
      </c>
      <c r="Q454">
        <v>75000</v>
      </c>
      <c r="R454">
        <v>1</v>
      </c>
      <c r="S454">
        <v>75000</v>
      </c>
      <c r="T454" t="s">
        <v>5934</v>
      </c>
      <c r="U454" t="s">
        <v>6088</v>
      </c>
      <c r="V454" s="156">
        <v>42359</v>
      </c>
    </row>
    <row r="455" spans="3:22" hidden="1">
      <c r="F455" t="s">
        <v>1230</v>
      </c>
      <c r="G455" t="s">
        <v>73</v>
      </c>
      <c r="H455" s="156" t="s">
        <v>4973</v>
      </c>
      <c r="I455" s="156">
        <v>42051</v>
      </c>
      <c r="J455" s="156" t="s">
        <v>4849</v>
      </c>
      <c r="K455">
        <v>11107001</v>
      </c>
      <c r="L455" s="156" t="s">
        <v>4850</v>
      </c>
      <c r="M455" s="156">
        <v>43250</v>
      </c>
      <c r="N455" t="s">
        <v>25</v>
      </c>
      <c r="O455">
        <v>30000</v>
      </c>
      <c r="Q455">
        <v>30000</v>
      </c>
      <c r="R455">
        <v>1</v>
      </c>
      <c r="S455">
        <v>30000</v>
      </c>
      <c r="T455" t="s">
        <v>4651</v>
      </c>
      <c r="U455" t="s">
        <v>4851</v>
      </c>
      <c r="V455" s="156">
        <v>42359</v>
      </c>
    </row>
    <row r="456" spans="3:22" hidden="1">
      <c r="F456" t="s">
        <v>1230</v>
      </c>
      <c r="G456" t="s">
        <v>72</v>
      </c>
      <c r="H456" s="156" t="s">
        <v>5600</v>
      </c>
      <c r="I456" s="156">
        <v>42191</v>
      </c>
      <c r="J456" s="156" t="s">
        <v>5601</v>
      </c>
      <c r="K456">
        <v>17101002</v>
      </c>
      <c r="L456" s="156" t="s">
        <v>5602</v>
      </c>
      <c r="M456" s="156">
        <v>42191</v>
      </c>
      <c r="N456" t="s">
        <v>25</v>
      </c>
      <c r="O456">
        <v>4197.75</v>
      </c>
      <c r="Q456">
        <v>4197.75</v>
      </c>
      <c r="R456">
        <v>1</v>
      </c>
      <c r="S456">
        <v>4197.75</v>
      </c>
      <c r="T456" t="s">
        <v>4665</v>
      </c>
      <c r="U456" t="s">
        <v>5603</v>
      </c>
      <c r="V456" s="156">
        <v>42359</v>
      </c>
    </row>
    <row r="457" spans="3:22" hidden="1">
      <c r="F457" t="s">
        <v>1230</v>
      </c>
      <c r="G457" t="s">
        <v>71</v>
      </c>
      <c r="H457" s="156" t="s">
        <v>5712</v>
      </c>
      <c r="I457" s="156">
        <v>42236</v>
      </c>
      <c r="J457" s="156" t="s">
        <v>5713</v>
      </c>
      <c r="K457">
        <v>17101002</v>
      </c>
      <c r="L457" s="156" t="s">
        <v>5659</v>
      </c>
      <c r="M457" s="156">
        <v>42236</v>
      </c>
      <c r="N457" t="s">
        <v>25</v>
      </c>
      <c r="O457">
        <v>120</v>
      </c>
      <c r="Q457">
        <v>120</v>
      </c>
      <c r="R457">
        <v>1</v>
      </c>
      <c r="S457">
        <v>120</v>
      </c>
      <c r="T457" t="s">
        <v>4665</v>
      </c>
      <c r="U457" t="s">
        <v>5714</v>
      </c>
      <c r="V457" s="156">
        <v>42359</v>
      </c>
    </row>
    <row r="458" spans="3:22" hidden="1">
      <c r="F458" t="s">
        <v>1230</v>
      </c>
      <c r="G458" t="s">
        <v>73</v>
      </c>
      <c r="H458" s="156" t="s">
        <v>6604</v>
      </c>
      <c r="I458" s="156">
        <v>42325</v>
      </c>
      <c r="J458" s="156" t="s">
        <v>6605</v>
      </c>
      <c r="K458">
        <v>17101002</v>
      </c>
      <c r="L458" s="156" t="s">
        <v>6606</v>
      </c>
      <c r="M458" s="156">
        <v>42325</v>
      </c>
      <c r="N458" t="s">
        <v>25</v>
      </c>
      <c r="O458">
        <v>42438.77</v>
      </c>
      <c r="Q458">
        <v>42438.77</v>
      </c>
      <c r="R458">
        <v>1</v>
      </c>
      <c r="S458">
        <v>42438.77</v>
      </c>
      <c r="T458" t="s">
        <v>4665</v>
      </c>
      <c r="U458" t="s">
        <v>6607</v>
      </c>
      <c r="V458" s="156">
        <v>42359</v>
      </c>
    </row>
    <row r="459" spans="3:22" hidden="1">
      <c r="F459" t="s">
        <v>1230</v>
      </c>
      <c r="G459" t="s">
        <v>72</v>
      </c>
      <c r="H459" s="156" t="s">
        <v>5510</v>
      </c>
      <c r="I459" s="156">
        <v>42185</v>
      </c>
      <c r="J459" s="156" t="s">
        <v>1474</v>
      </c>
      <c r="K459">
        <v>11101004</v>
      </c>
      <c r="L459" s="156" t="s">
        <v>5511</v>
      </c>
      <c r="M459" s="156">
        <v>42308</v>
      </c>
      <c r="N459" t="s">
        <v>22</v>
      </c>
      <c r="O459">
        <v>1587300</v>
      </c>
      <c r="P459">
        <v>1494560.22</v>
      </c>
      <c r="Q459">
        <v>92739.78</v>
      </c>
      <c r="R459">
        <v>3.9062000000000001</v>
      </c>
      <c r="S459">
        <v>362260.12863599998</v>
      </c>
      <c r="T459" t="s">
        <v>4647</v>
      </c>
      <c r="U459" t="s">
        <v>5466</v>
      </c>
      <c r="V459" s="156">
        <v>42359</v>
      </c>
    </row>
    <row r="460" spans="3:22" hidden="1">
      <c r="F460" t="s">
        <v>1230</v>
      </c>
      <c r="G460" t="s">
        <v>72</v>
      </c>
      <c r="H460" s="156" t="s">
        <v>5469</v>
      </c>
      <c r="I460" s="156">
        <v>42185</v>
      </c>
      <c r="J460" s="156" t="s">
        <v>1474</v>
      </c>
      <c r="K460">
        <v>11101004</v>
      </c>
      <c r="L460" s="156" t="s">
        <v>5470</v>
      </c>
      <c r="M460" s="156">
        <v>42308</v>
      </c>
      <c r="N460" t="s">
        <v>22</v>
      </c>
      <c r="O460">
        <v>1543200</v>
      </c>
      <c r="P460">
        <v>1496593.86</v>
      </c>
      <c r="Q460">
        <v>46606.14</v>
      </c>
      <c r="R460">
        <v>3.9062000000000001</v>
      </c>
      <c r="S460">
        <v>182052.904068</v>
      </c>
      <c r="T460" t="s">
        <v>4647</v>
      </c>
      <c r="U460" t="s">
        <v>5464</v>
      </c>
      <c r="V460" s="156">
        <v>42359</v>
      </c>
    </row>
    <row r="461" spans="3:22" hidden="1">
      <c r="F461" t="s">
        <v>1230</v>
      </c>
      <c r="G461" t="s">
        <v>71</v>
      </c>
      <c r="H461" s="156" t="s">
        <v>6608</v>
      </c>
      <c r="I461" s="156">
        <v>42327</v>
      </c>
      <c r="J461" s="156" t="s">
        <v>4645</v>
      </c>
      <c r="K461">
        <v>17101002</v>
      </c>
      <c r="L461" s="156" t="s">
        <v>6002</v>
      </c>
      <c r="M461" s="156">
        <v>42327</v>
      </c>
      <c r="N461" t="s">
        <v>25</v>
      </c>
      <c r="O461">
        <v>10000</v>
      </c>
      <c r="Q461">
        <v>10000</v>
      </c>
      <c r="R461">
        <v>1</v>
      </c>
      <c r="S461">
        <v>10000</v>
      </c>
      <c r="T461" t="s">
        <v>4665</v>
      </c>
      <c r="U461" t="s">
        <v>6003</v>
      </c>
      <c r="V461" s="156">
        <v>42359</v>
      </c>
    </row>
    <row r="462" spans="3:22" hidden="1">
      <c r="F462" t="s">
        <v>1230</v>
      </c>
      <c r="G462" t="s">
        <v>72</v>
      </c>
      <c r="H462" s="156" t="s">
        <v>6609</v>
      </c>
      <c r="I462" s="156">
        <v>42359</v>
      </c>
      <c r="J462" s="156" t="s">
        <v>6610</v>
      </c>
      <c r="K462">
        <v>13115016</v>
      </c>
      <c r="L462" s="156" t="s">
        <v>6611</v>
      </c>
      <c r="M462" s="156">
        <v>42360</v>
      </c>
      <c r="N462" t="s">
        <v>25</v>
      </c>
      <c r="O462">
        <v>2800</v>
      </c>
      <c r="P462">
        <v>0</v>
      </c>
      <c r="Q462">
        <v>2800</v>
      </c>
      <c r="R462">
        <v>1</v>
      </c>
      <c r="S462">
        <v>2800</v>
      </c>
      <c r="T462" t="s">
        <v>4664</v>
      </c>
      <c r="U462" t="s">
        <v>6612</v>
      </c>
      <c r="V462" s="156">
        <v>42359</v>
      </c>
    </row>
    <row r="463" spans="3:22" hidden="1">
      <c r="F463" t="s">
        <v>1230</v>
      </c>
      <c r="G463" t="s">
        <v>73</v>
      </c>
      <c r="H463" s="156" t="s">
        <v>5845</v>
      </c>
      <c r="I463" s="156">
        <v>42371</v>
      </c>
      <c r="J463" s="156" t="s">
        <v>4516</v>
      </c>
      <c r="K463">
        <v>11101005</v>
      </c>
      <c r="L463" s="156" t="s">
        <v>5846</v>
      </c>
      <c r="M463" s="156">
        <v>42674</v>
      </c>
      <c r="N463" t="s">
        <v>25</v>
      </c>
      <c r="O463">
        <v>43700</v>
      </c>
      <c r="P463">
        <v>0</v>
      </c>
      <c r="Q463">
        <v>43700</v>
      </c>
      <c r="R463">
        <v>1</v>
      </c>
      <c r="S463">
        <v>43700</v>
      </c>
      <c r="T463" t="s">
        <v>4709</v>
      </c>
      <c r="U463" t="s">
        <v>5847</v>
      </c>
      <c r="V463" s="156">
        <v>42359</v>
      </c>
    </row>
    <row r="464" spans="3:22" hidden="1">
      <c r="F464" t="s">
        <v>1230</v>
      </c>
      <c r="G464" t="s">
        <v>72</v>
      </c>
      <c r="H464" s="156" t="s">
        <v>5928</v>
      </c>
      <c r="I464" s="156">
        <v>42371</v>
      </c>
      <c r="J464" s="156" t="s">
        <v>4516</v>
      </c>
      <c r="K464">
        <v>11101005</v>
      </c>
      <c r="L464" s="156" t="s">
        <v>5929</v>
      </c>
      <c r="M464" s="156">
        <v>42612</v>
      </c>
      <c r="N464" t="s">
        <v>25</v>
      </c>
      <c r="O464">
        <v>6008550</v>
      </c>
      <c r="Q464">
        <v>6008550</v>
      </c>
      <c r="R464">
        <v>1</v>
      </c>
      <c r="S464">
        <v>6008550</v>
      </c>
      <c r="T464" t="s">
        <v>4709</v>
      </c>
      <c r="U464" t="s">
        <v>5856</v>
      </c>
      <c r="V464" s="156">
        <v>42359</v>
      </c>
    </row>
    <row r="465" spans="6:22" hidden="1">
      <c r="F465" t="s">
        <v>1231</v>
      </c>
      <c r="G465" t="s">
        <v>71</v>
      </c>
      <c r="H465" s="156" t="s">
        <v>6613</v>
      </c>
      <c r="I465" s="156">
        <v>42339</v>
      </c>
      <c r="J465" s="156" t="s">
        <v>4767</v>
      </c>
      <c r="K465">
        <v>19105017</v>
      </c>
      <c r="L465" s="156" t="s">
        <v>6614</v>
      </c>
      <c r="M465" s="156">
        <v>42353</v>
      </c>
      <c r="N465" t="s">
        <v>25</v>
      </c>
      <c r="O465">
        <v>91429.89</v>
      </c>
      <c r="P465">
        <v>0</v>
      </c>
      <c r="Q465">
        <v>91429.89</v>
      </c>
      <c r="R465">
        <v>1</v>
      </c>
      <c r="S465">
        <v>91429.89</v>
      </c>
      <c r="T465" t="s">
        <v>4768</v>
      </c>
      <c r="U465" t="s">
        <v>6615</v>
      </c>
      <c r="V465" s="156">
        <v>42359</v>
      </c>
    </row>
    <row r="466" spans="6:22" hidden="1">
      <c r="F466" t="s">
        <v>1231</v>
      </c>
      <c r="G466" t="s">
        <v>71</v>
      </c>
      <c r="H466" s="156" t="s">
        <v>6616</v>
      </c>
      <c r="I466" s="156">
        <v>42352</v>
      </c>
      <c r="J466" s="156" t="s">
        <v>4767</v>
      </c>
      <c r="K466">
        <v>19105017</v>
      </c>
      <c r="L466" s="156" t="s">
        <v>6617</v>
      </c>
      <c r="M466" s="156">
        <v>42356</v>
      </c>
      <c r="N466" t="s">
        <v>25</v>
      </c>
      <c r="O466">
        <v>2523</v>
      </c>
      <c r="P466">
        <v>0</v>
      </c>
      <c r="Q466">
        <v>2523</v>
      </c>
      <c r="R466">
        <v>1</v>
      </c>
      <c r="S466">
        <v>2523</v>
      </c>
      <c r="T466" t="s">
        <v>4768</v>
      </c>
      <c r="U466" t="s">
        <v>6618</v>
      </c>
      <c r="V466" s="156">
        <v>42359</v>
      </c>
    </row>
    <row r="467" spans="6:22" hidden="1">
      <c r="F467" t="s">
        <v>4823</v>
      </c>
      <c r="G467" t="s">
        <v>5736</v>
      </c>
      <c r="H467" s="156" t="s">
        <v>6619</v>
      </c>
      <c r="I467" s="156">
        <v>42354</v>
      </c>
      <c r="J467" s="156" t="s">
        <v>4767</v>
      </c>
      <c r="K467">
        <v>19105017</v>
      </c>
      <c r="L467" s="156" t="s">
        <v>6620</v>
      </c>
      <c r="M467" s="156">
        <v>42355</v>
      </c>
      <c r="N467" t="s">
        <v>25</v>
      </c>
      <c r="O467">
        <v>1240</v>
      </c>
      <c r="P467">
        <v>0</v>
      </c>
      <c r="Q467">
        <v>1240</v>
      </c>
      <c r="R467">
        <v>1</v>
      </c>
      <c r="S467">
        <v>1240</v>
      </c>
      <c r="T467" t="s">
        <v>4768</v>
      </c>
      <c r="U467" t="s">
        <v>6621</v>
      </c>
      <c r="V467" s="156">
        <v>42359</v>
      </c>
    </row>
    <row r="468" spans="6:22" hidden="1">
      <c r="F468" t="s">
        <v>4823</v>
      </c>
      <c r="G468" t="s">
        <v>5736</v>
      </c>
      <c r="H468" s="156" t="s">
        <v>6622</v>
      </c>
      <c r="I468" s="156">
        <v>42354</v>
      </c>
      <c r="J468" s="156" t="s">
        <v>4767</v>
      </c>
      <c r="K468">
        <v>19105017</v>
      </c>
      <c r="L468" s="156" t="s">
        <v>6623</v>
      </c>
      <c r="M468" s="156">
        <v>42361</v>
      </c>
      <c r="N468" t="s">
        <v>25</v>
      </c>
      <c r="O468">
        <v>1716.3</v>
      </c>
      <c r="P468">
        <v>0</v>
      </c>
      <c r="Q468">
        <v>1716.3</v>
      </c>
      <c r="R468">
        <v>1</v>
      </c>
      <c r="S468">
        <v>1716.3</v>
      </c>
      <c r="T468" t="s">
        <v>4768</v>
      </c>
      <c r="U468" t="s">
        <v>6624</v>
      </c>
      <c r="V468" s="156">
        <v>42359</v>
      </c>
    </row>
    <row r="469" spans="6:22" hidden="1">
      <c r="F469" t="s">
        <v>1230</v>
      </c>
      <c r="G469" t="s">
        <v>1012</v>
      </c>
      <c r="H469" s="156" t="s">
        <v>6625</v>
      </c>
      <c r="I469" s="156">
        <v>42324</v>
      </c>
      <c r="J469" s="156" t="s">
        <v>4767</v>
      </c>
      <c r="K469">
        <v>13106003</v>
      </c>
      <c r="L469" s="156" t="s">
        <v>6272</v>
      </c>
      <c r="M469" s="156">
        <v>42324</v>
      </c>
      <c r="N469" t="s">
        <v>25</v>
      </c>
      <c r="O469">
        <v>34765.980000000003</v>
      </c>
      <c r="Q469">
        <v>34765.980000000003</v>
      </c>
      <c r="R469">
        <v>1</v>
      </c>
      <c r="S469">
        <v>34765.980000000003</v>
      </c>
      <c r="T469" t="s">
        <v>6273</v>
      </c>
      <c r="U469" t="s">
        <v>6274</v>
      </c>
      <c r="V469" s="156">
        <v>42359</v>
      </c>
    </row>
    <row r="470" spans="6:22" hidden="1">
      <c r="F470" t="s">
        <v>1230</v>
      </c>
      <c r="G470" t="s">
        <v>72</v>
      </c>
      <c r="H470" s="156" t="s">
        <v>4978</v>
      </c>
      <c r="I470" s="156">
        <v>41044</v>
      </c>
      <c r="J470" s="156" t="s">
        <v>4649</v>
      </c>
      <c r="K470">
        <v>11107001</v>
      </c>
      <c r="L470" s="156" t="s">
        <v>4712</v>
      </c>
      <c r="M470" s="156">
        <v>42505</v>
      </c>
      <c r="N470" t="s">
        <v>25</v>
      </c>
      <c r="O470">
        <v>28125</v>
      </c>
      <c r="Q470">
        <v>28125</v>
      </c>
      <c r="R470">
        <v>1</v>
      </c>
      <c r="S470">
        <v>28125</v>
      </c>
      <c r="T470" t="s">
        <v>4651</v>
      </c>
      <c r="U470" t="s">
        <v>4659</v>
      </c>
      <c r="V470" s="156">
        <v>42359</v>
      </c>
    </row>
    <row r="471" spans="6:22" hidden="1">
      <c r="F471" t="s">
        <v>1230</v>
      </c>
      <c r="G471" t="s">
        <v>72</v>
      </c>
      <c r="H471" s="156" t="s">
        <v>4979</v>
      </c>
      <c r="I471" s="156">
        <v>41044</v>
      </c>
      <c r="J471" s="156" t="s">
        <v>4649</v>
      </c>
      <c r="K471">
        <v>11107001</v>
      </c>
      <c r="L471" s="156" t="s">
        <v>4712</v>
      </c>
      <c r="M471" s="156">
        <v>42870</v>
      </c>
      <c r="N471" t="s">
        <v>25</v>
      </c>
      <c r="O471">
        <v>28125</v>
      </c>
      <c r="Q471">
        <v>28125</v>
      </c>
      <c r="R471">
        <v>1</v>
      </c>
      <c r="S471">
        <v>28125</v>
      </c>
      <c r="T471" t="s">
        <v>4651</v>
      </c>
      <c r="U471" t="s">
        <v>4659</v>
      </c>
      <c r="V471" s="156">
        <v>42359</v>
      </c>
    </row>
    <row r="472" spans="6:22" hidden="1">
      <c r="F472" t="s">
        <v>1230</v>
      </c>
      <c r="G472" t="s">
        <v>72</v>
      </c>
      <c r="H472" s="156" t="s">
        <v>4980</v>
      </c>
      <c r="I472" s="156">
        <v>41044</v>
      </c>
      <c r="J472" s="156" t="s">
        <v>4649</v>
      </c>
      <c r="K472">
        <v>11107001</v>
      </c>
      <c r="L472" s="156" t="s">
        <v>4655</v>
      </c>
      <c r="M472" s="156">
        <v>43966</v>
      </c>
      <c r="N472" t="s">
        <v>25</v>
      </c>
      <c r="O472">
        <v>28125</v>
      </c>
      <c r="Q472">
        <v>28125</v>
      </c>
      <c r="R472">
        <v>1</v>
      </c>
      <c r="S472">
        <v>28125</v>
      </c>
      <c r="T472" t="s">
        <v>4651</v>
      </c>
      <c r="U472" t="s">
        <v>4656</v>
      </c>
      <c r="V472" s="156">
        <v>42359</v>
      </c>
    </row>
    <row r="473" spans="6:22" hidden="1">
      <c r="F473" t="s">
        <v>1230</v>
      </c>
      <c r="G473" t="s">
        <v>72</v>
      </c>
      <c r="H473" s="156" t="s">
        <v>4982</v>
      </c>
      <c r="I473" s="156">
        <v>41044</v>
      </c>
      <c r="J473" s="156" t="s">
        <v>4649</v>
      </c>
      <c r="K473">
        <v>11107001</v>
      </c>
      <c r="L473" s="156" t="s">
        <v>4712</v>
      </c>
      <c r="M473" s="156">
        <v>43600</v>
      </c>
      <c r="N473" t="s">
        <v>25</v>
      </c>
      <c r="O473">
        <v>28125</v>
      </c>
      <c r="Q473">
        <v>28125</v>
      </c>
      <c r="R473">
        <v>1</v>
      </c>
      <c r="S473">
        <v>28125</v>
      </c>
      <c r="T473" t="s">
        <v>4651</v>
      </c>
      <c r="U473" t="s">
        <v>4659</v>
      </c>
      <c r="V473" s="156">
        <v>42359</v>
      </c>
    </row>
    <row r="474" spans="6:22" hidden="1">
      <c r="F474" t="s">
        <v>1230</v>
      </c>
      <c r="G474" t="s">
        <v>72</v>
      </c>
      <c r="H474" s="156" t="s">
        <v>4984</v>
      </c>
      <c r="I474" s="156">
        <v>41897</v>
      </c>
      <c r="J474" s="156" t="s">
        <v>4673</v>
      </c>
      <c r="K474">
        <v>11101009</v>
      </c>
      <c r="L474" s="156" t="s">
        <v>4985</v>
      </c>
      <c r="M474" s="156">
        <v>41912</v>
      </c>
      <c r="N474" t="s">
        <v>25</v>
      </c>
      <c r="O474">
        <v>157500</v>
      </c>
      <c r="P474">
        <v>146808.9</v>
      </c>
      <c r="Q474">
        <v>10691.1</v>
      </c>
      <c r="R474">
        <v>1</v>
      </c>
      <c r="S474">
        <v>10691.1</v>
      </c>
      <c r="T474" t="s">
        <v>4675</v>
      </c>
      <c r="U474" t="s">
        <v>4986</v>
      </c>
      <c r="V474" s="156">
        <v>42359</v>
      </c>
    </row>
    <row r="475" spans="6:22" hidden="1">
      <c r="F475" t="s">
        <v>1230</v>
      </c>
      <c r="G475" t="s">
        <v>72</v>
      </c>
      <c r="H475" s="156" t="s">
        <v>4987</v>
      </c>
      <c r="I475" s="156">
        <v>41960</v>
      </c>
      <c r="J475" s="156" t="s">
        <v>4676</v>
      </c>
      <c r="K475">
        <v>17101002</v>
      </c>
      <c r="L475" s="156" t="s">
        <v>4988</v>
      </c>
      <c r="M475" s="156">
        <v>41960</v>
      </c>
      <c r="N475" t="s">
        <v>25</v>
      </c>
      <c r="O475">
        <v>16571</v>
      </c>
      <c r="P475">
        <v>10211.48</v>
      </c>
      <c r="Q475">
        <v>6359.52</v>
      </c>
      <c r="R475">
        <v>1</v>
      </c>
      <c r="S475">
        <v>6359.52</v>
      </c>
      <c r="T475" t="s">
        <v>4665</v>
      </c>
      <c r="U475" t="s">
        <v>4989</v>
      </c>
      <c r="V475" s="156">
        <v>42359</v>
      </c>
    </row>
    <row r="476" spans="6:22" hidden="1">
      <c r="F476" t="s">
        <v>1230</v>
      </c>
      <c r="G476" t="s">
        <v>76</v>
      </c>
      <c r="H476" s="156" t="s">
        <v>6626</v>
      </c>
      <c r="I476" s="156">
        <v>42360</v>
      </c>
      <c r="J476" s="156" t="s">
        <v>5590</v>
      </c>
      <c r="K476">
        <v>17101003</v>
      </c>
      <c r="L476" s="156" t="s">
        <v>6627</v>
      </c>
      <c r="M476" s="156">
        <v>42360</v>
      </c>
      <c r="N476" t="s">
        <v>25</v>
      </c>
      <c r="O476">
        <v>3000</v>
      </c>
      <c r="Q476">
        <v>3000</v>
      </c>
      <c r="R476">
        <v>1</v>
      </c>
      <c r="S476">
        <v>3000</v>
      </c>
      <c r="T476" t="s">
        <v>4663</v>
      </c>
      <c r="U476" t="s">
        <v>6572</v>
      </c>
      <c r="V476" s="156">
        <v>42359</v>
      </c>
    </row>
    <row r="477" spans="6:22" hidden="1">
      <c r="F477" t="s">
        <v>1230</v>
      </c>
      <c r="G477" t="s">
        <v>1012</v>
      </c>
      <c r="H477" s="156" t="s">
        <v>6628</v>
      </c>
      <c r="I477" s="156">
        <v>42341</v>
      </c>
      <c r="J477" s="156" t="s">
        <v>6013</v>
      </c>
      <c r="K477">
        <v>11102001</v>
      </c>
      <c r="L477" s="156" t="s">
        <v>6629</v>
      </c>
      <c r="M477" s="156">
        <v>42373</v>
      </c>
      <c r="N477" t="s">
        <v>25</v>
      </c>
      <c r="O477">
        <v>33480</v>
      </c>
      <c r="P477">
        <v>0</v>
      </c>
      <c r="Q477">
        <v>33480</v>
      </c>
      <c r="R477">
        <v>1</v>
      </c>
      <c r="S477">
        <v>33480</v>
      </c>
      <c r="T477" t="s">
        <v>6015</v>
      </c>
      <c r="U477" t="s">
        <v>6016</v>
      </c>
      <c r="V477" s="156">
        <v>42359</v>
      </c>
    </row>
    <row r="478" spans="6:22" hidden="1">
      <c r="F478" t="s">
        <v>1230</v>
      </c>
      <c r="G478" t="s">
        <v>1012</v>
      </c>
      <c r="H478" s="156" t="s">
        <v>6630</v>
      </c>
      <c r="I478" s="156">
        <v>42341</v>
      </c>
      <c r="J478" s="156" t="s">
        <v>6013</v>
      </c>
      <c r="K478">
        <v>11102001</v>
      </c>
      <c r="L478" s="156" t="s">
        <v>6631</v>
      </c>
      <c r="M478" s="156">
        <v>42373</v>
      </c>
      <c r="N478" t="s">
        <v>25</v>
      </c>
      <c r="O478">
        <v>33480</v>
      </c>
      <c r="P478">
        <v>0</v>
      </c>
      <c r="Q478">
        <v>33480</v>
      </c>
      <c r="R478">
        <v>1</v>
      </c>
      <c r="S478">
        <v>33480</v>
      </c>
      <c r="T478" t="s">
        <v>6015</v>
      </c>
      <c r="U478" t="s">
        <v>6016</v>
      </c>
      <c r="V478" s="156">
        <v>42359</v>
      </c>
    </row>
    <row r="479" spans="6:22" hidden="1">
      <c r="F479" t="s">
        <v>1230</v>
      </c>
      <c r="G479" t="s">
        <v>6023</v>
      </c>
      <c r="H479" s="156" t="s">
        <v>6632</v>
      </c>
      <c r="I479" s="156">
        <v>42347</v>
      </c>
      <c r="J479" s="156" t="s">
        <v>6013</v>
      </c>
      <c r="K479">
        <v>11102001</v>
      </c>
      <c r="L479" s="156" t="s">
        <v>6633</v>
      </c>
      <c r="M479" s="156">
        <v>42376</v>
      </c>
      <c r="N479" t="s">
        <v>25</v>
      </c>
      <c r="O479">
        <v>76000</v>
      </c>
      <c r="P479">
        <v>0</v>
      </c>
      <c r="Q479">
        <v>76000</v>
      </c>
      <c r="R479">
        <v>1</v>
      </c>
      <c r="S479">
        <v>76000</v>
      </c>
      <c r="T479" t="s">
        <v>6015</v>
      </c>
      <c r="U479" t="s">
        <v>6072</v>
      </c>
      <c r="V479" s="156">
        <v>42359</v>
      </c>
    </row>
    <row r="480" spans="6:22" hidden="1">
      <c r="F480" t="s">
        <v>1230</v>
      </c>
      <c r="G480" t="s">
        <v>6023</v>
      </c>
      <c r="H480" s="156" t="s">
        <v>6634</v>
      </c>
      <c r="I480" s="156">
        <v>42347</v>
      </c>
      <c r="J480" s="156" t="s">
        <v>6013</v>
      </c>
      <c r="K480">
        <v>11102001</v>
      </c>
      <c r="L480" s="156" t="s">
        <v>6635</v>
      </c>
      <c r="M480" s="156">
        <v>42376</v>
      </c>
      <c r="N480" t="s">
        <v>25</v>
      </c>
      <c r="O480">
        <v>76000</v>
      </c>
      <c r="P480">
        <v>0</v>
      </c>
      <c r="Q480">
        <v>76000</v>
      </c>
      <c r="R480">
        <v>1</v>
      </c>
      <c r="S480">
        <v>76000</v>
      </c>
      <c r="T480" t="s">
        <v>6015</v>
      </c>
      <c r="U480" t="s">
        <v>6072</v>
      </c>
      <c r="V480" s="156">
        <v>42359</v>
      </c>
    </row>
    <row r="481" spans="6:22" hidden="1">
      <c r="F481" t="s">
        <v>1230</v>
      </c>
      <c r="G481" t="s">
        <v>6023</v>
      </c>
      <c r="H481" s="156" t="s">
        <v>6636</v>
      </c>
      <c r="I481" s="156">
        <v>42347</v>
      </c>
      <c r="J481" s="156" t="s">
        <v>6013</v>
      </c>
      <c r="K481">
        <v>11102001</v>
      </c>
      <c r="L481" s="156" t="s">
        <v>6637</v>
      </c>
      <c r="M481" s="156">
        <v>42376</v>
      </c>
      <c r="N481" t="s">
        <v>25</v>
      </c>
      <c r="O481">
        <v>76000</v>
      </c>
      <c r="P481">
        <v>0</v>
      </c>
      <c r="Q481">
        <v>76000</v>
      </c>
      <c r="R481">
        <v>1</v>
      </c>
      <c r="S481">
        <v>76000</v>
      </c>
      <c r="T481" t="s">
        <v>6015</v>
      </c>
      <c r="U481" t="s">
        <v>6072</v>
      </c>
      <c r="V481" s="156">
        <v>42359</v>
      </c>
    </row>
    <row r="482" spans="6:22" hidden="1">
      <c r="F482" t="s">
        <v>1230</v>
      </c>
      <c r="G482" t="s">
        <v>6023</v>
      </c>
      <c r="H482" s="156" t="s">
        <v>6638</v>
      </c>
      <c r="I482" s="156">
        <v>42347</v>
      </c>
      <c r="J482" s="156" t="s">
        <v>6013</v>
      </c>
      <c r="K482">
        <v>11102001</v>
      </c>
      <c r="L482" s="156" t="s">
        <v>6639</v>
      </c>
      <c r="M482" s="156">
        <v>42377</v>
      </c>
      <c r="N482" t="s">
        <v>25</v>
      </c>
      <c r="O482">
        <v>76000</v>
      </c>
      <c r="P482">
        <v>0</v>
      </c>
      <c r="Q482">
        <v>76000</v>
      </c>
      <c r="R482">
        <v>1</v>
      </c>
      <c r="S482">
        <v>76000</v>
      </c>
      <c r="T482" t="s">
        <v>6015</v>
      </c>
      <c r="U482" t="s">
        <v>6029</v>
      </c>
      <c r="V482" s="156">
        <v>42359</v>
      </c>
    </row>
    <row r="483" spans="6:22" hidden="1">
      <c r="F483" t="s">
        <v>1230</v>
      </c>
      <c r="G483" t="s">
        <v>6023</v>
      </c>
      <c r="H483" s="156" t="s">
        <v>6640</v>
      </c>
      <c r="I483" s="156">
        <v>42347</v>
      </c>
      <c r="J483" s="156" t="s">
        <v>6013</v>
      </c>
      <c r="K483">
        <v>11102001</v>
      </c>
      <c r="L483" s="156" t="s">
        <v>6641</v>
      </c>
      <c r="M483" s="156">
        <v>42377</v>
      </c>
      <c r="N483" t="s">
        <v>25</v>
      </c>
      <c r="O483">
        <v>76000</v>
      </c>
      <c r="P483">
        <v>0</v>
      </c>
      <c r="Q483">
        <v>76000</v>
      </c>
      <c r="R483">
        <v>1</v>
      </c>
      <c r="S483">
        <v>76000</v>
      </c>
      <c r="T483" t="s">
        <v>6015</v>
      </c>
      <c r="U483" t="s">
        <v>6029</v>
      </c>
      <c r="V483" s="156">
        <v>42359</v>
      </c>
    </row>
    <row r="484" spans="6:22" hidden="1">
      <c r="F484" t="s">
        <v>1230</v>
      </c>
      <c r="G484" t="s">
        <v>6023</v>
      </c>
      <c r="H484" s="156" t="s">
        <v>6642</v>
      </c>
      <c r="I484" s="156">
        <v>42346</v>
      </c>
      <c r="J484" s="156" t="s">
        <v>6013</v>
      </c>
      <c r="K484">
        <v>11102001</v>
      </c>
      <c r="L484" s="156" t="s">
        <v>6643</v>
      </c>
      <c r="M484" s="156">
        <v>42375</v>
      </c>
      <c r="N484" t="s">
        <v>25</v>
      </c>
      <c r="O484">
        <v>76000</v>
      </c>
      <c r="P484">
        <v>0</v>
      </c>
      <c r="Q484">
        <v>76000</v>
      </c>
      <c r="R484">
        <v>1</v>
      </c>
      <c r="S484">
        <v>76000</v>
      </c>
      <c r="T484" t="s">
        <v>6015</v>
      </c>
      <c r="U484" t="s">
        <v>6032</v>
      </c>
      <c r="V484" s="156">
        <v>42359</v>
      </c>
    </row>
    <row r="485" spans="6:22" hidden="1">
      <c r="F485" t="s">
        <v>1230</v>
      </c>
      <c r="G485" t="s">
        <v>6023</v>
      </c>
      <c r="H485" s="156" t="s">
        <v>6644</v>
      </c>
      <c r="I485" s="156">
        <v>42346</v>
      </c>
      <c r="J485" s="156" t="s">
        <v>6013</v>
      </c>
      <c r="K485">
        <v>11102001</v>
      </c>
      <c r="L485" s="156" t="s">
        <v>6645</v>
      </c>
      <c r="M485" s="156">
        <v>42375</v>
      </c>
      <c r="N485" t="s">
        <v>25</v>
      </c>
      <c r="O485">
        <v>76000</v>
      </c>
      <c r="P485">
        <v>0</v>
      </c>
      <c r="Q485">
        <v>76000</v>
      </c>
      <c r="R485">
        <v>1</v>
      </c>
      <c r="S485">
        <v>76000</v>
      </c>
      <c r="T485" t="s">
        <v>6015</v>
      </c>
      <c r="U485" t="s">
        <v>6032</v>
      </c>
      <c r="V485" s="156">
        <v>42359</v>
      </c>
    </row>
    <row r="486" spans="6:22" hidden="1">
      <c r="F486" t="s">
        <v>1230</v>
      </c>
      <c r="G486" t="s">
        <v>6023</v>
      </c>
      <c r="H486" s="156" t="s">
        <v>6646</v>
      </c>
      <c r="I486" s="156">
        <v>42346</v>
      </c>
      <c r="J486" s="156" t="s">
        <v>6013</v>
      </c>
      <c r="K486">
        <v>11102001</v>
      </c>
      <c r="L486" s="156" t="s">
        <v>6647</v>
      </c>
      <c r="M486" s="156">
        <v>42375</v>
      </c>
      <c r="N486" t="s">
        <v>25</v>
      </c>
      <c r="O486">
        <v>76000</v>
      </c>
      <c r="P486">
        <v>0</v>
      </c>
      <c r="Q486">
        <v>76000</v>
      </c>
      <c r="R486">
        <v>1</v>
      </c>
      <c r="S486">
        <v>76000</v>
      </c>
      <c r="T486" t="s">
        <v>6015</v>
      </c>
      <c r="U486" t="s">
        <v>6032</v>
      </c>
      <c r="V486" s="156">
        <v>42359</v>
      </c>
    </row>
    <row r="487" spans="6:22" hidden="1">
      <c r="F487" t="s">
        <v>1230</v>
      </c>
      <c r="G487" t="s">
        <v>6023</v>
      </c>
      <c r="H487" s="156" t="s">
        <v>6648</v>
      </c>
      <c r="I487" s="156">
        <v>42334</v>
      </c>
      <c r="J487" s="156" t="s">
        <v>6013</v>
      </c>
      <c r="K487">
        <v>11102001</v>
      </c>
      <c r="L487" s="156" t="s">
        <v>6649</v>
      </c>
      <c r="M487" s="156">
        <v>42373</v>
      </c>
      <c r="N487" t="s">
        <v>25</v>
      </c>
      <c r="O487">
        <v>76000</v>
      </c>
      <c r="P487">
        <v>0</v>
      </c>
      <c r="Q487">
        <v>76000</v>
      </c>
      <c r="R487">
        <v>1</v>
      </c>
      <c r="S487">
        <v>76000</v>
      </c>
      <c r="T487" t="s">
        <v>6015</v>
      </c>
      <c r="U487" t="s">
        <v>6037</v>
      </c>
      <c r="V487" s="156">
        <v>42359</v>
      </c>
    </row>
    <row r="488" spans="6:22" hidden="1">
      <c r="F488" t="s">
        <v>1230</v>
      </c>
      <c r="G488" t="s">
        <v>6023</v>
      </c>
      <c r="H488" s="156" t="s">
        <v>6650</v>
      </c>
      <c r="I488" s="156">
        <v>42347</v>
      </c>
      <c r="J488" s="156" t="s">
        <v>6013</v>
      </c>
      <c r="K488">
        <v>11102001</v>
      </c>
      <c r="L488" s="156" t="s">
        <v>6651</v>
      </c>
      <c r="M488" s="156">
        <v>42377</v>
      </c>
      <c r="N488" t="s">
        <v>25</v>
      </c>
      <c r="O488">
        <v>76000</v>
      </c>
      <c r="P488">
        <v>0</v>
      </c>
      <c r="Q488">
        <v>76000</v>
      </c>
      <c r="R488">
        <v>1</v>
      </c>
      <c r="S488">
        <v>76000</v>
      </c>
      <c r="T488" t="s">
        <v>6015</v>
      </c>
      <c r="U488" t="s">
        <v>6029</v>
      </c>
      <c r="V488" s="156">
        <v>42359</v>
      </c>
    </row>
    <row r="489" spans="6:22" hidden="1">
      <c r="F489" t="s">
        <v>1230</v>
      </c>
      <c r="G489" t="s">
        <v>6023</v>
      </c>
      <c r="H489" s="156" t="s">
        <v>6652</v>
      </c>
      <c r="I489" s="156">
        <v>42347</v>
      </c>
      <c r="J489" s="156" t="s">
        <v>6013</v>
      </c>
      <c r="K489">
        <v>11102001</v>
      </c>
      <c r="L489" s="156" t="s">
        <v>6653</v>
      </c>
      <c r="M489" s="156">
        <v>42377</v>
      </c>
      <c r="N489" t="s">
        <v>25</v>
      </c>
      <c r="O489">
        <v>76000</v>
      </c>
      <c r="P489">
        <v>0</v>
      </c>
      <c r="Q489">
        <v>76000</v>
      </c>
      <c r="R489">
        <v>1</v>
      </c>
      <c r="S489">
        <v>76000</v>
      </c>
      <c r="T489" t="s">
        <v>6015</v>
      </c>
      <c r="U489" t="s">
        <v>6029</v>
      </c>
      <c r="V489" s="156">
        <v>42359</v>
      </c>
    </row>
    <row r="490" spans="6:22" hidden="1">
      <c r="F490" t="s">
        <v>1230</v>
      </c>
      <c r="G490" t="s">
        <v>6023</v>
      </c>
      <c r="H490" s="156" t="s">
        <v>6654</v>
      </c>
      <c r="I490" s="156">
        <v>42334</v>
      </c>
      <c r="J490" s="156" t="s">
        <v>6013</v>
      </c>
      <c r="K490">
        <v>11102001</v>
      </c>
      <c r="L490" s="156" t="s">
        <v>6655</v>
      </c>
      <c r="M490" s="156">
        <v>42373</v>
      </c>
      <c r="N490" t="s">
        <v>25</v>
      </c>
      <c r="O490">
        <v>76000</v>
      </c>
      <c r="P490">
        <v>0</v>
      </c>
      <c r="Q490">
        <v>76000</v>
      </c>
      <c r="R490">
        <v>1</v>
      </c>
      <c r="S490">
        <v>76000</v>
      </c>
      <c r="T490" t="s">
        <v>6015</v>
      </c>
      <c r="U490" t="s">
        <v>6037</v>
      </c>
      <c r="V490" s="156">
        <v>42359</v>
      </c>
    </row>
    <row r="491" spans="6:22" hidden="1">
      <c r="F491" t="s">
        <v>1230</v>
      </c>
      <c r="G491" t="s">
        <v>6023</v>
      </c>
      <c r="H491" s="156" t="s">
        <v>6656</v>
      </c>
      <c r="I491" s="156">
        <v>42346</v>
      </c>
      <c r="J491" s="156" t="s">
        <v>6013</v>
      </c>
      <c r="K491">
        <v>11102001</v>
      </c>
      <c r="L491" s="156" t="s">
        <v>6657</v>
      </c>
      <c r="M491" s="156">
        <v>42375</v>
      </c>
      <c r="N491" t="s">
        <v>25</v>
      </c>
      <c r="O491">
        <v>76000</v>
      </c>
      <c r="P491">
        <v>0</v>
      </c>
      <c r="Q491">
        <v>76000</v>
      </c>
      <c r="R491">
        <v>1</v>
      </c>
      <c r="S491">
        <v>76000</v>
      </c>
      <c r="T491" t="s">
        <v>6015</v>
      </c>
      <c r="U491" t="s">
        <v>6032</v>
      </c>
      <c r="V491" s="156">
        <v>42359</v>
      </c>
    </row>
    <row r="492" spans="6:22" hidden="1">
      <c r="F492" t="s">
        <v>1230</v>
      </c>
      <c r="G492" t="s">
        <v>6023</v>
      </c>
      <c r="H492" s="156" t="s">
        <v>6658</v>
      </c>
      <c r="I492" s="156">
        <v>42333</v>
      </c>
      <c r="J492" s="156" t="s">
        <v>6013</v>
      </c>
      <c r="K492">
        <v>11102001</v>
      </c>
      <c r="L492" s="156" t="s">
        <v>6659</v>
      </c>
      <c r="M492" s="156">
        <v>42373</v>
      </c>
      <c r="N492" t="s">
        <v>25</v>
      </c>
      <c r="O492">
        <v>98838</v>
      </c>
      <c r="P492">
        <v>0</v>
      </c>
      <c r="Q492">
        <v>98838</v>
      </c>
      <c r="R492">
        <v>1</v>
      </c>
      <c r="S492">
        <v>98838</v>
      </c>
      <c r="T492" t="s">
        <v>6015</v>
      </c>
      <c r="U492" t="s">
        <v>6026</v>
      </c>
      <c r="V492" s="156">
        <v>42359</v>
      </c>
    </row>
    <row r="493" spans="6:22" hidden="1">
      <c r="F493" t="s">
        <v>1230</v>
      </c>
      <c r="G493" t="s">
        <v>6023</v>
      </c>
      <c r="H493" s="156" t="s">
        <v>6660</v>
      </c>
      <c r="I493" s="156">
        <v>42333</v>
      </c>
      <c r="J493" s="156" t="s">
        <v>6013</v>
      </c>
      <c r="K493">
        <v>11102001</v>
      </c>
      <c r="L493" s="156" t="s">
        <v>6661</v>
      </c>
      <c r="M493" s="156">
        <v>42373</v>
      </c>
      <c r="N493" t="s">
        <v>25</v>
      </c>
      <c r="O493">
        <v>98838</v>
      </c>
      <c r="P493">
        <v>0</v>
      </c>
      <c r="Q493">
        <v>98838</v>
      </c>
      <c r="R493">
        <v>1</v>
      </c>
      <c r="S493">
        <v>98838</v>
      </c>
      <c r="T493" t="s">
        <v>6015</v>
      </c>
      <c r="U493" t="s">
        <v>6026</v>
      </c>
      <c r="V493" s="156">
        <v>42359</v>
      </c>
    </row>
    <row r="494" spans="6:22" hidden="1">
      <c r="F494" t="s">
        <v>1230</v>
      </c>
      <c r="G494" t="s">
        <v>6023</v>
      </c>
      <c r="H494" s="156" t="s">
        <v>6662</v>
      </c>
      <c r="I494" s="156">
        <v>42334</v>
      </c>
      <c r="J494" s="156" t="s">
        <v>6013</v>
      </c>
      <c r="K494">
        <v>11102001</v>
      </c>
      <c r="L494" s="156" t="s">
        <v>6663</v>
      </c>
      <c r="M494" s="156">
        <v>42373</v>
      </c>
      <c r="N494" t="s">
        <v>25</v>
      </c>
      <c r="O494">
        <v>76000</v>
      </c>
      <c r="P494">
        <v>0</v>
      </c>
      <c r="Q494">
        <v>76000</v>
      </c>
      <c r="R494">
        <v>1</v>
      </c>
      <c r="S494">
        <v>76000</v>
      </c>
      <c r="T494" t="s">
        <v>6015</v>
      </c>
      <c r="U494" t="s">
        <v>6037</v>
      </c>
      <c r="V494" s="156">
        <v>42359</v>
      </c>
    </row>
    <row r="495" spans="6:22" hidden="1">
      <c r="F495" t="s">
        <v>1230</v>
      </c>
      <c r="G495" t="s">
        <v>6023</v>
      </c>
      <c r="H495" s="156" t="s">
        <v>6664</v>
      </c>
      <c r="I495" s="156">
        <v>42333</v>
      </c>
      <c r="J495" s="156" t="s">
        <v>6013</v>
      </c>
      <c r="K495">
        <v>11102001</v>
      </c>
      <c r="L495" s="156" t="s">
        <v>6665</v>
      </c>
      <c r="M495" s="156">
        <v>42373</v>
      </c>
      <c r="N495" t="s">
        <v>25</v>
      </c>
      <c r="O495">
        <v>76000</v>
      </c>
      <c r="P495">
        <v>0</v>
      </c>
      <c r="Q495">
        <v>76000</v>
      </c>
      <c r="R495">
        <v>1</v>
      </c>
      <c r="S495">
        <v>76000</v>
      </c>
      <c r="T495" t="s">
        <v>6015</v>
      </c>
      <c r="U495" t="s">
        <v>6058</v>
      </c>
      <c r="V495" s="156">
        <v>42359</v>
      </c>
    </row>
    <row r="496" spans="6:22" hidden="1">
      <c r="F496" t="s">
        <v>1230</v>
      </c>
      <c r="G496" t="s">
        <v>6023</v>
      </c>
      <c r="H496" s="156" t="s">
        <v>6666</v>
      </c>
      <c r="I496" s="156">
        <v>42333</v>
      </c>
      <c r="J496" s="156" t="s">
        <v>6013</v>
      </c>
      <c r="K496">
        <v>11102001</v>
      </c>
      <c r="L496" s="156" t="s">
        <v>6667</v>
      </c>
      <c r="M496" s="156">
        <v>42373</v>
      </c>
      <c r="N496" t="s">
        <v>25</v>
      </c>
      <c r="O496">
        <v>76000</v>
      </c>
      <c r="P496">
        <v>0</v>
      </c>
      <c r="Q496">
        <v>76000</v>
      </c>
      <c r="R496">
        <v>1</v>
      </c>
      <c r="S496">
        <v>76000</v>
      </c>
      <c r="T496" t="s">
        <v>6015</v>
      </c>
      <c r="U496" t="s">
        <v>6058</v>
      </c>
      <c r="V496" s="156">
        <v>42359</v>
      </c>
    </row>
    <row r="497" spans="6:22" hidden="1">
      <c r="F497" t="s">
        <v>1230</v>
      </c>
      <c r="G497" t="s">
        <v>6023</v>
      </c>
      <c r="H497" s="156" t="s">
        <v>6668</v>
      </c>
      <c r="I497" s="156">
        <v>42338</v>
      </c>
      <c r="J497" s="156" t="s">
        <v>6013</v>
      </c>
      <c r="K497">
        <v>11102001</v>
      </c>
      <c r="L497" s="156" t="s">
        <v>6669</v>
      </c>
      <c r="M497" s="156">
        <v>42373</v>
      </c>
      <c r="N497" t="s">
        <v>25</v>
      </c>
      <c r="O497">
        <v>76000</v>
      </c>
      <c r="P497">
        <v>0</v>
      </c>
      <c r="Q497">
        <v>76000</v>
      </c>
      <c r="R497">
        <v>1</v>
      </c>
      <c r="S497">
        <v>76000</v>
      </c>
      <c r="T497" t="s">
        <v>6015</v>
      </c>
      <c r="U497" t="s">
        <v>6061</v>
      </c>
      <c r="V497" s="156">
        <v>42359</v>
      </c>
    </row>
    <row r="498" spans="6:22" hidden="1">
      <c r="F498" t="s">
        <v>1230</v>
      </c>
      <c r="G498" t="s">
        <v>6023</v>
      </c>
      <c r="H498" s="156" t="s">
        <v>6670</v>
      </c>
      <c r="I498" s="156">
        <v>42333</v>
      </c>
      <c r="J498" s="156" t="s">
        <v>6013</v>
      </c>
      <c r="K498">
        <v>11102001</v>
      </c>
      <c r="L498" s="156" t="s">
        <v>6671</v>
      </c>
      <c r="M498" s="156">
        <v>42373</v>
      </c>
      <c r="N498" t="s">
        <v>25</v>
      </c>
      <c r="O498">
        <v>76000</v>
      </c>
      <c r="P498">
        <v>0</v>
      </c>
      <c r="Q498">
        <v>76000</v>
      </c>
      <c r="R498">
        <v>1</v>
      </c>
      <c r="S498">
        <v>76000</v>
      </c>
      <c r="T498" t="s">
        <v>6015</v>
      </c>
      <c r="U498" t="s">
        <v>6058</v>
      </c>
      <c r="V498" s="156">
        <v>42359</v>
      </c>
    </row>
    <row r="499" spans="6:22" hidden="1">
      <c r="F499" t="s">
        <v>1230</v>
      </c>
      <c r="G499" t="s">
        <v>6023</v>
      </c>
      <c r="H499" s="156" t="s">
        <v>6672</v>
      </c>
      <c r="I499" s="156">
        <v>42333</v>
      </c>
      <c r="J499" s="156" t="s">
        <v>6013</v>
      </c>
      <c r="K499">
        <v>11102001</v>
      </c>
      <c r="L499" s="156" t="s">
        <v>6673</v>
      </c>
      <c r="M499" s="156">
        <v>42373</v>
      </c>
      <c r="N499" t="s">
        <v>25</v>
      </c>
      <c r="O499">
        <v>76000</v>
      </c>
      <c r="P499">
        <v>0</v>
      </c>
      <c r="Q499">
        <v>76000</v>
      </c>
      <c r="R499">
        <v>1</v>
      </c>
      <c r="S499">
        <v>76000</v>
      </c>
      <c r="T499" t="s">
        <v>6015</v>
      </c>
      <c r="U499" t="s">
        <v>6058</v>
      </c>
      <c r="V499" s="156">
        <v>42359</v>
      </c>
    </row>
    <row r="500" spans="6:22" hidden="1">
      <c r="F500" t="s">
        <v>1230</v>
      </c>
      <c r="G500" t="s">
        <v>6023</v>
      </c>
      <c r="H500" s="156" t="s">
        <v>6674</v>
      </c>
      <c r="I500" s="156">
        <v>42333</v>
      </c>
      <c r="J500" s="156" t="s">
        <v>6013</v>
      </c>
      <c r="K500">
        <v>11102001</v>
      </c>
      <c r="L500" s="156" t="s">
        <v>6675</v>
      </c>
      <c r="M500" s="156">
        <v>42373</v>
      </c>
      <c r="N500" t="s">
        <v>25</v>
      </c>
      <c r="O500">
        <v>76000</v>
      </c>
      <c r="P500">
        <v>0</v>
      </c>
      <c r="Q500">
        <v>76000</v>
      </c>
      <c r="R500">
        <v>1</v>
      </c>
      <c r="S500">
        <v>76000</v>
      </c>
      <c r="T500" t="s">
        <v>6015</v>
      </c>
      <c r="U500" t="s">
        <v>6058</v>
      </c>
      <c r="V500" s="156">
        <v>42359</v>
      </c>
    </row>
    <row r="501" spans="6:22" hidden="1">
      <c r="F501" t="s">
        <v>1230</v>
      </c>
      <c r="G501" t="s">
        <v>6023</v>
      </c>
      <c r="H501" s="156" t="s">
        <v>6676</v>
      </c>
      <c r="I501" s="156">
        <v>42333</v>
      </c>
      <c r="J501" s="156" t="s">
        <v>6013</v>
      </c>
      <c r="K501">
        <v>11102001</v>
      </c>
      <c r="L501" s="156" t="s">
        <v>6677</v>
      </c>
      <c r="M501" s="156">
        <v>42373</v>
      </c>
      <c r="N501" t="s">
        <v>25</v>
      </c>
      <c r="O501">
        <v>76000</v>
      </c>
      <c r="P501">
        <v>0</v>
      </c>
      <c r="Q501">
        <v>76000</v>
      </c>
      <c r="R501">
        <v>1</v>
      </c>
      <c r="S501">
        <v>76000</v>
      </c>
      <c r="T501" t="s">
        <v>6015</v>
      </c>
      <c r="U501" t="s">
        <v>6058</v>
      </c>
      <c r="V501" s="156">
        <v>42359</v>
      </c>
    </row>
    <row r="502" spans="6:22" hidden="1">
      <c r="F502" t="s">
        <v>1230</v>
      </c>
      <c r="G502" t="s">
        <v>6023</v>
      </c>
      <c r="H502" s="156" t="s">
        <v>6678</v>
      </c>
      <c r="I502" s="156">
        <v>42333</v>
      </c>
      <c r="J502" s="156" t="s">
        <v>6013</v>
      </c>
      <c r="K502">
        <v>11102001</v>
      </c>
      <c r="L502" s="156" t="s">
        <v>6679</v>
      </c>
      <c r="M502" s="156">
        <v>42373</v>
      </c>
      <c r="N502" t="s">
        <v>25</v>
      </c>
      <c r="O502">
        <v>76000</v>
      </c>
      <c r="P502">
        <v>0</v>
      </c>
      <c r="Q502">
        <v>76000</v>
      </c>
      <c r="R502">
        <v>1</v>
      </c>
      <c r="S502">
        <v>76000</v>
      </c>
      <c r="T502" t="s">
        <v>6015</v>
      </c>
      <c r="U502" t="s">
        <v>6058</v>
      </c>
      <c r="V502" s="156">
        <v>42359</v>
      </c>
    </row>
    <row r="503" spans="6:22" hidden="1">
      <c r="F503" t="s">
        <v>1230</v>
      </c>
      <c r="G503" t="s">
        <v>6023</v>
      </c>
      <c r="H503" s="156" t="s">
        <v>6680</v>
      </c>
      <c r="I503" s="156">
        <v>42347</v>
      </c>
      <c r="J503" s="156" t="s">
        <v>6013</v>
      </c>
      <c r="K503">
        <v>11102001</v>
      </c>
      <c r="L503" s="156" t="s">
        <v>6681</v>
      </c>
      <c r="M503" s="156">
        <v>42376</v>
      </c>
      <c r="N503" t="s">
        <v>25</v>
      </c>
      <c r="O503">
        <v>76000</v>
      </c>
      <c r="P503">
        <v>0</v>
      </c>
      <c r="Q503">
        <v>76000</v>
      </c>
      <c r="R503">
        <v>1</v>
      </c>
      <c r="S503">
        <v>76000</v>
      </c>
      <c r="T503" t="s">
        <v>6015</v>
      </c>
      <c r="U503" t="s">
        <v>6072</v>
      </c>
      <c r="V503" s="156">
        <v>42359</v>
      </c>
    </row>
    <row r="504" spans="6:22" hidden="1">
      <c r="F504" t="s">
        <v>1230</v>
      </c>
      <c r="G504" t="s">
        <v>72</v>
      </c>
      <c r="H504" s="156" t="s">
        <v>6682</v>
      </c>
      <c r="I504" s="156">
        <v>42349</v>
      </c>
      <c r="J504" s="156" t="s">
        <v>4729</v>
      </c>
      <c r="K504">
        <v>17101003</v>
      </c>
      <c r="L504" s="156" t="s">
        <v>6683</v>
      </c>
      <c r="M504" s="156">
        <v>42349</v>
      </c>
      <c r="N504" t="s">
        <v>25</v>
      </c>
      <c r="O504">
        <v>612.5</v>
      </c>
      <c r="Q504">
        <v>612.5</v>
      </c>
      <c r="R504">
        <v>1</v>
      </c>
      <c r="S504">
        <v>612.5</v>
      </c>
      <c r="T504" t="s">
        <v>4663</v>
      </c>
      <c r="U504" t="s">
        <v>6167</v>
      </c>
      <c r="V504" s="156">
        <v>42359</v>
      </c>
    </row>
    <row r="505" spans="6:22" hidden="1">
      <c r="F505" t="s">
        <v>1230</v>
      </c>
      <c r="G505" t="s">
        <v>72</v>
      </c>
      <c r="H505" s="156" t="s">
        <v>4990</v>
      </c>
      <c r="I505" s="156">
        <v>41444</v>
      </c>
      <c r="J505" s="156" t="s">
        <v>4897</v>
      </c>
      <c r="K505">
        <v>17101003</v>
      </c>
      <c r="L505" s="156" t="s">
        <v>4991</v>
      </c>
      <c r="M505" s="156">
        <v>41444</v>
      </c>
      <c r="N505" t="s">
        <v>25</v>
      </c>
      <c r="O505">
        <v>600</v>
      </c>
      <c r="P505">
        <v>380</v>
      </c>
      <c r="Q505">
        <v>220</v>
      </c>
      <c r="R505">
        <v>1</v>
      </c>
      <c r="S505">
        <v>220</v>
      </c>
      <c r="T505" t="s">
        <v>4663</v>
      </c>
      <c r="U505" t="s">
        <v>4992</v>
      </c>
      <c r="V505" s="156">
        <v>42359</v>
      </c>
    </row>
    <row r="506" spans="6:22" hidden="1">
      <c r="F506" t="s">
        <v>1230</v>
      </c>
      <c r="G506" t="s">
        <v>72</v>
      </c>
      <c r="H506" s="156" t="s">
        <v>6684</v>
      </c>
      <c r="I506" s="156">
        <v>42317</v>
      </c>
      <c r="J506" s="156" t="s">
        <v>4683</v>
      </c>
      <c r="K506">
        <v>17101002</v>
      </c>
      <c r="L506" s="156" t="s">
        <v>6685</v>
      </c>
      <c r="M506" s="156">
        <v>42317</v>
      </c>
      <c r="N506" t="s">
        <v>25</v>
      </c>
      <c r="O506">
        <v>2753.1</v>
      </c>
      <c r="Q506">
        <v>2753.1</v>
      </c>
      <c r="R506">
        <v>1</v>
      </c>
      <c r="S506">
        <v>2753.1</v>
      </c>
      <c r="T506" t="s">
        <v>4665</v>
      </c>
      <c r="U506" t="s">
        <v>6686</v>
      </c>
      <c r="V506" s="156">
        <v>42359</v>
      </c>
    </row>
    <row r="507" spans="6:22" hidden="1">
      <c r="F507" t="s">
        <v>1230</v>
      </c>
      <c r="G507" t="s">
        <v>72</v>
      </c>
      <c r="H507" s="156" t="s">
        <v>5954</v>
      </c>
      <c r="I507" s="156">
        <v>42291</v>
      </c>
      <c r="J507" s="156" t="s">
        <v>4683</v>
      </c>
      <c r="K507">
        <v>17101002</v>
      </c>
      <c r="L507" s="156" t="s">
        <v>5955</v>
      </c>
      <c r="M507" s="156">
        <v>42291</v>
      </c>
      <c r="N507" t="s">
        <v>25</v>
      </c>
      <c r="O507">
        <v>9878.5</v>
      </c>
      <c r="Q507">
        <v>9878.5</v>
      </c>
      <c r="R507">
        <v>1</v>
      </c>
      <c r="S507">
        <v>9878.5</v>
      </c>
      <c r="T507" t="s">
        <v>4665</v>
      </c>
      <c r="U507" t="s">
        <v>5866</v>
      </c>
      <c r="V507" s="156">
        <v>42359</v>
      </c>
    </row>
    <row r="508" spans="6:22" hidden="1">
      <c r="F508" t="s">
        <v>1230</v>
      </c>
      <c r="G508" t="s">
        <v>71</v>
      </c>
      <c r="H508" s="156" t="s">
        <v>5748</v>
      </c>
      <c r="I508" s="156">
        <v>42264</v>
      </c>
      <c r="J508" s="156" t="s">
        <v>4731</v>
      </c>
      <c r="K508">
        <v>11301002</v>
      </c>
      <c r="L508" s="156" t="s">
        <v>5749</v>
      </c>
      <c r="M508" s="156">
        <v>42459</v>
      </c>
      <c r="N508" t="s">
        <v>25</v>
      </c>
      <c r="O508">
        <v>7040</v>
      </c>
      <c r="P508">
        <v>0</v>
      </c>
      <c r="Q508">
        <v>7040</v>
      </c>
      <c r="R508">
        <v>1</v>
      </c>
      <c r="S508">
        <v>7040</v>
      </c>
      <c r="T508" t="s">
        <v>4836</v>
      </c>
      <c r="U508" t="s">
        <v>5750</v>
      </c>
      <c r="V508" s="156">
        <v>42359</v>
      </c>
    </row>
    <row r="509" spans="6:22" hidden="1">
      <c r="F509" t="s">
        <v>1230</v>
      </c>
      <c r="G509" t="s">
        <v>71</v>
      </c>
      <c r="H509" s="156" t="s">
        <v>4734</v>
      </c>
      <c r="I509" s="156">
        <v>41019</v>
      </c>
      <c r="J509" s="156" t="s">
        <v>4731</v>
      </c>
      <c r="K509">
        <v>11107001</v>
      </c>
      <c r="L509" s="156" t="s">
        <v>4735</v>
      </c>
      <c r="M509" s="156">
        <v>42459</v>
      </c>
      <c r="N509" t="s">
        <v>25</v>
      </c>
      <c r="O509">
        <v>40000</v>
      </c>
      <c r="P509">
        <v>9840</v>
      </c>
      <c r="Q509">
        <v>30160</v>
      </c>
      <c r="R509">
        <v>1</v>
      </c>
      <c r="S509">
        <v>30160</v>
      </c>
      <c r="T509" t="s">
        <v>4651</v>
      </c>
      <c r="U509" t="s">
        <v>4736</v>
      </c>
      <c r="V509" s="156">
        <v>42359</v>
      </c>
    </row>
    <row r="510" spans="6:22" hidden="1">
      <c r="F510" t="s">
        <v>1230</v>
      </c>
      <c r="G510" t="s">
        <v>72</v>
      </c>
      <c r="H510" s="156" t="s">
        <v>4993</v>
      </c>
      <c r="I510" s="156">
        <v>41541</v>
      </c>
      <c r="J510" s="156" t="s">
        <v>4994</v>
      </c>
      <c r="K510">
        <v>17101003</v>
      </c>
      <c r="L510" s="156" t="s">
        <v>4995</v>
      </c>
      <c r="M510" s="156">
        <v>41541</v>
      </c>
      <c r="N510" t="s">
        <v>25</v>
      </c>
      <c r="O510">
        <v>350</v>
      </c>
      <c r="Q510">
        <v>350</v>
      </c>
      <c r="R510">
        <v>1</v>
      </c>
      <c r="S510">
        <v>350</v>
      </c>
      <c r="T510" t="s">
        <v>4663</v>
      </c>
      <c r="U510" t="s">
        <v>4996</v>
      </c>
      <c r="V510" s="156">
        <v>42359</v>
      </c>
    </row>
    <row r="511" spans="6:22" hidden="1">
      <c r="F511" t="s">
        <v>1230</v>
      </c>
      <c r="G511" t="s">
        <v>71</v>
      </c>
      <c r="H511" s="156" t="s">
        <v>5751</v>
      </c>
      <c r="I511" s="156">
        <v>42265</v>
      </c>
      <c r="J511" s="156" t="s">
        <v>4752</v>
      </c>
      <c r="K511">
        <v>17101002</v>
      </c>
      <c r="L511" s="156" t="s">
        <v>5752</v>
      </c>
      <c r="M511" s="156">
        <v>42265</v>
      </c>
      <c r="N511" t="s">
        <v>25</v>
      </c>
      <c r="O511">
        <v>160</v>
      </c>
      <c r="Q511">
        <v>160</v>
      </c>
      <c r="R511">
        <v>1</v>
      </c>
      <c r="S511">
        <v>160</v>
      </c>
      <c r="T511" t="s">
        <v>4665</v>
      </c>
      <c r="U511" t="s">
        <v>5753</v>
      </c>
      <c r="V511" s="156">
        <v>42359</v>
      </c>
    </row>
    <row r="512" spans="6:22" hidden="1">
      <c r="F512" t="s">
        <v>1230</v>
      </c>
      <c r="G512" t="s">
        <v>71</v>
      </c>
      <c r="H512" s="156" t="s">
        <v>5000</v>
      </c>
      <c r="I512" s="156">
        <v>41873</v>
      </c>
      <c r="J512" s="156" t="s">
        <v>5001</v>
      </c>
      <c r="K512">
        <v>17101002</v>
      </c>
      <c r="L512" s="156" t="s">
        <v>5002</v>
      </c>
      <c r="M512" s="156">
        <v>41873</v>
      </c>
      <c r="N512" t="s">
        <v>25</v>
      </c>
      <c r="O512">
        <v>9.6</v>
      </c>
      <c r="Q512">
        <v>9.6</v>
      </c>
      <c r="R512">
        <v>1</v>
      </c>
      <c r="S512">
        <v>9.6</v>
      </c>
      <c r="T512" t="s">
        <v>4665</v>
      </c>
      <c r="U512" t="s">
        <v>5003</v>
      </c>
      <c r="V512" s="156">
        <v>42359</v>
      </c>
    </row>
    <row r="513" spans="6:22" hidden="1">
      <c r="F513" t="s">
        <v>1230</v>
      </c>
      <c r="G513" t="s">
        <v>71</v>
      </c>
      <c r="H513" s="156" t="s">
        <v>6687</v>
      </c>
      <c r="I513" s="156">
        <v>42345</v>
      </c>
      <c r="J513" s="156" t="s">
        <v>6688</v>
      </c>
      <c r="K513">
        <v>17101002</v>
      </c>
      <c r="L513" s="156" t="s">
        <v>6689</v>
      </c>
      <c r="M513" s="156">
        <v>42345</v>
      </c>
      <c r="N513" t="s">
        <v>25</v>
      </c>
      <c r="O513">
        <v>436.51</v>
      </c>
      <c r="Q513">
        <v>436.51</v>
      </c>
      <c r="R513">
        <v>1</v>
      </c>
      <c r="S513">
        <v>436.51</v>
      </c>
      <c r="T513" t="s">
        <v>4665</v>
      </c>
      <c r="U513" t="s">
        <v>6690</v>
      </c>
      <c r="V513" s="156">
        <v>42359</v>
      </c>
    </row>
    <row r="514" spans="6:22" hidden="1">
      <c r="F514" t="s">
        <v>1230</v>
      </c>
      <c r="G514" t="s">
        <v>71</v>
      </c>
      <c r="H514" s="156" t="s">
        <v>5007</v>
      </c>
      <c r="I514" s="156">
        <v>41726</v>
      </c>
      <c r="J514" s="156" t="s">
        <v>4787</v>
      </c>
      <c r="K514">
        <v>17101002</v>
      </c>
      <c r="L514" s="156" t="s">
        <v>4788</v>
      </c>
      <c r="M514" s="156">
        <v>41726</v>
      </c>
      <c r="N514" t="s">
        <v>25</v>
      </c>
      <c r="O514">
        <v>3000</v>
      </c>
      <c r="Q514">
        <v>3000</v>
      </c>
      <c r="R514">
        <v>1</v>
      </c>
      <c r="S514">
        <v>3000</v>
      </c>
      <c r="T514" t="s">
        <v>4665</v>
      </c>
      <c r="U514" t="s">
        <v>5008</v>
      </c>
      <c r="V514" s="156">
        <v>42359</v>
      </c>
    </row>
    <row r="515" spans="6:22" hidden="1">
      <c r="F515" t="s">
        <v>1230</v>
      </c>
      <c r="G515" t="s">
        <v>71</v>
      </c>
      <c r="H515" s="156" t="s">
        <v>6691</v>
      </c>
      <c r="I515" s="156">
        <v>42353</v>
      </c>
      <c r="J515" s="156" t="s">
        <v>6692</v>
      </c>
      <c r="K515">
        <v>17101003</v>
      </c>
      <c r="L515" s="156" t="s">
        <v>6166</v>
      </c>
      <c r="M515" s="156">
        <v>42353</v>
      </c>
      <c r="N515" t="s">
        <v>25</v>
      </c>
      <c r="O515">
        <v>200</v>
      </c>
      <c r="Q515">
        <v>200</v>
      </c>
      <c r="R515">
        <v>1</v>
      </c>
      <c r="S515">
        <v>200</v>
      </c>
      <c r="T515" t="s">
        <v>4663</v>
      </c>
      <c r="U515" t="s">
        <v>6572</v>
      </c>
      <c r="V515" s="156">
        <v>42359</v>
      </c>
    </row>
    <row r="516" spans="6:22" hidden="1">
      <c r="F516" t="s">
        <v>1230</v>
      </c>
      <c r="G516" t="s">
        <v>72</v>
      </c>
      <c r="H516" s="156" t="s">
        <v>5009</v>
      </c>
      <c r="I516" s="156">
        <v>42061</v>
      </c>
      <c r="J516" s="156" t="s">
        <v>5010</v>
      </c>
      <c r="K516">
        <v>11101018</v>
      </c>
      <c r="L516" s="156" t="s">
        <v>5011</v>
      </c>
      <c r="M516" s="156">
        <v>42124</v>
      </c>
      <c r="N516" t="s">
        <v>25</v>
      </c>
      <c r="O516">
        <v>14966</v>
      </c>
      <c r="P516">
        <v>0</v>
      </c>
      <c r="Q516">
        <v>14966</v>
      </c>
      <c r="R516">
        <v>1</v>
      </c>
      <c r="S516">
        <v>14966</v>
      </c>
      <c r="T516" t="s">
        <v>4708</v>
      </c>
      <c r="U516" t="s">
        <v>5012</v>
      </c>
      <c r="V516" s="156">
        <v>42359</v>
      </c>
    </row>
    <row r="517" spans="6:22" hidden="1">
      <c r="F517" t="s">
        <v>1230</v>
      </c>
      <c r="G517" t="s">
        <v>72</v>
      </c>
      <c r="H517" s="156" t="s">
        <v>5013</v>
      </c>
      <c r="I517" s="156">
        <v>41946</v>
      </c>
      <c r="J517" s="156" t="s">
        <v>5014</v>
      </c>
      <c r="K517">
        <v>11105005</v>
      </c>
      <c r="L517" s="156" t="s">
        <v>5015</v>
      </c>
      <c r="M517" s="156">
        <v>41973</v>
      </c>
      <c r="N517" t="s">
        <v>25</v>
      </c>
      <c r="O517">
        <v>6417.78</v>
      </c>
      <c r="P517">
        <v>0</v>
      </c>
      <c r="Q517">
        <v>6417.78</v>
      </c>
      <c r="R517">
        <v>1</v>
      </c>
      <c r="S517">
        <v>6417.78</v>
      </c>
      <c r="T517" t="s">
        <v>4983</v>
      </c>
      <c r="U517" t="s">
        <v>5016</v>
      </c>
      <c r="V517" s="156">
        <v>42359</v>
      </c>
    </row>
    <row r="518" spans="6:22" hidden="1">
      <c r="F518" t="s">
        <v>1230</v>
      </c>
      <c r="G518" t="s">
        <v>73</v>
      </c>
      <c r="H518" s="156" t="s">
        <v>5956</v>
      </c>
      <c r="I518" s="156">
        <v>42296</v>
      </c>
      <c r="J518" s="156" t="s">
        <v>5439</v>
      </c>
      <c r="K518">
        <v>11101005</v>
      </c>
      <c r="L518" s="156" t="s">
        <v>5957</v>
      </c>
      <c r="M518" s="156">
        <v>42368</v>
      </c>
      <c r="N518" t="s">
        <v>25</v>
      </c>
      <c r="O518">
        <v>21658</v>
      </c>
      <c r="P518">
        <v>0</v>
      </c>
      <c r="Q518">
        <v>21658</v>
      </c>
      <c r="R518">
        <v>1</v>
      </c>
      <c r="S518">
        <v>21658</v>
      </c>
      <c r="T518" t="s">
        <v>4709</v>
      </c>
      <c r="U518" t="s">
        <v>5958</v>
      </c>
      <c r="V518" s="156">
        <v>42359</v>
      </c>
    </row>
    <row r="519" spans="6:22" hidden="1">
      <c r="F519" t="s">
        <v>1230</v>
      </c>
      <c r="G519" t="s">
        <v>1012</v>
      </c>
      <c r="H519" s="156" t="s">
        <v>6693</v>
      </c>
      <c r="I519" s="156">
        <v>42334</v>
      </c>
      <c r="J519" s="156" t="s">
        <v>5439</v>
      </c>
      <c r="K519">
        <v>11107001</v>
      </c>
      <c r="L519" s="156" t="s">
        <v>6176</v>
      </c>
      <c r="M519" s="156">
        <v>42399</v>
      </c>
      <c r="N519" t="s">
        <v>25</v>
      </c>
      <c r="O519">
        <v>45000</v>
      </c>
      <c r="Q519">
        <v>45000</v>
      </c>
      <c r="R519">
        <v>1</v>
      </c>
      <c r="S519">
        <v>45000</v>
      </c>
      <c r="T519" t="s">
        <v>4651</v>
      </c>
      <c r="U519" t="s">
        <v>6177</v>
      </c>
      <c r="V519" s="156">
        <v>42359</v>
      </c>
    </row>
    <row r="520" spans="6:22" hidden="1">
      <c r="F520" t="s">
        <v>1230</v>
      </c>
      <c r="G520" t="s">
        <v>1012</v>
      </c>
      <c r="H520" s="156" t="s">
        <v>4845</v>
      </c>
      <c r="I520" s="156">
        <v>41885</v>
      </c>
      <c r="J520" s="156" t="s">
        <v>4846</v>
      </c>
      <c r="K520">
        <v>11107001</v>
      </c>
      <c r="L520" s="156" t="s">
        <v>4781</v>
      </c>
      <c r="M520" s="156">
        <v>42490</v>
      </c>
      <c r="N520" t="s">
        <v>25</v>
      </c>
      <c r="O520">
        <v>40000</v>
      </c>
      <c r="Q520">
        <v>40000</v>
      </c>
      <c r="R520">
        <v>1</v>
      </c>
      <c r="S520">
        <v>40000</v>
      </c>
      <c r="T520" t="s">
        <v>4669</v>
      </c>
      <c r="U520" t="s">
        <v>4847</v>
      </c>
      <c r="V520" s="156">
        <v>42359</v>
      </c>
    </row>
    <row r="521" spans="6:22" hidden="1">
      <c r="F521" t="s">
        <v>1230</v>
      </c>
      <c r="G521" t="s">
        <v>71</v>
      </c>
      <c r="H521" s="156" t="s">
        <v>6694</v>
      </c>
      <c r="I521" s="156">
        <v>42312</v>
      </c>
      <c r="J521" s="156" t="s">
        <v>5656</v>
      </c>
      <c r="K521">
        <v>17101002</v>
      </c>
      <c r="L521" s="156" t="s">
        <v>6184</v>
      </c>
      <c r="M521" s="156">
        <v>42312</v>
      </c>
      <c r="N521" t="s">
        <v>25</v>
      </c>
      <c r="O521">
        <v>151107.20000000001</v>
      </c>
      <c r="Q521">
        <v>151107.20000000001</v>
      </c>
      <c r="R521">
        <v>1</v>
      </c>
      <c r="S521">
        <v>151107.20000000001</v>
      </c>
      <c r="T521" t="s">
        <v>4665</v>
      </c>
      <c r="U521" t="s">
        <v>6485</v>
      </c>
      <c r="V521" s="156">
        <v>42359</v>
      </c>
    </row>
    <row r="522" spans="6:22" hidden="1">
      <c r="F522" t="s">
        <v>1230</v>
      </c>
      <c r="G522" t="s">
        <v>72</v>
      </c>
      <c r="H522" s="156" t="s">
        <v>5959</v>
      </c>
      <c r="I522" s="156">
        <v>42270</v>
      </c>
      <c r="J522" s="156" t="s">
        <v>5656</v>
      </c>
      <c r="K522">
        <v>11101001</v>
      </c>
      <c r="L522" s="156" t="s">
        <v>5960</v>
      </c>
      <c r="M522" s="156">
        <v>42444</v>
      </c>
      <c r="N522" t="s">
        <v>25</v>
      </c>
      <c r="O522">
        <v>1000000</v>
      </c>
      <c r="P522">
        <v>0</v>
      </c>
      <c r="Q522">
        <v>1000000</v>
      </c>
      <c r="R522">
        <v>1</v>
      </c>
      <c r="S522">
        <v>1000000</v>
      </c>
      <c r="T522" t="s">
        <v>4646</v>
      </c>
      <c r="U522" t="s">
        <v>5961</v>
      </c>
      <c r="V522" s="156">
        <v>42359</v>
      </c>
    </row>
    <row r="523" spans="6:22" hidden="1">
      <c r="F523" t="s">
        <v>1230</v>
      </c>
      <c r="G523" t="s">
        <v>71</v>
      </c>
      <c r="H523" s="156" t="s">
        <v>5919</v>
      </c>
      <c r="I523" s="156">
        <v>42291</v>
      </c>
      <c r="J523" s="156" t="s">
        <v>5656</v>
      </c>
      <c r="K523">
        <v>17101002</v>
      </c>
      <c r="L523" s="156" t="s">
        <v>5920</v>
      </c>
      <c r="M523" s="156">
        <v>42291</v>
      </c>
      <c r="N523" t="s">
        <v>25</v>
      </c>
      <c r="O523">
        <v>213823.49</v>
      </c>
      <c r="P523">
        <v>192445.71</v>
      </c>
      <c r="Q523">
        <v>21377.78</v>
      </c>
      <c r="R523">
        <v>1</v>
      </c>
      <c r="S523">
        <v>21377.78</v>
      </c>
      <c r="T523" t="s">
        <v>4665</v>
      </c>
      <c r="U523" t="s">
        <v>5921</v>
      </c>
      <c r="V523" s="156">
        <v>42359</v>
      </c>
    </row>
    <row r="524" spans="6:22" hidden="1">
      <c r="F524" t="s">
        <v>1230</v>
      </c>
      <c r="G524" t="s">
        <v>72</v>
      </c>
      <c r="H524" s="156" t="s">
        <v>6695</v>
      </c>
      <c r="I524" s="156">
        <v>42359</v>
      </c>
      <c r="J524" s="156" t="s">
        <v>5656</v>
      </c>
      <c r="K524">
        <v>11101008</v>
      </c>
      <c r="L524" s="156" t="s">
        <v>6696</v>
      </c>
      <c r="M524" s="156">
        <v>42444</v>
      </c>
      <c r="N524" t="s">
        <v>25</v>
      </c>
      <c r="O524">
        <v>30000</v>
      </c>
      <c r="P524">
        <v>0</v>
      </c>
      <c r="Q524">
        <v>30000</v>
      </c>
      <c r="R524">
        <v>1</v>
      </c>
      <c r="S524">
        <v>30000</v>
      </c>
      <c r="T524" t="s">
        <v>5934</v>
      </c>
      <c r="U524" t="s">
        <v>6088</v>
      </c>
      <c r="V524" s="156">
        <v>42359</v>
      </c>
    </row>
    <row r="525" spans="6:22" hidden="1">
      <c r="F525" t="s">
        <v>1230</v>
      </c>
      <c r="G525" t="s">
        <v>72</v>
      </c>
      <c r="H525" s="156" t="s">
        <v>6697</v>
      </c>
      <c r="I525" s="156">
        <v>42359</v>
      </c>
      <c r="J525" s="156" t="s">
        <v>5656</v>
      </c>
      <c r="K525">
        <v>11101008</v>
      </c>
      <c r="L525" s="156" t="s">
        <v>6698</v>
      </c>
      <c r="M525" s="156">
        <v>42444</v>
      </c>
      <c r="N525" t="s">
        <v>25</v>
      </c>
      <c r="O525">
        <v>100000</v>
      </c>
      <c r="P525">
        <v>0</v>
      </c>
      <c r="Q525">
        <v>100000</v>
      </c>
      <c r="R525">
        <v>1</v>
      </c>
      <c r="S525">
        <v>100000</v>
      </c>
      <c r="T525" t="s">
        <v>4716</v>
      </c>
      <c r="U525" t="s">
        <v>6088</v>
      </c>
      <c r="V525" s="156">
        <v>42359</v>
      </c>
    </row>
    <row r="526" spans="6:22" hidden="1">
      <c r="F526" t="s">
        <v>1230</v>
      </c>
      <c r="G526" t="s">
        <v>5698</v>
      </c>
      <c r="H526" s="156" t="s">
        <v>5706</v>
      </c>
      <c r="I526" s="156">
        <v>42247</v>
      </c>
      <c r="J526" s="156" t="s">
        <v>5046</v>
      </c>
      <c r="K526">
        <v>11101005</v>
      </c>
      <c r="L526" s="156" t="s">
        <v>5707</v>
      </c>
      <c r="M526" s="156">
        <v>42308</v>
      </c>
      <c r="N526" t="s">
        <v>25</v>
      </c>
      <c r="O526">
        <v>72408</v>
      </c>
      <c r="P526">
        <v>0</v>
      </c>
      <c r="Q526">
        <v>72408</v>
      </c>
      <c r="R526">
        <v>1</v>
      </c>
      <c r="S526">
        <v>72408</v>
      </c>
      <c r="T526" t="s">
        <v>4709</v>
      </c>
      <c r="U526" t="s">
        <v>5708</v>
      </c>
      <c r="V526" s="156">
        <v>42359</v>
      </c>
    </row>
    <row r="527" spans="6:22" hidden="1">
      <c r="F527" t="s">
        <v>1230</v>
      </c>
      <c r="G527" t="s">
        <v>76</v>
      </c>
      <c r="H527" s="156" t="s">
        <v>5513</v>
      </c>
      <c r="I527" s="156">
        <v>42187</v>
      </c>
      <c r="J527" s="156" t="s">
        <v>5046</v>
      </c>
      <c r="K527">
        <v>11101005</v>
      </c>
      <c r="L527" s="156" t="s">
        <v>5631</v>
      </c>
      <c r="M527" s="156">
        <v>42307</v>
      </c>
      <c r="N527" t="s">
        <v>25</v>
      </c>
      <c r="O527">
        <v>69170.8</v>
      </c>
      <c r="P527">
        <v>0</v>
      </c>
      <c r="Q527">
        <v>69170.8</v>
      </c>
      <c r="R527">
        <v>1</v>
      </c>
      <c r="S527">
        <v>69170.8</v>
      </c>
      <c r="T527" t="s">
        <v>4709</v>
      </c>
      <c r="U527" t="s">
        <v>5632</v>
      </c>
      <c r="V527" s="156">
        <v>42359</v>
      </c>
    </row>
    <row r="528" spans="6:22" hidden="1">
      <c r="F528" t="s">
        <v>1231</v>
      </c>
      <c r="G528" t="s">
        <v>71</v>
      </c>
      <c r="H528" s="156" t="s">
        <v>6699</v>
      </c>
      <c r="I528" s="156">
        <v>42345</v>
      </c>
      <c r="J528" s="156" t="s">
        <v>6700</v>
      </c>
      <c r="K528">
        <v>19105017</v>
      </c>
      <c r="L528" s="156" t="s">
        <v>6701</v>
      </c>
      <c r="M528" s="156">
        <v>42352</v>
      </c>
      <c r="N528" t="s">
        <v>25</v>
      </c>
      <c r="O528">
        <v>254</v>
      </c>
      <c r="P528">
        <v>0</v>
      </c>
      <c r="Q528">
        <v>254</v>
      </c>
      <c r="R528">
        <v>1</v>
      </c>
      <c r="S528">
        <v>254</v>
      </c>
      <c r="T528" t="s">
        <v>4768</v>
      </c>
      <c r="U528" t="s">
        <v>6702</v>
      </c>
      <c r="V528" s="156">
        <v>42359</v>
      </c>
    </row>
    <row r="529" spans="6:22" hidden="1">
      <c r="F529" t="s">
        <v>1230</v>
      </c>
      <c r="G529" t="s">
        <v>1012</v>
      </c>
      <c r="H529" s="156" t="s">
        <v>4923</v>
      </c>
      <c r="I529" s="156">
        <v>42055</v>
      </c>
      <c r="J529" s="156" t="s">
        <v>4921</v>
      </c>
      <c r="K529">
        <v>11107001</v>
      </c>
      <c r="L529" s="156" t="s">
        <v>4740</v>
      </c>
      <c r="M529" s="156">
        <v>42612</v>
      </c>
      <c r="N529" t="s">
        <v>25</v>
      </c>
      <c r="O529">
        <v>25000</v>
      </c>
      <c r="Q529">
        <v>25000</v>
      </c>
      <c r="R529">
        <v>1</v>
      </c>
      <c r="S529">
        <v>25000</v>
      </c>
      <c r="T529" t="s">
        <v>4651</v>
      </c>
      <c r="U529" t="s">
        <v>4922</v>
      </c>
      <c r="V529" s="156">
        <v>42359</v>
      </c>
    </row>
    <row r="530" spans="6:22" hidden="1">
      <c r="F530" t="s">
        <v>1230</v>
      </c>
      <c r="G530" t="s">
        <v>72</v>
      </c>
      <c r="H530" s="156" t="s">
        <v>5686</v>
      </c>
      <c r="I530" s="156">
        <v>42233</v>
      </c>
      <c r="J530" s="156" t="s">
        <v>5669</v>
      </c>
      <c r="K530">
        <v>17101002</v>
      </c>
      <c r="L530" s="156" t="s">
        <v>5687</v>
      </c>
      <c r="M530" s="156">
        <v>42233</v>
      </c>
      <c r="N530" t="s">
        <v>25</v>
      </c>
      <c r="O530">
        <v>1137.03</v>
      </c>
      <c r="Q530">
        <v>1137.03</v>
      </c>
      <c r="R530">
        <v>1</v>
      </c>
      <c r="S530">
        <v>1137.03</v>
      </c>
      <c r="T530" t="s">
        <v>4665</v>
      </c>
      <c r="U530" t="s">
        <v>5688</v>
      </c>
      <c r="V530" s="156">
        <v>42359</v>
      </c>
    </row>
    <row r="531" spans="6:22" hidden="1">
      <c r="F531" t="s">
        <v>1230</v>
      </c>
      <c r="G531" t="s">
        <v>965</v>
      </c>
      <c r="H531" s="156" t="s">
        <v>5072</v>
      </c>
      <c r="I531" s="156">
        <v>42124</v>
      </c>
      <c r="J531" s="156" t="s">
        <v>5073</v>
      </c>
      <c r="K531">
        <v>17101002</v>
      </c>
      <c r="L531" s="156" t="s">
        <v>5074</v>
      </c>
      <c r="M531" s="156">
        <v>42124</v>
      </c>
      <c r="N531" t="s">
        <v>25</v>
      </c>
      <c r="O531">
        <v>6000</v>
      </c>
      <c r="Q531">
        <v>6000</v>
      </c>
      <c r="R531">
        <v>1</v>
      </c>
      <c r="S531">
        <v>6000</v>
      </c>
      <c r="T531" t="s">
        <v>4665</v>
      </c>
      <c r="U531" t="s">
        <v>5075</v>
      </c>
      <c r="V531" s="156">
        <v>42359</v>
      </c>
    </row>
    <row r="532" spans="6:22" hidden="1">
      <c r="F532" t="s">
        <v>1230</v>
      </c>
      <c r="G532" t="s">
        <v>71</v>
      </c>
      <c r="H532" s="156" t="s">
        <v>6703</v>
      </c>
      <c r="I532" s="156">
        <v>42317</v>
      </c>
      <c r="J532" s="156" t="s">
        <v>6704</v>
      </c>
      <c r="K532">
        <v>17101002</v>
      </c>
      <c r="L532" s="156" t="s">
        <v>6705</v>
      </c>
      <c r="M532" s="156">
        <v>42317</v>
      </c>
      <c r="N532" t="s">
        <v>25</v>
      </c>
      <c r="O532">
        <v>14000</v>
      </c>
      <c r="Q532">
        <v>14000</v>
      </c>
      <c r="R532">
        <v>1</v>
      </c>
      <c r="S532">
        <v>14000</v>
      </c>
      <c r="T532" t="s">
        <v>4665</v>
      </c>
      <c r="U532" t="s">
        <v>6706</v>
      </c>
      <c r="V532" s="156">
        <v>42359</v>
      </c>
    </row>
    <row r="533" spans="6:22" hidden="1">
      <c r="F533" t="s">
        <v>1230</v>
      </c>
      <c r="G533" t="s">
        <v>72</v>
      </c>
      <c r="H533" s="156" t="s">
        <v>6707</v>
      </c>
      <c r="I533" s="156">
        <v>42338</v>
      </c>
      <c r="J533" s="156" t="s">
        <v>6708</v>
      </c>
      <c r="K533">
        <v>11101001</v>
      </c>
      <c r="L533" s="156" t="s">
        <v>5917</v>
      </c>
      <c r="M533" s="156">
        <v>42459</v>
      </c>
      <c r="N533" t="s">
        <v>25</v>
      </c>
      <c r="O533">
        <v>25030.5</v>
      </c>
      <c r="P533">
        <v>0</v>
      </c>
      <c r="Q533">
        <v>25030.5</v>
      </c>
      <c r="R533">
        <v>1</v>
      </c>
      <c r="S533">
        <v>25030.5</v>
      </c>
      <c r="T533" t="s">
        <v>4646</v>
      </c>
      <c r="U533" t="s">
        <v>6709</v>
      </c>
      <c r="V533" s="156">
        <v>42359</v>
      </c>
    </row>
    <row r="534" spans="6:22" hidden="1">
      <c r="F534" t="s">
        <v>1230</v>
      </c>
      <c r="G534" t="s">
        <v>72</v>
      </c>
      <c r="H534" s="156" t="s">
        <v>5742</v>
      </c>
      <c r="I534" s="156">
        <v>42264</v>
      </c>
      <c r="J534" s="156" t="s">
        <v>5743</v>
      </c>
      <c r="K534">
        <v>11101009</v>
      </c>
      <c r="L534" s="156" t="s">
        <v>5744</v>
      </c>
      <c r="M534" s="156">
        <v>42277</v>
      </c>
      <c r="N534" t="s">
        <v>25</v>
      </c>
      <c r="O534">
        <v>38500</v>
      </c>
      <c r="P534">
        <v>33935.800000000003</v>
      </c>
      <c r="Q534">
        <v>4564.2</v>
      </c>
      <c r="R534">
        <v>1</v>
      </c>
      <c r="S534">
        <v>4564.2</v>
      </c>
      <c r="T534" t="s">
        <v>4675</v>
      </c>
      <c r="U534" t="s">
        <v>5745</v>
      </c>
      <c r="V534" s="156">
        <v>42359</v>
      </c>
    </row>
    <row r="535" spans="6:22">
      <c r="H535" s="156"/>
      <c r="I535" s="156"/>
      <c r="J535" s="156"/>
    </row>
    <row r="536" spans="6:22">
      <c r="H536" s="156"/>
      <c r="I536" s="156"/>
      <c r="J536" s="156"/>
    </row>
    <row r="537" spans="6:22">
      <c r="H537" s="156"/>
      <c r="I537" s="156"/>
      <c r="J537" s="156"/>
    </row>
    <row r="538" spans="6:22">
      <c r="H538" s="156"/>
      <c r="I538" s="156"/>
      <c r="J538" s="156"/>
    </row>
    <row r="539" spans="6:22">
      <c r="H539" s="156"/>
      <c r="I539" s="156"/>
      <c r="J539" s="156"/>
    </row>
    <row r="540" spans="6:22">
      <c r="H540" s="156"/>
      <c r="I540" s="156"/>
      <c r="J540" s="156"/>
    </row>
    <row r="541" spans="6:22">
      <c r="H541" s="156"/>
      <c r="I541" s="156"/>
      <c r="J541" s="156"/>
    </row>
    <row r="542" spans="6:22">
      <c r="H542" s="156"/>
      <c r="I542" s="156"/>
      <c r="J542" s="156"/>
    </row>
    <row r="543" spans="6:22">
      <c r="H543" s="156"/>
      <c r="I543" s="156"/>
      <c r="J543" s="156"/>
    </row>
    <row r="544" spans="6:22">
      <c r="H544" s="156"/>
      <c r="I544" s="156"/>
      <c r="J544" s="156"/>
    </row>
    <row r="545" spans="8:10">
      <c r="H545" s="156"/>
      <c r="I545" s="156"/>
      <c r="J545" s="156"/>
    </row>
    <row r="546" spans="8:10">
      <c r="H546" s="156"/>
      <c r="I546" s="156"/>
      <c r="J546" s="156"/>
    </row>
    <row r="547" spans="8:10">
      <c r="H547" s="156"/>
      <c r="I547" s="156"/>
      <c r="J547" s="156"/>
    </row>
    <row r="548" spans="8:10">
      <c r="H548" s="156"/>
      <c r="I548" s="156"/>
      <c r="J548" s="156"/>
    </row>
    <row r="549" spans="8:10">
      <c r="H549" s="156"/>
      <c r="I549" s="156"/>
      <c r="J549" s="156"/>
    </row>
    <row r="550" spans="8:10">
      <c r="H550" s="156"/>
      <c r="I550" s="156"/>
      <c r="J550" s="156"/>
    </row>
    <row r="551" spans="8:10">
      <c r="H551" s="156"/>
      <c r="I551" s="156"/>
      <c r="J551" s="156"/>
    </row>
    <row r="552" spans="8:10">
      <c r="H552" s="156"/>
      <c r="I552" s="156"/>
      <c r="J552" s="156"/>
    </row>
    <row r="553" spans="8:10">
      <c r="H553" s="156"/>
      <c r="I553" s="156"/>
      <c r="J553" s="156"/>
    </row>
    <row r="554" spans="8:10">
      <c r="H554" s="156"/>
      <c r="I554" s="156"/>
      <c r="J554" s="156"/>
    </row>
    <row r="555" spans="8:10">
      <c r="H555" s="156"/>
      <c r="I555" s="156"/>
      <c r="J555" s="156"/>
    </row>
    <row r="556" spans="8:10">
      <c r="H556" s="156"/>
      <c r="I556" s="156"/>
      <c r="J556" s="156"/>
    </row>
    <row r="557" spans="8:10">
      <c r="H557" s="156"/>
      <c r="I557" s="156"/>
      <c r="J557" s="156"/>
    </row>
    <row r="558" spans="8:10">
      <c r="H558" s="156"/>
      <c r="I558" s="156"/>
      <c r="J558" s="156"/>
    </row>
    <row r="559" spans="8:10">
      <c r="H559" s="156"/>
      <c r="I559" s="156"/>
      <c r="J559" s="156"/>
    </row>
    <row r="560" spans="8:10">
      <c r="H560" s="156"/>
      <c r="I560" s="156"/>
      <c r="J560" s="156"/>
    </row>
    <row r="561" spans="8:10">
      <c r="H561" s="156"/>
      <c r="I561" s="156"/>
      <c r="J561" s="156"/>
    </row>
    <row r="562" spans="8:10">
      <c r="H562" s="156"/>
      <c r="I562" s="156"/>
      <c r="J562" s="156"/>
    </row>
    <row r="563" spans="8:10">
      <c r="H563" s="156"/>
      <c r="I563" s="156"/>
      <c r="J563" s="156"/>
    </row>
    <row r="564" spans="8:10">
      <c r="H564" s="156"/>
      <c r="I564" s="156"/>
      <c r="J564" s="156"/>
    </row>
    <row r="565" spans="8:10">
      <c r="H565" s="156"/>
      <c r="I565" s="156"/>
      <c r="J565" s="156"/>
    </row>
    <row r="566" spans="8:10">
      <c r="H566" s="156"/>
      <c r="I566" s="156"/>
      <c r="J566" s="156"/>
    </row>
    <row r="567" spans="8:10">
      <c r="H567" s="156"/>
      <c r="I567" s="156"/>
      <c r="J567" s="156"/>
    </row>
    <row r="568" spans="8:10">
      <c r="H568" s="156"/>
      <c r="I568" s="156"/>
      <c r="J568" s="156"/>
    </row>
    <row r="569" spans="8:10">
      <c r="H569" s="156"/>
      <c r="I569" s="156"/>
      <c r="J569" s="156"/>
    </row>
    <row r="570" spans="8:10">
      <c r="H570" s="156"/>
      <c r="I570" s="156"/>
      <c r="J570" s="156"/>
    </row>
    <row r="571" spans="8:10">
      <c r="H571" s="156"/>
      <c r="I571" s="156"/>
      <c r="J571" s="156"/>
    </row>
    <row r="572" spans="8:10">
      <c r="H572" s="156"/>
      <c r="I572" s="156"/>
      <c r="J572" s="156"/>
    </row>
    <row r="573" spans="8:10">
      <c r="H573" s="156"/>
      <c r="I573" s="156"/>
      <c r="J573" s="156"/>
    </row>
    <row r="574" spans="8:10">
      <c r="H574" s="156"/>
      <c r="I574" s="156"/>
      <c r="J574" s="156"/>
    </row>
    <row r="575" spans="8:10">
      <c r="H575" s="156"/>
      <c r="I575" s="156"/>
      <c r="J575" s="156"/>
    </row>
    <row r="576" spans="8:10">
      <c r="H576" s="156"/>
      <c r="I576" s="156"/>
      <c r="J576" s="156"/>
    </row>
    <row r="577" spans="8:10">
      <c r="H577" s="156"/>
      <c r="I577" s="156"/>
      <c r="J577" s="156"/>
    </row>
    <row r="578" spans="8:10">
      <c r="H578" s="156"/>
      <c r="I578" s="156"/>
      <c r="J578" s="156"/>
    </row>
    <row r="579" spans="8:10">
      <c r="H579" s="156"/>
      <c r="I579" s="156"/>
      <c r="J579" s="156"/>
    </row>
    <row r="580" spans="8:10">
      <c r="H580" s="156"/>
      <c r="I580" s="156"/>
      <c r="J580" s="156"/>
    </row>
    <row r="581" spans="8:10">
      <c r="H581" s="156"/>
      <c r="I581" s="156"/>
      <c r="J581" s="156"/>
    </row>
    <row r="582" spans="8:10">
      <c r="H582" s="156"/>
      <c r="I582" s="156"/>
      <c r="J582" s="156"/>
    </row>
    <row r="583" spans="8:10">
      <c r="H583" s="156"/>
      <c r="I583" s="156"/>
      <c r="J583" s="156"/>
    </row>
    <row r="584" spans="8:10">
      <c r="H584" s="156"/>
      <c r="I584" s="156"/>
      <c r="J584" s="156"/>
    </row>
    <row r="585" spans="8:10">
      <c r="H585" s="156"/>
      <c r="I585" s="156"/>
      <c r="J585" s="156"/>
    </row>
    <row r="586" spans="8:10">
      <c r="H586" s="156"/>
      <c r="I586" s="156"/>
      <c r="J586" s="156"/>
    </row>
    <row r="587" spans="8:10">
      <c r="H587" s="156"/>
      <c r="I587" s="156"/>
      <c r="J587" s="156"/>
    </row>
    <row r="588" spans="8:10">
      <c r="H588" s="156"/>
      <c r="I588" s="156"/>
      <c r="J588" s="156"/>
    </row>
    <row r="589" spans="8:10">
      <c r="H589" s="156"/>
      <c r="I589" s="156"/>
      <c r="J589" s="156"/>
    </row>
    <row r="590" spans="8:10">
      <c r="H590" s="156"/>
      <c r="I590" s="156"/>
      <c r="J590" s="156"/>
    </row>
    <row r="591" spans="8:10">
      <c r="H591" s="156"/>
      <c r="I591" s="156"/>
      <c r="J591" s="156"/>
    </row>
    <row r="592" spans="8:10">
      <c r="H592" s="156"/>
      <c r="I592" s="156"/>
      <c r="J592" s="156"/>
    </row>
    <row r="593" spans="8:10">
      <c r="H593" s="156"/>
      <c r="I593" s="156"/>
      <c r="J593" s="156"/>
    </row>
    <row r="594" spans="8:10">
      <c r="H594" s="156"/>
      <c r="I594" s="156"/>
      <c r="J594" s="156"/>
    </row>
    <row r="595" spans="8:10">
      <c r="H595" s="156"/>
      <c r="I595" s="156"/>
      <c r="J595" s="156"/>
    </row>
    <row r="596" spans="8:10">
      <c r="H596" s="156"/>
      <c r="I596" s="156"/>
      <c r="J596" s="156"/>
    </row>
    <row r="597" spans="8:10">
      <c r="H597" s="156"/>
      <c r="I597" s="156"/>
      <c r="J597" s="156"/>
    </row>
    <row r="598" spans="8:10">
      <c r="H598" s="156"/>
      <c r="I598" s="156"/>
      <c r="J598" s="156"/>
    </row>
    <row r="599" spans="8:10">
      <c r="H599" s="156"/>
      <c r="I599" s="156"/>
      <c r="J599" s="156"/>
    </row>
    <row r="600" spans="8:10">
      <c r="H600" s="156"/>
      <c r="I600" s="156"/>
      <c r="J600" s="156"/>
    </row>
    <row r="601" spans="8:10">
      <c r="H601" s="156"/>
      <c r="I601" s="156"/>
      <c r="J601" s="156"/>
    </row>
    <row r="602" spans="8:10">
      <c r="H602" s="156"/>
      <c r="I602" s="156"/>
      <c r="J602" s="156"/>
    </row>
    <row r="603" spans="8:10">
      <c r="H603" s="156"/>
      <c r="I603" s="156"/>
      <c r="J603" s="156"/>
    </row>
    <row r="604" spans="8:10">
      <c r="H604" s="156"/>
      <c r="I604" s="156"/>
      <c r="J604" s="156"/>
    </row>
    <row r="605" spans="8:10">
      <c r="H605" s="156"/>
      <c r="I605" s="156"/>
      <c r="J605" s="156"/>
    </row>
    <row r="606" spans="8:10">
      <c r="H606" s="156"/>
      <c r="I606" s="156"/>
      <c r="J606" s="156"/>
    </row>
    <row r="607" spans="8:10">
      <c r="H607" s="156"/>
      <c r="I607" s="156"/>
      <c r="J607" s="156"/>
    </row>
    <row r="608" spans="8:10">
      <c r="H608" s="156"/>
      <c r="I608" s="156"/>
      <c r="J608" s="156"/>
    </row>
    <row r="609" spans="8:10">
      <c r="H609" s="156"/>
      <c r="I609" s="156"/>
      <c r="J609" s="156"/>
    </row>
    <row r="610" spans="8:10">
      <c r="H610" s="156"/>
      <c r="I610" s="156"/>
      <c r="J610" s="156"/>
    </row>
    <row r="611" spans="8:10">
      <c r="H611" s="156"/>
      <c r="I611" s="156"/>
      <c r="J611" s="156"/>
    </row>
    <row r="612" spans="8:10">
      <c r="H612" s="156"/>
      <c r="I612" s="156"/>
      <c r="J612" s="156"/>
    </row>
    <row r="613" spans="8:10">
      <c r="H613" s="156"/>
      <c r="I613" s="156"/>
      <c r="J613" s="156"/>
    </row>
    <row r="614" spans="8:10">
      <c r="H614" s="156"/>
      <c r="I614" s="156"/>
      <c r="J614" s="156"/>
    </row>
    <row r="615" spans="8:10">
      <c r="H615" s="156"/>
      <c r="I615" s="156"/>
      <c r="J615" s="156"/>
    </row>
    <row r="616" spans="8:10">
      <c r="H616" s="156"/>
      <c r="I616" s="156"/>
      <c r="J616" s="156"/>
    </row>
    <row r="617" spans="8:10">
      <c r="H617" s="156"/>
      <c r="I617" s="156"/>
      <c r="J617" s="156"/>
    </row>
    <row r="618" spans="8:10">
      <c r="H618" s="156"/>
      <c r="I618" s="156"/>
      <c r="J618" s="156"/>
    </row>
    <row r="619" spans="8:10">
      <c r="H619" s="156"/>
      <c r="I619" s="156"/>
      <c r="J619" s="156"/>
    </row>
    <row r="620" spans="8:10">
      <c r="H620" s="156"/>
      <c r="I620" s="156"/>
      <c r="J620" s="156"/>
    </row>
    <row r="621" spans="8:10">
      <c r="H621" s="156"/>
      <c r="I621" s="156"/>
      <c r="J621" s="156"/>
    </row>
    <row r="622" spans="8:10">
      <c r="H622" s="156"/>
      <c r="I622" s="156"/>
      <c r="J622" s="156"/>
    </row>
    <row r="623" spans="8:10">
      <c r="H623" s="156"/>
      <c r="I623" s="156"/>
      <c r="J623" s="156"/>
    </row>
    <row r="624" spans="8:10">
      <c r="H624" s="156"/>
      <c r="I624" s="156"/>
      <c r="J624" s="156"/>
    </row>
    <row r="625" spans="8:10">
      <c r="H625" s="156"/>
      <c r="I625" s="156"/>
      <c r="J625" s="156"/>
    </row>
    <row r="626" spans="8:10">
      <c r="H626" s="156"/>
      <c r="I626" s="156"/>
      <c r="J626" s="156"/>
    </row>
    <row r="627" spans="8:10">
      <c r="H627" s="156"/>
      <c r="I627" s="156"/>
      <c r="J627" s="156"/>
    </row>
    <row r="628" spans="8:10">
      <c r="H628" s="156"/>
      <c r="I628" s="156"/>
      <c r="J628" s="156"/>
    </row>
    <row r="629" spans="8:10">
      <c r="H629" s="156"/>
      <c r="I629" s="156"/>
      <c r="J629" s="156"/>
    </row>
    <row r="630" spans="8:10">
      <c r="H630" s="156"/>
      <c r="I630" s="156"/>
      <c r="J630" s="156"/>
    </row>
    <row r="631" spans="8:10">
      <c r="H631" s="156"/>
      <c r="I631" s="156"/>
      <c r="J631" s="156"/>
    </row>
    <row r="632" spans="8:10">
      <c r="H632" s="156"/>
      <c r="I632" s="156"/>
      <c r="J632" s="156"/>
    </row>
    <row r="633" spans="8:10">
      <c r="H633" s="156"/>
      <c r="I633" s="156"/>
      <c r="J633" s="156"/>
    </row>
    <row r="634" spans="8:10">
      <c r="H634" s="156"/>
      <c r="I634" s="156"/>
      <c r="J634" s="156"/>
    </row>
    <row r="635" spans="8:10">
      <c r="H635" s="156"/>
      <c r="I635" s="156"/>
      <c r="J635" s="156"/>
    </row>
    <row r="636" spans="8:10">
      <c r="H636" s="156"/>
      <c r="I636" s="156"/>
      <c r="J636" s="156"/>
    </row>
    <row r="637" spans="8:10">
      <c r="H637" s="156"/>
      <c r="I637" s="156"/>
      <c r="J637" s="156"/>
    </row>
    <row r="638" spans="8:10">
      <c r="H638" s="156"/>
      <c r="I638" s="156"/>
      <c r="J638" s="156"/>
    </row>
    <row r="639" spans="8:10">
      <c r="H639" s="156"/>
      <c r="I639" s="156"/>
      <c r="J639" s="156"/>
    </row>
    <row r="640" spans="8:10">
      <c r="H640" s="156"/>
      <c r="I640" s="156"/>
      <c r="J640" s="156"/>
    </row>
    <row r="641" spans="8:10">
      <c r="H641" s="156"/>
      <c r="I641" s="156"/>
      <c r="J641" s="156"/>
    </row>
    <row r="642" spans="8:10">
      <c r="H642" s="156"/>
      <c r="I642" s="156"/>
      <c r="J642" s="156"/>
    </row>
    <row r="643" spans="8:10">
      <c r="H643" s="156"/>
      <c r="I643" s="156"/>
      <c r="J643" s="156"/>
    </row>
    <row r="644" spans="8:10">
      <c r="H644" s="156"/>
      <c r="I644" s="156"/>
      <c r="J644" s="156"/>
    </row>
    <row r="645" spans="8:10">
      <c r="H645" s="156"/>
      <c r="I645" s="156"/>
      <c r="J645" s="156"/>
    </row>
    <row r="646" spans="8:10">
      <c r="H646" s="156"/>
      <c r="I646" s="156"/>
      <c r="J646" s="156"/>
    </row>
    <row r="647" spans="8:10">
      <c r="H647" s="156"/>
      <c r="I647" s="156"/>
      <c r="J647" s="156"/>
    </row>
    <row r="648" spans="8:10">
      <c r="H648" s="156"/>
      <c r="I648" s="156"/>
      <c r="J648" s="156"/>
    </row>
    <row r="649" spans="8:10">
      <c r="H649" s="156"/>
      <c r="I649" s="156"/>
      <c r="J649" s="156"/>
    </row>
    <row r="650" spans="8:10">
      <c r="H650" s="156"/>
      <c r="I650" s="156"/>
      <c r="J650" s="156"/>
    </row>
    <row r="651" spans="8:10">
      <c r="H651" s="156"/>
      <c r="I651" s="156"/>
      <c r="J651" s="156"/>
    </row>
    <row r="652" spans="8:10">
      <c r="H652" s="156"/>
      <c r="I652" s="156"/>
      <c r="J652" s="156"/>
    </row>
    <row r="653" spans="8:10">
      <c r="H653" s="156"/>
      <c r="I653" s="156"/>
      <c r="J653" s="156"/>
    </row>
    <row r="654" spans="8:10">
      <c r="H654" s="156"/>
      <c r="I654" s="156"/>
      <c r="J654" s="156"/>
    </row>
    <row r="655" spans="8:10">
      <c r="H655" s="156"/>
      <c r="I655" s="156"/>
      <c r="J655" s="156"/>
    </row>
    <row r="656" spans="8:10">
      <c r="H656" s="156"/>
      <c r="I656" s="156"/>
      <c r="J656" s="156"/>
    </row>
    <row r="657" spans="8:10">
      <c r="H657" s="156"/>
      <c r="I657" s="156"/>
      <c r="J657" s="156"/>
    </row>
    <row r="658" spans="8:10">
      <c r="H658" s="156"/>
      <c r="I658" s="156"/>
      <c r="J658" s="156"/>
    </row>
    <row r="659" spans="8:10">
      <c r="H659" s="156"/>
      <c r="I659" s="156"/>
      <c r="J659" s="156"/>
    </row>
    <row r="660" spans="8:10">
      <c r="H660" s="156"/>
      <c r="I660" s="156"/>
      <c r="J660" s="156"/>
    </row>
    <row r="661" spans="8:10">
      <c r="H661" s="156"/>
      <c r="I661" s="156"/>
      <c r="J661" s="156"/>
    </row>
    <row r="662" spans="8:10">
      <c r="H662" s="156"/>
      <c r="I662" s="156"/>
      <c r="J662" s="156"/>
    </row>
    <row r="663" spans="8:10">
      <c r="H663" s="156"/>
      <c r="I663" s="156"/>
      <c r="J663" s="156"/>
    </row>
    <row r="664" spans="8:10">
      <c r="H664" s="156"/>
      <c r="I664" s="156"/>
      <c r="J664" s="156"/>
    </row>
    <row r="665" spans="8:10">
      <c r="H665" s="156"/>
      <c r="I665" s="156"/>
      <c r="J665" s="156"/>
    </row>
    <row r="666" spans="8:10">
      <c r="H666" s="156"/>
      <c r="I666" s="156"/>
      <c r="J666" s="156"/>
    </row>
    <row r="667" spans="8:10">
      <c r="H667" s="156"/>
      <c r="I667" s="156"/>
      <c r="J667" s="156"/>
    </row>
    <row r="668" spans="8:10">
      <c r="H668" s="156"/>
      <c r="I668" s="156"/>
      <c r="J668" s="156"/>
    </row>
    <row r="669" spans="8:10">
      <c r="H669" s="156"/>
      <c r="I669" s="156"/>
      <c r="J669" s="156"/>
    </row>
    <row r="670" spans="8:10">
      <c r="H670" s="156"/>
      <c r="I670" s="156"/>
      <c r="J670" s="156"/>
    </row>
    <row r="671" spans="8:10">
      <c r="H671" s="156"/>
      <c r="I671" s="156"/>
      <c r="J671" s="156"/>
    </row>
    <row r="672" spans="8:10">
      <c r="H672" s="156"/>
      <c r="I672" s="156"/>
      <c r="J672" s="156"/>
    </row>
    <row r="673" spans="8:10">
      <c r="H673" s="156"/>
      <c r="I673" s="156"/>
      <c r="J673" s="156"/>
    </row>
    <row r="674" spans="8:10">
      <c r="H674" s="156"/>
      <c r="I674" s="156"/>
      <c r="J674" s="156"/>
    </row>
    <row r="675" spans="8:10">
      <c r="H675" s="156"/>
      <c r="I675" s="156"/>
      <c r="J675" s="156"/>
    </row>
    <row r="676" spans="8:10">
      <c r="H676" s="156"/>
      <c r="I676" s="156"/>
      <c r="J676" s="156"/>
    </row>
    <row r="677" spans="8:10">
      <c r="H677" s="156"/>
      <c r="I677" s="156"/>
      <c r="J677" s="156"/>
    </row>
    <row r="678" spans="8:10">
      <c r="H678" s="156"/>
      <c r="I678" s="156"/>
      <c r="J678" s="156"/>
    </row>
    <row r="679" spans="8:10">
      <c r="H679" s="156"/>
      <c r="I679" s="156"/>
      <c r="J679" s="156"/>
    </row>
    <row r="680" spans="8:10">
      <c r="H680" s="156"/>
      <c r="I680" s="156"/>
      <c r="J680" s="156"/>
    </row>
    <row r="681" spans="8:10">
      <c r="H681" s="156"/>
      <c r="I681" s="156"/>
      <c r="J681" s="156"/>
    </row>
    <row r="682" spans="8:10">
      <c r="H682" s="156"/>
      <c r="I682" s="156"/>
      <c r="J682" s="156"/>
    </row>
    <row r="683" spans="8:10">
      <c r="H683" s="156"/>
      <c r="I683" s="156"/>
      <c r="J683" s="156"/>
    </row>
    <row r="684" spans="8:10">
      <c r="H684" s="156"/>
      <c r="I684" s="156"/>
      <c r="J684" s="156"/>
    </row>
    <row r="685" spans="8:10">
      <c r="H685" s="156"/>
      <c r="I685" s="156"/>
      <c r="J685" s="156"/>
    </row>
    <row r="686" spans="8:10">
      <c r="H686" s="156"/>
      <c r="I686" s="156"/>
      <c r="J686" s="156"/>
    </row>
    <row r="687" spans="8:10">
      <c r="H687" s="156"/>
      <c r="I687" s="156"/>
      <c r="J687" s="156"/>
    </row>
    <row r="688" spans="8:10">
      <c r="H688" s="156"/>
      <c r="I688" s="156"/>
      <c r="J688" s="156"/>
    </row>
    <row r="689" spans="8:10">
      <c r="H689" s="156"/>
      <c r="I689" s="156"/>
      <c r="J689" s="156"/>
    </row>
    <row r="690" spans="8:10">
      <c r="H690" s="156"/>
      <c r="I690" s="156"/>
      <c r="J690" s="156"/>
    </row>
    <row r="691" spans="8:10">
      <c r="H691" s="156"/>
      <c r="I691" s="156"/>
      <c r="J691" s="156"/>
    </row>
    <row r="692" spans="8:10">
      <c r="H692" s="156"/>
      <c r="I692" s="156"/>
      <c r="J692" s="156"/>
    </row>
    <row r="693" spans="8:10">
      <c r="H693" s="156"/>
      <c r="I693" s="156"/>
      <c r="J693" s="156"/>
    </row>
    <row r="694" spans="8:10">
      <c r="H694" s="156"/>
      <c r="I694" s="156"/>
      <c r="J694" s="156"/>
    </row>
    <row r="695" spans="8:10">
      <c r="H695" s="156"/>
      <c r="I695" s="156"/>
      <c r="J695" s="156"/>
    </row>
    <row r="696" spans="8:10">
      <c r="H696" s="156"/>
      <c r="I696" s="156"/>
      <c r="J696" s="156"/>
    </row>
    <row r="697" spans="8:10">
      <c r="H697" s="156"/>
      <c r="I697" s="156"/>
      <c r="J697" s="156"/>
    </row>
    <row r="698" spans="8:10">
      <c r="H698" s="156"/>
      <c r="I698" s="156"/>
      <c r="J698" s="156"/>
    </row>
    <row r="699" spans="8:10">
      <c r="H699" s="156"/>
      <c r="I699" s="156"/>
      <c r="J699" s="156"/>
    </row>
    <row r="700" spans="8:10">
      <c r="H700" s="156"/>
      <c r="I700" s="156"/>
      <c r="J700" s="156"/>
    </row>
    <row r="701" spans="8:10">
      <c r="H701" s="156"/>
      <c r="I701" s="156"/>
      <c r="J701" s="156"/>
    </row>
    <row r="702" spans="8:10">
      <c r="H702" s="156"/>
      <c r="I702" s="156"/>
      <c r="J702" s="156"/>
    </row>
    <row r="703" spans="8:10">
      <c r="H703" s="156"/>
      <c r="I703" s="156"/>
      <c r="J703" s="156"/>
    </row>
    <row r="704" spans="8:10">
      <c r="H704" s="156"/>
      <c r="I704" s="156"/>
      <c r="J704" s="156"/>
    </row>
    <row r="705" spans="8:10">
      <c r="H705" s="156"/>
      <c r="I705" s="156"/>
      <c r="J705" s="156"/>
    </row>
    <row r="706" spans="8:10">
      <c r="H706" s="156"/>
      <c r="I706" s="156"/>
      <c r="J706" s="156"/>
    </row>
    <row r="707" spans="8:10">
      <c r="H707" s="156"/>
      <c r="I707" s="156"/>
      <c r="J707" s="156"/>
    </row>
    <row r="708" spans="8:10">
      <c r="H708" s="156"/>
      <c r="I708" s="156"/>
      <c r="J708" s="156"/>
    </row>
    <row r="709" spans="8:10">
      <c r="H709" s="156"/>
      <c r="I709" s="156"/>
      <c r="J709" s="156"/>
    </row>
    <row r="710" spans="8:10">
      <c r="H710" s="156"/>
      <c r="I710" s="156"/>
      <c r="J710" s="156"/>
    </row>
    <row r="711" spans="8:10">
      <c r="H711" s="156"/>
      <c r="I711" s="156"/>
      <c r="J711" s="156"/>
    </row>
    <row r="712" spans="8:10">
      <c r="H712" s="156"/>
      <c r="I712" s="156"/>
      <c r="J712" s="156"/>
    </row>
    <row r="713" spans="8:10">
      <c r="H713" s="156"/>
      <c r="I713" s="156"/>
      <c r="J713" s="156"/>
    </row>
    <row r="714" spans="8:10">
      <c r="H714" s="156"/>
      <c r="I714" s="156"/>
      <c r="J714" s="156"/>
    </row>
    <row r="715" spans="8:10">
      <c r="H715" s="156"/>
      <c r="I715" s="156"/>
      <c r="J715" s="156"/>
    </row>
    <row r="716" spans="8:10">
      <c r="H716" s="156"/>
      <c r="I716" s="156"/>
      <c r="J716" s="156"/>
    </row>
    <row r="717" spans="8:10">
      <c r="H717" s="156"/>
      <c r="I717" s="156"/>
      <c r="J717" s="156"/>
    </row>
    <row r="718" spans="8:10">
      <c r="H718" s="156"/>
      <c r="I718" s="156"/>
      <c r="J718" s="156"/>
    </row>
    <row r="719" spans="8:10">
      <c r="H719" s="156"/>
      <c r="I719" s="156"/>
      <c r="J719" s="156"/>
    </row>
    <row r="720" spans="8:10">
      <c r="H720" s="156"/>
      <c r="I720" s="156"/>
      <c r="J720" s="156"/>
    </row>
    <row r="721" spans="8:10">
      <c r="H721" s="156"/>
      <c r="I721" s="156"/>
      <c r="J721" s="156"/>
    </row>
    <row r="722" spans="8:10">
      <c r="H722" s="156"/>
      <c r="I722" s="156"/>
      <c r="J722" s="156"/>
    </row>
    <row r="723" spans="8:10">
      <c r="H723" s="156"/>
      <c r="I723" s="156"/>
      <c r="J723" s="156"/>
    </row>
    <row r="724" spans="8:10">
      <c r="H724" s="156"/>
      <c r="I724" s="156"/>
      <c r="J724" s="156"/>
    </row>
    <row r="725" spans="8:10">
      <c r="H725" s="156"/>
      <c r="I725" s="156"/>
      <c r="J725" s="156"/>
    </row>
    <row r="726" spans="8:10">
      <c r="H726" s="156"/>
      <c r="I726" s="156"/>
      <c r="J726" s="156"/>
    </row>
    <row r="727" spans="8:10">
      <c r="H727" s="156"/>
      <c r="I727" s="156"/>
      <c r="J727" s="156"/>
    </row>
    <row r="728" spans="8:10">
      <c r="H728" s="156"/>
      <c r="I728" s="156"/>
      <c r="J728" s="156"/>
    </row>
    <row r="729" spans="8:10">
      <c r="H729" s="156"/>
      <c r="I729" s="156"/>
      <c r="J729" s="156"/>
    </row>
    <row r="730" spans="8:10">
      <c r="H730" s="156"/>
      <c r="I730" s="156"/>
      <c r="J730" s="156"/>
    </row>
    <row r="731" spans="8:10">
      <c r="H731" s="156"/>
      <c r="I731" s="156"/>
      <c r="J731" s="156"/>
    </row>
    <row r="732" spans="8:10">
      <c r="H732" s="156"/>
      <c r="I732" s="156"/>
      <c r="J732" s="156"/>
    </row>
    <row r="733" spans="8:10">
      <c r="H733" s="156"/>
      <c r="I733" s="156"/>
      <c r="J733" s="156"/>
    </row>
    <row r="734" spans="8:10">
      <c r="H734" s="156"/>
      <c r="I734" s="156"/>
      <c r="J734" s="156"/>
    </row>
    <row r="735" spans="8:10">
      <c r="H735" s="156"/>
      <c r="I735" s="156"/>
      <c r="J735" s="156"/>
    </row>
    <row r="736" spans="8:10">
      <c r="H736" s="156"/>
      <c r="I736" s="156"/>
      <c r="J736" s="156"/>
    </row>
    <row r="737" spans="8:10">
      <c r="H737" s="156"/>
      <c r="I737" s="156"/>
      <c r="J737" s="156"/>
    </row>
    <row r="738" spans="8:10">
      <c r="H738" s="156"/>
      <c r="I738" s="156"/>
      <c r="J738" s="156"/>
    </row>
    <row r="739" spans="8:10">
      <c r="H739" s="156"/>
      <c r="I739" s="156"/>
      <c r="J739" s="156"/>
    </row>
    <row r="740" spans="8:10">
      <c r="H740" s="156"/>
      <c r="I740" s="156"/>
      <c r="J740" s="156"/>
    </row>
    <row r="741" spans="8:10">
      <c r="H741" s="156"/>
      <c r="I741" s="156"/>
      <c r="J741" s="156"/>
    </row>
    <row r="742" spans="8:10">
      <c r="H742" s="156"/>
      <c r="I742" s="156"/>
      <c r="J742" s="156"/>
    </row>
    <row r="743" spans="8:10">
      <c r="H743" s="156"/>
      <c r="I743" s="156"/>
      <c r="J743" s="156"/>
    </row>
    <row r="744" spans="8:10">
      <c r="H744" s="156"/>
      <c r="I744" s="156"/>
      <c r="J744" s="156"/>
    </row>
    <row r="745" spans="8:10">
      <c r="H745" s="156"/>
      <c r="I745" s="156"/>
      <c r="J745" s="156"/>
    </row>
    <row r="746" spans="8:10">
      <c r="H746" s="156"/>
      <c r="I746" s="156"/>
      <c r="J746" s="156"/>
    </row>
    <row r="747" spans="8:10">
      <c r="H747" s="156"/>
      <c r="I747" s="156"/>
      <c r="J747" s="156"/>
    </row>
    <row r="748" spans="8:10">
      <c r="H748" s="156"/>
      <c r="I748" s="156"/>
      <c r="J748" s="156"/>
    </row>
    <row r="749" spans="8:10">
      <c r="H749" s="156"/>
      <c r="I749" s="156"/>
      <c r="J749" s="156"/>
    </row>
    <row r="750" spans="8:10">
      <c r="H750" s="156"/>
      <c r="I750" s="156"/>
      <c r="J750" s="156"/>
    </row>
    <row r="751" spans="8:10">
      <c r="H751" s="156"/>
      <c r="I751" s="156"/>
      <c r="J751" s="156"/>
    </row>
    <row r="752" spans="8:10">
      <c r="H752" s="156"/>
      <c r="I752" s="156"/>
      <c r="J752" s="156"/>
    </row>
    <row r="753" spans="8:10">
      <c r="H753" s="156"/>
      <c r="I753" s="156"/>
      <c r="J753" s="156"/>
    </row>
    <row r="754" spans="8:10">
      <c r="H754" s="156"/>
      <c r="I754" s="156"/>
      <c r="J754" s="156"/>
    </row>
    <row r="755" spans="8:10">
      <c r="H755" s="156"/>
      <c r="I755" s="156"/>
      <c r="J755" s="156"/>
    </row>
    <row r="756" spans="8:10">
      <c r="H756" s="156"/>
      <c r="I756" s="156"/>
      <c r="J756" s="156"/>
    </row>
    <row r="757" spans="8:10">
      <c r="H757" s="156"/>
      <c r="I757" s="156"/>
      <c r="J757" s="156"/>
    </row>
    <row r="758" spans="8:10">
      <c r="H758" s="156"/>
      <c r="I758" s="156"/>
      <c r="J758" s="156"/>
    </row>
    <row r="759" spans="8:10">
      <c r="H759" s="156"/>
      <c r="I759" s="156"/>
      <c r="J759" s="156"/>
    </row>
    <row r="760" spans="8:10">
      <c r="H760" s="156"/>
      <c r="I760" s="156"/>
      <c r="J760" s="156"/>
    </row>
    <row r="761" spans="8:10">
      <c r="H761" s="156"/>
      <c r="I761" s="156"/>
      <c r="J761" s="156"/>
    </row>
    <row r="762" spans="8:10">
      <c r="H762" s="156"/>
      <c r="I762" s="156"/>
      <c r="J762" s="156"/>
    </row>
    <row r="763" spans="8:10">
      <c r="H763" s="156"/>
      <c r="I763" s="156"/>
      <c r="J763" s="156"/>
    </row>
    <row r="764" spans="8:10">
      <c r="H764" s="156"/>
      <c r="I764" s="156"/>
      <c r="J764" s="156"/>
    </row>
    <row r="765" spans="8:10">
      <c r="H765" s="156"/>
      <c r="I765" s="156"/>
      <c r="J765" s="156"/>
    </row>
    <row r="766" spans="8:10">
      <c r="H766" s="156"/>
      <c r="I766" s="156"/>
      <c r="J766" s="156"/>
    </row>
    <row r="767" spans="8:10">
      <c r="H767" s="156"/>
      <c r="I767" s="156"/>
      <c r="J767" s="156"/>
    </row>
    <row r="768" spans="8:10">
      <c r="H768" s="156"/>
      <c r="I768" s="156"/>
      <c r="J768" s="156"/>
    </row>
    <row r="769" spans="8:10">
      <c r="H769" s="156"/>
      <c r="I769" s="156"/>
      <c r="J769" s="156"/>
    </row>
    <row r="770" spans="8:10">
      <c r="H770" s="156"/>
      <c r="I770" s="156"/>
      <c r="J770" s="156"/>
    </row>
    <row r="771" spans="8:10">
      <c r="H771" s="156"/>
      <c r="I771" s="156"/>
      <c r="J771" s="156"/>
    </row>
    <row r="772" spans="8:10">
      <c r="H772" s="156"/>
      <c r="I772" s="156"/>
      <c r="J772" s="156"/>
    </row>
    <row r="773" spans="8:10">
      <c r="H773" s="156"/>
      <c r="I773" s="156"/>
      <c r="J773" s="156"/>
    </row>
    <row r="774" spans="8:10">
      <c r="H774" s="156"/>
      <c r="I774" s="156"/>
      <c r="J774" s="156"/>
    </row>
    <row r="775" spans="8:10">
      <c r="H775" s="156"/>
      <c r="I775" s="156"/>
      <c r="J775" s="156"/>
    </row>
    <row r="776" spans="8:10">
      <c r="H776" s="156"/>
      <c r="I776" s="156"/>
      <c r="J776" s="156"/>
    </row>
    <row r="777" spans="8:10">
      <c r="H777" s="156"/>
      <c r="I777" s="156"/>
      <c r="J777" s="156"/>
    </row>
    <row r="778" spans="8:10">
      <c r="H778" s="156"/>
      <c r="I778" s="156"/>
      <c r="J778" s="156"/>
    </row>
    <row r="779" spans="8:10">
      <c r="H779" s="156"/>
      <c r="I779" s="156"/>
      <c r="J779" s="156"/>
    </row>
    <row r="780" spans="8:10">
      <c r="H780" s="156"/>
      <c r="I780" s="156"/>
      <c r="J780" s="156"/>
    </row>
    <row r="781" spans="8:10">
      <c r="H781" s="156"/>
      <c r="I781" s="156"/>
      <c r="J781" s="156"/>
    </row>
    <row r="782" spans="8:10">
      <c r="H782" s="156"/>
      <c r="I782" s="156"/>
      <c r="J782" s="156"/>
    </row>
    <row r="783" spans="8:10">
      <c r="H783" s="156"/>
      <c r="I783" s="156"/>
      <c r="J783" s="156"/>
    </row>
    <row r="784" spans="8:10">
      <c r="H784" s="156"/>
      <c r="I784" s="156"/>
      <c r="J784" s="156"/>
    </row>
    <row r="785" spans="8:10">
      <c r="H785" s="156"/>
      <c r="I785" s="156"/>
      <c r="J785" s="156"/>
    </row>
    <row r="786" spans="8:10">
      <c r="H786" s="156"/>
      <c r="I786" s="156"/>
      <c r="J786" s="156"/>
    </row>
    <row r="787" spans="8:10">
      <c r="H787" s="156"/>
      <c r="I787" s="156"/>
      <c r="J787" s="156"/>
    </row>
    <row r="788" spans="8:10">
      <c r="H788" s="156"/>
      <c r="I788" s="156"/>
      <c r="J788" s="156"/>
    </row>
    <row r="789" spans="8:10">
      <c r="H789" s="156"/>
      <c r="I789" s="156"/>
      <c r="J789" s="156"/>
    </row>
    <row r="790" spans="8:10">
      <c r="H790" s="156"/>
      <c r="I790" s="156"/>
      <c r="J790" s="156"/>
    </row>
    <row r="791" spans="8:10">
      <c r="H791" s="156"/>
      <c r="I791" s="156"/>
      <c r="J791" s="156"/>
    </row>
    <row r="792" spans="8:10">
      <c r="H792" s="156"/>
      <c r="I792" s="156"/>
      <c r="J792" s="156"/>
    </row>
    <row r="793" spans="8:10">
      <c r="H793" s="156"/>
      <c r="I793" s="156"/>
      <c r="J793" s="156"/>
    </row>
    <row r="794" spans="8:10">
      <c r="H794" s="156"/>
      <c r="I794" s="156"/>
      <c r="J794" s="156"/>
    </row>
    <row r="795" spans="8:10">
      <c r="H795" s="156"/>
      <c r="I795" s="156"/>
      <c r="J795" s="156"/>
    </row>
    <row r="796" spans="8:10">
      <c r="H796" s="156"/>
      <c r="I796" s="156"/>
      <c r="J796" s="156"/>
    </row>
    <row r="797" spans="8:10">
      <c r="H797" s="156"/>
      <c r="I797" s="156"/>
      <c r="J797" s="156"/>
    </row>
    <row r="798" spans="8:10">
      <c r="H798" s="156"/>
      <c r="I798" s="156"/>
      <c r="J798" s="156"/>
    </row>
    <row r="799" spans="8:10">
      <c r="H799" s="156"/>
      <c r="I799" s="156"/>
      <c r="J799" s="156"/>
    </row>
    <row r="800" spans="8:10">
      <c r="H800" s="156"/>
      <c r="I800" s="156"/>
      <c r="J800" s="156"/>
    </row>
    <row r="801" spans="8:10">
      <c r="H801" s="156"/>
      <c r="I801" s="156"/>
      <c r="J801" s="156"/>
    </row>
    <row r="802" spans="8:10">
      <c r="H802" s="156"/>
      <c r="I802" s="156"/>
      <c r="J802" s="156"/>
    </row>
    <row r="803" spans="8:10">
      <c r="H803" s="156"/>
      <c r="I803" s="156"/>
      <c r="J803" s="156"/>
    </row>
    <row r="804" spans="8:10">
      <c r="H804" s="156"/>
      <c r="I804" s="156"/>
      <c r="J804" s="156"/>
    </row>
    <row r="805" spans="8:10">
      <c r="H805" s="156"/>
      <c r="I805" s="156"/>
      <c r="J805" s="156"/>
    </row>
    <row r="806" spans="8:10">
      <c r="H806" s="156"/>
      <c r="I806" s="156"/>
      <c r="J806" s="156"/>
    </row>
    <row r="807" spans="8:10">
      <c r="H807" s="156"/>
      <c r="I807" s="156"/>
      <c r="J807" s="156"/>
    </row>
    <row r="808" spans="8:10">
      <c r="H808" s="156"/>
      <c r="I808" s="156"/>
      <c r="J808" s="156"/>
    </row>
    <row r="809" spans="8:10">
      <c r="H809" s="156"/>
      <c r="I809" s="156"/>
      <c r="J809" s="156"/>
    </row>
    <row r="810" spans="8:10">
      <c r="H810" s="156"/>
      <c r="I810" s="156"/>
      <c r="J810" s="156"/>
    </row>
    <row r="811" spans="8:10">
      <c r="H811" s="156"/>
      <c r="I811" s="156"/>
      <c r="J811" s="156"/>
    </row>
    <row r="812" spans="8:10">
      <c r="H812" s="156"/>
      <c r="I812" s="156"/>
      <c r="J812" s="156"/>
    </row>
    <row r="813" spans="8:10">
      <c r="H813" s="156"/>
      <c r="I813" s="156"/>
      <c r="J813" s="156"/>
    </row>
    <row r="814" spans="8:10">
      <c r="H814" s="156"/>
      <c r="I814" s="156"/>
      <c r="J814" s="156"/>
    </row>
    <row r="815" spans="8:10">
      <c r="H815" s="156"/>
      <c r="I815" s="156"/>
      <c r="J815" s="156"/>
    </row>
    <row r="816" spans="8:10">
      <c r="H816" s="156"/>
      <c r="I816" s="156"/>
      <c r="J816" s="156"/>
    </row>
    <row r="817" spans="8:10">
      <c r="H817" s="156"/>
      <c r="I817" s="156"/>
      <c r="J817" s="156"/>
    </row>
    <row r="818" spans="8:10">
      <c r="H818" s="156"/>
      <c r="I818" s="156"/>
      <c r="J818" s="156"/>
    </row>
    <row r="819" spans="8:10">
      <c r="H819" s="156"/>
      <c r="I819" s="156"/>
      <c r="J819" s="156"/>
    </row>
    <row r="820" spans="8:10">
      <c r="H820" s="156"/>
      <c r="I820" s="156"/>
      <c r="J820" s="156"/>
    </row>
    <row r="821" spans="8:10">
      <c r="H821" s="156"/>
      <c r="I821" s="156"/>
      <c r="J821" s="156"/>
    </row>
    <row r="822" spans="8:10">
      <c r="H822" s="156"/>
      <c r="I822" s="156"/>
      <c r="J822" s="156"/>
    </row>
    <row r="823" spans="8:10">
      <c r="H823" s="156"/>
      <c r="I823" s="156"/>
      <c r="J823" s="156"/>
    </row>
    <row r="824" spans="8:10">
      <c r="H824" s="156"/>
      <c r="I824" s="156"/>
      <c r="J824" s="156"/>
    </row>
    <row r="825" spans="8:10">
      <c r="H825" s="156"/>
      <c r="I825" s="156"/>
      <c r="J825" s="156"/>
    </row>
    <row r="826" spans="8:10">
      <c r="H826" s="156"/>
      <c r="I826" s="156"/>
      <c r="J826" s="156"/>
    </row>
    <row r="827" spans="8:10">
      <c r="H827" s="156"/>
      <c r="I827" s="156"/>
      <c r="J827" s="156"/>
    </row>
    <row r="828" spans="8:10">
      <c r="H828" s="156"/>
      <c r="I828" s="156"/>
      <c r="J828" s="156"/>
    </row>
    <row r="829" spans="8:10">
      <c r="H829" s="156"/>
      <c r="I829" s="156"/>
      <c r="J829" s="156"/>
    </row>
    <row r="830" spans="8:10">
      <c r="H830" s="156"/>
      <c r="I830" s="156"/>
      <c r="J830" s="156"/>
    </row>
    <row r="831" spans="8:10">
      <c r="H831" s="156"/>
      <c r="I831" s="156"/>
      <c r="J831" s="156"/>
    </row>
    <row r="832" spans="8:10">
      <c r="H832" s="156"/>
      <c r="I832" s="156"/>
      <c r="J832" s="156"/>
    </row>
    <row r="833" spans="8:10">
      <c r="H833" s="156"/>
      <c r="I833" s="156"/>
      <c r="J833" s="156"/>
    </row>
    <row r="834" spans="8:10">
      <c r="H834" s="156"/>
      <c r="I834" s="156"/>
      <c r="J834" s="156"/>
    </row>
    <row r="835" spans="8:10">
      <c r="H835" s="156"/>
      <c r="I835" s="156"/>
      <c r="J835" s="156"/>
    </row>
    <row r="836" spans="8:10">
      <c r="H836" s="156"/>
      <c r="I836" s="156"/>
      <c r="J836" s="156"/>
    </row>
    <row r="837" spans="8:10">
      <c r="H837" s="156"/>
      <c r="I837" s="156"/>
      <c r="J837" s="156"/>
    </row>
    <row r="838" spans="8:10">
      <c r="H838" s="156"/>
      <c r="I838" s="156"/>
      <c r="J838" s="156"/>
    </row>
    <row r="839" spans="8:10">
      <c r="H839" s="156"/>
      <c r="I839" s="156"/>
      <c r="J839" s="156"/>
    </row>
    <row r="840" spans="8:10">
      <c r="H840" s="156"/>
      <c r="I840" s="156"/>
      <c r="J840" s="156"/>
    </row>
    <row r="841" spans="8:10">
      <c r="H841" s="156"/>
      <c r="I841" s="156"/>
      <c r="J841" s="156"/>
    </row>
    <row r="842" spans="8:10">
      <c r="H842" s="156"/>
      <c r="I842" s="156"/>
      <c r="J842" s="156"/>
    </row>
    <row r="843" spans="8:10">
      <c r="H843" s="156"/>
      <c r="I843" s="156"/>
      <c r="J843" s="156"/>
    </row>
    <row r="844" spans="8:10">
      <c r="H844" s="156"/>
      <c r="I844" s="156"/>
      <c r="J844" s="156"/>
    </row>
    <row r="845" spans="8:10">
      <c r="H845" s="156"/>
      <c r="I845" s="156"/>
      <c r="J845" s="156"/>
    </row>
    <row r="846" spans="8:10">
      <c r="H846" s="156"/>
      <c r="I846" s="156"/>
      <c r="J846" s="156"/>
    </row>
    <row r="847" spans="8:10">
      <c r="H847" s="156"/>
      <c r="I847" s="156"/>
      <c r="J847" s="156"/>
    </row>
    <row r="848" spans="8:10">
      <c r="H848" s="156"/>
      <c r="I848" s="156"/>
      <c r="J848" s="156"/>
    </row>
    <row r="849" spans="8:10">
      <c r="H849" s="156"/>
      <c r="I849" s="156"/>
      <c r="J849" s="156"/>
    </row>
    <row r="850" spans="8:10">
      <c r="H850" s="156"/>
      <c r="I850" s="156"/>
      <c r="J850" s="156"/>
    </row>
    <row r="851" spans="8:10">
      <c r="H851" s="156"/>
      <c r="I851" s="156"/>
      <c r="J851" s="156"/>
    </row>
    <row r="852" spans="8:10">
      <c r="H852" s="156"/>
      <c r="I852" s="156"/>
      <c r="J852" s="156"/>
    </row>
    <row r="853" spans="8:10">
      <c r="H853" s="156"/>
      <c r="I853" s="156"/>
      <c r="J853" s="156"/>
    </row>
    <row r="854" spans="8:10">
      <c r="H854" s="156"/>
      <c r="I854" s="156"/>
      <c r="J854" s="156"/>
    </row>
    <row r="855" spans="8:10">
      <c r="H855" s="156"/>
      <c r="I855" s="156"/>
      <c r="J855" s="156"/>
    </row>
    <row r="856" spans="8:10">
      <c r="H856" s="156"/>
      <c r="I856" s="156"/>
      <c r="J856" s="156"/>
    </row>
    <row r="857" spans="8:10">
      <c r="H857" s="156"/>
      <c r="I857" s="156"/>
      <c r="J857" s="156"/>
    </row>
    <row r="858" spans="8:10">
      <c r="H858" s="156"/>
      <c r="I858" s="156"/>
      <c r="J858" s="156"/>
    </row>
    <row r="859" spans="8:10">
      <c r="H859" s="156"/>
      <c r="I859" s="156"/>
      <c r="J859" s="156"/>
    </row>
    <row r="860" spans="8:10">
      <c r="H860" s="156"/>
      <c r="I860" s="156"/>
      <c r="J860" s="156"/>
    </row>
    <row r="861" spans="8:10">
      <c r="H861" s="156"/>
      <c r="I861" s="156"/>
      <c r="J861" s="156"/>
    </row>
    <row r="862" spans="8:10">
      <c r="H862" s="156"/>
      <c r="I862" s="156"/>
      <c r="J862" s="156"/>
    </row>
    <row r="863" spans="8:10">
      <c r="H863" s="156"/>
      <c r="I863" s="156"/>
      <c r="J863" s="156"/>
    </row>
    <row r="864" spans="8:10">
      <c r="H864" s="156"/>
      <c r="I864" s="156"/>
      <c r="J864" s="156"/>
    </row>
    <row r="865" spans="8:10">
      <c r="H865" s="156"/>
      <c r="I865" s="156"/>
      <c r="J865" s="156"/>
    </row>
    <row r="866" spans="8:10">
      <c r="H866" s="156"/>
      <c r="I866" s="156"/>
      <c r="J866" s="156"/>
    </row>
    <row r="867" spans="8:10">
      <c r="H867" s="156"/>
      <c r="I867" s="156"/>
      <c r="J867" s="156"/>
    </row>
    <row r="868" spans="8:10">
      <c r="H868" s="156"/>
      <c r="I868" s="156"/>
      <c r="J868" s="156"/>
    </row>
    <row r="869" spans="8:10">
      <c r="H869" s="156"/>
      <c r="I869" s="156"/>
      <c r="J869" s="156"/>
    </row>
    <row r="870" spans="8:10">
      <c r="H870" s="156"/>
      <c r="I870" s="156"/>
      <c r="J870" s="156"/>
    </row>
    <row r="871" spans="8:10">
      <c r="H871" s="156"/>
      <c r="I871" s="156"/>
      <c r="J871" s="156"/>
    </row>
    <row r="872" spans="8:10">
      <c r="H872" s="156"/>
      <c r="I872" s="156"/>
      <c r="J872" s="156"/>
    </row>
    <row r="873" spans="8:10">
      <c r="H873" s="156"/>
      <c r="I873" s="156"/>
      <c r="J873" s="156"/>
    </row>
    <row r="874" spans="8:10">
      <c r="H874" s="156"/>
      <c r="I874" s="156"/>
      <c r="J874" s="156"/>
    </row>
    <row r="875" spans="8:10">
      <c r="H875" s="156"/>
      <c r="I875" s="156"/>
      <c r="J875" s="156"/>
    </row>
    <row r="876" spans="8:10">
      <c r="H876" s="156"/>
      <c r="I876" s="156"/>
      <c r="J876" s="156"/>
    </row>
    <row r="877" spans="8:10">
      <c r="H877" s="156"/>
      <c r="I877" s="156"/>
      <c r="J877" s="156"/>
    </row>
    <row r="878" spans="8:10">
      <c r="H878" s="156"/>
      <c r="I878" s="156"/>
      <c r="J878" s="156"/>
    </row>
    <row r="879" spans="8:10">
      <c r="H879" s="156"/>
      <c r="I879" s="156"/>
      <c r="J879" s="156"/>
    </row>
    <row r="880" spans="8:10">
      <c r="H880" s="156"/>
      <c r="I880" s="156"/>
      <c r="J880" s="156"/>
    </row>
    <row r="881" spans="8:10">
      <c r="H881" s="156"/>
      <c r="I881" s="156"/>
      <c r="J881" s="156"/>
    </row>
    <row r="882" spans="8:10">
      <c r="H882" s="156"/>
      <c r="I882" s="156"/>
      <c r="J882" s="156"/>
    </row>
    <row r="883" spans="8:10">
      <c r="H883" s="156"/>
      <c r="I883" s="156"/>
      <c r="J883" s="156"/>
    </row>
    <row r="884" spans="8:10">
      <c r="H884" s="156"/>
      <c r="I884" s="156"/>
      <c r="J884" s="156"/>
    </row>
    <row r="885" spans="8:10">
      <c r="H885" s="156"/>
      <c r="I885" s="156"/>
      <c r="J885" s="156"/>
    </row>
    <row r="886" spans="8:10">
      <c r="H886" s="156"/>
      <c r="I886" s="156"/>
      <c r="J886" s="156"/>
    </row>
    <row r="887" spans="8:10">
      <c r="H887" s="156"/>
      <c r="I887" s="156"/>
      <c r="J887" s="156"/>
    </row>
    <row r="888" spans="8:10">
      <c r="H888" s="156"/>
      <c r="I888" s="156"/>
      <c r="J888" s="156"/>
    </row>
    <row r="889" spans="8:10">
      <c r="H889" s="156"/>
      <c r="I889" s="156"/>
      <c r="J889" s="156"/>
    </row>
    <row r="890" spans="8:10">
      <c r="H890" s="156"/>
      <c r="I890" s="156"/>
      <c r="J890" s="156"/>
    </row>
    <row r="891" spans="8:10">
      <c r="H891" s="156"/>
      <c r="I891" s="156"/>
      <c r="J891" s="156"/>
    </row>
    <row r="892" spans="8:10">
      <c r="H892" s="156"/>
      <c r="I892" s="156"/>
      <c r="J892" s="156"/>
    </row>
    <row r="893" spans="8:10">
      <c r="H893" s="156"/>
      <c r="I893" s="156"/>
      <c r="J893" s="156"/>
    </row>
    <row r="894" spans="8:10">
      <c r="H894" s="156"/>
      <c r="I894" s="156"/>
      <c r="J894" s="156"/>
    </row>
    <row r="895" spans="8:10">
      <c r="H895" s="156"/>
      <c r="I895" s="156"/>
      <c r="J895" s="156"/>
    </row>
    <row r="896" spans="8:10">
      <c r="H896" s="156"/>
      <c r="I896" s="156"/>
      <c r="J896" s="156"/>
    </row>
    <row r="897" spans="8:10">
      <c r="H897" s="156"/>
      <c r="I897" s="156"/>
      <c r="J897" s="156"/>
    </row>
    <row r="898" spans="8:10">
      <c r="H898" s="156"/>
      <c r="I898" s="156"/>
      <c r="J898" s="156"/>
    </row>
    <row r="899" spans="8:10">
      <c r="H899" s="156"/>
      <c r="I899" s="156"/>
      <c r="J899" s="156"/>
    </row>
    <row r="900" spans="8:10">
      <c r="H900" s="156"/>
      <c r="I900" s="156"/>
      <c r="J900" s="156"/>
    </row>
    <row r="901" spans="8:10">
      <c r="H901" s="156"/>
      <c r="I901" s="156"/>
      <c r="J901" s="156"/>
    </row>
    <row r="902" spans="8:10">
      <c r="H902" s="156"/>
      <c r="I902" s="156"/>
      <c r="J902" s="156"/>
    </row>
    <row r="903" spans="8:10">
      <c r="H903" s="156"/>
      <c r="I903" s="156"/>
      <c r="J903" s="156"/>
    </row>
    <row r="904" spans="8:10">
      <c r="H904" s="156"/>
      <c r="I904" s="156"/>
      <c r="J904" s="156"/>
    </row>
    <row r="905" spans="8:10">
      <c r="H905" s="156"/>
      <c r="I905" s="156"/>
      <c r="J905" s="156"/>
    </row>
    <row r="906" spans="8:10">
      <c r="H906" s="156"/>
      <c r="I906" s="156"/>
      <c r="J906" s="156"/>
    </row>
    <row r="907" spans="8:10">
      <c r="H907" s="156"/>
      <c r="I907" s="156"/>
      <c r="J907" s="156"/>
    </row>
    <row r="908" spans="8:10">
      <c r="H908" s="156"/>
      <c r="I908" s="156"/>
      <c r="J908" s="156"/>
    </row>
    <row r="909" spans="8:10">
      <c r="H909" s="156"/>
      <c r="I909" s="156"/>
      <c r="J909" s="156"/>
    </row>
    <row r="910" spans="8:10">
      <c r="H910" s="156"/>
      <c r="I910" s="156"/>
      <c r="J910" s="156"/>
    </row>
    <row r="911" spans="8:10">
      <c r="H911" s="156"/>
      <c r="I911" s="156"/>
      <c r="J911" s="156"/>
    </row>
    <row r="912" spans="8:10">
      <c r="H912" s="156"/>
      <c r="I912" s="156"/>
      <c r="J912" s="156"/>
    </row>
    <row r="913" spans="8:10">
      <c r="H913" s="156"/>
      <c r="I913" s="156"/>
      <c r="J913" s="156"/>
    </row>
    <row r="914" spans="8:10">
      <c r="H914" s="156"/>
      <c r="I914" s="156"/>
      <c r="J914" s="156"/>
    </row>
    <row r="915" spans="8:10">
      <c r="H915" s="156"/>
      <c r="I915" s="156"/>
      <c r="J915" s="156"/>
    </row>
    <row r="916" spans="8:10">
      <c r="H916" s="156"/>
      <c r="I916" s="156"/>
      <c r="J916" s="156"/>
    </row>
    <row r="917" spans="8:10">
      <c r="H917" s="156"/>
      <c r="I917" s="156"/>
      <c r="J917" s="156"/>
    </row>
    <row r="918" spans="8:10">
      <c r="H918" s="156"/>
      <c r="I918" s="156"/>
      <c r="J918" s="156"/>
    </row>
    <row r="919" spans="8:10">
      <c r="H919" s="156"/>
      <c r="I919" s="156"/>
      <c r="J919" s="156"/>
    </row>
    <row r="920" spans="8:10">
      <c r="H920" s="156"/>
      <c r="I920" s="156"/>
      <c r="J920" s="156"/>
    </row>
    <row r="921" spans="8:10">
      <c r="H921" s="156"/>
      <c r="I921" s="156"/>
      <c r="J921" s="156"/>
    </row>
    <row r="922" spans="8:10">
      <c r="H922" s="156"/>
      <c r="I922" s="156"/>
      <c r="J922" s="156"/>
    </row>
    <row r="923" spans="8:10">
      <c r="H923" s="156"/>
      <c r="I923" s="156"/>
      <c r="J923" s="156"/>
    </row>
    <row r="924" spans="8:10">
      <c r="H924" s="156"/>
      <c r="I924" s="156"/>
      <c r="J924" s="156"/>
    </row>
    <row r="925" spans="8:10">
      <c r="H925" s="156"/>
      <c r="I925" s="156"/>
      <c r="J925" s="156"/>
    </row>
    <row r="926" spans="8:10">
      <c r="H926" s="156"/>
      <c r="I926" s="156"/>
      <c r="J926" s="156"/>
    </row>
    <row r="927" spans="8:10">
      <c r="H927" s="156"/>
      <c r="I927" s="156"/>
      <c r="J927" s="156"/>
    </row>
    <row r="928" spans="8:10">
      <c r="H928" s="156"/>
      <c r="I928" s="156"/>
      <c r="J928" s="156"/>
    </row>
    <row r="929" spans="8:10">
      <c r="H929" s="156"/>
      <c r="I929" s="156"/>
      <c r="J929" s="156"/>
    </row>
    <row r="930" spans="8:10">
      <c r="H930" s="156"/>
      <c r="I930" s="156"/>
      <c r="J930" s="156"/>
    </row>
    <row r="931" spans="8:10">
      <c r="H931" s="156"/>
      <c r="I931" s="156"/>
      <c r="J931" s="156"/>
    </row>
    <row r="932" spans="8:10">
      <c r="H932" s="156"/>
      <c r="I932" s="156"/>
      <c r="J932" s="156"/>
    </row>
    <row r="933" spans="8:10">
      <c r="H933" s="156"/>
      <c r="I933" s="156"/>
      <c r="J933" s="156"/>
    </row>
    <row r="934" spans="8:10">
      <c r="H934" s="156"/>
      <c r="I934" s="156"/>
      <c r="J934" s="156"/>
    </row>
    <row r="935" spans="8:10">
      <c r="H935" s="156"/>
      <c r="I935" s="156"/>
      <c r="J935" s="156"/>
    </row>
    <row r="936" spans="8:10">
      <c r="H936" s="156"/>
      <c r="I936" s="156"/>
      <c r="J936" s="156"/>
    </row>
    <row r="937" spans="8:10">
      <c r="H937" s="156"/>
      <c r="I937" s="156"/>
      <c r="J937" s="156"/>
    </row>
    <row r="938" spans="8:10">
      <c r="H938" s="156"/>
      <c r="I938" s="156"/>
      <c r="J938" s="156"/>
    </row>
    <row r="939" spans="8:10">
      <c r="H939" s="156"/>
      <c r="I939" s="156"/>
      <c r="J939" s="156"/>
    </row>
    <row r="940" spans="8:10">
      <c r="H940" s="156"/>
      <c r="I940" s="156"/>
      <c r="J940" s="156"/>
    </row>
    <row r="941" spans="8:10">
      <c r="H941" s="156"/>
      <c r="I941" s="156"/>
      <c r="J941" s="156"/>
    </row>
    <row r="942" spans="8:10">
      <c r="H942" s="156"/>
      <c r="I942" s="156"/>
      <c r="J942" s="156"/>
    </row>
    <row r="943" spans="8:10">
      <c r="H943" s="156"/>
      <c r="I943" s="156"/>
      <c r="J943" s="156"/>
    </row>
    <row r="944" spans="8:10">
      <c r="H944" s="156"/>
      <c r="I944" s="156"/>
      <c r="J944" s="156"/>
    </row>
    <row r="945" spans="8:10">
      <c r="H945" s="156"/>
      <c r="I945" s="156"/>
      <c r="J945" s="156"/>
    </row>
    <row r="946" spans="8:10">
      <c r="H946" s="156"/>
      <c r="I946" s="156"/>
      <c r="J946" s="156"/>
    </row>
    <row r="947" spans="8:10">
      <c r="H947" s="156"/>
      <c r="I947" s="156"/>
      <c r="J947" s="156"/>
    </row>
    <row r="948" spans="8:10">
      <c r="H948" s="156"/>
      <c r="I948" s="156"/>
      <c r="J948" s="156"/>
    </row>
    <row r="949" spans="8:10">
      <c r="H949" s="156"/>
      <c r="I949" s="156"/>
      <c r="J949" s="156"/>
    </row>
    <row r="950" spans="8:10">
      <c r="H950" s="156"/>
      <c r="I950" s="156"/>
      <c r="J950" s="156"/>
    </row>
    <row r="951" spans="8:10">
      <c r="H951" s="156"/>
      <c r="I951" s="156"/>
      <c r="J951" s="156"/>
    </row>
    <row r="952" spans="8:10">
      <c r="H952" s="156"/>
      <c r="I952" s="156"/>
      <c r="J952" s="156"/>
    </row>
    <row r="953" spans="8:10">
      <c r="H953" s="156"/>
      <c r="I953" s="156"/>
      <c r="J953" s="156"/>
    </row>
    <row r="954" spans="8:10">
      <c r="H954" s="156"/>
      <c r="I954" s="156"/>
      <c r="J954" s="156"/>
    </row>
    <row r="955" spans="8:10">
      <c r="H955" s="156"/>
      <c r="I955" s="156"/>
      <c r="J955" s="156"/>
    </row>
    <row r="956" spans="8:10">
      <c r="H956" s="156"/>
      <c r="I956" s="156"/>
      <c r="J956" s="156"/>
    </row>
    <row r="957" spans="8:10">
      <c r="H957" s="156"/>
      <c r="I957" s="156"/>
      <c r="J957" s="156"/>
    </row>
    <row r="958" spans="8:10">
      <c r="H958" s="156"/>
      <c r="I958" s="156"/>
      <c r="J958" s="156"/>
    </row>
    <row r="959" spans="8:10">
      <c r="H959" s="156"/>
      <c r="I959" s="156"/>
      <c r="J959" s="156"/>
    </row>
    <row r="960" spans="8:10">
      <c r="H960" s="156"/>
      <c r="I960" s="156"/>
      <c r="J960" s="156"/>
    </row>
    <row r="961" spans="8:10">
      <c r="H961" s="156"/>
      <c r="I961" s="156"/>
      <c r="J961" s="156"/>
    </row>
    <row r="962" spans="8:10">
      <c r="H962" s="156"/>
      <c r="I962" s="156"/>
      <c r="J962" s="156"/>
    </row>
    <row r="963" spans="8:10">
      <c r="H963" s="156"/>
      <c r="I963" s="156"/>
      <c r="J963" s="156"/>
    </row>
    <row r="964" spans="8:10">
      <c r="H964" s="156"/>
      <c r="I964" s="156"/>
      <c r="J964" s="156"/>
    </row>
    <row r="965" spans="8:10">
      <c r="H965" s="156"/>
      <c r="I965" s="156"/>
      <c r="J965" s="156"/>
    </row>
    <row r="966" spans="8:10">
      <c r="H966" s="156"/>
      <c r="I966" s="156"/>
      <c r="J966" s="156"/>
    </row>
    <row r="967" spans="8:10">
      <c r="H967" s="156"/>
      <c r="I967" s="156"/>
      <c r="J967" s="156"/>
    </row>
    <row r="968" spans="8:10">
      <c r="H968" s="156"/>
      <c r="I968" s="156"/>
      <c r="J968" s="156"/>
    </row>
    <row r="969" spans="8:10">
      <c r="H969" s="156"/>
      <c r="I969" s="156"/>
      <c r="J969" s="156"/>
    </row>
    <row r="970" spans="8:10">
      <c r="H970" s="156"/>
      <c r="I970" s="156"/>
      <c r="J970" s="156"/>
    </row>
    <row r="971" spans="8:10">
      <c r="H971" s="156"/>
      <c r="I971" s="156"/>
      <c r="J971" s="156"/>
    </row>
    <row r="972" spans="8:10">
      <c r="H972" s="156"/>
      <c r="I972" s="156"/>
      <c r="J972" s="156"/>
    </row>
    <row r="973" spans="8:10">
      <c r="H973" s="156"/>
      <c r="I973" s="156"/>
      <c r="J973" s="156"/>
    </row>
    <row r="974" spans="8:10">
      <c r="H974" s="156"/>
      <c r="I974" s="156"/>
      <c r="J974" s="156"/>
    </row>
    <row r="975" spans="8:10">
      <c r="H975" s="156"/>
      <c r="I975" s="156"/>
      <c r="J975" s="156"/>
    </row>
    <row r="976" spans="8:10">
      <c r="H976" s="156"/>
      <c r="I976" s="156"/>
      <c r="J976" s="156"/>
    </row>
    <row r="977" spans="8:10">
      <c r="H977" s="156"/>
      <c r="I977" s="156"/>
      <c r="J977" s="156"/>
    </row>
    <row r="978" spans="8:10">
      <c r="H978" s="156"/>
      <c r="I978" s="156"/>
      <c r="J978" s="156"/>
    </row>
    <row r="979" spans="8:10">
      <c r="H979" s="156"/>
      <c r="I979" s="156"/>
      <c r="J979" s="156"/>
    </row>
    <row r="980" spans="8:10">
      <c r="H980" s="156"/>
      <c r="I980" s="156"/>
      <c r="J980" s="156"/>
    </row>
    <row r="981" spans="8:10">
      <c r="H981" s="156"/>
      <c r="I981" s="156"/>
      <c r="J981" s="156"/>
    </row>
    <row r="982" spans="8:10">
      <c r="H982" s="156"/>
      <c r="I982" s="156"/>
      <c r="J982" s="156"/>
    </row>
    <row r="983" spans="8:10">
      <c r="H983" s="156"/>
      <c r="I983" s="156"/>
      <c r="J983" s="156"/>
    </row>
    <row r="984" spans="8:10">
      <c r="H984" s="156"/>
      <c r="I984" s="156"/>
      <c r="J984" s="156"/>
    </row>
    <row r="985" spans="8:10">
      <c r="H985" s="156"/>
      <c r="I985" s="156"/>
      <c r="J985" s="156"/>
    </row>
    <row r="986" spans="8:10">
      <c r="H986" s="156"/>
      <c r="I986" s="156"/>
      <c r="J986" s="156"/>
    </row>
    <row r="987" spans="8:10">
      <c r="H987" s="156"/>
      <c r="I987" s="156"/>
      <c r="J987" s="156"/>
    </row>
    <row r="988" spans="8:10">
      <c r="H988" s="156"/>
      <c r="I988" s="156"/>
      <c r="J988" s="156"/>
    </row>
    <row r="989" spans="8:10">
      <c r="H989" s="156"/>
      <c r="I989" s="156"/>
      <c r="J989" s="156"/>
    </row>
    <row r="990" spans="8:10">
      <c r="H990" s="156"/>
      <c r="I990" s="156"/>
      <c r="J990" s="156"/>
    </row>
    <row r="991" spans="8:10">
      <c r="H991" s="156"/>
      <c r="I991" s="156"/>
      <c r="J991" s="156"/>
    </row>
    <row r="992" spans="8:10">
      <c r="H992" s="156"/>
      <c r="I992" s="156"/>
      <c r="J992" s="156"/>
    </row>
    <row r="993" spans="8:10">
      <c r="H993" s="156"/>
      <c r="I993" s="156"/>
      <c r="J993" s="156"/>
    </row>
    <row r="994" spans="8:10">
      <c r="H994" s="156"/>
      <c r="I994" s="156"/>
      <c r="J994" s="156"/>
    </row>
    <row r="995" spans="8:10">
      <c r="H995" s="156"/>
      <c r="I995" s="156"/>
      <c r="J995" s="156"/>
    </row>
    <row r="996" spans="8:10">
      <c r="H996" s="156"/>
      <c r="I996" s="156"/>
      <c r="J996" s="156"/>
    </row>
    <row r="997" spans="8:10">
      <c r="H997" s="156"/>
      <c r="I997" s="156"/>
      <c r="J997" s="156"/>
    </row>
    <row r="998" spans="8:10">
      <c r="H998" s="156"/>
      <c r="I998" s="156"/>
      <c r="J998" s="156"/>
    </row>
    <row r="999" spans="8:10">
      <c r="H999" s="156"/>
      <c r="I999" s="156"/>
      <c r="J999" s="156"/>
    </row>
    <row r="1000" spans="8:10">
      <c r="H1000" s="156"/>
      <c r="I1000" s="156"/>
      <c r="J1000" s="156"/>
    </row>
    <row r="1001" spans="8:10">
      <c r="H1001" s="156"/>
      <c r="I1001" s="156"/>
      <c r="J1001" s="156"/>
    </row>
    <row r="1002" spans="8:10">
      <c r="H1002" s="156"/>
      <c r="I1002" s="156"/>
      <c r="J1002" s="156"/>
    </row>
    <row r="1003" spans="8:10">
      <c r="H1003" s="156"/>
      <c r="I1003" s="156"/>
      <c r="J1003" s="156"/>
    </row>
    <row r="1004" spans="8:10">
      <c r="H1004" s="156"/>
      <c r="I1004" s="156"/>
      <c r="J1004" s="156"/>
    </row>
    <row r="1005" spans="8:10">
      <c r="H1005" s="156"/>
      <c r="I1005" s="156"/>
      <c r="J1005" s="156"/>
    </row>
    <row r="1006" spans="8:10">
      <c r="H1006" s="156"/>
      <c r="I1006" s="156"/>
      <c r="J1006" s="156"/>
    </row>
    <row r="1007" spans="8:10">
      <c r="H1007" s="156"/>
      <c r="I1007" s="156"/>
      <c r="J1007" s="156"/>
    </row>
    <row r="1008" spans="8:10">
      <c r="H1008" s="156"/>
      <c r="I1008" s="156"/>
      <c r="J1008" s="156"/>
    </row>
    <row r="1009" spans="8:10">
      <c r="H1009" s="156"/>
      <c r="I1009" s="156"/>
      <c r="J1009" s="156"/>
    </row>
    <row r="1010" spans="8:10">
      <c r="H1010" s="156"/>
      <c r="I1010" s="156"/>
      <c r="J1010" s="156"/>
    </row>
    <row r="1011" spans="8:10">
      <c r="H1011" s="156"/>
      <c r="I1011" s="156"/>
      <c r="J1011" s="156"/>
    </row>
    <row r="1012" spans="8:10">
      <c r="H1012" s="156"/>
      <c r="I1012" s="156"/>
      <c r="J1012" s="156"/>
    </row>
    <row r="1013" spans="8:10">
      <c r="H1013" s="156"/>
      <c r="I1013" s="156"/>
      <c r="J1013" s="156"/>
    </row>
    <row r="1014" spans="8:10">
      <c r="H1014" s="156"/>
      <c r="I1014" s="156"/>
      <c r="J1014" s="156"/>
    </row>
    <row r="1015" spans="8:10">
      <c r="H1015" s="156"/>
      <c r="I1015" s="156"/>
      <c r="J1015" s="156"/>
    </row>
    <row r="1016" spans="8:10">
      <c r="H1016" s="156"/>
      <c r="I1016" s="156"/>
      <c r="J1016" s="156"/>
    </row>
    <row r="1017" spans="8:10">
      <c r="H1017" s="156"/>
      <c r="I1017" s="156"/>
      <c r="J1017" s="156"/>
    </row>
    <row r="1018" spans="8:10">
      <c r="H1018" s="156"/>
      <c r="I1018" s="156"/>
      <c r="J1018" s="156"/>
    </row>
    <row r="1019" spans="8:10">
      <c r="H1019" s="156"/>
      <c r="I1019" s="156"/>
      <c r="J1019" s="156"/>
    </row>
    <row r="1020" spans="8:10">
      <c r="H1020" s="156"/>
      <c r="I1020" s="156"/>
      <c r="J1020" s="156"/>
    </row>
    <row r="1021" spans="8:10">
      <c r="H1021" s="156"/>
      <c r="I1021" s="156"/>
      <c r="J1021" s="156"/>
    </row>
    <row r="1022" spans="8:10">
      <c r="H1022" s="156"/>
      <c r="I1022" s="156"/>
      <c r="J1022" s="156"/>
    </row>
    <row r="1023" spans="8:10">
      <c r="H1023" s="156"/>
      <c r="I1023" s="156"/>
      <c r="J1023" s="156"/>
    </row>
    <row r="1024" spans="8:10">
      <c r="H1024" s="156"/>
      <c r="I1024" s="156"/>
      <c r="J1024" s="156"/>
    </row>
    <row r="1025" spans="8:10">
      <c r="H1025" s="156"/>
      <c r="I1025" s="156"/>
      <c r="J1025" s="156"/>
    </row>
    <row r="1026" spans="8:10">
      <c r="H1026" s="156"/>
      <c r="I1026" s="156"/>
      <c r="J1026" s="156"/>
    </row>
    <row r="1027" spans="8:10">
      <c r="H1027" s="156"/>
      <c r="I1027" s="156"/>
      <c r="J1027" s="156"/>
    </row>
    <row r="1028" spans="8:10">
      <c r="H1028" s="156"/>
      <c r="I1028" s="156"/>
      <c r="J1028" s="156"/>
    </row>
    <row r="1029" spans="8:10">
      <c r="H1029" s="156"/>
      <c r="I1029" s="156"/>
      <c r="J1029" s="156"/>
    </row>
    <row r="1030" spans="8:10">
      <c r="H1030" s="156"/>
      <c r="I1030" s="156"/>
      <c r="J1030" s="156"/>
    </row>
    <row r="1031" spans="8:10">
      <c r="H1031" s="156"/>
      <c r="I1031" s="156"/>
      <c r="J1031" s="156"/>
    </row>
    <row r="1032" spans="8:10">
      <c r="H1032" s="156"/>
      <c r="I1032" s="156"/>
      <c r="J1032" s="156"/>
    </row>
    <row r="1033" spans="8:10">
      <c r="H1033" s="156"/>
      <c r="I1033" s="156"/>
      <c r="J1033" s="156"/>
    </row>
    <row r="1034" spans="8:10">
      <c r="H1034" s="156"/>
      <c r="I1034" s="156"/>
      <c r="J1034" s="156"/>
    </row>
    <row r="1035" spans="8:10">
      <c r="H1035" s="156"/>
      <c r="I1035" s="156"/>
      <c r="J1035" s="156"/>
    </row>
    <row r="1036" spans="8:10">
      <c r="H1036" s="156"/>
      <c r="I1036" s="156"/>
      <c r="J1036" s="156"/>
    </row>
    <row r="1037" spans="8:10">
      <c r="H1037" s="156"/>
      <c r="I1037" s="156"/>
      <c r="J1037" s="156"/>
    </row>
    <row r="1038" spans="8:10">
      <c r="H1038" s="156"/>
      <c r="I1038" s="156"/>
      <c r="J1038" s="156"/>
    </row>
    <row r="1039" spans="8:10">
      <c r="H1039" s="156"/>
      <c r="I1039" s="156"/>
      <c r="J1039" s="156"/>
    </row>
    <row r="1040" spans="8:10">
      <c r="H1040" s="156"/>
      <c r="I1040" s="156"/>
      <c r="J1040" s="156"/>
    </row>
    <row r="1041" spans="8:10">
      <c r="H1041" s="156"/>
      <c r="I1041" s="156"/>
      <c r="J1041" s="156"/>
    </row>
    <row r="1042" spans="8:10">
      <c r="H1042" s="156"/>
      <c r="I1042" s="156"/>
      <c r="J1042" s="156"/>
    </row>
    <row r="1043" spans="8:10">
      <c r="H1043" s="156"/>
      <c r="I1043" s="156"/>
      <c r="J1043" s="156"/>
    </row>
    <row r="1044" spans="8:10">
      <c r="H1044" s="156"/>
      <c r="I1044" s="156"/>
      <c r="J1044" s="156"/>
    </row>
    <row r="1045" spans="8:10">
      <c r="H1045" s="156"/>
      <c r="I1045" s="156"/>
      <c r="J1045" s="156"/>
    </row>
    <row r="1046" spans="8:10">
      <c r="H1046" s="156"/>
      <c r="I1046" s="156"/>
      <c r="J1046" s="156"/>
    </row>
    <row r="1047" spans="8:10">
      <c r="H1047" s="156"/>
      <c r="I1047" s="156"/>
      <c r="J1047" s="156"/>
    </row>
    <row r="1048" spans="8:10">
      <c r="H1048" s="156"/>
      <c r="I1048" s="156"/>
      <c r="J1048" s="156"/>
    </row>
    <row r="1049" spans="8:10">
      <c r="H1049" s="156"/>
      <c r="I1049" s="156"/>
      <c r="J1049" s="156"/>
    </row>
    <row r="1050" spans="8:10">
      <c r="H1050" s="156"/>
      <c r="I1050" s="156"/>
      <c r="J1050" s="156"/>
    </row>
    <row r="1051" spans="8:10">
      <c r="H1051" s="156"/>
      <c r="I1051" s="156"/>
      <c r="J1051" s="156"/>
    </row>
    <row r="1052" spans="8:10">
      <c r="H1052" s="156"/>
      <c r="I1052" s="156"/>
      <c r="J1052" s="156"/>
    </row>
    <row r="1053" spans="8:10">
      <c r="H1053" s="156"/>
      <c r="I1053" s="156"/>
      <c r="J1053" s="156"/>
    </row>
    <row r="1054" spans="8:10">
      <c r="H1054" s="156"/>
      <c r="I1054" s="156"/>
      <c r="J1054" s="156"/>
    </row>
    <row r="1055" spans="8:10">
      <c r="H1055" s="156"/>
      <c r="I1055" s="156"/>
      <c r="J1055" s="156"/>
    </row>
    <row r="1056" spans="8:10">
      <c r="H1056" s="156"/>
      <c r="I1056" s="156"/>
      <c r="J1056" s="156"/>
    </row>
    <row r="1057" spans="8:10">
      <c r="H1057" s="156"/>
      <c r="I1057" s="156"/>
      <c r="J1057" s="156"/>
    </row>
    <row r="1058" spans="8:10">
      <c r="H1058" s="156"/>
      <c r="I1058" s="156"/>
      <c r="J1058" s="156"/>
    </row>
    <row r="1059" spans="8:10">
      <c r="H1059" s="156"/>
      <c r="I1059" s="156"/>
      <c r="J1059" s="156"/>
    </row>
    <row r="1060" spans="8:10">
      <c r="H1060" s="156"/>
      <c r="I1060" s="156"/>
      <c r="J1060" s="156"/>
    </row>
    <row r="1061" spans="8:10">
      <c r="H1061" s="156"/>
      <c r="I1061" s="156"/>
      <c r="J1061" s="156"/>
    </row>
    <row r="1062" spans="8:10">
      <c r="H1062" s="156"/>
      <c r="I1062" s="156"/>
      <c r="J1062" s="156"/>
    </row>
    <row r="1063" spans="8:10">
      <c r="H1063" s="156"/>
      <c r="I1063" s="156"/>
      <c r="J1063" s="156"/>
    </row>
    <row r="1064" spans="8:10">
      <c r="H1064" s="156"/>
      <c r="I1064" s="156"/>
      <c r="J1064" s="156"/>
    </row>
    <row r="1065" spans="8:10">
      <c r="H1065" s="156"/>
      <c r="I1065" s="156"/>
      <c r="J1065" s="156"/>
    </row>
    <row r="1066" spans="8:10">
      <c r="H1066" s="156"/>
      <c r="I1066" s="156"/>
      <c r="J1066" s="156"/>
    </row>
    <row r="1067" spans="8:10">
      <c r="H1067" s="156"/>
      <c r="I1067" s="156"/>
      <c r="J1067" s="156"/>
    </row>
    <row r="1068" spans="8:10">
      <c r="H1068" s="156"/>
      <c r="I1068" s="156"/>
      <c r="J1068" s="156"/>
    </row>
    <row r="1069" spans="8:10">
      <c r="H1069" s="156"/>
      <c r="I1069" s="156"/>
      <c r="J1069" s="156"/>
    </row>
    <row r="1070" spans="8:10">
      <c r="H1070" s="156"/>
      <c r="I1070" s="156"/>
      <c r="J1070" s="156"/>
    </row>
    <row r="1071" spans="8:10">
      <c r="H1071" s="156"/>
      <c r="I1071" s="156"/>
      <c r="J1071" s="156"/>
    </row>
    <row r="1072" spans="8:10">
      <c r="H1072" s="156"/>
      <c r="I1072" s="156"/>
      <c r="J1072" s="156"/>
    </row>
    <row r="1073" spans="8:10">
      <c r="H1073" s="156"/>
      <c r="I1073" s="156"/>
      <c r="J1073" s="156"/>
    </row>
    <row r="1074" spans="8:10">
      <c r="H1074" s="156"/>
      <c r="I1074" s="156"/>
      <c r="J1074" s="156"/>
    </row>
    <row r="1075" spans="8:10">
      <c r="H1075" s="156"/>
      <c r="I1075" s="156"/>
      <c r="J1075" s="156"/>
    </row>
    <row r="1076" spans="8:10">
      <c r="H1076" s="156"/>
      <c r="I1076" s="156"/>
      <c r="J1076" s="156"/>
    </row>
    <row r="1077" spans="8:10">
      <c r="H1077" s="156"/>
      <c r="I1077" s="156"/>
      <c r="J1077" s="156"/>
    </row>
    <row r="1078" spans="8:10">
      <c r="H1078" s="156"/>
      <c r="I1078" s="156"/>
      <c r="J1078" s="156"/>
    </row>
    <row r="1079" spans="8:10">
      <c r="H1079" s="156"/>
      <c r="I1079" s="156"/>
      <c r="J1079" s="156"/>
    </row>
    <row r="1080" spans="8:10">
      <c r="H1080" s="156"/>
      <c r="I1080" s="156"/>
      <c r="J1080" s="156"/>
    </row>
    <row r="1081" spans="8:10">
      <c r="H1081" s="156"/>
      <c r="I1081" s="156"/>
      <c r="J1081" s="156"/>
    </row>
    <row r="1082" spans="8:10">
      <c r="H1082" s="156"/>
      <c r="I1082" s="156"/>
      <c r="J1082" s="156"/>
    </row>
    <row r="1083" spans="8:10">
      <c r="H1083" s="156"/>
      <c r="I1083" s="156"/>
      <c r="J1083" s="156"/>
    </row>
    <row r="1084" spans="8:10">
      <c r="H1084" s="156"/>
      <c r="I1084" s="156"/>
      <c r="J1084" s="156"/>
    </row>
    <row r="1085" spans="8:10">
      <c r="H1085" s="156"/>
      <c r="I1085" s="156"/>
      <c r="J1085" s="156"/>
    </row>
    <row r="1086" spans="8:10">
      <c r="H1086" s="156"/>
      <c r="I1086" s="156"/>
      <c r="J1086" s="156"/>
    </row>
    <row r="1087" spans="8:10">
      <c r="H1087" s="156"/>
      <c r="I1087" s="156"/>
      <c r="J1087" s="156"/>
    </row>
    <row r="1088" spans="8:10">
      <c r="H1088" s="156"/>
      <c r="I1088" s="156"/>
      <c r="J1088" s="156"/>
    </row>
    <row r="1089" spans="8:10">
      <c r="H1089" s="156"/>
      <c r="I1089" s="156"/>
      <c r="J1089" s="156"/>
    </row>
    <row r="1090" spans="8:10">
      <c r="H1090" s="156"/>
      <c r="I1090" s="156"/>
      <c r="J1090" s="156"/>
    </row>
    <row r="1091" spans="8:10">
      <c r="H1091" s="156"/>
      <c r="I1091" s="156"/>
      <c r="J1091" s="156"/>
    </row>
    <row r="1092" spans="8:10">
      <c r="H1092" s="156"/>
      <c r="I1092" s="156"/>
      <c r="J1092" s="156"/>
    </row>
    <row r="1093" spans="8:10">
      <c r="H1093" s="156"/>
      <c r="I1093" s="156"/>
      <c r="J1093" s="156"/>
    </row>
    <row r="1094" spans="8:10">
      <c r="H1094" s="156"/>
      <c r="I1094" s="156"/>
      <c r="J1094" s="156"/>
    </row>
    <row r="1095" spans="8:10">
      <c r="H1095" s="156"/>
      <c r="I1095" s="156"/>
      <c r="J1095" s="156"/>
    </row>
    <row r="1096" spans="8:10">
      <c r="H1096" s="156"/>
      <c r="I1096" s="156"/>
      <c r="J1096" s="156"/>
    </row>
    <row r="1097" spans="8:10">
      <c r="H1097" s="156"/>
      <c r="I1097" s="156"/>
      <c r="J1097" s="156"/>
    </row>
    <row r="1098" spans="8:10">
      <c r="H1098" s="156"/>
      <c r="I1098" s="156"/>
      <c r="J1098" s="156"/>
    </row>
    <row r="1099" spans="8:10">
      <c r="H1099" s="156"/>
      <c r="I1099" s="156"/>
      <c r="J1099" s="156"/>
    </row>
    <row r="1100" spans="8:10">
      <c r="H1100" s="156"/>
      <c r="I1100" s="156"/>
      <c r="J1100" s="156"/>
    </row>
    <row r="1101" spans="8:10">
      <c r="H1101" s="156"/>
      <c r="I1101" s="156"/>
      <c r="J1101" s="156"/>
    </row>
    <row r="1102" spans="8:10">
      <c r="H1102" s="156"/>
      <c r="I1102" s="156"/>
      <c r="J1102" s="156"/>
    </row>
    <row r="1103" spans="8:10">
      <c r="H1103" s="156"/>
      <c r="I1103" s="156"/>
      <c r="J1103" s="156"/>
    </row>
    <row r="1104" spans="8:10">
      <c r="H1104" s="156"/>
      <c r="I1104" s="156"/>
      <c r="J1104" s="156"/>
    </row>
    <row r="1105" spans="8:10">
      <c r="H1105" s="156"/>
      <c r="I1105" s="156"/>
      <c r="J1105" s="156"/>
    </row>
    <row r="1106" spans="8:10">
      <c r="H1106" s="156"/>
      <c r="I1106" s="156"/>
      <c r="J1106" s="156"/>
    </row>
    <row r="1107" spans="8:10">
      <c r="H1107" s="156"/>
      <c r="I1107" s="156"/>
      <c r="J1107" s="156"/>
    </row>
    <row r="1108" spans="8:10">
      <c r="H1108" s="156"/>
      <c r="I1108" s="156"/>
      <c r="J1108" s="156"/>
    </row>
    <row r="1109" spans="8:10">
      <c r="H1109" s="156"/>
      <c r="I1109" s="156"/>
      <c r="J1109" s="156"/>
    </row>
    <row r="1110" spans="8:10">
      <c r="H1110" s="156"/>
      <c r="I1110" s="156"/>
      <c r="J1110" s="156"/>
    </row>
    <row r="1111" spans="8:10">
      <c r="H1111" s="156"/>
      <c r="I1111" s="156"/>
      <c r="J1111" s="156"/>
    </row>
    <row r="1112" spans="8:10">
      <c r="H1112" s="156"/>
      <c r="I1112" s="156"/>
      <c r="J1112" s="156"/>
    </row>
    <row r="1113" spans="8:10">
      <c r="H1113" s="156"/>
      <c r="I1113" s="156"/>
      <c r="J1113" s="156"/>
    </row>
    <row r="1114" spans="8:10">
      <c r="H1114" s="156"/>
      <c r="I1114" s="156"/>
      <c r="J1114" s="156"/>
    </row>
    <row r="1115" spans="8:10">
      <c r="H1115" s="156"/>
      <c r="I1115" s="156"/>
      <c r="J1115" s="156"/>
    </row>
    <row r="1116" spans="8:10">
      <c r="H1116" s="156"/>
      <c r="I1116" s="156"/>
      <c r="J1116" s="156"/>
    </row>
    <row r="1117" spans="8:10">
      <c r="H1117" s="156"/>
      <c r="I1117" s="156"/>
      <c r="J1117" s="156"/>
    </row>
    <row r="1118" spans="8:10">
      <c r="H1118" s="156"/>
      <c r="I1118" s="156"/>
      <c r="J1118" s="156"/>
    </row>
    <row r="1119" spans="8:10">
      <c r="H1119" s="156"/>
      <c r="I1119" s="156"/>
      <c r="J1119" s="156"/>
    </row>
    <row r="1120" spans="8:10">
      <c r="H1120" s="156"/>
      <c r="I1120" s="156"/>
      <c r="J1120" s="156"/>
    </row>
    <row r="1121" spans="8:10">
      <c r="H1121" s="156"/>
      <c r="I1121" s="156"/>
      <c r="J1121" s="156"/>
    </row>
    <row r="1122" spans="8:10">
      <c r="H1122" s="156"/>
      <c r="I1122" s="156"/>
      <c r="J1122" s="156"/>
    </row>
    <row r="1123" spans="8:10">
      <c r="H1123" s="156"/>
      <c r="I1123" s="156"/>
      <c r="J1123" s="156"/>
    </row>
    <row r="1124" spans="8:10">
      <c r="H1124" s="156"/>
      <c r="I1124" s="156"/>
      <c r="J1124" s="156"/>
    </row>
    <row r="1125" spans="8:10">
      <c r="H1125" s="156"/>
      <c r="I1125" s="156"/>
      <c r="J1125" s="156"/>
    </row>
    <row r="1126" spans="8:10">
      <c r="H1126" s="156"/>
      <c r="I1126" s="156"/>
      <c r="J1126" s="156"/>
    </row>
    <row r="1127" spans="8:10">
      <c r="H1127" s="156"/>
      <c r="I1127" s="156"/>
      <c r="J1127" s="156"/>
    </row>
    <row r="1128" spans="8:10">
      <c r="H1128" s="156"/>
      <c r="I1128" s="156"/>
      <c r="J1128" s="156"/>
    </row>
    <row r="1129" spans="8:10">
      <c r="H1129" s="156"/>
      <c r="I1129" s="156"/>
      <c r="J1129" s="156"/>
    </row>
    <row r="1130" spans="8:10">
      <c r="H1130" s="156"/>
      <c r="I1130" s="156"/>
      <c r="J1130" s="156"/>
    </row>
    <row r="1131" spans="8:10">
      <c r="H1131" s="156"/>
      <c r="I1131" s="156"/>
      <c r="J1131" s="156"/>
    </row>
    <row r="1132" spans="8:10">
      <c r="H1132" s="156"/>
      <c r="I1132" s="156"/>
      <c r="J1132" s="156"/>
    </row>
    <row r="1133" spans="8:10">
      <c r="H1133" s="156"/>
      <c r="I1133" s="156"/>
      <c r="J1133" s="156"/>
    </row>
    <row r="1134" spans="8:10">
      <c r="H1134" s="156"/>
      <c r="I1134" s="156"/>
      <c r="J1134" s="156"/>
    </row>
    <row r="1135" spans="8:10">
      <c r="H1135" s="156"/>
      <c r="I1135" s="156"/>
      <c r="J1135" s="156"/>
    </row>
    <row r="1136" spans="8:10">
      <c r="H1136" s="156"/>
      <c r="I1136" s="156"/>
      <c r="J1136" s="156"/>
    </row>
    <row r="1137" spans="8:10">
      <c r="H1137" s="156"/>
      <c r="I1137" s="156"/>
      <c r="J1137" s="156"/>
    </row>
    <row r="1138" spans="8:10">
      <c r="H1138" s="156"/>
      <c r="I1138" s="156"/>
      <c r="J1138" s="156"/>
    </row>
    <row r="1139" spans="8:10">
      <c r="H1139" s="156"/>
      <c r="I1139" s="156"/>
      <c r="J1139" s="156"/>
    </row>
    <row r="1140" spans="8:10">
      <c r="H1140" s="156"/>
      <c r="I1140" s="156"/>
      <c r="J1140" s="156"/>
    </row>
    <row r="1141" spans="8:10">
      <c r="H1141" s="156"/>
      <c r="I1141" s="156"/>
      <c r="J1141" s="156"/>
    </row>
    <row r="1142" spans="8:10">
      <c r="H1142" s="156"/>
      <c r="I1142" s="156"/>
      <c r="J1142" s="156"/>
    </row>
    <row r="1143" spans="8:10">
      <c r="H1143" s="156"/>
      <c r="I1143" s="156"/>
      <c r="J1143" s="156"/>
    </row>
    <row r="1144" spans="8:10">
      <c r="H1144" s="156"/>
      <c r="I1144" s="156"/>
      <c r="J1144" s="156"/>
    </row>
    <row r="1145" spans="8:10">
      <c r="H1145" s="156"/>
      <c r="I1145" s="156"/>
      <c r="J1145" s="156"/>
    </row>
    <row r="1146" spans="8:10">
      <c r="H1146" s="156"/>
      <c r="I1146" s="156"/>
      <c r="J1146" s="156"/>
    </row>
    <row r="1147" spans="8:10">
      <c r="H1147" s="156"/>
      <c r="I1147" s="156"/>
      <c r="J1147" s="156"/>
    </row>
    <row r="1148" spans="8:10">
      <c r="H1148" s="156"/>
      <c r="I1148" s="156"/>
      <c r="J1148" s="156"/>
    </row>
    <row r="1149" spans="8:10">
      <c r="H1149" s="156"/>
      <c r="I1149" s="156"/>
      <c r="J1149" s="156"/>
    </row>
    <row r="1150" spans="8:10">
      <c r="H1150" s="156"/>
      <c r="I1150" s="156"/>
      <c r="J1150" s="156"/>
    </row>
    <row r="1151" spans="8:10">
      <c r="H1151" s="156"/>
      <c r="I1151" s="156"/>
      <c r="J1151" s="156"/>
    </row>
    <row r="1152" spans="8:10">
      <c r="H1152" s="156"/>
      <c r="I1152" s="156"/>
      <c r="J1152" s="156"/>
    </row>
    <row r="1153" spans="8:10">
      <c r="H1153" s="156"/>
      <c r="I1153" s="156"/>
      <c r="J1153" s="156"/>
    </row>
    <row r="1154" spans="8:10">
      <c r="H1154" s="156"/>
      <c r="I1154" s="156"/>
      <c r="J1154" s="156"/>
    </row>
    <row r="1155" spans="8:10">
      <c r="H1155" s="156"/>
      <c r="I1155" s="156"/>
      <c r="J1155" s="156"/>
    </row>
    <row r="1156" spans="8:10">
      <c r="H1156" s="156"/>
      <c r="I1156" s="156"/>
      <c r="J1156" s="156"/>
    </row>
    <row r="1157" spans="8:10">
      <c r="H1157" s="156"/>
      <c r="I1157" s="156"/>
      <c r="J1157" s="156"/>
    </row>
    <row r="1158" spans="8:10">
      <c r="H1158" s="156"/>
      <c r="I1158" s="156"/>
      <c r="J1158" s="156"/>
    </row>
    <row r="1159" spans="8:10">
      <c r="H1159" s="156"/>
      <c r="I1159" s="156"/>
      <c r="J1159" s="156"/>
    </row>
    <row r="1160" spans="8:10">
      <c r="H1160" s="156"/>
      <c r="I1160" s="156"/>
      <c r="J1160" s="156"/>
    </row>
    <row r="1161" spans="8:10">
      <c r="H1161" s="156"/>
      <c r="I1161" s="156"/>
      <c r="J1161" s="156"/>
    </row>
    <row r="1162" spans="8:10">
      <c r="H1162" s="156"/>
      <c r="I1162" s="156"/>
      <c r="J1162" s="156"/>
    </row>
    <row r="1163" spans="8:10">
      <c r="H1163" s="156"/>
      <c r="I1163" s="156"/>
      <c r="J1163" s="156"/>
    </row>
    <row r="1164" spans="8:10">
      <c r="H1164" s="156"/>
      <c r="I1164" s="156"/>
      <c r="J1164" s="156"/>
    </row>
    <row r="1165" spans="8:10">
      <c r="H1165" s="156"/>
      <c r="I1165" s="156"/>
      <c r="J1165" s="156"/>
    </row>
    <row r="1166" spans="8:10">
      <c r="H1166" s="156"/>
      <c r="I1166" s="156"/>
      <c r="J1166" s="156"/>
    </row>
    <row r="1167" spans="8:10">
      <c r="H1167" s="156"/>
      <c r="I1167" s="156"/>
      <c r="J1167" s="156"/>
    </row>
    <row r="1168" spans="8:10">
      <c r="H1168" s="156"/>
      <c r="I1168" s="156"/>
      <c r="J1168" s="156"/>
    </row>
    <row r="1169" spans="8:10">
      <c r="H1169" s="156"/>
      <c r="I1169" s="156"/>
      <c r="J1169" s="156"/>
    </row>
    <row r="1170" spans="8:10">
      <c r="H1170" s="156"/>
      <c r="I1170" s="156"/>
      <c r="J1170" s="156"/>
    </row>
    <row r="1171" spans="8:10">
      <c r="H1171" s="156"/>
      <c r="I1171" s="156"/>
      <c r="J1171" s="156"/>
    </row>
    <row r="1172" spans="8:10">
      <c r="H1172" s="156"/>
      <c r="I1172" s="156"/>
      <c r="J1172" s="156"/>
    </row>
    <row r="1173" spans="8:10">
      <c r="H1173" s="156"/>
      <c r="I1173" s="156"/>
      <c r="J1173" s="156"/>
    </row>
    <row r="1174" spans="8:10">
      <c r="H1174" s="156"/>
      <c r="I1174" s="156"/>
      <c r="J1174" s="156"/>
    </row>
    <row r="1175" spans="8:10">
      <c r="H1175" s="156"/>
      <c r="I1175" s="156"/>
      <c r="J1175" s="156"/>
    </row>
    <row r="1176" spans="8:10">
      <c r="H1176" s="156"/>
      <c r="I1176" s="156"/>
      <c r="J1176" s="156"/>
    </row>
    <row r="1177" spans="8:10">
      <c r="H1177" s="156"/>
      <c r="I1177" s="156"/>
      <c r="J1177" s="156"/>
    </row>
    <row r="1178" spans="8:10">
      <c r="H1178" s="156"/>
      <c r="I1178" s="156"/>
      <c r="J1178" s="156"/>
    </row>
    <row r="1179" spans="8:10">
      <c r="H1179" s="156"/>
      <c r="I1179" s="156"/>
      <c r="J1179" s="156"/>
    </row>
    <row r="1180" spans="8:10">
      <c r="H1180" s="156"/>
      <c r="I1180" s="156"/>
      <c r="J1180" s="156"/>
    </row>
    <row r="1181" spans="8:10">
      <c r="H1181" s="156"/>
      <c r="I1181" s="156"/>
      <c r="J1181" s="156"/>
    </row>
    <row r="1182" spans="8:10">
      <c r="H1182" s="156"/>
      <c r="I1182" s="156"/>
      <c r="J1182" s="156"/>
    </row>
    <row r="1183" spans="8:10">
      <c r="H1183" s="156"/>
      <c r="I1183" s="156"/>
      <c r="J1183" s="156"/>
    </row>
    <row r="1184" spans="8:10">
      <c r="H1184" s="156"/>
      <c r="I1184" s="156"/>
      <c r="J1184" s="156"/>
    </row>
    <row r="1185" spans="8:10">
      <c r="H1185" s="156"/>
      <c r="I1185" s="156"/>
      <c r="J1185" s="156"/>
    </row>
    <row r="1186" spans="8:10">
      <c r="H1186" s="156"/>
      <c r="I1186" s="156"/>
      <c r="J1186" s="156"/>
    </row>
    <row r="1187" spans="8:10">
      <c r="H1187" s="156"/>
      <c r="I1187" s="156"/>
      <c r="J1187" s="156"/>
    </row>
    <row r="1188" spans="8:10">
      <c r="H1188" s="156"/>
      <c r="I1188" s="156"/>
      <c r="J1188" s="156"/>
    </row>
    <row r="1189" spans="8:10">
      <c r="H1189" s="156"/>
      <c r="I1189" s="156"/>
      <c r="J1189" s="156"/>
    </row>
    <row r="1190" spans="8:10">
      <c r="H1190" s="156"/>
      <c r="I1190" s="156"/>
      <c r="J1190" s="156"/>
    </row>
    <row r="1191" spans="8:10">
      <c r="H1191" s="156"/>
      <c r="I1191" s="156"/>
      <c r="J1191" s="156"/>
    </row>
    <row r="1192" spans="8:10">
      <c r="H1192" s="156"/>
      <c r="I1192" s="156"/>
      <c r="J1192" s="156"/>
    </row>
    <row r="1193" spans="8:10">
      <c r="H1193" s="156"/>
      <c r="I1193" s="156"/>
      <c r="J1193" s="156"/>
    </row>
    <row r="1194" spans="8:10">
      <c r="H1194" s="156"/>
      <c r="I1194" s="156"/>
      <c r="J1194" s="156"/>
    </row>
    <row r="1195" spans="8:10">
      <c r="H1195" s="156"/>
      <c r="I1195" s="156"/>
      <c r="J1195" s="156"/>
    </row>
    <row r="1196" spans="8:10">
      <c r="H1196" s="156"/>
      <c r="I1196" s="156"/>
      <c r="J1196" s="156"/>
    </row>
    <row r="1197" spans="8:10">
      <c r="H1197" s="156"/>
      <c r="I1197" s="156"/>
      <c r="J1197" s="156"/>
    </row>
    <row r="1198" spans="8:10">
      <c r="H1198" s="156"/>
      <c r="I1198" s="156"/>
      <c r="J1198" s="156"/>
    </row>
    <row r="1199" spans="8:10">
      <c r="H1199" s="156"/>
      <c r="I1199" s="156"/>
      <c r="J1199" s="156"/>
    </row>
    <row r="1200" spans="8:10">
      <c r="H1200" s="156"/>
      <c r="I1200" s="156"/>
      <c r="J1200" s="156"/>
    </row>
    <row r="1201" spans="8:10">
      <c r="H1201" s="156"/>
      <c r="I1201" s="156"/>
      <c r="J1201" s="156"/>
    </row>
    <row r="1202" spans="8:10">
      <c r="H1202" s="156"/>
      <c r="I1202" s="156"/>
      <c r="J1202" s="156"/>
    </row>
    <row r="1203" spans="8:10">
      <c r="H1203" s="156"/>
      <c r="I1203" s="156"/>
      <c r="J1203" s="156"/>
    </row>
    <row r="1204" spans="8:10">
      <c r="H1204" s="156"/>
      <c r="I1204" s="156"/>
      <c r="J1204" s="156"/>
    </row>
    <row r="1205" spans="8:10">
      <c r="H1205" s="156"/>
      <c r="I1205" s="156"/>
      <c r="J1205" s="156"/>
    </row>
    <row r="1206" spans="8:10">
      <c r="H1206" s="156"/>
      <c r="I1206" s="156"/>
      <c r="J1206" s="156"/>
    </row>
    <row r="1207" spans="8:10">
      <c r="H1207" s="156"/>
      <c r="I1207" s="156"/>
      <c r="J1207" s="156"/>
    </row>
    <row r="1208" spans="8:10">
      <c r="H1208" s="156"/>
      <c r="I1208" s="156"/>
      <c r="J1208" s="156"/>
    </row>
    <row r="1209" spans="8:10">
      <c r="H1209" s="156"/>
      <c r="I1209" s="156"/>
      <c r="J1209" s="156"/>
    </row>
    <row r="1210" spans="8:10">
      <c r="H1210" s="156"/>
      <c r="I1210" s="156"/>
      <c r="J1210" s="156"/>
    </row>
    <row r="1211" spans="8:10">
      <c r="H1211" s="156"/>
      <c r="I1211" s="156"/>
      <c r="J1211" s="156"/>
    </row>
    <row r="1212" spans="8:10">
      <c r="H1212" s="156"/>
      <c r="I1212" s="156"/>
      <c r="J1212" s="156"/>
    </row>
    <row r="1213" spans="8:10">
      <c r="H1213" s="156"/>
      <c r="I1213" s="156"/>
      <c r="J1213" s="156"/>
    </row>
    <row r="1214" spans="8:10">
      <c r="H1214" s="156"/>
      <c r="I1214" s="156"/>
      <c r="J1214" s="156"/>
    </row>
    <row r="1215" spans="8:10">
      <c r="H1215" s="156"/>
      <c r="I1215" s="156"/>
      <c r="J1215" s="156"/>
    </row>
    <row r="1216" spans="8:10">
      <c r="H1216" s="156"/>
      <c r="I1216" s="156"/>
      <c r="J1216" s="156"/>
    </row>
    <row r="1217" spans="8:10">
      <c r="H1217" s="156"/>
      <c r="I1217" s="156"/>
      <c r="J1217" s="156"/>
    </row>
    <row r="1218" spans="8:10">
      <c r="H1218" s="156"/>
      <c r="I1218" s="156"/>
      <c r="J1218" s="156"/>
    </row>
    <row r="1219" spans="8:10">
      <c r="H1219" s="156"/>
      <c r="I1219" s="156"/>
      <c r="J1219" s="156"/>
    </row>
    <row r="1220" spans="8:10">
      <c r="H1220" s="156"/>
      <c r="I1220" s="156"/>
      <c r="J1220" s="156"/>
    </row>
    <row r="1221" spans="8:10">
      <c r="H1221" s="156"/>
      <c r="I1221" s="156"/>
      <c r="J1221" s="156"/>
    </row>
    <row r="1222" spans="8:10">
      <c r="H1222" s="156"/>
      <c r="I1222" s="156"/>
      <c r="J1222" s="156"/>
    </row>
    <row r="1223" spans="8:10">
      <c r="H1223" s="156"/>
      <c r="I1223" s="156"/>
      <c r="J1223" s="156"/>
    </row>
    <row r="1224" spans="8:10">
      <c r="H1224" s="156"/>
      <c r="I1224" s="156"/>
      <c r="J1224" s="156"/>
    </row>
    <row r="1225" spans="8:10">
      <c r="H1225" s="156"/>
      <c r="I1225" s="156"/>
      <c r="J1225" s="156"/>
    </row>
    <row r="1226" spans="8:10">
      <c r="H1226" s="156"/>
      <c r="I1226" s="156"/>
      <c r="J1226" s="156"/>
    </row>
    <row r="1227" spans="8:10">
      <c r="H1227" s="156"/>
      <c r="I1227" s="156"/>
      <c r="J1227" s="156"/>
    </row>
    <row r="1228" spans="8:10">
      <c r="H1228" s="156"/>
      <c r="I1228" s="156"/>
      <c r="J1228" s="156"/>
    </row>
    <row r="1229" spans="8:10">
      <c r="H1229" s="156"/>
      <c r="I1229" s="156"/>
      <c r="J1229" s="156"/>
    </row>
    <row r="1230" spans="8:10">
      <c r="H1230" s="156"/>
      <c r="I1230" s="156"/>
      <c r="J1230" s="156"/>
    </row>
    <row r="1231" spans="8:10">
      <c r="H1231" s="156"/>
      <c r="I1231" s="156"/>
      <c r="J1231" s="156"/>
    </row>
    <row r="1232" spans="8:10">
      <c r="H1232" s="156"/>
      <c r="I1232" s="156"/>
      <c r="J1232" s="156"/>
    </row>
    <row r="1233" spans="8:10">
      <c r="H1233" s="156"/>
      <c r="I1233" s="156"/>
      <c r="J1233" s="156"/>
    </row>
    <row r="1234" spans="8:10">
      <c r="H1234" s="156"/>
      <c r="I1234" s="156"/>
      <c r="J1234" s="156"/>
    </row>
    <row r="1235" spans="8:10">
      <c r="H1235" s="156"/>
      <c r="I1235" s="156"/>
      <c r="J1235" s="156"/>
    </row>
    <row r="1236" spans="8:10">
      <c r="H1236" s="156"/>
      <c r="I1236" s="156"/>
      <c r="J1236" s="156"/>
    </row>
    <row r="1237" spans="8:10">
      <c r="H1237" s="156"/>
      <c r="I1237" s="156"/>
      <c r="J1237" s="156"/>
    </row>
    <row r="1238" spans="8:10">
      <c r="H1238" s="156"/>
      <c r="I1238" s="156"/>
      <c r="J1238" s="156"/>
    </row>
    <row r="1239" spans="8:10">
      <c r="H1239" s="156"/>
      <c r="I1239" s="156"/>
      <c r="J1239" s="156"/>
    </row>
    <row r="1240" spans="8:10">
      <c r="H1240" s="156"/>
      <c r="I1240" s="156"/>
      <c r="J1240" s="156"/>
    </row>
    <row r="1241" spans="8:10">
      <c r="H1241" s="156"/>
      <c r="I1241" s="156"/>
      <c r="J1241" s="156"/>
    </row>
    <row r="1242" spans="8:10">
      <c r="H1242" s="156"/>
      <c r="I1242" s="156"/>
      <c r="J1242" s="156"/>
    </row>
    <row r="1243" spans="8:10">
      <c r="H1243" s="156"/>
      <c r="I1243" s="156"/>
      <c r="J1243" s="156"/>
    </row>
    <row r="1244" spans="8:10">
      <c r="H1244" s="156"/>
      <c r="I1244" s="156"/>
      <c r="J1244" s="156"/>
    </row>
    <row r="1245" spans="8:10">
      <c r="H1245" s="156"/>
      <c r="I1245" s="156"/>
      <c r="J1245" s="156"/>
    </row>
    <row r="1246" spans="8:10">
      <c r="H1246" s="156"/>
      <c r="I1246" s="156"/>
      <c r="J1246" s="156"/>
    </row>
    <row r="1247" spans="8:10">
      <c r="H1247" s="156"/>
      <c r="I1247" s="156"/>
      <c r="J1247" s="156"/>
    </row>
    <row r="1248" spans="8:10">
      <c r="H1248" s="156"/>
      <c r="I1248" s="156"/>
      <c r="J1248" s="156"/>
    </row>
    <row r="1249" spans="8:10">
      <c r="H1249" s="156"/>
      <c r="I1249" s="156"/>
      <c r="J1249" s="156"/>
    </row>
    <row r="1250" spans="8:10">
      <c r="H1250" s="156"/>
      <c r="I1250" s="156"/>
      <c r="J1250" s="156"/>
    </row>
    <row r="1251" spans="8:10">
      <c r="H1251" s="156"/>
      <c r="I1251" s="156"/>
      <c r="J1251" s="156"/>
    </row>
    <row r="1252" spans="8:10">
      <c r="H1252" s="156"/>
      <c r="I1252" s="156"/>
      <c r="J1252" s="156"/>
    </row>
    <row r="1253" spans="8:10">
      <c r="H1253" s="156"/>
      <c r="I1253" s="156"/>
      <c r="J1253" s="156"/>
    </row>
    <row r="1254" spans="8:10">
      <c r="H1254" s="156"/>
      <c r="I1254" s="156"/>
      <c r="J1254" s="156"/>
    </row>
    <row r="1255" spans="8:10">
      <c r="H1255" s="156"/>
      <c r="I1255" s="156"/>
      <c r="J1255" s="156"/>
    </row>
    <row r="1256" spans="8:10">
      <c r="H1256" s="156"/>
      <c r="I1256" s="156"/>
      <c r="J1256" s="156"/>
    </row>
    <row r="1257" spans="8:10">
      <c r="H1257" s="156"/>
      <c r="I1257" s="156"/>
      <c r="J1257" s="156"/>
    </row>
    <row r="1258" spans="8:10">
      <c r="H1258" s="156"/>
      <c r="I1258" s="156"/>
      <c r="J1258" s="156"/>
    </row>
    <row r="1259" spans="8:10">
      <c r="H1259" s="156"/>
      <c r="I1259" s="156"/>
      <c r="J1259" s="156"/>
    </row>
    <row r="1260" spans="8:10">
      <c r="H1260" s="156"/>
      <c r="I1260" s="156"/>
      <c r="J1260" s="156"/>
    </row>
    <row r="1261" spans="8:10">
      <c r="H1261" s="156"/>
      <c r="I1261" s="156"/>
      <c r="J1261" s="156"/>
    </row>
    <row r="1262" spans="8:10">
      <c r="H1262" s="156"/>
      <c r="I1262" s="156"/>
      <c r="J1262" s="156"/>
    </row>
    <row r="1263" spans="8:10">
      <c r="H1263" s="156"/>
      <c r="I1263" s="156"/>
      <c r="J1263" s="156"/>
    </row>
    <row r="1264" spans="8:10">
      <c r="H1264" s="156"/>
      <c r="I1264" s="156"/>
      <c r="J1264" s="156"/>
    </row>
    <row r="1265" spans="8:10">
      <c r="H1265" s="156"/>
      <c r="I1265" s="156"/>
      <c r="J1265" s="156"/>
    </row>
    <row r="1266" spans="8:10">
      <c r="H1266" s="156"/>
      <c r="I1266" s="156"/>
      <c r="J1266" s="156"/>
    </row>
    <row r="1267" spans="8:10">
      <c r="H1267" s="156"/>
      <c r="I1267" s="156"/>
      <c r="J1267" s="156"/>
    </row>
    <row r="1268" spans="8:10">
      <c r="H1268" s="156"/>
      <c r="I1268" s="156"/>
      <c r="J1268" s="156"/>
    </row>
    <row r="1269" spans="8:10">
      <c r="H1269" s="156"/>
      <c r="I1269" s="156"/>
      <c r="J1269" s="156"/>
    </row>
    <row r="1270" spans="8:10">
      <c r="H1270" s="156"/>
      <c r="I1270" s="156"/>
      <c r="J1270" s="156"/>
    </row>
    <row r="1271" spans="8:10">
      <c r="H1271" s="156"/>
      <c r="I1271" s="156"/>
      <c r="J1271" s="156"/>
    </row>
    <row r="1272" spans="8:10">
      <c r="H1272" s="156"/>
      <c r="I1272" s="156"/>
      <c r="J1272" s="156"/>
    </row>
    <row r="1273" spans="8:10">
      <c r="H1273" s="156"/>
      <c r="I1273" s="156"/>
      <c r="J1273" s="156"/>
    </row>
    <row r="1274" spans="8:10">
      <c r="H1274" s="156"/>
      <c r="I1274" s="156"/>
      <c r="J1274" s="156"/>
    </row>
    <row r="1275" spans="8:10">
      <c r="H1275" s="156"/>
      <c r="I1275" s="156"/>
      <c r="J1275" s="156"/>
    </row>
    <row r="1276" spans="8:10">
      <c r="H1276" s="156"/>
      <c r="I1276" s="156"/>
      <c r="J1276" s="156"/>
    </row>
    <row r="1277" spans="8:10">
      <c r="H1277" s="156"/>
      <c r="I1277" s="156"/>
      <c r="J1277" s="156"/>
    </row>
    <row r="1278" spans="8:10">
      <c r="H1278" s="156"/>
      <c r="I1278" s="156"/>
      <c r="J1278" s="156"/>
    </row>
    <row r="1279" spans="8:10">
      <c r="H1279" s="156"/>
      <c r="I1279" s="156"/>
      <c r="J1279" s="156"/>
    </row>
    <row r="1280" spans="8:10">
      <c r="H1280" s="156"/>
      <c r="I1280" s="156"/>
      <c r="J1280" s="156"/>
    </row>
    <row r="1281" spans="8:10">
      <c r="H1281" s="156"/>
      <c r="I1281" s="156"/>
      <c r="J1281" s="156"/>
    </row>
    <row r="1282" spans="8:10">
      <c r="H1282" s="156"/>
      <c r="I1282" s="156"/>
      <c r="J1282" s="156"/>
    </row>
    <row r="1283" spans="8:10">
      <c r="H1283" s="156"/>
      <c r="I1283" s="156"/>
      <c r="J1283" s="156"/>
    </row>
    <row r="1284" spans="8:10">
      <c r="H1284" s="156"/>
      <c r="I1284" s="156"/>
      <c r="J1284" s="156"/>
    </row>
    <row r="1285" spans="8:10">
      <c r="H1285" s="156"/>
      <c r="I1285" s="156"/>
      <c r="J1285" s="156"/>
    </row>
    <row r="1286" spans="8:10">
      <c r="H1286" s="156"/>
      <c r="I1286" s="156"/>
      <c r="J1286" s="156"/>
    </row>
    <row r="1287" spans="8:10">
      <c r="H1287" s="156"/>
      <c r="I1287" s="156"/>
      <c r="J1287" s="156"/>
    </row>
    <row r="1288" spans="8:10">
      <c r="H1288" s="156"/>
      <c r="I1288" s="156"/>
      <c r="J1288" s="156"/>
    </row>
    <row r="1289" spans="8:10">
      <c r="H1289" s="156"/>
      <c r="I1289" s="156"/>
      <c r="J1289" s="156"/>
    </row>
    <row r="1290" spans="8:10">
      <c r="H1290" s="156"/>
      <c r="I1290" s="156"/>
      <c r="J1290" s="156"/>
    </row>
    <row r="1291" spans="8:10">
      <c r="H1291" s="156"/>
      <c r="I1291" s="156"/>
      <c r="J1291" s="156"/>
    </row>
    <row r="1292" spans="8:10">
      <c r="H1292" s="156"/>
      <c r="I1292" s="156"/>
      <c r="J1292" s="156"/>
    </row>
    <row r="1293" spans="8:10">
      <c r="H1293" s="156"/>
      <c r="I1293" s="156"/>
      <c r="J1293" s="156"/>
    </row>
    <row r="1294" spans="8:10">
      <c r="H1294" s="156"/>
      <c r="I1294" s="156"/>
      <c r="J1294" s="156"/>
    </row>
    <row r="1295" spans="8:10">
      <c r="H1295" s="156"/>
      <c r="I1295" s="156"/>
      <c r="J1295" s="156"/>
    </row>
    <row r="1296" spans="8:10">
      <c r="H1296" s="156"/>
      <c r="I1296" s="156"/>
      <c r="J1296" s="156"/>
    </row>
    <row r="1297" spans="8:10">
      <c r="H1297" s="156"/>
      <c r="I1297" s="156"/>
      <c r="J1297" s="156"/>
    </row>
    <row r="1298" spans="8:10">
      <c r="H1298" s="156"/>
      <c r="I1298" s="156"/>
      <c r="J1298" s="156"/>
    </row>
    <row r="1299" spans="8:10">
      <c r="H1299" s="156"/>
      <c r="I1299" s="156"/>
      <c r="J1299" s="156"/>
    </row>
    <row r="1300" spans="8:10">
      <c r="H1300" s="156"/>
      <c r="I1300" s="156"/>
      <c r="J1300" s="156"/>
    </row>
    <row r="1301" spans="8:10">
      <c r="H1301" s="156"/>
      <c r="I1301" s="156"/>
      <c r="J1301" s="156"/>
    </row>
    <row r="1302" spans="8:10">
      <c r="H1302" s="156"/>
      <c r="I1302" s="156"/>
      <c r="J1302" s="156"/>
    </row>
    <row r="1303" spans="8:10">
      <c r="H1303" s="156"/>
      <c r="I1303" s="156"/>
      <c r="J1303" s="156"/>
    </row>
    <row r="1304" spans="8:10">
      <c r="H1304" s="156"/>
      <c r="I1304" s="156"/>
      <c r="J1304" s="156"/>
    </row>
    <row r="1305" spans="8:10">
      <c r="H1305" s="156"/>
      <c r="I1305" s="156"/>
      <c r="J1305" s="156"/>
    </row>
    <row r="1306" spans="8:10">
      <c r="H1306" s="156"/>
      <c r="I1306" s="156"/>
      <c r="J1306" s="156"/>
    </row>
    <row r="1307" spans="8:10">
      <c r="H1307" s="156"/>
      <c r="I1307" s="156"/>
      <c r="J1307" s="156"/>
    </row>
    <row r="1308" spans="8:10">
      <c r="H1308" s="156"/>
      <c r="I1308" s="156"/>
      <c r="J1308" s="156"/>
    </row>
    <row r="1309" spans="8:10">
      <c r="H1309" s="156"/>
      <c r="I1309" s="156"/>
      <c r="J1309" s="156"/>
    </row>
    <row r="1310" spans="8:10">
      <c r="H1310" s="156"/>
      <c r="I1310" s="156"/>
      <c r="J1310" s="156"/>
    </row>
    <row r="1311" spans="8:10">
      <c r="H1311" s="156"/>
      <c r="I1311" s="156"/>
      <c r="J1311" s="156"/>
    </row>
    <row r="1312" spans="8:10">
      <c r="H1312" s="156"/>
      <c r="I1312" s="156"/>
      <c r="J1312" s="156"/>
    </row>
    <row r="1313" spans="8:10">
      <c r="H1313" s="156"/>
      <c r="I1313" s="156"/>
      <c r="J1313" s="156"/>
    </row>
    <row r="1314" spans="8:10">
      <c r="H1314" s="156"/>
      <c r="I1314" s="156"/>
      <c r="J1314" s="156"/>
    </row>
    <row r="1315" spans="8:10">
      <c r="H1315" s="156"/>
      <c r="I1315" s="156"/>
      <c r="J1315" s="156"/>
    </row>
    <row r="1316" spans="8:10">
      <c r="H1316" s="156"/>
      <c r="I1316" s="156"/>
      <c r="J1316" s="156"/>
    </row>
    <row r="1317" spans="8:10">
      <c r="H1317" s="156"/>
      <c r="I1317" s="156"/>
      <c r="J1317" s="156"/>
    </row>
    <row r="1318" spans="8:10">
      <c r="H1318" s="156"/>
      <c r="I1318" s="156"/>
      <c r="J1318" s="156"/>
    </row>
    <row r="1319" spans="8:10">
      <c r="H1319" s="156"/>
      <c r="I1319" s="156"/>
      <c r="J1319" s="156"/>
    </row>
    <row r="1320" spans="8:10">
      <c r="H1320" s="156"/>
      <c r="I1320" s="156"/>
      <c r="J1320" s="156"/>
    </row>
    <row r="1321" spans="8:10">
      <c r="H1321" s="156"/>
      <c r="I1321" s="156"/>
      <c r="J1321" s="156"/>
    </row>
    <row r="1322" spans="8:10">
      <c r="H1322" s="156"/>
      <c r="I1322" s="156"/>
      <c r="J1322" s="156"/>
    </row>
    <row r="1323" spans="8:10">
      <c r="H1323" s="156"/>
      <c r="I1323" s="156"/>
      <c r="J1323" s="156"/>
    </row>
    <row r="1324" spans="8:10">
      <c r="H1324" s="156"/>
      <c r="I1324" s="156"/>
      <c r="J1324" s="156"/>
    </row>
    <row r="1325" spans="8:10">
      <c r="H1325" s="156"/>
      <c r="I1325" s="156"/>
      <c r="J1325" s="156"/>
    </row>
    <row r="1326" spans="8:10">
      <c r="H1326" s="156"/>
      <c r="I1326" s="156"/>
      <c r="J1326" s="156"/>
    </row>
    <row r="1327" spans="8:10">
      <c r="H1327" s="156"/>
      <c r="I1327" s="156"/>
      <c r="J1327" s="156"/>
    </row>
    <row r="1328" spans="8:10">
      <c r="H1328" s="156"/>
      <c r="I1328" s="156"/>
      <c r="J1328" s="156"/>
    </row>
    <row r="1329" spans="8:10">
      <c r="H1329" s="156"/>
      <c r="I1329" s="156"/>
      <c r="J1329" s="156"/>
    </row>
    <row r="1330" spans="8:10">
      <c r="H1330" s="156"/>
      <c r="I1330" s="156"/>
      <c r="J1330" s="156"/>
    </row>
    <row r="1331" spans="8:10">
      <c r="H1331" s="156"/>
      <c r="I1331" s="156"/>
      <c r="J1331" s="156"/>
    </row>
    <row r="1332" spans="8:10">
      <c r="H1332" s="156"/>
      <c r="I1332" s="156"/>
      <c r="J1332" s="156"/>
    </row>
    <row r="1333" spans="8:10">
      <c r="H1333" s="156"/>
      <c r="I1333" s="156"/>
      <c r="J1333" s="156"/>
    </row>
    <row r="1334" spans="8:10">
      <c r="H1334" s="156"/>
      <c r="I1334" s="156"/>
      <c r="J1334" s="156"/>
    </row>
    <row r="1335" spans="8:10">
      <c r="H1335" s="156"/>
      <c r="I1335" s="156"/>
      <c r="J1335" s="156"/>
    </row>
    <row r="1336" spans="8:10">
      <c r="H1336" s="156"/>
      <c r="I1336" s="156"/>
      <c r="J1336" s="156"/>
    </row>
    <row r="1337" spans="8:10">
      <c r="H1337" s="156"/>
      <c r="I1337" s="156"/>
      <c r="J1337" s="156"/>
    </row>
    <row r="1338" spans="8:10">
      <c r="H1338" s="156"/>
      <c r="I1338" s="156"/>
      <c r="J1338" s="156"/>
    </row>
    <row r="1339" spans="8:10">
      <c r="H1339" s="156"/>
      <c r="I1339" s="156"/>
      <c r="J1339" s="156"/>
    </row>
    <row r="1340" spans="8:10">
      <c r="H1340" s="156"/>
      <c r="I1340" s="156"/>
      <c r="J1340" s="156"/>
    </row>
    <row r="1341" spans="8:10">
      <c r="H1341" s="156"/>
      <c r="I1341" s="156"/>
      <c r="J1341" s="156"/>
    </row>
    <row r="1342" spans="8:10">
      <c r="H1342" s="156"/>
      <c r="I1342" s="156"/>
      <c r="J1342" s="156"/>
    </row>
    <row r="1343" spans="8:10">
      <c r="H1343" s="156"/>
      <c r="I1343" s="156"/>
      <c r="J1343" s="156"/>
    </row>
    <row r="1344" spans="8:10">
      <c r="H1344" s="156"/>
      <c r="I1344" s="156"/>
      <c r="J1344" s="156"/>
    </row>
    <row r="1345" spans="8:10">
      <c r="H1345" s="156"/>
      <c r="I1345" s="156"/>
      <c r="J1345" s="156"/>
    </row>
    <row r="1346" spans="8:10">
      <c r="H1346" s="156"/>
      <c r="I1346" s="156"/>
      <c r="J1346" s="156"/>
    </row>
    <row r="1347" spans="8:10">
      <c r="H1347" s="156"/>
      <c r="I1347" s="156"/>
      <c r="J1347" s="156"/>
    </row>
    <row r="1348" spans="8:10">
      <c r="H1348" s="156"/>
      <c r="I1348" s="156"/>
      <c r="J1348" s="156"/>
    </row>
    <row r="1349" spans="8:10">
      <c r="H1349" s="156"/>
      <c r="I1349" s="156"/>
      <c r="J1349" s="156"/>
    </row>
    <row r="1350" spans="8:10">
      <c r="H1350" s="156"/>
      <c r="I1350" s="156"/>
      <c r="J1350" s="156"/>
    </row>
    <row r="1351" spans="8:10">
      <c r="H1351" s="156"/>
      <c r="I1351" s="156"/>
      <c r="J1351" s="156"/>
    </row>
    <row r="1352" spans="8:10">
      <c r="H1352" s="156"/>
      <c r="I1352" s="156"/>
      <c r="J1352" s="156"/>
    </row>
    <row r="1353" spans="8:10">
      <c r="H1353" s="156"/>
      <c r="I1353" s="156"/>
      <c r="J1353" s="156"/>
    </row>
    <row r="1354" spans="8:10">
      <c r="H1354" s="156"/>
      <c r="I1354" s="156"/>
      <c r="J1354" s="156"/>
    </row>
    <row r="1355" spans="8:10">
      <c r="H1355" s="156"/>
      <c r="I1355" s="156"/>
      <c r="J1355" s="156"/>
    </row>
    <row r="1356" spans="8:10">
      <c r="H1356" s="156"/>
      <c r="I1356" s="156"/>
      <c r="J1356" s="156"/>
    </row>
    <row r="1357" spans="8:10">
      <c r="H1357" s="156"/>
      <c r="I1357" s="156"/>
      <c r="J1357" s="156"/>
    </row>
    <row r="1358" spans="8:10">
      <c r="H1358" s="156"/>
      <c r="I1358" s="156"/>
      <c r="J1358" s="156"/>
    </row>
    <row r="1359" spans="8:10">
      <c r="H1359" s="156"/>
      <c r="I1359" s="156"/>
      <c r="J1359" s="156"/>
    </row>
    <row r="1360" spans="8:10">
      <c r="H1360" s="156"/>
      <c r="I1360" s="156"/>
      <c r="J1360" s="156"/>
    </row>
    <row r="1361" spans="8:10">
      <c r="H1361" s="156"/>
      <c r="I1361" s="156"/>
      <c r="J1361" s="156"/>
    </row>
    <row r="1362" spans="8:10">
      <c r="H1362" s="156"/>
      <c r="I1362" s="156"/>
      <c r="J1362" s="156"/>
    </row>
    <row r="1363" spans="8:10">
      <c r="H1363" s="156"/>
      <c r="I1363" s="156"/>
      <c r="J1363" s="156"/>
    </row>
    <row r="1364" spans="8:10">
      <c r="H1364" s="156"/>
      <c r="I1364" s="156"/>
      <c r="J1364" s="156"/>
    </row>
    <row r="1365" spans="8:10">
      <c r="H1365" s="156"/>
      <c r="I1365" s="156"/>
      <c r="J1365" s="156"/>
    </row>
    <row r="1366" spans="8:10">
      <c r="H1366" s="156"/>
      <c r="I1366" s="156"/>
      <c r="J1366" s="156"/>
    </row>
    <row r="1367" spans="8:10">
      <c r="H1367" s="156"/>
      <c r="I1367" s="156"/>
      <c r="J1367" s="156"/>
    </row>
    <row r="1368" spans="8:10">
      <c r="H1368" s="156"/>
      <c r="I1368" s="156"/>
      <c r="J1368" s="156"/>
    </row>
    <row r="1369" spans="8:10">
      <c r="H1369" s="156"/>
      <c r="I1369" s="156"/>
      <c r="J1369" s="156"/>
    </row>
    <row r="1370" spans="8:10">
      <c r="H1370" s="156"/>
      <c r="I1370" s="156"/>
      <c r="J1370" s="156"/>
    </row>
    <row r="1371" spans="8:10">
      <c r="H1371" s="156"/>
      <c r="I1371" s="156"/>
      <c r="J1371" s="156"/>
    </row>
    <row r="1372" spans="8:10">
      <c r="H1372" s="156"/>
      <c r="I1372" s="156"/>
      <c r="J1372" s="156"/>
    </row>
    <row r="1373" spans="8:10">
      <c r="H1373" s="156"/>
      <c r="I1373" s="156"/>
      <c r="J1373" s="156"/>
    </row>
    <row r="1374" spans="8:10">
      <c r="H1374" s="156"/>
      <c r="I1374" s="156"/>
      <c r="J1374" s="156"/>
    </row>
    <row r="1375" spans="8:10">
      <c r="H1375" s="156"/>
      <c r="I1375" s="156"/>
      <c r="J1375" s="156"/>
    </row>
    <row r="1376" spans="8:10">
      <c r="H1376" s="156"/>
      <c r="I1376" s="156"/>
      <c r="J1376" s="156"/>
    </row>
    <row r="1377" spans="8:10">
      <c r="H1377" s="156"/>
      <c r="I1377" s="156"/>
      <c r="J1377" s="156"/>
    </row>
    <row r="1378" spans="8:10">
      <c r="H1378" s="156"/>
      <c r="I1378" s="156"/>
      <c r="J1378" s="156"/>
    </row>
    <row r="1379" spans="8:10">
      <c r="H1379" s="156"/>
      <c r="I1379" s="156"/>
      <c r="J1379" s="156"/>
    </row>
    <row r="1380" spans="8:10">
      <c r="H1380" s="156"/>
      <c r="I1380" s="156"/>
      <c r="J1380" s="156"/>
    </row>
    <row r="1381" spans="8:10">
      <c r="H1381" s="156"/>
      <c r="I1381" s="156"/>
      <c r="J1381" s="156"/>
    </row>
    <row r="1382" spans="8:10">
      <c r="H1382" s="156"/>
      <c r="I1382" s="156"/>
      <c r="J1382" s="156"/>
    </row>
    <row r="1383" spans="8:10">
      <c r="H1383" s="156"/>
      <c r="I1383" s="156"/>
      <c r="J1383" s="156"/>
    </row>
    <row r="1384" spans="8:10">
      <c r="H1384" s="156"/>
      <c r="I1384" s="156"/>
      <c r="J1384" s="156"/>
    </row>
    <row r="1385" spans="8:10">
      <c r="H1385" s="156"/>
      <c r="I1385" s="156"/>
      <c r="J1385" s="156"/>
    </row>
    <row r="1386" spans="8:10">
      <c r="H1386" s="156"/>
      <c r="I1386" s="156"/>
      <c r="J1386" s="156"/>
    </row>
    <row r="1387" spans="8:10">
      <c r="H1387" s="156"/>
      <c r="I1387" s="156"/>
      <c r="J1387" s="156"/>
    </row>
    <row r="1388" spans="8:10">
      <c r="H1388" s="156"/>
      <c r="I1388" s="156"/>
      <c r="J1388" s="156"/>
    </row>
    <row r="1389" spans="8:10">
      <c r="H1389" s="156"/>
      <c r="I1389" s="156"/>
      <c r="J1389" s="156"/>
    </row>
    <row r="1390" spans="8:10">
      <c r="H1390" s="156"/>
      <c r="I1390" s="156"/>
      <c r="J1390" s="156"/>
    </row>
    <row r="1391" spans="8:10">
      <c r="H1391" s="156"/>
      <c r="I1391" s="156"/>
      <c r="J1391" s="156"/>
    </row>
    <row r="1392" spans="8:10">
      <c r="H1392" s="156"/>
      <c r="I1392" s="156"/>
      <c r="J1392" s="156"/>
    </row>
    <row r="1393" spans="8:10">
      <c r="H1393" s="156"/>
      <c r="I1393" s="156"/>
      <c r="J1393" s="156"/>
    </row>
    <row r="1394" spans="8:10">
      <c r="H1394" s="156"/>
      <c r="I1394" s="156"/>
      <c r="J1394" s="156"/>
    </row>
    <row r="1395" spans="8:10">
      <c r="H1395" s="156"/>
      <c r="I1395" s="156"/>
      <c r="J1395" s="156"/>
    </row>
    <row r="1396" spans="8:10">
      <c r="H1396" s="156"/>
      <c r="I1396" s="156"/>
      <c r="J1396" s="156"/>
    </row>
    <row r="1397" spans="8:10">
      <c r="H1397" s="156"/>
      <c r="I1397" s="156"/>
      <c r="J1397" s="156"/>
    </row>
    <row r="1398" spans="8:10">
      <c r="H1398" s="156"/>
      <c r="I1398" s="156"/>
      <c r="J1398" s="156"/>
    </row>
    <row r="1399" spans="8:10">
      <c r="H1399" s="156"/>
      <c r="I1399" s="156"/>
      <c r="J1399" s="156"/>
    </row>
    <row r="1400" spans="8:10">
      <c r="H1400" s="156"/>
      <c r="I1400" s="156"/>
      <c r="J1400" s="156"/>
    </row>
    <row r="1401" spans="8:10">
      <c r="H1401" s="156"/>
      <c r="I1401" s="156"/>
      <c r="J1401" s="156"/>
    </row>
    <row r="1402" spans="8:10">
      <c r="H1402" s="156"/>
      <c r="I1402" s="156"/>
      <c r="J1402" s="156"/>
    </row>
    <row r="1403" spans="8:10">
      <c r="H1403" s="156"/>
      <c r="I1403" s="156"/>
      <c r="J1403" s="156"/>
    </row>
    <row r="1404" spans="8:10">
      <c r="H1404" s="156"/>
      <c r="I1404" s="156"/>
      <c r="J1404" s="156"/>
    </row>
    <row r="1405" spans="8:10">
      <c r="H1405" s="156"/>
      <c r="I1405" s="156"/>
      <c r="J1405" s="156"/>
    </row>
    <row r="1406" spans="8:10">
      <c r="H1406" s="156"/>
      <c r="I1406" s="156"/>
      <c r="J1406" s="156"/>
    </row>
    <row r="1407" spans="8:10">
      <c r="H1407" s="156"/>
      <c r="I1407" s="156"/>
      <c r="J1407" s="156"/>
    </row>
    <row r="1408" spans="8:10">
      <c r="H1408" s="156"/>
      <c r="I1408" s="156"/>
      <c r="J1408" s="156"/>
    </row>
    <row r="1409" spans="8:10">
      <c r="H1409" s="156"/>
      <c r="I1409" s="156"/>
      <c r="J1409" s="156"/>
    </row>
    <row r="1410" spans="8:10">
      <c r="H1410" s="156"/>
      <c r="I1410" s="156"/>
      <c r="J1410" s="156"/>
    </row>
    <row r="1411" spans="8:10">
      <c r="H1411" s="156"/>
      <c r="I1411" s="156"/>
      <c r="J1411" s="156"/>
    </row>
    <row r="1412" spans="8:10">
      <c r="H1412" s="156"/>
      <c r="I1412" s="156"/>
      <c r="J1412" s="156"/>
    </row>
    <row r="1413" spans="8:10">
      <c r="H1413" s="156"/>
      <c r="I1413" s="156"/>
      <c r="J1413" s="156"/>
    </row>
    <row r="1414" spans="8:10">
      <c r="H1414" s="156"/>
      <c r="I1414" s="156"/>
      <c r="J1414" s="156"/>
    </row>
    <row r="1415" spans="8:10">
      <c r="H1415" s="156"/>
      <c r="I1415" s="156"/>
      <c r="J1415" s="156"/>
    </row>
    <row r="1416" spans="8:10">
      <c r="H1416" s="156"/>
      <c r="I1416" s="156"/>
      <c r="J1416" s="156"/>
    </row>
    <row r="1417" spans="8:10">
      <c r="H1417" s="156"/>
      <c r="I1417" s="156"/>
      <c r="J1417" s="156"/>
    </row>
    <row r="1418" spans="8:10">
      <c r="H1418" s="156"/>
      <c r="I1418" s="156"/>
      <c r="J1418" s="156"/>
    </row>
    <row r="1419" spans="8:10">
      <c r="H1419" s="156"/>
      <c r="I1419" s="156"/>
      <c r="J1419" s="156"/>
    </row>
    <row r="1420" spans="8:10">
      <c r="H1420" s="156"/>
      <c r="I1420" s="156"/>
      <c r="J1420" s="156"/>
    </row>
    <row r="1421" spans="8:10">
      <c r="H1421" s="156"/>
      <c r="I1421" s="156"/>
      <c r="J1421" s="156"/>
    </row>
    <row r="1422" spans="8:10">
      <c r="H1422" s="156"/>
      <c r="I1422" s="156"/>
      <c r="J1422" s="156"/>
    </row>
    <row r="1423" spans="8:10">
      <c r="H1423" s="156"/>
      <c r="I1423" s="156"/>
      <c r="J1423" s="156"/>
    </row>
    <row r="1424" spans="8:10">
      <c r="H1424" s="156"/>
      <c r="I1424" s="156"/>
      <c r="J1424" s="156"/>
    </row>
    <row r="1425" spans="8:10">
      <c r="H1425" s="156"/>
      <c r="I1425" s="156"/>
      <c r="J1425" s="156"/>
    </row>
    <row r="1426" spans="8:10">
      <c r="H1426" s="156"/>
      <c r="I1426" s="156"/>
      <c r="J1426" s="156"/>
    </row>
    <row r="1427" spans="8:10">
      <c r="H1427" s="156"/>
      <c r="I1427" s="156"/>
      <c r="J1427" s="156"/>
    </row>
    <row r="1428" spans="8:10">
      <c r="H1428" s="156"/>
      <c r="I1428" s="156"/>
      <c r="J1428" s="156"/>
    </row>
    <row r="1429" spans="8:10">
      <c r="H1429" s="156"/>
      <c r="I1429" s="156"/>
      <c r="J1429" s="156"/>
    </row>
    <row r="1430" spans="8:10">
      <c r="H1430" s="156"/>
      <c r="I1430" s="156"/>
      <c r="J1430" s="156"/>
    </row>
    <row r="1431" spans="8:10">
      <c r="H1431" s="156"/>
      <c r="I1431" s="156"/>
      <c r="J1431" s="156"/>
    </row>
    <row r="1432" spans="8:10">
      <c r="H1432" s="156"/>
      <c r="I1432" s="156"/>
      <c r="J1432" s="156"/>
    </row>
    <row r="1433" spans="8:10">
      <c r="H1433" s="156"/>
      <c r="I1433" s="156"/>
      <c r="J1433" s="156"/>
    </row>
    <row r="1434" spans="8:10">
      <c r="H1434" s="156"/>
      <c r="I1434" s="156"/>
      <c r="J1434" s="156"/>
    </row>
    <row r="1435" spans="8:10">
      <c r="H1435" s="156"/>
      <c r="I1435" s="156"/>
      <c r="J1435" s="156"/>
    </row>
    <row r="1436" spans="8:10">
      <c r="H1436" s="156"/>
      <c r="I1436" s="156"/>
      <c r="J1436" s="156"/>
    </row>
    <row r="1437" spans="8:10">
      <c r="H1437" s="156"/>
      <c r="I1437" s="156"/>
      <c r="J1437" s="156"/>
    </row>
    <row r="1438" spans="8:10">
      <c r="H1438" s="156"/>
      <c r="I1438" s="156"/>
      <c r="J1438" s="156"/>
    </row>
    <row r="1439" spans="8:10">
      <c r="H1439" s="156"/>
      <c r="I1439" s="156"/>
      <c r="J1439" s="156"/>
    </row>
    <row r="1440" spans="8:10">
      <c r="H1440" s="156"/>
      <c r="I1440" s="156"/>
      <c r="J1440" s="156"/>
    </row>
    <row r="1441" spans="8:10">
      <c r="H1441" s="156"/>
      <c r="I1441" s="156"/>
      <c r="J1441" s="156"/>
    </row>
    <row r="1442" spans="8:10">
      <c r="H1442" s="156"/>
      <c r="I1442" s="156"/>
      <c r="J1442" s="156"/>
    </row>
    <row r="1443" spans="8:10">
      <c r="H1443" s="156"/>
      <c r="I1443" s="156"/>
      <c r="J1443" s="156"/>
    </row>
    <row r="1444" spans="8:10">
      <c r="H1444" s="156"/>
      <c r="I1444" s="156"/>
      <c r="J1444" s="156"/>
    </row>
    <row r="1445" spans="8:10">
      <c r="H1445" s="156"/>
      <c r="I1445" s="156"/>
      <c r="J1445" s="156"/>
    </row>
    <row r="1446" spans="8:10">
      <c r="H1446" s="156"/>
      <c r="I1446" s="156"/>
      <c r="J1446" s="156"/>
    </row>
    <row r="1447" spans="8:10">
      <c r="H1447" s="156"/>
      <c r="I1447" s="156"/>
      <c r="J1447" s="156"/>
    </row>
    <row r="1448" spans="8:10">
      <c r="H1448" s="156"/>
      <c r="I1448" s="156"/>
      <c r="J1448" s="156"/>
    </row>
    <row r="1449" spans="8:10">
      <c r="H1449" s="156"/>
      <c r="I1449" s="156"/>
      <c r="J1449" s="156"/>
    </row>
    <row r="1450" spans="8:10">
      <c r="H1450" s="156"/>
      <c r="I1450" s="156"/>
      <c r="J1450" s="156"/>
    </row>
    <row r="1451" spans="8:10">
      <c r="H1451" s="156"/>
      <c r="I1451" s="156"/>
      <c r="J1451" s="156"/>
    </row>
    <row r="1452" spans="8:10">
      <c r="H1452" s="156"/>
      <c r="I1452" s="156"/>
      <c r="J1452" s="156"/>
    </row>
    <row r="1453" spans="8:10">
      <c r="H1453" s="156"/>
      <c r="I1453" s="156"/>
      <c r="J1453" s="156"/>
    </row>
    <row r="1454" spans="8:10">
      <c r="H1454" s="156"/>
      <c r="I1454" s="156"/>
      <c r="J1454" s="156"/>
    </row>
    <row r="1455" spans="8:10">
      <c r="H1455" s="156"/>
      <c r="I1455" s="156"/>
      <c r="J1455" s="156"/>
    </row>
    <row r="1456" spans="8:10">
      <c r="H1456" s="156"/>
      <c r="I1456" s="156"/>
      <c r="J1456" s="156"/>
    </row>
    <row r="1457" spans="8:10">
      <c r="H1457" s="156"/>
      <c r="I1457" s="156"/>
      <c r="J1457" s="156"/>
    </row>
    <row r="1458" spans="8:10">
      <c r="H1458" s="156"/>
      <c r="I1458" s="156"/>
      <c r="J1458" s="156"/>
    </row>
    <row r="1459" spans="8:10">
      <c r="H1459" s="156"/>
      <c r="I1459" s="156"/>
      <c r="J1459" s="156"/>
    </row>
    <row r="1460" spans="8:10">
      <c r="H1460" s="156"/>
      <c r="I1460" s="156"/>
      <c r="J1460" s="156"/>
    </row>
    <row r="1461" spans="8:10">
      <c r="H1461" s="156"/>
      <c r="I1461" s="156"/>
      <c r="J1461" s="156"/>
    </row>
    <row r="1462" spans="8:10">
      <c r="H1462" s="156"/>
      <c r="I1462" s="156"/>
      <c r="J1462" s="156"/>
    </row>
    <row r="1463" spans="8:10">
      <c r="H1463" s="156"/>
      <c r="I1463" s="156"/>
      <c r="J1463" s="156"/>
    </row>
    <row r="1464" spans="8:10">
      <c r="H1464" s="156"/>
      <c r="I1464" s="156"/>
      <c r="J1464" s="156"/>
    </row>
    <row r="1465" spans="8:10">
      <c r="H1465" s="156"/>
      <c r="I1465" s="156"/>
      <c r="J1465" s="156"/>
    </row>
    <row r="1466" spans="8:10">
      <c r="H1466" s="156"/>
      <c r="I1466" s="156"/>
      <c r="J1466" s="156"/>
    </row>
    <row r="1467" spans="8:10">
      <c r="H1467" s="156"/>
      <c r="I1467" s="156"/>
      <c r="J1467" s="156"/>
    </row>
    <row r="1468" spans="8:10">
      <c r="H1468" s="156"/>
      <c r="I1468" s="156"/>
      <c r="J1468" s="156"/>
    </row>
    <row r="1469" spans="8:10">
      <c r="H1469" s="156"/>
      <c r="I1469" s="156"/>
      <c r="J1469" s="156"/>
    </row>
    <row r="1470" spans="8:10">
      <c r="H1470" s="156"/>
      <c r="I1470" s="156"/>
      <c r="J1470" s="156"/>
    </row>
    <row r="1471" spans="8:10">
      <c r="H1471" s="156"/>
      <c r="I1471" s="156"/>
      <c r="J1471" s="156"/>
    </row>
    <row r="1472" spans="8:10">
      <c r="H1472" s="156"/>
      <c r="I1472" s="156"/>
      <c r="J1472" s="156"/>
    </row>
    <row r="1473" spans="8:10">
      <c r="H1473" s="156"/>
      <c r="I1473" s="156"/>
      <c r="J1473" s="156"/>
    </row>
    <row r="1474" spans="8:10">
      <c r="H1474" s="156"/>
      <c r="I1474" s="156"/>
      <c r="J1474" s="156"/>
    </row>
    <row r="1475" spans="8:10">
      <c r="H1475" s="156"/>
      <c r="I1475" s="156"/>
      <c r="J1475" s="156"/>
    </row>
    <row r="1476" spans="8:10">
      <c r="H1476" s="156"/>
      <c r="I1476" s="156"/>
      <c r="J1476" s="156"/>
    </row>
    <row r="1477" spans="8:10">
      <c r="H1477" s="156"/>
      <c r="I1477" s="156"/>
      <c r="J1477" s="156"/>
    </row>
    <row r="1478" spans="8:10">
      <c r="H1478" s="156"/>
      <c r="I1478" s="156"/>
      <c r="J1478" s="156"/>
    </row>
    <row r="1479" spans="8:10">
      <c r="H1479" s="156"/>
      <c r="I1479" s="156"/>
      <c r="J1479" s="156"/>
    </row>
    <row r="1480" spans="8:10">
      <c r="H1480" s="156"/>
      <c r="I1480" s="156"/>
      <c r="J1480" s="156"/>
    </row>
    <row r="1481" spans="8:10">
      <c r="H1481" s="156"/>
      <c r="I1481" s="156"/>
      <c r="J1481" s="156"/>
    </row>
    <row r="1482" spans="8:10">
      <c r="H1482" s="156"/>
      <c r="I1482" s="156"/>
      <c r="J1482" s="156"/>
    </row>
    <row r="1483" spans="8:10">
      <c r="H1483" s="156"/>
      <c r="I1483" s="156"/>
      <c r="J1483" s="156"/>
    </row>
    <row r="1484" spans="8:10">
      <c r="H1484" s="156"/>
      <c r="I1484" s="156"/>
      <c r="J1484" s="156"/>
    </row>
    <row r="1485" spans="8:10">
      <c r="H1485" s="156"/>
      <c r="I1485" s="156"/>
      <c r="J1485" s="156"/>
    </row>
    <row r="1486" spans="8:10">
      <c r="H1486" s="156"/>
      <c r="I1486" s="156"/>
      <c r="J1486" s="156"/>
    </row>
    <row r="1487" spans="8:10">
      <c r="H1487" s="156"/>
      <c r="I1487" s="156"/>
      <c r="J1487" s="156"/>
    </row>
    <row r="1488" spans="8:10">
      <c r="H1488" s="156"/>
      <c r="I1488" s="156"/>
      <c r="J1488" s="156"/>
    </row>
    <row r="1489" spans="8:10">
      <c r="H1489" s="156"/>
      <c r="I1489" s="156"/>
      <c r="J1489" s="156"/>
    </row>
    <row r="1490" spans="8:10">
      <c r="H1490" s="156"/>
      <c r="I1490" s="156"/>
      <c r="J1490" s="156"/>
    </row>
    <row r="1491" spans="8:10">
      <c r="H1491" s="156"/>
      <c r="I1491" s="156"/>
      <c r="J1491" s="156"/>
    </row>
    <row r="1492" spans="8:10">
      <c r="H1492" s="156"/>
      <c r="I1492" s="156"/>
      <c r="J1492" s="156"/>
    </row>
    <row r="1493" spans="8:10">
      <c r="H1493" s="156"/>
      <c r="I1493" s="156"/>
      <c r="J1493" s="156"/>
    </row>
    <row r="1494" spans="8:10">
      <c r="H1494" s="156"/>
      <c r="I1494" s="156"/>
      <c r="J1494" s="156"/>
    </row>
    <row r="1495" spans="8:10">
      <c r="H1495" s="156"/>
      <c r="I1495" s="156"/>
      <c r="J1495" s="156"/>
    </row>
    <row r="1496" spans="8:10">
      <c r="H1496" s="156"/>
      <c r="I1496" s="156"/>
      <c r="J1496" s="156"/>
    </row>
    <row r="1497" spans="8:10">
      <c r="H1497" s="156"/>
      <c r="I1497" s="156"/>
      <c r="J1497" s="156"/>
    </row>
    <row r="1498" spans="8:10">
      <c r="H1498" s="156"/>
      <c r="I1498" s="156"/>
      <c r="J1498" s="156"/>
    </row>
    <row r="1499" spans="8:10">
      <c r="H1499" s="156"/>
      <c r="I1499" s="156"/>
      <c r="J1499" s="156"/>
    </row>
    <row r="1500" spans="8:10">
      <c r="H1500" s="156"/>
      <c r="I1500" s="156"/>
      <c r="J1500" s="156"/>
    </row>
    <row r="1501" spans="8:10">
      <c r="H1501" s="156"/>
      <c r="I1501" s="156"/>
      <c r="J1501" s="156"/>
    </row>
    <row r="1502" spans="8:10">
      <c r="H1502" s="156"/>
      <c r="I1502" s="156"/>
      <c r="J1502" s="156"/>
    </row>
    <row r="1503" spans="8:10">
      <c r="H1503" s="156"/>
      <c r="I1503" s="156"/>
      <c r="J1503" s="156"/>
    </row>
    <row r="1504" spans="8:10">
      <c r="H1504" s="156"/>
      <c r="I1504" s="156"/>
      <c r="J1504" s="156"/>
    </row>
    <row r="1505" spans="8:10">
      <c r="H1505" s="156"/>
      <c r="I1505" s="156"/>
      <c r="J1505" s="156"/>
    </row>
    <row r="1506" spans="8:10">
      <c r="H1506" s="156"/>
      <c r="I1506" s="156"/>
      <c r="J1506" s="156"/>
    </row>
    <row r="1507" spans="8:10">
      <c r="H1507" s="156"/>
      <c r="I1507" s="156"/>
      <c r="J1507" s="156"/>
    </row>
    <row r="1508" spans="8:10">
      <c r="H1508" s="156"/>
      <c r="I1508" s="156"/>
      <c r="J1508" s="156"/>
    </row>
    <row r="1509" spans="8:10">
      <c r="H1509" s="156"/>
      <c r="I1509" s="156"/>
      <c r="J1509" s="156"/>
    </row>
    <row r="1510" spans="8:10">
      <c r="H1510" s="156"/>
      <c r="I1510" s="156"/>
      <c r="J1510" s="156"/>
    </row>
    <row r="1511" spans="8:10">
      <c r="H1511" s="156"/>
      <c r="I1511" s="156"/>
      <c r="J1511" s="156"/>
    </row>
    <row r="1512" spans="8:10">
      <c r="H1512" s="156"/>
      <c r="I1512" s="156"/>
      <c r="J1512" s="156"/>
    </row>
    <row r="1513" spans="8:10">
      <c r="H1513" s="156"/>
      <c r="I1513" s="156"/>
      <c r="J1513" s="156"/>
    </row>
    <row r="1514" spans="8:10">
      <c r="H1514" s="156"/>
      <c r="I1514" s="156"/>
      <c r="J1514" s="156"/>
    </row>
    <row r="1515" spans="8:10">
      <c r="H1515" s="156"/>
      <c r="I1515" s="156"/>
      <c r="J1515" s="156"/>
    </row>
    <row r="1516" spans="8:10">
      <c r="H1516" s="156"/>
      <c r="I1516" s="156"/>
      <c r="J1516" s="156"/>
    </row>
    <row r="1517" spans="8:10">
      <c r="H1517" s="156"/>
      <c r="I1517" s="156"/>
      <c r="J1517" s="156"/>
    </row>
    <row r="1518" spans="8:10">
      <c r="H1518" s="156"/>
      <c r="I1518" s="156"/>
      <c r="J1518" s="156"/>
    </row>
    <row r="1519" spans="8:10">
      <c r="H1519" s="156"/>
      <c r="I1519" s="156"/>
      <c r="J1519" s="156"/>
    </row>
    <row r="1520" spans="8:10">
      <c r="H1520" s="156"/>
      <c r="I1520" s="156"/>
      <c r="J1520" s="156"/>
    </row>
    <row r="1521" spans="8:10">
      <c r="H1521" s="156"/>
      <c r="I1521" s="156"/>
      <c r="J1521" s="156"/>
    </row>
    <row r="1522" spans="8:10">
      <c r="H1522" s="156"/>
      <c r="I1522" s="156"/>
      <c r="J1522" s="156"/>
    </row>
    <row r="1523" spans="8:10">
      <c r="H1523" s="156"/>
      <c r="I1523" s="156"/>
      <c r="J1523" s="156"/>
    </row>
    <row r="1524" spans="8:10">
      <c r="H1524" s="156"/>
      <c r="I1524" s="156"/>
      <c r="J1524" s="156"/>
    </row>
    <row r="1525" spans="8:10">
      <c r="H1525" s="156"/>
      <c r="I1525" s="156"/>
      <c r="J1525" s="156"/>
    </row>
    <row r="1526" spans="8:10">
      <c r="H1526" s="156"/>
      <c r="I1526" s="156"/>
      <c r="J1526" s="156"/>
    </row>
    <row r="1527" spans="8:10">
      <c r="H1527" s="156"/>
      <c r="I1527" s="156"/>
      <c r="J1527" s="156"/>
    </row>
    <row r="1528" spans="8:10">
      <c r="H1528" s="156"/>
      <c r="I1528" s="156"/>
      <c r="J1528" s="156"/>
    </row>
    <row r="1529" spans="8:10">
      <c r="H1529" s="156"/>
      <c r="I1529" s="156"/>
      <c r="J1529" s="156"/>
    </row>
    <row r="1530" spans="8:10">
      <c r="H1530" s="156"/>
      <c r="I1530" s="156"/>
      <c r="J1530" s="156"/>
    </row>
    <row r="1531" spans="8:10">
      <c r="H1531" s="156"/>
      <c r="I1531" s="156"/>
      <c r="J1531" s="156"/>
    </row>
    <row r="1532" spans="8:10">
      <c r="H1532" s="156"/>
      <c r="I1532" s="156"/>
      <c r="J1532" s="156"/>
    </row>
    <row r="1533" spans="8:10">
      <c r="H1533" s="156"/>
      <c r="I1533" s="156"/>
      <c r="J1533" s="156"/>
    </row>
    <row r="1534" spans="8:10">
      <c r="H1534" s="156"/>
      <c r="I1534" s="156"/>
      <c r="J1534" s="156"/>
    </row>
    <row r="1535" spans="8:10">
      <c r="H1535" s="156"/>
      <c r="I1535" s="156"/>
      <c r="J1535" s="156"/>
    </row>
    <row r="1536" spans="8:10">
      <c r="H1536" s="156"/>
      <c r="I1536" s="156"/>
      <c r="J1536" s="156"/>
    </row>
    <row r="1537" spans="8:10">
      <c r="H1537" s="156"/>
      <c r="I1537" s="156"/>
      <c r="J1537" s="156"/>
    </row>
    <row r="1538" spans="8:10">
      <c r="H1538" s="156"/>
      <c r="I1538" s="156"/>
      <c r="J1538" s="156"/>
    </row>
    <row r="1539" spans="8:10">
      <c r="H1539" s="156"/>
      <c r="I1539" s="156"/>
      <c r="J1539" s="156"/>
    </row>
    <row r="1540" spans="8:10">
      <c r="H1540" s="156"/>
      <c r="I1540" s="156"/>
      <c r="J1540" s="156"/>
    </row>
    <row r="1541" spans="8:10">
      <c r="H1541" s="156"/>
      <c r="I1541" s="156"/>
      <c r="J1541" s="156"/>
    </row>
    <row r="1542" spans="8:10">
      <c r="H1542" s="156"/>
      <c r="I1542" s="156"/>
      <c r="J1542" s="156"/>
    </row>
    <row r="1543" spans="8:10">
      <c r="H1543" s="156"/>
      <c r="I1543" s="156"/>
      <c r="J1543" s="156"/>
    </row>
    <row r="1544" spans="8:10">
      <c r="H1544" s="156"/>
      <c r="I1544" s="156"/>
      <c r="J1544" s="156"/>
    </row>
    <row r="1545" spans="8:10">
      <c r="H1545" s="156"/>
      <c r="I1545" s="156"/>
      <c r="J1545" s="156"/>
    </row>
    <row r="1546" spans="8:10">
      <c r="H1546" s="156"/>
      <c r="I1546" s="156"/>
      <c r="J1546" s="156"/>
    </row>
    <row r="1547" spans="8:10">
      <c r="H1547" s="156"/>
      <c r="I1547" s="156"/>
      <c r="J1547" s="156"/>
    </row>
    <row r="1548" spans="8:10">
      <c r="H1548" s="156"/>
      <c r="I1548" s="156"/>
      <c r="J1548" s="156"/>
    </row>
    <row r="1549" spans="8:10">
      <c r="H1549" s="156"/>
      <c r="I1549" s="156"/>
      <c r="J1549" s="156"/>
    </row>
    <row r="1550" spans="8:10">
      <c r="H1550" s="156"/>
      <c r="I1550" s="156"/>
      <c r="J1550" s="156"/>
    </row>
    <row r="1551" spans="8:10">
      <c r="H1551" s="156"/>
      <c r="I1551" s="156"/>
      <c r="J1551" s="156"/>
    </row>
    <row r="1552" spans="8:10">
      <c r="H1552" s="156"/>
      <c r="I1552" s="156"/>
      <c r="J1552" s="156"/>
    </row>
    <row r="1553" spans="8:10">
      <c r="H1553" s="156"/>
      <c r="I1553" s="156"/>
      <c r="J1553" s="156"/>
    </row>
    <row r="1554" spans="8:10">
      <c r="H1554" s="156"/>
      <c r="I1554" s="156"/>
      <c r="J1554" s="156"/>
    </row>
    <row r="1555" spans="8:10">
      <c r="H1555" s="156"/>
      <c r="I1555" s="156"/>
      <c r="J1555" s="156"/>
    </row>
    <row r="1556" spans="8:10">
      <c r="H1556" s="156"/>
      <c r="I1556" s="156"/>
      <c r="J1556" s="156"/>
    </row>
    <row r="1557" spans="8:10">
      <c r="H1557" s="156"/>
      <c r="I1557" s="156"/>
      <c r="J1557" s="156"/>
    </row>
    <row r="1558" spans="8:10">
      <c r="H1558" s="156"/>
      <c r="I1558" s="156"/>
      <c r="J1558" s="156"/>
    </row>
    <row r="1559" spans="8:10">
      <c r="H1559" s="156"/>
      <c r="I1559" s="156"/>
      <c r="J1559" s="156"/>
    </row>
    <row r="1560" spans="8:10">
      <c r="H1560" s="156"/>
      <c r="I1560" s="156"/>
      <c r="J1560" s="156"/>
    </row>
    <row r="1561" spans="8:10">
      <c r="H1561" s="156"/>
      <c r="I1561" s="156"/>
      <c r="J1561" s="156"/>
    </row>
    <row r="1562" spans="8:10">
      <c r="H1562" s="156"/>
      <c r="I1562" s="156"/>
      <c r="J1562" s="156"/>
    </row>
    <row r="1563" spans="8:10">
      <c r="H1563" s="156"/>
      <c r="I1563" s="156"/>
      <c r="J1563" s="156"/>
    </row>
    <row r="1564" spans="8:10">
      <c r="H1564" s="156"/>
      <c r="I1564" s="156"/>
      <c r="J1564" s="156"/>
    </row>
    <row r="1565" spans="8:10">
      <c r="H1565" s="156"/>
      <c r="I1565" s="156"/>
      <c r="J1565" s="156"/>
    </row>
    <row r="1566" spans="8:10">
      <c r="H1566" s="156"/>
      <c r="I1566" s="156"/>
      <c r="J1566" s="156"/>
    </row>
    <row r="1567" spans="8:10">
      <c r="H1567" s="156"/>
      <c r="I1567" s="156"/>
      <c r="J1567" s="156"/>
    </row>
    <row r="1568" spans="8:10">
      <c r="H1568" s="156"/>
      <c r="I1568" s="156"/>
      <c r="J1568" s="156"/>
    </row>
    <row r="1569" spans="8:10">
      <c r="H1569" s="156"/>
      <c r="I1569" s="156"/>
      <c r="J1569" s="156"/>
    </row>
    <row r="1570" spans="8:10">
      <c r="H1570" s="156"/>
      <c r="I1570" s="156"/>
      <c r="J1570" s="156"/>
    </row>
    <row r="1571" spans="8:10">
      <c r="H1571" s="156"/>
      <c r="I1571" s="156"/>
      <c r="J1571" s="156"/>
    </row>
    <row r="1572" spans="8:10">
      <c r="H1572" s="156"/>
      <c r="I1572" s="156"/>
      <c r="J1572" s="156"/>
    </row>
    <row r="1573" spans="8:10">
      <c r="H1573" s="156"/>
      <c r="I1573" s="156"/>
      <c r="J1573" s="156"/>
    </row>
    <row r="1574" spans="8:10">
      <c r="H1574" s="156"/>
      <c r="I1574" s="156"/>
      <c r="J1574" s="156"/>
    </row>
    <row r="1575" spans="8:10">
      <c r="H1575" s="156"/>
      <c r="I1575" s="156"/>
      <c r="J1575" s="156"/>
    </row>
    <row r="1576" spans="8:10">
      <c r="H1576" s="156"/>
      <c r="I1576" s="156"/>
      <c r="J1576" s="156"/>
    </row>
    <row r="1577" spans="8:10">
      <c r="H1577" s="156"/>
      <c r="I1577" s="156"/>
      <c r="J1577" s="156"/>
    </row>
    <row r="1578" spans="8:10">
      <c r="H1578" s="156"/>
      <c r="I1578" s="156"/>
      <c r="J1578" s="156"/>
    </row>
    <row r="1579" spans="8:10">
      <c r="H1579" s="156"/>
      <c r="I1579" s="156"/>
      <c r="J1579" s="156"/>
    </row>
    <row r="1580" spans="8:10">
      <c r="H1580" s="156"/>
      <c r="I1580" s="156"/>
      <c r="J1580" s="156"/>
    </row>
    <row r="1581" spans="8:10">
      <c r="H1581" s="156"/>
      <c r="I1581" s="156"/>
      <c r="J1581" s="156"/>
    </row>
    <row r="1582" spans="8:10">
      <c r="H1582" s="156"/>
      <c r="I1582" s="156"/>
      <c r="J1582" s="156"/>
    </row>
    <row r="1583" spans="8:10">
      <c r="H1583" s="156"/>
      <c r="I1583" s="156"/>
      <c r="J1583" s="156"/>
    </row>
    <row r="1584" spans="8:10">
      <c r="H1584" s="156"/>
      <c r="I1584" s="156"/>
      <c r="J1584" s="156"/>
    </row>
    <row r="1585" spans="8:10">
      <c r="H1585" s="156"/>
      <c r="I1585" s="156"/>
      <c r="J1585" s="156"/>
    </row>
    <row r="1586" spans="8:10">
      <c r="H1586" s="156"/>
      <c r="I1586" s="156"/>
      <c r="J1586" s="156"/>
    </row>
    <row r="1587" spans="8:10">
      <c r="H1587" s="156"/>
      <c r="I1587" s="156"/>
      <c r="J1587" s="156"/>
    </row>
    <row r="1588" spans="8:10">
      <c r="H1588" s="156"/>
      <c r="I1588" s="156"/>
      <c r="J1588" s="156"/>
    </row>
    <row r="1589" spans="8:10">
      <c r="H1589" s="156"/>
      <c r="I1589" s="156"/>
      <c r="J1589" s="156"/>
    </row>
    <row r="1590" spans="8:10">
      <c r="H1590" s="156"/>
      <c r="I1590" s="156"/>
      <c r="J1590" s="156"/>
    </row>
    <row r="1591" spans="8:10">
      <c r="H1591" s="156"/>
      <c r="I1591" s="156"/>
      <c r="J1591" s="156"/>
    </row>
    <row r="1592" spans="8:10">
      <c r="H1592" s="156"/>
      <c r="I1592" s="156"/>
      <c r="J1592" s="156"/>
    </row>
    <row r="1593" spans="8:10">
      <c r="H1593" s="156"/>
      <c r="I1593" s="156"/>
      <c r="J1593" s="156"/>
    </row>
    <row r="1594" spans="8:10">
      <c r="H1594" s="156"/>
      <c r="I1594" s="156"/>
      <c r="J1594" s="156"/>
    </row>
    <row r="1595" spans="8:10">
      <c r="H1595" s="156"/>
      <c r="I1595" s="156"/>
      <c r="J1595" s="156"/>
    </row>
    <row r="1596" spans="8:10">
      <c r="H1596" s="156"/>
      <c r="I1596" s="156"/>
      <c r="J1596" s="156"/>
    </row>
    <row r="1597" spans="8:10">
      <c r="H1597" s="156"/>
      <c r="I1597" s="156"/>
      <c r="J1597" s="156"/>
    </row>
    <row r="1598" spans="8:10">
      <c r="H1598" s="156"/>
      <c r="I1598" s="156"/>
      <c r="J1598" s="156"/>
    </row>
    <row r="1599" spans="8:10">
      <c r="H1599" s="156"/>
      <c r="I1599" s="156"/>
      <c r="J1599" s="156"/>
    </row>
    <row r="1600" spans="8:10">
      <c r="H1600" s="156"/>
      <c r="I1600" s="156"/>
      <c r="J1600" s="156"/>
    </row>
    <row r="1601" spans="8:10">
      <c r="H1601" s="156"/>
      <c r="I1601" s="156"/>
      <c r="J1601" s="156"/>
    </row>
    <row r="1602" spans="8:10">
      <c r="H1602" s="156"/>
      <c r="I1602" s="156"/>
      <c r="J1602" s="156"/>
    </row>
    <row r="1603" spans="8:10">
      <c r="H1603" s="156"/>
      <c r="I1603" s="156"/>
      <c r="J1603" s="156"/>
    </row>
    <row r="1604" spans="8:10">
      <c r="H1604" s="156"/>
      <c r="I1604" s="156"/>
      <c r="J1604" s="156"/>
    </row>
    <row r="1605" spans="8:10">
      <c r="H1605" s="156"/>
      <c r="I1605" s="156"/>
      <c r="J1605" s="156"/>
    </row>
    <row r="1606" spans="8:10">
      <c r="H1606" s="156"/>
      <c r="I1606" s="156"/>
      <c r="J1606" s="156"/>
    </row>
    <row r="1607" spans="8:10">
      <c r="H1607" s="156"/>
      <c r="I1607" s="156"/>
      <c r="J1607" s="156"/>
    </row>
    <row r="1608" spans="8:10">
      <c r="H1608" s="156"/>
      <c r="I1608" s="156"/>
      <c r="J1608" s="156"/>
    </row>
    <row r="1609" spans="8:10">
      <c r="H1609" s="156"/>
      <c r="I1609" s="156"/>
      <c r="J1609" s="156"/>
    </row>
    <row r="1610" spans="8:10">
      <c r="H1610" s="156"/>
      <c r="I1610" s="156"/>
      <c r="J1610" s="156"/>
    </row>
    <row r="1611" spans="8:10">
      <c r="H1611" s="156"/>
      <c r="I1611" s="156"/>
      <c r="J1611" s="156"/>
    </row>
    <row r="1612" spans="8:10">
      <c r="H1612" s="156"/>
      <c r="I1612" s="156"/>
      <c r="J1612" s="156"/>
    </row>
    <row r="1613" spans="8:10">
      <c r="H1613" s="156"/>
      <c r="I1613" s="156"/>
      <c r="J1613" s="156"/>
    </row>
    <row r="1614" spans="8:10">
      <c r="H1614" s="156"/>
      <c r="I1614" s="156"/>
      <c r="J1614" s="156"/>
    </row>
    <row r="1615" spans="8:10">
      <c r="H1615" s="156"/>
      <c r="I1615" s="156"/>
      <c r="J1615" s="156"/>
    </row>
    <row r="1616" spans="8:10">
      <c r="H1616" s="156"/>
      <c r="I1616" s="156"/>
      <c r="J1616" s="156"/>
    </row>
    <row r="1617" spans="8:10">
      <c r="H1617" s="156"/>
      <c r="I1617" s="156"/>
      <c r="J1617" s="156"/>
    </row>
    <row r="1618" spans="8:10">
      <c r="H1618" s="156"/>
      <c r="I1618" s="156"/>
      <c r="J1618" s="156"/>
    </row>
    <row r="1619" spans="8:10">
      <c r="H1619" s="156"/>
      <c r="I1619" s="156"/>
      <c r="J1619" s="156"/>
    </row>
    <row r="1620" spans="8:10">
      <c r="H1620" s="156"/>
      <c r="I1620" s="156"/>
      <c r="J1620" s="156"/>
    </row>
    <row r="1621" spans="8:10">
      <c r="H1621" s="156"/>
      <c r="I1621" s="156"/>
      <c r="J1621" s="156"/>
    </row>
    <row r="1622" spans="8:10">
      <c r="H1622" s="156"/>
      <c r="I1622" s="156"/>
      <c r="J1622" s="156"/>
    </row>
    <row r="1623" spans="8:10">
      <c r="H1623" s="156"/>
      <c r="I1623" s="156"/>
      <c r="J1623" s="156"/>
    </row>
    <row r="1624" spans="8:10">
      <c r="H1624" s="156"/>
      <c r="I1624" s="156"/>
      <c r="J1624" s="156"/>
    </row>
    <row r="1625" spans="8:10">
      <c r="H1625" s="156"/>
      <c r="I1625" s="156"/>
      <c r="J1625" s="156"/>
    </row>
    <row r="1626" spans="8:10">
      <c r="H1626" s="156"/>
      <c r="I1626" s="156"/>
      <c r="J1626" s="156"/>
    </row>
    <row r="1627" spans="8:10">
      <c r="H1627" s="156"/>
      <c r="I1627" s="156"/>
      <c r="J1627" s="156"/>
    </row>
    <row r="1628" spans="8:10">
      <c r="H1628" s="156"/>
      <c r="I1628" s="156"/>
      <c r="J1628" s="156"/>
    </row>
    <row r="1629" spans="8:10">
      <c r="H1629" s="156"/>
      <c r="I1629" s="156"/>
      <c r="J1629" s="156"/>
    </row>
    <row r="1630" spans="8:10">
      <c r="H1630" s="156"/>
      <c r="I1630" s="156"/>
      <c r="J1630" s="156"/>
    </row>
    <row r="1631" spans="8:10">
      <c r="H1631" s="156"/>
      <c r="I1631" s="156"/>
      <c r="J1631" s="156"/>
    </row>
    <row r="1632" spans="8:10">
      <c r="H1632" s="156"/>
      <c r="I1632" s="156"/>
      <c r="J1632" s="156"/>
    </row>
    <row r="1633" spans="8:10">
      <c r="H1633" s="156"/>
      <c r="I1633" s="156"/>
      <c r="J1633" s="156"/>
    </row>
    <row r="1634" spans="8:10">
      <c r="H1634" s="156"/>
      <c r="I1634" s="156"/>
      <c r="J1634" s="156"/>
    </row>
    <row r="1635" spans="8:10">
      <c r="H1635" s="156"/>
      <c r="I1635" s="156"/>
      <c r="J1635" s="156"/>
    </row>
    <row r="1636" spans="8:10">
      <c r="H1636" s="156"/>
      <c r="I1636" s="156"/>
      <c r="J1636" s="156"/>
    </row>
    <row r="1637" spans="8:10">
      <c r="H1637" s="156"/>
      <c r="I1637" s="156"/>
      <c r="J1637" s="156"/>
    </row>
    <row r="1638" spans="8:10">
      <c r="H1638" s="156"/>
      <c r="I1638" s="156"/>
      <c r="J1638" s="156"/>
    </row>
    <row r="1639" spans="8:10">
      <c r="H1639" s="156"/>
      <c r="I1639" s="156"/>
      <c r="J1639" s="156"/>
    </row>
    <row r="1640" spans="8:10">
      <c r="H1640" s="156"/>
      <c r="I1640" s="156"/>
      <c r="J1640" s="156"/>
    </row>
    <row r="1641" spans="8:10">
      <c r="H1641" s="156"/>
      <c r="I1641" s="156"/>
      <c r="J1641" s="156"/>
    </row>
    <row r="1642" spans="8:10">
      <c r="H1642" s="156"/>
      <c r="I1642" s="156"/>
      <c r="J1642" s="156"/>
    </row>
    <row r="1643" spans="8:10">
      <c r="H1643" s="156"/>
      <c r="I1643" s="156"/>
      <c r="J1643" s="156"/>
    </row>
    <row r="1644" spans="8:10">
      <c r="H1644" s="156"/>
      <c r="I1644" s="156"/>
      <c r="J1644" s="156"/>
    </row>
    <row r="1645" spans="8:10">
      <c r="H1645" s="156"/>
      <c r="I1645" s="156"/>
      <c r="J1645" s="156"/>
    </row>
    <row r="1646" spans="8:10">
      <c r="H1646" s="156"/>
      <c r="I1646" s="156"/>
      <c r="J1646" s="156"/>
    </row>
    <row r="1647" spans="8:10">
      <c r="H1647" s="156"/>
      <c r="I1647" s="156"/>
      <c r="J1647" s="156"/>
    </row>
    <row r="1648" spans="8:10">
      <c r="H1648" s="156"/>
      <c r="I1648" s="156"/>
      <c r="J1648" s="156"/>
    </row>
    <row r="1649" spans="8:10">
      <c r="H1649" s="156"/>
      <c r="I1649" s="156"/>
      <c r="J1649" s="156"/>
    </row>
    <row r="1650" spans="8:10">
      <c r="H1650" s="156"/>
      <c r="I1650" s="156"/>
      <c r="J1650" s="156"/>
    </row>
    <row r="1651" spans="8:10">
      <c r="H1651" s="156"/>
      <c r="I1651" s="156"/>
      <c r="J1651" s="156"/>
    </row>
    <row r="1652" spans="8:10">
      <c r="H1652" s="156"/>
      <c r="I1652" s="156"/>
      <c r="J1652" s="156"/>
    </row>
    <row r="1653" spans="8:10">
      <c r="H1653" s="156"/>
      <c r="I1653" s="156"/>
      <c r="J1653" s="156"/>
    </row>
    <row r="1654" spans="8:10">
      <c r="H1654" s="156"/>
      <c r="I1654" s="156"/>
      <c r="J1654" s="156"/>
    </row>
    <row r="1655" spans="8:10">
      <c r="H1655" s="156"/>
      <c r="I1655" s="156"/>
      <c r="J1655" s="156"/>
    </row>
    <row r="1656" spans="8:10">
      <c r="H1656" s="156"/>
      <c r="I1656" s="156"/>
      <c r="J1656" s="156"/>
    </row>
    <row r="1657" spans="8:10">
      <c r="H1657" s="156"/>
      <c r="I1657" s="156"/>
      <c r="J1657" s="156"/>
    </row>
    <row r="1658" spans="8:10">
      <c r="H1658" s="156"/>
      <c r="I1658" s="156"/>
      <c r="J1658" s="156"/>
    </row>
    <row r="1659" spans="8:10">
      <c r="H1659" s="156"/>
      <c r="I1659" s="156"/>
      <c r="J1659" s="156"/>
    </row>
    <row r="1660" spans="8:10">
      <c r="H1660" s="156"/>
      <c r="I1660" s="156"/>
      <c r="J1660" s="156"/>
    </row>
    <row r="1661" spans="8:10">
      <c r="H1661" s="156"/>
      <c r="I1661" s="156"/>
      <c r="J1661" s="156"/>
    </row>
    <row r="1662" spans="8:10">
      <c r="H1662" s="156"/>
      <c r="I1662" s="156"/>
      <c r="J1662" s="156"/>
    </row>
    <row r="1663" spans="8:10">
      <c r="H1663" s="156"/>
      <c r="I1663" s="156"/>
      <c r="J1663" s="156"/>
    </row>
    <row r="1664" spans="8:10">
      <c r="H1664" s="156"/>
      <c r="I1664" s="156"/>
      <c r="J1664" s="156"/>
    </row>
    <row r="1665" spans="8:10">
      <c r="H1665" s="156"/>
      <c r="I1665" s="156"/>
      <c r="J1665" s="156"/>
    </row>
    <row r="1666" spans="8:10">
      <c r="H1666" s="156"/>
      <c r="I1666" s="156"/>
      <c r="J1666" s="156"/>
    </row>
    <row r="1667" spans="8:10">
      <c r="H1667" s="156"/>
      <c r="I1667" s="156"/>
      <c r="J1667" s="156"/>
    </row>
    <row r="1668" spans="8:10">
      <c r="H1668" s="156"/>
      <c r="I1668" s="156"/>
      <c r="J1668" s="156"/>
    </row>
    <row r="1669" spans="8:10">
      <c r="H1669" s="156"/>
      <c r="I1669" s="156"/>
      <c r="J1669" s="156"/>
    </row>
    <row r="1670" spans="8:10">
      <c r="H1670" s="156"/>
      <c r="I1670" s="156"/>
      <c r="J1670" s="156"/>
    </row>
    <row r="1671" spans="8:10">
      <c r="H1671" s="156"/>
      <c r="I1671" s="156"/>
      <c r="J1671" s="156"/>
    </row>
    <row r="1672" spans="8:10">
      <c r="H1672" s="156"/>
      <c r="I1672" s="156"/>
      <c r="J1672" s="156"/>
    </row>
    <row r="1673" spans="8:10">
      <c r="H1673" s="156"/>
      <c r="I1673" s="156"/>
      <c r="J1673" s="156"/>
    </row>
    <row r="1674" spans="8:10">
      <c r="H1674" s="156"/>
      <c r="I1674" s="156"/>
      <c r="J1674" s="156"/>
    </row>
    <row r="1675" spans="8:10">
      <c r="H1675" s="156"/>
      <c r="I1675" s="156"/>
      <c r="J1675" s="156"/>
    </row>
    <row r="1676" spans="8:10">
      <c r="H1676" s="156"/>
      <c r="I1676" s="156"/>
      <c r="J1676" s="156"/>
    </row>
    <row r="1677" spans="8:10">
      <c r="H1677" s="156"/>
      <c r="I1677" s="156"/>
      <c r="J1677" s="156"/>
    </row>
    <row r="1678" spans="8:10">
      <c r="H1678" s="156"/>
      <c r="I1678" s="156"/>
      <c r="J1678" s="156"/>
    </row>
    <row r="1679" spans="8:10">
      <c r="H1679" s="156"/>
      <c r="I1679" s="156"/>
      <c r="J1679" s="156"/>
    </row>
    <row r="1680" spans="8:10">
      <c r="H1680" s="156"/>
      <c r="I1680" s="156"/>
      <c r="J1680" s="156"/>
    </row>
    <row r="1681" spans="8:10">
      <c r="H1681" s="156"/>
      <c r="I1681" s="156"/>
      <c r="J1681" s="156"/>
    </row>
    <row r="1682" spans="8:10">
      <c r="H1682" s="156"/>
      <c r="I1682" s="156"/>
      <c r="J1682" s="156"/>
    </row>
    <row r="1683" spans="8:10">
      <c r="H1683" s="156"/>
      <c r="I1683" s="156"/>
      <c r="J1683" s="156"/>
    </row>
    <row r="1684" spans="8:10">
      <c r="H1684" s="156"/>
      <c r="I1684" s="156"/>
      <c r="J1684" s="156"/>
    </row>
    <row r="1685" spans="8:10">
      <c r="H1685" s="156"/>
      <c r="I1685" s="156"/>
      <c r="J1685" s="156"/>
    </row>
    <row r="1686" spans="8:10">
      <c r="H1686" s="156"/>
      <c r="I1686" s="156"/>
      <c r="J1686" s="156"/>
    </row>
    <row r="1687" spans="8:10">
      <c r="H1687" s="156"/>
      <c r="I1687" s="156"/>
      <c r="J1687" s="156"/>
    </row>
    <row r="1688" spans="8:10">
      <c r="H1688" s="156"/>
      <c r="I1688" s="156"/>
      <c r="J1688" s="156"/>
    </row>
    <row r="1689" spans="8:10">
      <c r="H1689" s="156"/>
      <c r="I1689" s="156"/>
      <c r="J1689" s="156"/>
    </row>
    <row r="1690" spans="8:10">
      <c r="H1690" s="156"/>
      <c r="I1690" s="156"/>
      <c r="J1690" s="156"/>
    </row>
    <row r="1691" spans="8:10">
      <c r="H1691" s="156"/>
      <c r="I1691" s="156"/>
      <c r="J1691" s="156"/>
    </row>
    <row r="1692" spans="8:10">
      <c r="H1692" s="156"/>
      <c r="I1692" s="156"/>
      <c r="J1692" s="156"/>
    </row>
    <row r="1693" spans="8:10">
      <c r="H1693" s="156"/>
      <c r="I1693" s="156"/>
      <c r="J1693" s="156"/>
    </row>
    <row r="1694" spans="8:10">
      <c r="H1694" s="156"/>
      <c r="I1694" s="156"/>
      <c r="J1694" s="156"/>
    </row>
    <row r="1695" spans="8:10">
      <c r="H1695" s="156"/>
      <c r="I1695" s="156"/>
      <c r="J1695" s="156"/>
    </row>
    <row r="1696" spans="8:10">
      <c r="H1696" s="156"/>
      <c r="I1696" s="156"/>
      <c r="J1696" s="156"/>
    </row>
    <row r="1697" spans="8:10">
      <c r="H1697" s="156"/>
      <c r="I1697" s="156"/>
      <c r="J1697" s="156"/>
    </row>
    <row r="1698" spans="8:10">
      <c r="H1698" s="156"/>
      <c r="I1698" s="156"/>
      <c r="J1698" s="156"/>
    </row>
    <row r="1699" spans="8:10">
      <c r="H1699" s="156"/>
      <c r="I1699" s="156"/>
      <c r="J1699" s="156"/>
    </row>
    <row r="1700" spans="8:10">
      <c r="H1700" s="156"/>
      <c r="I1700" s="156"/>
      <c r="J1700" s="156"/>
    </row>
    <row r="1701" spans="8:10">
      <c r="H1701" s="156"/>
      <c r="I1701" s="156"/>
      <c r="J1701" s="156"/>
    </row>
    <row r="1702" spans="8:10">
      <c r="H1702" s="156"/>
      <c r="I1702" s="156"/>
      <c r="J1702" s="156"/>
    </row>
    <row r="1703" spans="8:10">
      <c r="H1703" s="156"/>
      <c r="I1703" s="156"/>
      <c r="J1703" s="156"/>
    </row>
    <row r="1704" spans="8:10">
      <c r="H1704" s="156"/>
      <c r="I1704" s="156"/>
      <c r="J1704" s="156"/>
    </row>
    <row r="1705" spans="8:10">
      <c r="H1705" s="156"/>
      <c r="I1705" s="156"/>
      <c r="J1705" s="156"/>
    </row>
    <row r="1706" spans="8:10">
      <c r="H1706" s="156"/>
      <c r="I1706" s="156"/>
      <c r="J1706" s="156"/>
    </row>
    <row r="1707" spans="8:10">
      <c r="H1707" s="156"/>
      <c r="I1707" s="156"/>
      <c r="J1707" s="156"/>
    </row>
    <row r="1708" spans="8:10">
      <c r="H1708" s="156"/>
      <c r="I1708" s="156"/>
      <c r="J1708" s="156"/>
    </row>
    <row r="1709" spans="8:10">
      <c r="H1709" s="156"/>
      <c r="I1709" s="156"/>
      <c r="J1709" s="156"/>
    </row>
    <row r="1710" spans="8:10">
      <c r="H1710" s="156"/>
      <c r="I1710" s="156"/>
      <c r="J1710" s="156"/>
    </row>
    <row r="1711" spans="8:10">
      <c r="H1711" s="156"/>
      <c r="I1711" s="156"/>
      <c r="J1711" s="156"/>
    </row>
    <row r="1712" spans="8:10">
      <c r="H1712" s="156"/>
      <c r="I1712" s="156"/>
      <c r="J1712" s="156"/>
    </row>
    <row r="1713" spans="8:10">
      <c r="H1713" s="156"/>
      <c r="I1713" s="156"/>
      <c r="J1713" s="156"/>
    </row>
    <row r="1714" spans="8:10">
      <c r="H1714" s="156"/>
      <c r="I1714" s="156"/>
      <c r="J1714" s="156"/>
    </row>
    <row r="1715" spans="8:10">
      <c r="H1715" s="156"/>
      <c r="I1715" s="156"/>
      <c r="J1715" s="156"/>
    </row>
    <row r="1716" spans="8:10">
      <c r="H1716" s="156"/>
      <c r="I1716" s="156"/>
      <c r="J1716" s="156"/>
    </row>
    <row r="1717" spans="8:10">
      <c r="H1717" s="156"/>
      <c r="I1717" s="156"/>
      <c r="J1717" s="156"/>
    </row>
    <row r="1718" spans="8:10">
      <c r="H1718" s="156"/>
      <c r="I1718" s="156"/>
      <c r="J1718" s="156"/>
    </row>
    <row r="1719" spans="8:10">
      <c r="H1719" s="156"/>
      <c r="I1719" s="156"/>
      <c r="J1719" s="156"/>
    </row>
    <row r="1720" spans="8:10">
      <c r="H1720" s="156"/>
      <c r="I1720" s="156"/>
      <c r="J1720" s="156"/>
    </row>
    <row r="1721" spans="8:10">
      <c r="H1721" s="156"/>
      <c r="I1721" s="156"/>
      <c r="J1721" s="156"/>
    </row>
    <row r="1722" spans="8:10">
      <c r="H1722" s="156"/>
      <c r="I1722" s="156"/>
      <c r="J1722" s="156"/>
    </row>
    <row r="1723" spans="8:10">
      <c r="H1723" s="156"/>
      <c r="I1723" s="156"/>
      <c r="J1723" s="156"/>
    </row>
    <row r="1724" spans="8:10">
      <c r="H1724" s="156"/>
      <c r="I1724" s="156"/>
      <c r="J1724" s="156"/>
    </row>
    <row r="1725" spans="8:10">
      <c r="H1725" s="156"/>
      <c r="I1725" s="156"/>
      <c r="J1725" s="156"/>
    </row>
    <row r="1726" spans="8:10">
      <c r="H1726" s="156"/>
      <c r="I1726" s="156"/>
      <c r="J1726" s="156"/>
    </row>
    <row r="1727" spans="8:10">
      <c r="H1727" s="156"/>
      <c r="I1727" s="156"/>
      <c r="J1727" s="156"/>
    </row>
    <row r="1728" spans="8:10">
      <c r="H1728" s="156"/>
      <c r="I1728" s="156"/>
      <c r="J1728" s="156"/>
    </row>
    <row r="1729" spans="8:10">
      <c r="H1729" s="156"/>
      <c r="I1729" s="156"/>
      <c r="J1729" s="156"/>
    </row>
    <row r="1730" spans="8:10">
      <c r="H1730" s="156"/>
      <c r="I1730" s="156"/>
      <c r="J1730" s="156"/>
    </row>
    <row r="1731" spans="8:10">
      <c r="H1731" s="156"/>
      <c r="I1731" s="156"/>
      <c r="J1731" s="156"/>
    </row>
    <row r="1732" spans="8:10">
      <c r="H1732" s="156"/>
      <c r="I1732" s="156"/>
      <c r="J1732" s="156"/>
    </row>
    <row r="1733" spans="8:10">
      <c r="H1733" s="156"/>
      <c r="I1733" s="156"/>
      <c r="J1733" s="156"/>
    </row>
    <row r="1734" spans="8:10">
      <c r="H1734" s="156"/>
      <c r="I1734" s="156"/>
      <c r="J1734" s="156"/>
    </row>
    <row r="1735" spans="8:10">
      <c r="H1735" s="156"/>
      <c r="I1735" s="156"/>
      <c r="J1735" s="156"/>
    </row>
    <row r="1736" spans="8:10">
      <c r="H1736" s="156"/>
      <c r="I1736" s="156"/>
      <c r="J1736" s="156"/>
    </row>
    <row r="1737" spans="8:10">
      <c r="H1737" s="156"/>
      <c r="I1737" s="156"/>
      <c r="J1737" s="156"/>
    </row>
    <row r="1738" spans="8:10">
      <c r="H1738" s="156"/>
      <c r="I1738" s="156"/>
      <c r="J1738" s="156"/>
    </row>
    <row r="1739" spans="8:10">
      <c r="H1739" s="156"/>
      <c r="I1739" s="156"/>
      <c r="J1739" s="156"/>
    </row>
    <row r="1740" spans="8:10">
      <c r="H1740" s="156"/>
      <c r="I1740" s="156"/>
      <c r="J1740" s="156"/>
    </row>
    <row r="1741" spans="8:10">
      <c r="H1741" s="156"/>
      <c r="I1741" s="156"/>
      <c r="J1741" s="156"/>
    </row>
    <row r="1742" spans="8:10">
      <c r="H1742" s="156"/>
      <c r="I1742" s="156"/>
      <c r="J1742" s="156"/>
    </row>
    <row r="1743" spans="8:10">
      <c r="H1743" s="156"/>
      <c r="I1743" s="156"/>
      <c r="J1743" s="156"/>
    </row>
    <row r="1744" spans="8:10">
      <c r="H1744" s="156"/>
      <c r="I1744" s="156"/>
      <c r="J1744" s="156"/>
    </row>
    <row r="1745" spans="8:10">
      <c r="H1745" s="156"/>
      <c r="I1745" s="156"/>
      <c r="J1745" s="156"/>
    </row>
    <row r="1746" spans="8:10">
      <c r="H1746" s="156"/>
      <c r="I1746" s="156"/>
      <c r="J1746" s="156"/>
    </row>
    <row r="1747" spans="8:10">
      <c r="H1747" s="156"/>
      <c r="I1747" s="156"/>
      <c r="J1747" s="156"/>
    </row>
    <row r="1748" spans="8:10">
      <c r="H1748" s="156"/>
      <c r="I1748" s="156"/>
      <c r="J1748" s="156"/>
    </row>
    <row r="1749" spans="8:10">
      <c r="H1749" s="156"/>
      <c r="I1749" s="156"/>
      <c r="J1749" s="156"/>
    </row>
    <row r="1750" spans="8:10">
      <c r="H1750" s="156"/>
      <c r="I1750" s="156"/>
      <c r="J1750" s="156"/>
    </row>
    <row r="1751" spans="8:10">
      <c r="H1751" s="156"/>
      <c r="I1751" s="156"/>
      <c r="J1751" s="156"/>
    </row>
    <row r="1752" spans="8:10">
      <c r="H1752" s="156"/>
      <c r="I1752" s="156"/>
      <c r="J1752" s="156"/>
    </row>
    <row r="1753" spans="8:10">
      <c r="H1753" s="156"/>
      <c r="I1753" s="156"/>
      <c r="J1753" s="156"/>
    </row>
    <row r="1754" spans="8:10">
      <c r="H1754" s="156"/>
      <c r="I1754" s="156"/>
      <c r="J1754" s="156"/>
    </row>
    <row r="1755" spans="8:10">
      <c r="H1755" s="156"/>
      <c r="I1755" s="156"/>
      <c r="J1755" s="156"/>
    </row>
    <row r="1756" spans="8:10">
      <c r="H1756" s="156"/>
      <c r="I1756" s="156"/>
      <c r="J1756" s="156"/>
    </row>
    <row r="1757" spans="8:10">
      <c r="H1757" s="156"/>
      <c r="I1757" s="156"/>
      <c r="J1757" s="156"/>
    </row>
    <row r="1758" spans="8:10">
      <c r="H1758" s="156"/>
      <c r="I1758" s="156"/>
      <c r="J1758" s="156"/>
    </row>
    <row r="1759" spans="8:10">
      <c r="H1759" s="156"/>
      <c r="I1759" s="156"/>
      <c r="J1759" s="156"/>
    </row>
    <row r="1760" spans="8:10">
      <c r="H1760" s="156"/>
      <c r="I1760" s="156"/>
      <c r="J1760" s="156"/>
    </row>
    <row r="1761" spans="8:10">
      <c r="H1761" s="156"/>
      <c r="I1761" s="156"/>
      <c r="J1761" s="156"/>
    </row>
    <row r="1762" spans="8:10">
      <c r="H1762" s="156"/>
      <c r="I1762" s="156"/>
      <c r="J1762" s="156"/>
    </row>
    <row r="1763" spans="8:10">
      <c r="H1763" s="156"/>
      <c r="I1763" s="156"/>
      <c r="J1763" s="156"/>
    </row>
    <row r="1764" spans="8:10">
      <c r="H1764" s="156"/>
      <c r="I1764" s="156"/>
      <c r="J1764" s="156"/>
    </row>
    <row r="1765" spans="8:10">
      <c r="H1765" s="156"/>
      <c r="I1765" s="156"/>
      <c r="J1765" s="156"/>
    </row>
    <row r="1766" spans="8:10">
      <c r="H1766" s="156"/>
      <c r="I1766" s="156"/>
      <c r="J1766" s="156"/>
    </row>
    <row r="1767" spans="8:10">
      <c r="H1767" s="156"/>
      <c r="I1767" s="156"/>
      <c r="J1767" s="156"/>
    </row>
    <row r="1768" spans="8:10">
      <c r="H1768" s="156"/>
      <c r="I1768" s="156"/>
      <c r="J1768" s="156"/>
    </row>
    <row r="1769" spans="8:10">
      <c r="H1769" s="156"/>
      <c r="I1769" s="156"/>
      <c r="J1769" s="156"/>
    </row>
    <row r="1770" spans="8:10">
      <c r="H1770" s="156"/>
      <c r="I1770" s="156"/>
      <c r="J1770" s="156"/>
    </row>
    <row r="1771" spans="8:10">
      <c r="H1771" s="156"/>
      <c r="I1771" s="156"/>
      <c r="J1771" s="156"/>
    </row>
    <row r="1772" spans="8:10">
      <c r="H1772" s="156"/>
      <c r="I1772" s="156"/>
      <c r="J1772" s="156"/>
    </row>
    <row r="1773" spans="8:10">
      <c r="H1773" s="156"/>
      <c r="I1773" s="156"/>
      <c r="J1773" s="156"/>
    </row>
    <row r="1774" spans="8:10">
      <c r="H1774" s="156"/>
      <c r="I1774" s="156"/>
      <c r="J1774" s="156"/>
    </row>
    <row r="1775" spans="8:10">
      <c r="H1775" s="156"/>
      <c r="I1775" s="156"/>
      <c r="J1775" s="156"/>
    </row>
    <row r="1776" spans="8:10">
      <c r="H1776" s="156"/>
      <c r="I1776" s="156"/>
      <c r="J1776" s="156"/>
    </row>
    <row r="1777" spans="8:10">
      <c r="H1777" s="156"/>
      <c r="I1777" s="156"/>
      <c r="J1777" s="156"/>
    </row>
    <row r="1778" spans="8:10">
      <c r="H1778" s="156"/>
      <c r="I1778" s="156"/>
      <c r="J1778" s="156"/>
    </row>
    <row r="1779" spans="8:10">
      <c r="H1779" s="156"/>
      <c r="I1779" s="156"/>
      <c r="J1779" s="156"/>
    </row>
    <row r="1780" spans="8:10">
      <c r="H1780" s="156"/>
      <c r="I1780" s="156"/>
      <c r="J1780" s="156"/>
    </row>
    <row r="1781" spans="8:10">
      <c r="H1781" s="156"/>
      <c r="I1781" s="156"/>
      <c r="J1781" s="156"/>
    </row>
    <row r="1782" spans="8:10">
      <c r="H1782" s="156"/>
      <c r="I1782" s="156"/>
      <c r="J1782" s="156"/>
    </row>
    <row r="1783" spans="8:10">
      <c r="H1783" s="156"/>
      <c r="I1783" s="156"/>
      <c r="J1783" s="156"/>
    </row>
    <row r="1784" spans="8:10">
      <c r="H1784" s="156"/>
      <c r="I1784" s="156"/>
      <c r="J1784" s="156"/>
    </row>
    <row r="1785" spans="8:10">
      <c r="H1785" s="156"/>
      <c r="I1785" s="156"/>
      <c r="J1785" s="156"/>
    </row>
    <row r="1786" spans="8:10">
      <c r="H1786" s="156"/>
      <c r="I1786" s="156"/>
      <c r="J1786" s="156"/>
    </row>
    <row r="1787" spans="8:10">
      <c r="H1787" s="156"/>
      <c r="I1787" s="156"/>
      <c r="J1787" s="156"/>
    </row>
    <row r="1788" spans="8:10">
      <c r="H1788" s="156"/>
      <c r="I1788" s="156"/>
      <c r="J1788" s="156"/>
    </row>
    <row r="1789" spans="8:10">
      <c r="H1789" s="156"/>
      <c r="I1789" s="156"/>
      <c r="J1789" s="156"/>
    </row>
    <row r="1790" spans="8:10">
      <c r="H1790" s="156"/>
      <c r="I1790" s="156"/>
      <c r="J1790" s="156"/>
    </row>
    <row r="1791" spans="8:10">
      <c r="H1791" s="156"/>
      <c r="I1791" s="156"/>
      <c r="J1791" s="156"/>
    </row>
    <row r="1792" spans="8:10">
      <c r="H1792" s="156"/>
      <c r="I1792" s="156"/>
      <c r="J1792" s="156"/>
    </row>
    <row r="1793" spans="8:10">
      <c r="H1793" s="156"/>
      <c r="I1793" s="156"/>
      <c r="J1793" s="156"/>
    </row>
    <row r="1794" spans="8:10">
      <c r="H1794" s="156"/>
      <c r="I1794" s="156"/>
      <c r="J1794" s="156"/>
    </row>
    <row r="1795" spans="8:10">
      <c r="H1795" s="156"/>
      <c r="I1795" s="156"/>
      <c r="J1795" s="156"/>
    </row>
    <row r="1796" spans="8:10">
      <c r="H1796" s="156"/>
      <c r="I1796" s="156"/>
      <c r="J1796" s="156"/>
    </row>
    <row r="1797" spans="8:10">
      <c r="H1797" s="156"/>
      <c r="I1797" s="156"/>
      <c r="J1797" s="156"/>
    </row>
    <row r="1798" spans="8:10">
      <c r="H1798" s="156"/>
      <c r="I1798" s="156"/>
      <c r="J1798" s="156"/>
    </row>
    <row r="1799" spans="8:10">
      <c r="H1799" s="156"/>
      <c r="I1799" s="156"/>
      <c r="J1799" s="156"/>
    </row>
    <row r="1800" spans="8:10">
      <c r="H1800" s="156"/>
      <c r="I1800" s="156"/>
      <c r="J1800" s="156"/>
    </row>
    <row r="1801" spans="8:10">
      <c r="H1801" s="156"/>
      <c r="I1801" s="156"/>
      <c r="J1801" s="156"/>
    </row>
    <row r="1802" spans="8:10">
      <c r="H1802" s="156"/>
      <c r="I1802" s="156"/>
      <c r="J1802" s="156"/>
    </row>
    <row r="1803" spans="8:10">
      <c r="H1803" s="156"/>
      <c r="I1803" s="156"/>
      <c r="J1803" s="156"/>
    </row>
    <row r="1804" spans="8:10">
      <c r="H1804" s="156"/>
      <c r="I1804" s="156"/>
      <c r="J1804" s="156"/>
    </row>
    <row r="1805" spans="8:10">
      <c r="H1805" s="156"/>
      <c r="I1805" s="156"/>
      <c r="J1805" s="156"/>
    </row>
    <row r="1806" spans="8:10">
      <c r="H1806" s="156"/>
      <c r="I1806" s="156"/>
      <c r="J1806" s="156"/>
    </row>
    <row r="1807" spans="8:10">
      <c r="H1807" s="156"/>
      <c r="I1807" s="156"/>
      <c r="J1807" s="156"/>
    </row>
    <row r="1808" spans="8:10">
      <c r="H1808" s="156"/>
      <c r="I1808" s="156"/>
      <c r="J1808" s="156"/>
    </row>
    <row r="1809" spans="8:10">
      <c r="H1809" s="156"/>
      <c r="I1809" s="156"/>
      <c r="J1809" s="156"/>
    </row>
    <row r="1810" spans="8:10">
      <c r="H1810" s="156"/>
      <c r="I1810" s="156"/>
      <c r="J1810" s="156"/>
    </row>
    <row r="1811" spans="8:10">
      <c r="H1811" s="156"/>
      <c r="I1811" s="156"/>
      <c r="J1811" s="156"/>
    </row>
    <row r="1812" spans="8:10">
      <c r="H1812" s="156"/>
      <c r="I1812" s="156"/>
      <c r="J1812" s="156"/>
    </row>
    <row r="1813" spans="8:10">
      <c r="H1813" s="156"/>
      <c r="I1813" s="156"/>
      <c r="J1813" s="156"/>
    </row>
    <row r="1814" spans="8:10">
      <c r="H1814" s="156"/>
      <c r="I1814" s="156"/>
      <c r="J1814" s="156"/>
    </row>
    <row r="1815" spans="8:10">
      <c r="H1815" s="156"/>
      <c r="I1815" s="156"/>
      <c r="J1815" s="156"/>
    </row>
    <row r="1816" spans="8:10">
      <c r="H1816" s="156"/>
      <c r="I1816" s="156"/>
      <c r="J1816" s="156"/>
    </row>
    <row r="1817" spans="8:10">
      <c r="H1817" s="156"/>
      <c r="I1817" s="156"/>
      <c r="J1817" s="156"/>
    </row>
    <row r="1818" spans="8:10">
      <c r="H1818" s="156"/>
      <c r="I1818" s="156"/>
      <c r="J1818" s="156"/>
    </row>
    <row r="1819" spans="8:10">
      <c r="H1819" s="156"/>
      <c r="I1819" s="156"/>
      <c r="J1819" s="156"/>
    </row>
    <row r="1820" spans="8:10">
      <c r="H1820" s="156"/>
      <c r="I1820" s="156"/>
      <c r="J1820" s="156"/>
    </row>
    <row r="1821" spans="8:10">
      <c r="H1821" s="156"/>
      <c r="I1821" s="156"/>
      <c r="J1821" s="156"/>
    </row>
    <row r="1822" spans="8:10">
      <c r="H1822" s="156"/>
      <c r="I1822" s="156"/>
      <c r="J1822" s="156"/>
    </row>
    <row r="1823" spans="8:10">
      <c r="H1823" s="156"/>
      <c r="I1823" s="156"/>
      <c r="J1823" s="156"/>
    </row>
    <row r="1824" spans="8:10">
      <c r="H1824" s="156"/>
      <c r="I1824" s="156"/>
      <c r="J1824" s="156"/>
    </row>
    <row r="1825" spans="8:10">
      <c r="H1825" s="156"/>
      <c r="I1825" s="156"/>
      <c r="J1825" s="156"/>
    </row>
    <row r="1826" spans="8:10">
      <c r="H1826" s="156"/>
      <c r="I1826" s="156"/>
      <c r="J1826" s="156"/>
    </row>
    <row r="1827" spans="8:10">
      <c r="H1827" s="156"/>
      <c r="I1827" s="156"/>
      <c r="J1827" s="156"/>
    </row>
    <row r="1828" spans="8:10">
      <c r="H1828" s="156"/>
      <c r="I1828" s="156"/>
      <c r="J1828" s="156"/>
    </row>
    <row r="1829" spans="8:10">
      <c r="H1829" s="156"/>
      <c r="I1829" s="156"/>
      <c r="J1829" s="156"/>
    </row>
    <row r="1830" spans="8:10">
      <c r="H1830" s="156"/>
      <c r="I1830" s="156"/>
      <c r="J1830" s="156"/>
    </row>
    <row r="1831" spans="8:10">
      <c r="H1831" s="156"/>
      <c r="I1831" s="156"/>
      <c r="J1831" s="156"/>
    </row>
    <row r="1832" spans="8:10">
      <c r="H1832" s="156"/>
      <c r="I1832" s="156"/>
      <c r="J1832" s="156"/>
    </row>
    <row r="1833" spans="8:10">
      <c r="H1833" s="156"/>
      <c r="I1833" s="156"/>
      <c r="J1833" s="156"/>
    </row>
    <row r="1834" spans="8:10">
      <c r="H1834" s="156"/>
      <c r="I1834" s="156"/>
      <c r="J1834" s="156"/>
    </row>
    <row r="1835" spans="8:10">
      <c r="H1835" s="156"/>
      <c r="I1835" s="156"/>
      <c r="J1835" s="156"/>
    </row>
    <row r="1836" spans="8:10">
      <c r="H1836" s="156"/>
      <c r="I1836" s="156"/>
      <c r="J1836" s="156"/>
    </row>
    <row r="1837" spans="8:10">
      <c r="H1837" s="156"/>
      <c r="I1837" s="156"/>
      <c r="J1837" s="156"/>
    </row>
    <row r="1838" spans="8:10">
      <c r="H1838" s="156"/>
      <c r="I1838" s="156"/>
      <c r="J1838" s="156"/>
    </row>
    <row r="1839" spans="8:10">
      <c r="H1839" s="156"/>
      <c r="I1839" s="156"/>
      <c r="J1839" s="156"/>
    </row>
    <row r="1840" spans="8:10">
      <c r="H1840" s="156"/>
      <c r="I1840" s="156"/>
      <c r="J1840" s="156"/>
    </row>
    <row r="1841" spans="8:10">
      <c r="H1841" s="156"/>
      <c r="I1841" s="156"/>
      <c r="J1841" s="156"/>
    </row>
    <row r="1842" spans="8:10">
      <c r="H1842" s="156"/>
      <c r="I1842" s="156"/>
      <c r="J1842" s="156"/>
    </row>
    <row r="1843" spans="8:10">
      <c r="H1843" s="156"/>
      <c r="I1843" s="156"/>
      <c r="J1843" s="156"/>
    </row>
    <row r="1844" spans="8:10">
      <c r="H1844" s="156"/>
      <c r="I1844" s="156"/>
      <c r="J1844" s="156"/>
    </row>
    <row r="1845" spans="8:10">
      <c r="H1845" s="156"/>
      <c r="I1845" s="156"/>
      <c r="J1845" s="156"/>
    </row>
    <row r="1846" spans="8:10">
      <c r="H1846" s="156"/>
      <c r="I1846" s="156"/>
      <c r="J1846" s="156"/>
    </row>
    <row r="1847" spans="8:10">
      <c r="H1847" s="156"/>
      <c r="I1847" s="156"/>
      <c r="J1847" s="156"/>
    </row>
    <row r="1848" spans="8:10">
      <c r="H1848" s="156"/>
      <c r="I1848" s="156"/>
      <c r="J1848" s="156"/>
    </row>
    <row r="1849" spans="8:10">
      <c r="H1849" s="156"/>
      <c r="I1849" s="156"/>
      <c r="J1849" s="156"/>
    </row>
    <row r="1850" spans="8:10">
      <c r="H1850" s="156"/>
      <c r="I1850" s="156"/>
      <c r="J1850" s="156"/>
    </row>
    <row r="1851" spans="8:10">
      <c r="H1851" s="156"/>
      <c r="I1851" s="156"/>
      <c r="J1851" s="156"/>
    </row>
    <row r="1852" spans="8:10">
      <c r="H1852" s="156"/>
      <c r="I1852" s="156"/>
      <c r="J1852" s="156"/>
    </row>
    <row r="1853" spans="8:10">
      <c r="H1853" s="156"/>
      <c r="I1853" s="156"/>
      <c r="J1853" s="156"/>
    </row>
    <row r="1854" spans="8:10">
      <c r="H1854" s="156"/>
      <c r="I1854" s="156"/>
      <c r="J1854" s="156"/>
    </row>
    <row r="1855" spans="8:10">
      <c r="H1855" s="156"/>
      <c r="I1855" s="156"/>
      <c r="J1855" s="156"/>
    </row>
    <row r="1856" spans="8:10">
      <c r="H1856" s="156"/>
      <c r="I1856" s="156"/>
      <c r="J1856" s="156"/>
    </row>
    <row r="1857" spans="8:10">
      <c r="H1857" s="156"/>
      <c r="I1857" s="156"/>
      <c r="J1857" s="156"/>
    </row>
    <row r="1858" spans="8:10">
      <c r="H1858" s="156"/>
      <c r="I1858" s="156"/>
      <c r="J1858" s="156"/>
    </row>
    <row r="1859" spans="8:10">
      <c r="H1859" s="156"/>
      <c r="I1859" s="156"/>
      <c r="J1859" s="156"/>
    </row>
    <row r="1860" spans="8:10">
      <c r="H1860" s="156"/>
      <c r="I1860" s="156"/>
      <c r="J1860" s="156"/>
    </row>
    <row r="1861" spans="8:10">
      <c r="H1861" s="156"/>
      <c r="I1861" s="156"/>
      <c r="J1861" s="156"/>
    </row>
    <row r="1862" spans="8:10">
      <c r="H1862" s="156"/>
      <c r="I1862" s="156"/>
      <c r="J1862" s="156"/>
    </row>
    <row r="1863" spans="8:10">
      <c r="H1863" s="156"/>
      <c r="I1863" s="156"/>
      <c r="J1863" s="156"/>
    </row>
    <row r="1864" spans="8:10">
      <c r="H1864" s="156"/>
      <c r="I1864" s="156"/>
      <c r="J1864" s="156"/>
    </row>
    <row r="1865" spans="8:10">
      <c r="H1865" s="156"/>
      <c r="I1865" s="156"/>
      <c r="J1865" s="156"/>
    </row>
    <row r="1866" spans="8:10">
      <c r="H1866" s="156"/>
      <c r="I1866" s="156"/>
      <c r="J1866" s="156"/>
    </row>
    <row r="1867" spans="8:10">
      <c r="H1867" s="156"/>
      <c r="I1867" s="156"/>
      <c r="J1867" s="156"/>
    </row>
    <row r="1868" spans="8:10">
      <c r="H1868" s="156"/>
      <c r="I1868" s="156"/>
      <c r="J1868" s="156"/>
    </row>
    <row r="1869" spans="8:10">
      <c r="H1869" s="156"/>
      <c r="I1869" s="156"/>
      <c r="J1869" s="156"/>
    </row>
    <row r="1870" spans="8:10">
      <c r="H1870" s="156"/>
      <c r="I1870" s="156"/>
      <c r="J1870" s="156"/>
    </row>
    <row r="1871" spans="8:10">
      <c r="H1871" s="156"/>
      <c r="I1871" s="156"/>
      <c r="J1871" s="156"/>
    </row>
    <row r="1872" spans="8:10">
      <c r="H1872" s="156"/>
      <c r="I1872" s="156"/>
      <c r="J1872" s="156"/>
    </row>
    <row r="1873" spans="8:10">
      <c r="H1873" s="156"/>
      <c r="I1873" s="156"/>
      <c r="J1873" s="156"/>
    </row>
    <row r="1874" spans="8:10">
      <c r="H1874" s="156"/>
      <c r="I1874" s="156"/>
      <c r="J1874" s="156"/>
    </row>
    <row r="1875" spans="8:10">
      <c r="H1875" s="156"/>
      <c r="I1875" s="156"/>
      <c r="J1875" s="156"/>
    </row>
    <row r="1876" spans="8:10">
      <c r="H1876" s="156"/>
      <c r="I1876" s="156"/>
      <c r="J1876" s="156"/>
    </row>
    <row r="1877" spans="8:10">
      <c r="H1877" s="156"/>
      <c r="I1877" s="156"/>
      <c r="J1877" s="156"/>
    </row>
    <row r="1878" spans="8:10">
      <c r="H1878" s="156"/>
      <c r="I1878" s="156"/>
      <c r="J1878" s="156"/>
    </row>
    <row r="1879" spans="8:10">
      <c r="H1879" s="156"/>
      <c r="I1879" s="156"/>
      <c r="J1879" s="156"/>
    </row>
    <row r="1880" spans="8:10">
      <c r="H1880" s="156"/>
      <c r="I1880" s="156"/>
      <c r="J1880" s="156"/>
    </row>
    <row r="1881" spans="8:10">
      <c r="H1881" s="156"/>
      <c r="I1881" s="156"/>
      <c r="J1881" s="156"/>
    </row>
    <row r="1882" spans="8:10">
      <c r="H1882" s="156"/>
      <c r="I1882" s="156"/>
      <c r="J1882" s="156"/>
    </row>
    <row r="1883" spans="8:10">
      <c r="H1883" s="156"/>
      <c r="I1883" s="156"/>
      <c r="J1883" s="156"/>
    </row>
    <row r="1884" spans="8:10">
      <c r="H1884" s="156"/>
      <c r="I1884" s="156"/>
      <c r="J1884" s="156"/>
    </row>
    <row r="1885" spans="8:10">
      <c r="H1885" s="156"/>
      <c r="I1885" s="156"/>
      <c r="J1885" s="156"/>
    </row>
    <row r="1886" spans="8:10">
      <c r="H1886" s="156"/>
      <c r="I1886" s="156"/>
      <c r="J1886" s="156"/>
    </row>
    <row r="1887" spans="8:10">
      <c r="H1887" s="156"/>
      <c r="I1887" s="156"/>
      <c r="J1887" s="156"/>
    </row>
    <row r="1888" spans="8:10">
      <c r="H1888" s="156"/>
      <c r="I1888" s="156"/>
      <c r="J1888" s="156"/>
    </row>
    <row r="1889" spans="8:10">
      <c r="H1889" s="156"/>
      <c r="I1889" s="156"/>
      <c r="J1889" s="156"/>
    </row>
    <row r="1890" spans="8:10">
      <c r="H1890" s="156"/>
      <c r="I1890" s="156"/>
      <c r="J1890" s="156"/>
    </row>
    <row r="1891" spans="8:10">
      <c r="H1891" s="156"/>
      <c r="I1891" s="156"/>
      <c r="J1891" s="156"/>
    </row>
    <row r="1892" spans="8:10">
      <c r="H1892" s="156"/>
      <c r="I1892" s="156"/>
      <c r="J1892" s="156"/>
    </row>
    <row r="1893" spans="8:10">
      <c r="H1893" s="156"/>
      <c r="I1893" s="156"/>
      <c r="J1893" s="156"/>
    </row>
    <row r="1894" spans="8:10">
      <c r="H1894" s="156"/>
      <c r="I1894" s="156"/>
      <c r="J1894" s="156"/>
    </row>
    <row r="1895" spans="8:10">
      <c r="H1895" s="156"/>
      <c r="I1895" s="156"/>
      <c r="J1895" s="156"/>
    </row>
    <row r="1896" spans="8:10">
      <c r="H1896" s="156"/>
      <c r="I1896" s="156"/>
      <c r="J1896" s="156"/>
    </row>
    <row r="1897" spans="8:10">
      <c r="H1897" s="156"/>
      <c r="I1897" s="156"/>
      <c r="J1897" s="156"/>
    </row>
    <row r="1898" spans="8:10">
      <c r="H1898" s="156"/>
      <c r="I1898" s="156"/>
      <c r="J1898" s="156"/>
    </row>
    <row r="1899" spans="8:10">
      <c r="H1899" s="156"/>
      <c r="I1899" s="156"/>
      <c r="J1899" s="156"/>
    </row>
    <row r="1900" spans="8:10">
      <c r="H1900" s="156"/>
      <c r="I1900" s="156"/>
      <c r="J1900" s="156"/>
    </row>
    <row r="1901" spans="8:10">
      <c r="H1901" s="156"/>
      <c r="I1901" s="156"/>
      <c r="J1901" s="156"/>
    </row>
    <row r="1902" spans="8:10">
      <c r="H1902" s="156"/>
      <c r="I1902" s="156"/>
      <c r="J1902" s="156"/>
    </row>
    <row r="1903" spans="8:10">
      <c r="H1903" s="156"/>
      <c r="I1903" s="156"/>
      <c r="J1903" s="156"/>
    </row>
    <row r="1904" spans="8:10">
      <c r="H1904" s="156"/>
      <c r="I1904" s="156"/>
      <c r="J1904" s="156"/>
    </row>
    <row r="1905" spans="8:10">
      <c r="H1905" s="156"/>
      <c r="I1905" s="156"/>
      <c r="J1905" s="156"/>
    </row>
    <row r="1906" spans="8:10">
      <c r="H1906" s="156"/>
      <c r="I1906" s="156"/>
      <c r="J1906" s="156"/>
    </row>
    <row r="1907" spans="8:10">
      <c r="H1907" s="156"/>
      <c r="I1907" s="156"/>
      <c r="J1907" s="156"/>
    </row>
    <row r="1908" spans="8:10">
      <c r="H1908" s="156"/>
      <c r="I1908" s="156"/>
      <c r="J1908" s="156"/>
    </row>
    <row r="1909" spans="8:10">
      <c r="H1909" s="156"/>
      <c r="I1909" s="156"/>
      <c r="J1909" s="156"/>
    </row>
    <row r="1910" spans="8:10">
      <c r="H1910" s="156"/>
      <c r="I1910" s="156"/>
      <c r="J1910" s="156"/>
    </row>
    <row r="1911" spans="8:10">
      <c r="H1911" s="156"/>
      <c r="I1911" s="156"/>
      <c r="J1911" s="156"/>
    </row>
    <row r="1912" spans="8:10">
      <c r="H1912" s="156"/>
      <c r="I1912" s="156"/>
      <c r="J1912" s="156"/>
    </row>
    <row r="1913" spans="8:10">
      <c r="H1913" s="156"/>
      <c r="I1913" s="156"/>
      <c r="J1913" s="156"/>
    </row>
    <row r="1914" spans="8:10">
      <c r="H1914" s="156"/>
      <c r="I1914" s="156"/>
      <c r="J1914" s="156"/>
    </row>
    <row r="1915" spans="8:10">
      <c r="H1915" s="156"/>
      <c r="I1915" s="156"/>
      <c r="J1915" s="156"/>
    </row>
    <row r="1916" spans="8:10">
      <c r="H1916" s="156"/>
      <c r="I1916" s="156"/>
      <c r="J1916" s="156"/>
    </row>
    <row r="1917" spans="8:10">
      <c r="H1917" s="156"/>
      <c r="I1917" s="156"/>
      <c r="J1917" s="156"/>
    </row>
    <row r="1918" spans="8:10">
      <c r="H1918" s="156"/>
      <c r="I1918" s="156"/>
      <c r="J1918" s="156"/>
    </row>
    <row r="1919" spans="8:10">
      <c r="H1919" s="156"/>
      <c r="I1919" s="156"/>
      <c r="J1919" s="156"/>
    </row>
    <row r="1920" spans="8:10">
      <c r="H1920" s="156"/>
      <c r="I1920" s="156"/>
      <c r="J1920" s="156"/>
    </row>
    <row r="1921" spans="8:10">
      <c r="H1921" s="156"/>
      <c r="I1921" s="156"/>
      <c r="J1921" s="156"/>
    </row>
    <row r="1922" spans="8:10">
      <c r="H1922" s="156"/>
      <c r="I1922" s="156"/>
      <c r="J1922" s="156"/>
    </row>
    <row r="1923" spans="8:10">
      <c r="H1923" s="156"/>
      <c r="I1923" s="156"/>
      <c r="J1923" s="156"/>
    </row>
    <row r="1924" spans="8:10">
      <c r="H1924" s="156"/>
      <c r="I1924" s="156"/>
      <c r="J1924" s="156"/>
    </row>
    <row r="1925" spans="8:10">
      <c r="H1925" s="156"/>
      <c r="I1925" s="156"/>
      <c r="J1925" s="156"/>
    </row>
    <row r="1926" spans="8:10">
      <c r="H1926" s="156"/>
      <c r="I1926" s="156"/>
      <c r="J1926" s="156"/>
    </row>
    <row r="1927" spans="8:10">
      <c r="H1927" s="156"/>
      <c r="I1927" s="156"/>
      <c r="J1927" s="156"/>
    </row>
    <row r="1928" spans="8:10">
      <c r="H1928" s="156"/>
      <c r="I1928" s="156"/>
      <c r="J1928" s="156"/>
    </row>
    <row r="1929" spans="8:10">
      <c r="H1929" s="156"/>
      <c r="I1929" s="156"/>
      <c r="J1929" s="156"/>
    </row>
    <row r="1930" spans="8:10">
      <c r="H1930" s="156"/>
      <c r="I1930" s="156"/>
      <c r="J1930" s="156"/>
    </row>
    <row r="1931" spans="8:10">
      <c r="H1931" s="156"/>
      <c r="I1931" s="156"/>
      <c r="J1931" s="156"/>
    </row>
    <row r="1932" spans="8:10">
      <c r="H1932" s="156"/>
      <c r="I1932" s="156"/>
      <c r="J1932" s="156"/>
    </row>
    <row r="1933" spans="8:10">
      <c r="H1933" s="156"/>
      <c r="I1933" s="156"/>
      <c r="J1933" s="156"/>
    </row>
    <row r="1934" spans="8:10">
      <c r="H1934" s="156"/>
      <c r="I1934" s="156"/>
      <c r="J1934" s="156"/>
    </row>
    <row r="1935" spans="8:10">
      <c r="H1935" s="156"/>
      <c r="I1935" s="156"/>
      <c r="J1935" s="156"/>
    </row>
    <row r="1936" spans="8:10">
      <c r="H1936" s="156"/>
      <c r="I1936" s="156"/>
      <c r="J1936" s="156"/>
    </row>
    <row r="1937" spans="8:10">
      <c r="H1937" s="156"/>
      <c r="I1937" s="156"/>
      <c r="J1937" s="156"/>
    </row>
    <row r="1938" spans="8:10">
      <c r="H1938" s="156"/>
      <c r="I1938" s="156"/>
      <c r="J1938" s="156"/>
    </row>
    <row r="1939" spans="8:10">
      <c r="H1939" s="156"/>
      <c r="I1939" s="156"/>
      <c r="J1939" s="156"/>
    </row>
    <row r="1940" spans="8:10">
      <c r="H1940" s="156"/>
      <c r="I1940" s="156"/>
      <c r="J1940" s="156"/>
    </row>
    <row r="1941" spans="8:10">
      <c r="H1941" s="156"/>
      <c r="I1941" s="156"/>
      <c r="J1941" s="156"/>
    </row>
    <row r="1942" spans="8:10">
      <c r="H1942" s="156"/>
      <c r="I1942" s="156"/>
      <c r="J1942" s="156"/>
    </row>
    <row r="1943" spans="8:10">
      <c r="H1943" s="156"/>
      <c r="I1943" s="156"/>
      <c r="J1943" s="156"/>
    </row>
    <row r="1944" spans="8:10">
      <c r="H1944" s="156"/>
      <c r="I1944" s="156"/>
      <c r="J1944" s="156"/>
    </row>
    <row r="1945" spans="8:10">
      <c r="H1945" s="156"/>
      <c r="I1945" s="156"/>
      <c r="J1945" s="156"/>
    </row>
    <row r="1946" spans="8:10">
      <c r="H1946" s="156"/>
      <c r="I1946" s="156"/>
      <c r="J1946" s="156"/>
    </row>
    <row r="1947" spans="8:10">
      <c r="H1947" s="156"/>
      <c r="I1947" s="156"/>
      <c r="J1947" s="156"/>
    </row>
    <row r="1948" spans="8:10">
      <c r="H1948" s="156"/>
      <c r="I1948" s="156"/>
      <c r="J1948" s="156"/>
    </row>
    <row r="1949" spans="8:10">
      <c r="H1949" s="156"/>
      <c r="I1949" s="156"/>
      <c r="J1949" s="156"/>
    </row>
    <row r="1950" spans="8:10">
      <c r="H1950" s="156"/>
      <c r="I1950" s="156"/>
      <c r="J1950" s="156"/>
    </row>
    <row r="1951" spans="8:10">
      <c r="H1951" s="156"/>
      <c r="I1951" s="156"/>
      <c r="J1951" s="156"/>
    </row>
    <row r="1952" spans="8:10">
      <c r="H1952" s="156"/>
      <c r="I1952" s="156"/>
      <c r="J1952" s="156"/>
    </row>
    <row r="1953" spans="8:10">
      <c r="H1953" s="156"/>
      <c r="I1953" s="156"/>
      <c r="J1953" s="156"/>
    </row>
    <row r="1954" spans="8:10">
      <c r="H1954" s="156"/>
      <c r="I1954" s="156"/>
      <c r="J1954" s="156"/>
    </row>
    <row r="1955" spans="8:10">
      <c r="H1955" s="156"/>
      <c r="I1955" s="156"/>
      <c r="J1955" s="156"/>
    </row>
    <row r="1956" spans="8:10">
      <c r="H1956" s="156"/>
      <c r="I1956" s="156"/>
      <c r="J1956" s="156"/>
    </row>
    <row r="1957" spans="8:10">
      <c r="H1957" s="156"/>
      <c r="I1957" s="156"/>
      <c r="J1957" s="156"/>
    </row>
    <row r="1958" spans="8:10">
      <c r="H1958" s="156"/>
      <c r="I1958" s="156"/>
      <c r="J1958" s="156"/>
    </row>
    <row r="1959" spans="8:10">
      <c r="H1959" s="156"/>
      <c r="I1959" s="156"/>
      <c r="J1959" s="156"/>
    </row>
    <row r="1960" spans="8:10">
      <c r="H1960" s="156"/>
      <c r="I1960" s="156"/>
      <c r="J1960" s="156"/>
    </row>
    <row r="1961" spans="8:10">
      <c r="H1961" s="156"/>
      <c r="I1961" s="156"/>
      <c r="J1961" s="156"/>
    </row>
    <row r="1962" spans="8:10">
      <c r="H1962" s="156"/>
      <c r="I1962" s="156"/>
      <c r="J1962" s="156"/>
    </row>
    <row r="1963" spans="8:10">
      <c r="H1963" s="156"/>
      <c r="I1963" s="156"/>
      <c r="J1963" s="156"/>
    </row>
    <row r="1964" spans="8:10">
      <c r="H1964" s="156"/>
      <c r="I1964" s="156"/>
      <c r="J1964" s="156"/>
    </row>
    <row r="1965" spans="8:10">
      <c r="H1965" s="156"/>
      <c r="I1965" s="156"/>
      <c r="J1965" s="156"/>
    </row>
    <row r="1966" spans="8:10">
      <c r="H1966" s="156"/>
      <c r="I1966" s="156"/>
      <c r="J1966" s="156"/>
    </row>
    <row r="1967" spans="8:10">
      <c r="H1967" s="156"/>
      <c r="I1967" s="156"/>
      <c r="J1967" s="156"/>
    </row>
    <row r="1968" spans="8:10">
      <c r="H1968" s="156"/>
      <c r="I1968" s="156"/>
      <c r="J1968" s="156"/>
    </row>
    <row r="1969" spans="8:10">
      <c r="H1969" s="156"/>
      <c r="I1969" s="156"/>
      <c r="J1969" s="156"/>
    </row>
    <row r="1970" spans="8:10">
      <c r="H1970" s="156"/>
      <c r="I1970" s="156"/>
      <c r="J1970" s="156"/>
    </row>
    <row r="1971" spans="8:10">
      <c r="H1971" s="156"/>
      <c r="I1971" s="156"/>
      <c r="J1971" s="156"/>
    </row>
    <row r="1972" spans="8:10">
      <c r="H1972" s="156"/>
      <c r="I1972" s="156"/>
      <c r="J1972" s="156"/>
    </row>
    <row r="1973" spans="8:10">
      <c r="H1973" s="156"/>
      <c r="I1973" s="156"/>
      <c r="J1973" s="156"/>
    </row>
    <row r="1974" spans="8:10">
      <c r="H1974" s="156"/>
      <c r="I1974" s="156"/>
      <c r="J1974" s="156"/>
    </row>
    <row r="1975" spans="8:10">
      <c r="H1975" s="156"/>
      <c r="I1975" s="156"/>
      <c r="J1975" s="156"/>
    </row>
    <row r="1976" spans="8:10">
      <c r="H1976" s="156"/>
      <c r="I1976" s="156"/>
      <c r="J1976" s="156"/>
    </row>
    <row r="1977" spans="8:10">
      <c r="H1977" s="156"/>
      <c r="I1977" s="156"/>
      <c r="J1977" s="156"/>
    </row>
    <row r="1978" spans="8:10">
      <c r="H1978" s="156"/>
      <c r="I1978" s="156"/>
      <c r="J1978" s="156"/>
    </row>
    <row r="1979" spans="8:10">
      <c r="H1979" s="156"/>
      <c r="I1979" s="156"/>
      <c r="J1979" s="156"/>
    </row>
    <row r="1980" spans="8:10">
      <c r="H1980" s="156"/>
      <c r="I1980" s="156"/>
      <c r="J1980" s="156"/>
    </row>
    <row r="1981" spans="8:10">
      <c r="H1981" s="156"/>
      <c r="I1981" s="156"/>
      <c r="J1981" s="156"/>
    </row>
    <row r="1982" spans="8:10">
      <c r="H1982" s="156"/>
      <c r="I1982" s="156"/>
      <c r="J1982" s="156"/>
    </row>
    <row r="1983" spans="8:10">
      <c r="H1983" s="156"/>
      <c r="I1983" s="156"/>
      <c r="J1983" s="156"/>
    </row>
    <row r="1984" spans="8:10">
      <c r="H1984" s="156"/>
      <c r="I1984" s="156"/>
      <c r="J1984" s="156"/>
    </row>
    <row r="1985" spans="8:10">
      <c r="H1985" s="156"/>
      <c r="I1985" s="156"/>
      <c r="J1985" s="156"/>
    </row>
    <row r="1986" spans="8:10">
      <c r="H1986" s="156"/>
      <c r="I1986" s="156"/>
      <c r="J1986" s="156"/>
    </row>
    <row r="1987" spans="8:10">
      <c r="H1987" s="156"/>
      <c r="I1987" s="156"/>
      <c r="J1987" s="156"/>
    </row>
    <row r="1988" spans="8:10">
      <c r="H1988" s="156"/>
      <c r="I1988" s="156"/>
      <c r="J1988" s="156"/>
    </row>
    <row r="1989" spans="8:10">
      <c r="H1989" s="156"/>
      <c r="I1989" s="156"/>
      <c r="J1989" s="156"/>
    </row>
    <row r="1990" spans="8:10">
      <c r="H1990" s="156"/>
      <c r="I1990" s="156"/>
      <c r="J1990" s="156"/>
    </row>
    <row r="1991" spans="8:10">
      <c r="H1991" s="156"/>
      <c r="I1991" s="156"/>
      <c r="J1991" s="156"/>
    </row>
    <row r="1992" spans="8:10">
      <c r="H1992" s="156"/>
      <c r="I1992" s="156"/>
      <c r="J1992" s="156"/>
    </row>
    <row r="1993" spans="8:10">
      <c r="H1993" s="156"/>
      <c r="I1993" s="156"/>
      <c r="J1993" s="156"/>
    </row>
    <row r="1994" spans="8:10">
      <c r="H1994" s="156"/>
      <c r="I1994" s="156"/>
      <c r="J1994" s="156"/>
    </row>
    <row r="1995" spans="8:10">
      <c r="H1995" s="156"/>
      <c r="I1995" s="156"/>
      <c r="J1995" s="156"/>
    </row>
    <row r="1996" spans="8:10">
      <c r="H1996" s="156"/>
      <c r="I1996" s="156"/>
      <c r="J1996" s="156"/>
    </row>
    <row r="1997" spans="8:10">
      <c r="H1997" s="156"/>
      <c r="I1997" s="156"/>
      <c r="J1997" s="156"/>
    </row>
    <row r="1998" spans="8:10">
      <c r="H1998" s="156"/>
      <c r="I1998" s="156"/>
      <c r="J1998" s="156"/>
    </row>
    <row r="1999" spans="8:10">
      <c r="H1999" s="156"/>
      <c r="I1999" s="156"/>
      <c r="J1999" s="156"/>
    </row>
    <row r="2000" spans="8:10">
      <c r="H2000" s="156"/>
      <c r="I2000" s="156"/>
      <c r="J2000" s="156"/>
    </row>
    <row r="2001" spans="8:10">
      <c r="H2001" s="156"/>
      <c r="I2001" s="156"/>
      <c r="J2001" s="156"/>
    </row>
    <row r="2002" spans="8:10">
      <c r="H2002" s="156"/>
      <c r="I2002" s="156"/>
      <c r="J2002" s="156"/>
    </row>
    <row r="2003" spans="8:10">
      <c r="H2003" s="156"/>
      <c r="I2003" s="156"/>
      <c r="J2003" s="156"/>
    </row>
    <row r="2004" spans="8:10">
      <c r="H2004" s="156"/>
      <c r="I2004" s="156"/>
      <c r="J2004" s="156"/>
    </row>
    <row r="2005" spans="8:10">
      <c r="H2005" s="156"/>
      <c r="I2005" s="156"/>
      <c r="J2005" s="156"/>
    </row>
    <row r="2006" spans="8:10">
      <c r="H2006" s="156"/>
      <c r="I2006" s="156"/>
      <c r="J2006" s="156"/>
    </row>
    <row r="2007" spans="8:10">
      <c r="H2007" s="156"/>
      <c r="I2007" s="156"/>
      <c r="J2007" s="156"/>
    </row>
    <row r="2008" spans="8:10">
      <c r="H2008" s="156"/>
      <c r="I2008" s="156"/>
      <c r="J2008" s="156"/>
    </row>
    <row r="2009" spans="8:10">
      <c r="H2009" s="156"/>
      <c r="I2009" s="156"/>
      <c r="J2009" s="156"/>
    </row>
    <row r="2010" spans="8:10">
      <c r="H2010" s="156"/>
      <c r="I2010" s="156"/>
      <c r="J2010" s="156"/>
    </row>
    <row r="2011" spans="8:10">
      <c r="H2011" s="156"/>
      <c r="I2011" s="156"/>
      <c r="J2011" s="156"/>
    </row>
    <row r="2012" spans="8:10">
      <c r="H2012" s="156"/>
      <c r="I2012" s="156"/>
      <c r="J2012" s="156"/>
    </row>
    <row r="2013" spans="8:10">
      <c r="H2013" s="156"/>
      <c r="I2013" s="156"/>
      <c r="J2013" s="156"/>
    </row>
    <row r="2014" spans="8:10">
      <c r="H2014" s="156"/>
      <c r="I2014" s="156"/>
      <c r="J2014" s="156"/>
    </row>
    <row r="2015" spans="8:10">
      <c r="H2015" s="156"/>
      <c r="I2015" s="156"/>
      <c r="J2015" s="156"/>
    </row>
    <row r="2016" spans="8:10">
      <c r="H2016" s="156"/>
      <c r="I2016" s="156"/>
      <c r="J2016" s="156"/>
    </row>
    <row r="2017" spans="8:10">
      <c r="H2017" s="156"/>
      <c r="I2017" s="156"/>
      <c r="J2017" s="156"/>
    </row>
    <row r="2018" spans="8:10">
      <c r="H2018" s="156"/>
      <c r="I2018" s="156"/>
      <c r="J2018" s="156"/>
    </row>
    <row r="2019" spans="8:10">
      <c r="H2019" s="156"/>
      <c r="I2019" s="156"/>
      <c r="J2019" s="156"/>
    </row>
    <row r="2020" spans="8:10">
      <c r="H2020" s="156"/>
      <c r="I2020" s="156"/>
      <c r="J2020" s="156"/>
    </row>
    <row r="2021" spans="8:10">
      <c r="H2021" s="156"/>
      <c r="I2021" s="156"/>
      <c r="J2021" s="156"/>
    </row>
    <row r="2022" spans="8:10">
      <c r="H2022" s="156"/>
      <c r="I2022" s="156"/>
      <c r="J2022" s="156"/>
    </row>
    <row r="2023" spans="8:10">
      <c r="H2023" s="156"/>
      <c r="I2023" s="156"/>
      <c r="J2023" s="156"/>
    </row>
    <row r="2024" spans="8:10">
      <c r="H2024" s="156"/>
      <c r="I2024" s="156"/>
      <c r="J2024" s="156"/>
    </row>
    <row r="2025" spans="8:10">
      <c r="H2025" s="156"/>
      <c r="I2025" s="156"/>
      <c r="J2025" s="156"/>
    </row>
    <row r="2026" spans="8:10">
      <c r="H2026" s="156"/>
      <c r="I2026" s="156"/>
      <c r="J2026" s="156"/>
    </row>
    <row r="2027" spans="8:10">
      <c r="H2027" s="156"/>
      <c r="I2027" s="156"/>
      <c r="J2027" s="156"/>
    </row>
    <row r="2028" spans="8:10">
      <c r="H2028" s="156"/>
      <c r="I2028" s="156"/>
      <c r="J2028" s="156"/>
    </row>
    <row r="2029" spans="8:10">
      <c r="H2029" s="156"/>
      <c r="I2029" s="156"/>
      <c r="J2029" s="156"/>
    </row>
    <row r="2030" spans="8:10">
      <c r="H2030" s="156"/>
      <c r="I2030" s="156"/>
      <c r="J2030" s="156"/>
    </row>
    <row r="2031" spans="8:10">
      <c r="H2031" s="156"/>
      <c r="I2031" s="156"/>
      <c r="J2031" s="156"/>
    </row>
    <row r="2032" spans="8:10">
      <c r="H2032" s="156"/>
      <c r="I2032" s="156"/>
      <c r="J2032" s="156"/>
    </row>
    <row r="2033" spans="8:10">
      <c r="H2033" s="156"/>
      <c r="I2033" s="156"/>
      <c r="J2033" s="156"/>
    </row>
    <row r="2034" spans="8:10">
      <c r="H2034" s="156"/>
      <c r="I2034" s="156"/>
      <c r="J2034" s="156"/>
    </row>
    <row r="2035" spans="8:10">
      <c r="H2035" s="156"/>
      <c r="I2035" s="156"/>
      <c r="J2035" s="156"/>
    </row>
    <row r="2036" spans="8:10">
      <c r="H2036" s="156"/>
      <c r="I2036" s="156"/>
      <c r="J2036" s="156"/>
    </row>
    <row r="2037" spans="8:10">
      <c r="H2037" s="156"/>
      <c r="I2037" s="156"/>
      <c r="J2037" s="156"/>
    </row>
    <row r="2038" spans="8:10">
      <c r="H2038" s="156"/>
      <c r="I2038" s="156"/>
      <c r="J2038" s="156"/>
    </row>
    <row r="2039" spans="8:10">
      <c r="H2039" s="156"/>
      <c r="I2039" s="156"/>
      <c r="J2039" s="156"/>
    </row>
    <row r="2040" spans="8:10">
      <c r="H2040" s="156"/>
      <c r="I2040" s="156"/>
      <c r="J2040" s="156"/>
    </row>
    <row r="2041" spans="8:10">
      <c r="H2041" s="156"/>
      <c r="I2041" s="156"/>
      <c r="J2041" s="156"/>
    </row>
    <row r="2042" spans="8:10">
      <c r="H2042" s="156"/>
      <c r="I2042" s="156"/>
      <c r="J2042" s="156"/>
    </row>
    <row r="2043" spans="8:10">
      <c r="H2043" s="156"/>
      <c r="I2043" s="156"/>
      <c r="J2043" s="156"/>
    </row>
    <row r="2044" spans="8:10">
      <c r="H2044" s="156"/>
      <c r="I2044" s="156"/>
      <c r="J2044" s="156"/>
    </row>
    <row r="2045" spans="8:10">
      <c r="H2045" s="156"/>
      <c r="I2045" s="156"/>
      <c r="J2045" s="156"/>
    </row>
    <row r="2046" spans="8:10">
      <c r="H2046" s="156"/>
      <c r="I2046" s="156"/>
      <c r="J2046" s="156"/>
    </row>
    <row r="2047" spans="8:10">
      <c r="H2047" s="156"/>
      <c r="I2047" s="156"/>
      <c r="J2047" s="156"/>
    </row>
    <row r="2048" spans="8:10">
      <c r="H2048" s="156"/>
      <c r="I2048" s="156"/>
      <c r="J2048" s="156"/>
    </row>
    <row r="2049" spans="8:10">
      <c r="H2049" s="156"/>
      <c r="I2049" s="156"/>
      <c r="J2049" s="156"/>
    </row>
    <row r="2050" spans="8:10">
      <c r="H2050" s="156"/>
      <c r="I2050" s="156"/>
      <c r="J2050" s="156"/>
    </row>
    <row r="2051" spans="8:10">
      <c r="H2051" s="156"/>
      <c r="I2051" s="156"/>
      <c r="J2051" s="156"/>
    </row>
    <row r="2052" spans="8:10">
      <c r="H2052" s="156"/>
      <c r="I2052" s="156"/>
      <c r="J2052" s="156"/>
    </row>
    <row r="2053" spans="8:10">
      <c r="H2053" s="156"/>
      <c r="I2053" s="156"/>
      <c r="J2053" s="156"/>
    </row>
    <row r="2054" spans="8:10">
      <c r="H2054" s="156"/>
      <c r="I2054" s="156"/>
      <c r="J2054" s="156"/>
    </row>
    <row r="2055" spans="8:10">
      <c r="H2055" s="156"/>
      <c r="I2055" s="156"/>
      <c r="J2055" s="156"/>
    </row>
    <row r="2056" spans="8:10">
      <c r="H2056" s="156"/>
      <c r="I2056" s="156"/>
      <c r="J2056" s="156"/>
    </row>
    <row r="2057" spans="8:10">
      <c r="H2057" s="156"/>
      <c r="I2057" s="156"/>
      <c r="J2057" s="156"/>
    </row>
    <row r="2058" spans="8:10">
      <c r="H2058" s="156"/>
      <c r="I2058" s="156"/>
      <c r="J2058" s="156"/>
    </row>
    <row r="2059" spans="8:10">
      <c r="H2059" s="156"/>
      <c r="I2059" s="156"/>
      <c r="J2059" s="156"/>
    </row>
    <row r="2060" spans="8:10">
      <c r="H2060" s="156"/>
      <c r="I2060" s="156"/>
      <c r="J2060" s="156"/>
    </row>
    <row r="2061" spans="8:10">
      <c r="H2061" s="156"/>
      <c r="I2061" s="156"/>
      <c r="J2061" s="156"/>
    </row>
    <row r="2062" spans="8:10">
      <c r="H2062" s="156"/>
      <c r="I2062" s="156"/>
      <c r="J2062" s="156"/>
    </row>
    <row r="2063" spans="8:10">
      <c r="H2063" s="156"/>
      <c r="I2063" s="156"/>
      <c r="J2063" s="156"/>
    </row>
    <row r="2064" spans="8:10">
      <c r="H2064" s="156"/>
      <c r="I2064" s="156"/>
      <c r="J2064" s="156"/>
    </row>
    <row r="2065" spans="8:10">
      <c r="H2065" s="156"/>
      <c r="I2065" s="156"/>
      <c r="J2065" s="156"/>
    </row>
    <row r="2066" spans="8:10">
      <c r="H2066" s="156"/>
      <c r="I2066" s="156"/>
      <c r="J2066" s="156"/>
    </row>
    <row r="2067" spans="8:10">
      <c r="H2067" s="156"/>
      <c r="I2067" s="156"/>
      <c r="J2067" s="156"/>
    </row>
    <row r="2068" spans="8:10">
      <c r="H2068" s="156"/>
      <c r="I2068" s="156"/>
      <c r="J2068" s="156"/>
    </row>
    <row r="2069" spans="8:10">
      <c r="H2069" s="156"/>
      <c r="I2069" s="156"/>
      <c r="J2069" s="156"/>
    </row>
    <row r="2070" spans="8:10">
      <c r="H2070" s="156"/>
      <c r="I2070" s="156"/>
      <c r="J2070" s="156"/>
    </row>
    <row r="2071" spans="8:10">
      <c r="H2071" s="156"/>
      <c r="I2071" s="156"/>
      <c r="J2071" s="156"/>
    </row>
    <row r="2072" spans="8:10">
      <c r="H2072" s="156"/>
      <c r="I2072" s="156"/>
      <c r="J2072" s="156"/>
    </row>
    <row r="2073" spans="8:10">
      <c r="H2073" s="156"/>
      <c r="I2073" s="156"/>
      <c r="J2073" s="156"/>
    </row>
    <row r="2074" spans="8:10">
      <c r="H2074" s="156"/>
      <c r="I2074" s="156"/>
      <c r="J2074" s="156"/>
    </row>
    <row r="2075" spans="8:10">
      <c r="H2075" s="156"/>
      <c r="I2075" s="156"/>
      <c r="J2075" s="156"/>
    </row>
    <row r="2076" spans="8:10">
      <c r="H2076" s="156"/>
      <c r="I2076" s="156"/>
      <c r="J2076" s="156"/>
    </row>
    <row r="2077" spans="8:10">
      <c r="H2077" s="156"/>
      <c r="I2077" s="156"/>
      <c r="J2077" s="156"/>
    </row>
    <row r="2078" spans="8:10">
      <c r="H2078" s="156"/>
      <c r="I2078" s="156"/>
      <c r="J2078" s="156"/>
    </row>
    <row r="2079" spans="8:10">
      <c r="H2079" s="156"/>
      <c r="I2079" s="156"/>
      <c r="J2079" s="156"/>
    </row>
    <row r="2080" spans="8:10">
      <c r="H2080" s="156"/>
      <c r="I2080" s="156"/>
      <c r="J2080" s="156"/>
    </row>
    <row r="2081" spans="8:10">
      <c r="H2081" s="156"/>
      <c r="I2081" s="156"/>
      <c r="J2081" s="156"/>
    </row>
    <row r="2082" spans="8:10">
      <c r="H2082" s="156"/>
      <c r="I2082" s="156"/>
      <c r="J2082" s="156"/>
    </row>
    <row r="2083" spans="8:10">
      <c r="H2083" s="156"/>
      <c r="I2083" s="156"/>
      <c r="J2083" s="156"/>
    </row>
    <row r="2084" spans="8:10">
      <c r="H2084" s="156"/>
      <c r="I2084" s="156"/>
      <c r="J2084" s="156"/>
    </row>
    <row r="2085" spans="8:10">
      <c r="H2085" s="156"/>
      <c r="I2085" s="156"/>
      <c r="J2085" s="156"/>
    </row>
    <row r="2086" spans="8:10">
      <c r="H2086" s="156"/>
      <c r="I2086" s="156"/>
      <c r="J2086" s="156"/>
    </row>
    <row r="2087" spans="8:10">
      <c r="H2087" s="156"/>
      <c r="I2087" s="156"/>
      <c r="J2087" s="156"/>
    </row>
    <row r="2088" spans="8:10">
      <c r="H2088" s="156"/>
      <c r="I2088" s="156"/>
      <c r="J2088" s="156"/>
    </row>
    <row r="2089" spans="8:10">
      <c r="H2089" s="156"/>
      <c r="I2089" s="156"/>
      <c r="J2089" s="156"/>
    </row>
    <row r="2090" spans="8:10">
      <c r="H2090" s="156"/>
      <c r="I2090" s="156"/>
      <c r="J2090" s="156"/>
    </row>
    <row r="2091" spans="8:10">
      <c r="H2091" s="156"/>
      <c r="I2091" s="156"/>
      <c r="J2091" s="156"/>
    </row>
    <row r="2092" spans="8:10">
      <c r="H2092" s="156"/>
      <c r="I2092" s="156"/>
      <c r="J2092" s="156"/>
    </row>
    <row r="2093" spans="8:10">
      <c r="H2093" s="156"/>
      <c r="I2093" s="156"/>
      <c r="J2093" s="156"/>
    </row>
    <row r="2094" spans="8:10">
      <c r="H2094" s="156"/>
      <c r="I2094" s="156"/>
      <c r="J2094" s="156"/>
    </row>
    <row r="2095" spans="8:10">
      <c r="H2095" s="156"/>
      <c r="I2095" s="156"/>
      <c r="J2095" s="156"/>
    </row>
    <row r="2096" spans="8:10">
      <c r="H2096" s="156"/>
      <c r="I2096" s="156"/>
      <c r="J2096" s="156"/>
    </row>
    <row r="2097" spans="8:10">
      <c r="H2097" s="156"/>
      <c r="I2097" s="156"/>
      <c r="J2097" s="156"/>
    </row>
    <row r="2098" spans="8:10">
      <c r="H2098" s="156"/>
      <c r="I2098" s="156"/>
      <c r="J2098" s="156"/>
    </row>
    <row r="2099" spans="8:10">
      <c r="H2099" s="156"/>
      <c r="I2099" s="156"/>
      <c r="J2099" s="156"/>
    </row>
    <row r="2100" spans="8:10">
      <c r="H2100" s="156"/>
      <c r="I2100" s="156"/>
      <c r="J2100" s="156"/>
    </row>
    <row r="2101" spans="8:10">
      <c r="H2101" s="156"/>
      <c r="I2101" s="156"/>
      <c r="J2101" s="156"/>
    </row>
    <row r="2102" spans="8:10">
      <c r="H2102" s="156"/>
      <c r="I2102" s="156"/>
      <c r="J2102" s="156"/>
    </row>
    <row r="2103" spans="8:10">
      <c r="H2103" s="156"/>
      <c r="I2103" s="156"/>
      <c r="J2103" s="156"/>
    </row>
    <row r="2104" spans="8:10">
      <c r="H2104" s="156"/>
      <c r="I2104" s="156"/>
      <c r="J2104" s="156"/>
    </row>
    <row r="2105" spans="8:10">
      <c r="H2105" s="156"/>
      <c r="I2105" s="156"/>
      <c r="J2105" s="156"/>
    </row>
    <row r="2106" spans="8:10">
      <c r="H2106" s="156"/>
      <c r="I2106" s="156"/>
      <c r="J2106" s="156"/>
    </row>
    <row r="2107" spans="8:10">
      <c r="H2107" s="156"/>
      <c r="I2107" s="156"/>
      <c r="J2107" s="156"/>
    </row>
    <row r="2108" spans="8:10">
      <c r="H2108" s="156"/>
      <c r="I2108" s="156"/>
      <c r="J2108" s="156"/>
    </row>
    <row r="2109" spans="8:10">
      <c r="H2109" s="156"/>
      <c r="I2109" s="156"/>
      <c r="J2109" s="156"/>
    </row>
    <row r="2110" spans="8:10">
      <c r="H2110" s="156"/>
      <c r="I2110" s="156"/>
      <c r="J2110" s="156"/>
    </row>
    <row r="2111" spans="8:10">
      <c r="H2111" s="156"/>
      <c r="I2111" s="156"/>
      <c r="J2111" s="156"/>
    </row>
    <row r="2112" spans="8:10">
      <c r="H2112" s="156"/>
      <c r="I2112" s="156"/>
      <c r="J2112" s="156"/>
    </row>
    <row r="2113" spans="8:10">
      <c r="H2113" s="156"/>
      <c r="I2113" s="156"/>
      <c r="J2113" s="156"/>
    </row>
    <row r="2114" spans="8:10">
      <c r="H2114" s="156"/>
      <c r="I2114" s="156"/>
      <c r="J2114" s="156"/>
    </row>
    <row r="2115" spans="8:10">
      <c r="H2115" s="156"/>
      <c r="I2115" s="156"/>
      <c r="J2115" s="156"/>
    </row>
    <row r="2116" spans="8:10">
      <c r="H2116" s="156"/>
      <c r="I2116" s="156"/>
      <c r="J2116" s="156"/>
    </row>
    <row r="2117" spans="8:10">
      <c r="H2117" s="156"/>
      <c r="I2117" s="156"/>
      <c r="J2117" s="156"/>
    </row>
    <row r="2118" spans="8:10">
      <c r="H2118" s="156"/>
      <c r="I2118" s="156"/>
      <c r="J2118" s="156"/>
    </row>
    <row r="2119" spans="8:10">
      <c r="H2119" s="156"/>
      <c r="I2119" s="156"/>
      <c r="J2119" s="156"/>
    </row>
    <row r="2120" spans="8:10">
      <c r="H2120" s="156"/>
      <c r="I2120" s="156"/>
      <c r="J2120" s="156"/>
    </row>
    <row r="2121" spans="8:10">
      <c r="H2121" s="156"/>
      <c r="I2121" s="156"/>
      <c r="J2121" s="156"/>
    </row>
    <row r="2122" spans="8:10">
      <c r="H2122" s="156"/>
      <c r="I2122" s="156"/>
      <c r="J2122" s="156"/>
    </row>
    <row r="2123" spans="8:10">
      <c r="H2123" s="156"/>
      <c r="I2123" s="156"/>
      <c r="J2123" s="156"/>
    </row>
    <row r="2124" spans="8:10">
      <c r="H2124" s="156"/>
      <c r="I2124" s="156"/>
      <c r="J2124" s="156"/>
    </row>
    <row r="2125" spans="8:10">
      <c r="H2125" s="156"/>
      <c r="I2125" s="156"/>
      <c r="J2125" s="156"/>
    </row>
    <row r="2126" spans="8:10">
      <c r="H2126" s="156"/>
      <c r="I2126" s="156"/>
      <c r="J2126" s="156"/>
    </row>
    <row r="2127" spans="8:10">
      <c r="H2127" s="156"/>
      <c r="I2127" s="156"/>
      <c r="J2127" s="156"/>
    </row>
    <row r="2128" spans="8:10">
      <c r="H2128" s="156"/>
      <c r="I2128" s="156"/>
      <c r="J2128" s="156"/>
    </row>
    <row r="2129" spans="8:10">
      <c r="H2129" s="156"/>
      <c r="I2129" s="156"/>
      <c r="J2129" s="156"/>
    </row>
    <row r="2130" spans="8:10">
      <c r="H2130" s="156"/>
      <c r="I2130" s="156"/>
      <c r="J2130" s="156"/>
    </row>
    <row r="2131" spans="8:10">
      <c r="H2131" s="156"/>
      <c r="I2131" s="156"/>
      <c r="J2131" s="156"/>
    </row>
    <row r="2132" spans="8:10">
      <c r="H2132" s="156"/>
      <c r="I2132" s="156"/>
      <c r="J2132" s="156"/>
    </row>
    <row r="2133" spans="8:10">
      <c r="H2133" s="156"/>
      <c r="I2133" s="156"/>
      <c r="J2133" s="156"/>
    </row>
    <row r="2134" spans="8:10">
      <c r="H2134" s="156"/>
      <c r="I2134" s="156"/>
      <c r="J2134" s="156"/>
    </row>
    <row r="2135" spans="8:10">
      <c r="H2135" s="156"/>
      <c r="I2135" s="156"/>
      <c r="J2135" s="156"/>
    </row>
    <row r="2136" spans="8:10">
      <c r="H2136" s="156"/>
      <c r="I2136" s="156"/>
      <c r="J2136" s="156"/>
    </row>
    <row r="2137" spans="8:10">
      <c r="H2137" s="156"/>
      <c r="I2137" s="156"/>
      <c r="J2137" s="156"/>
    </row>
    <row r="2138" spans="8:10">
      <c r="H2138" s="156"/>
      <c r="I2138" s="156"/>
      <c r="J2138" s="156"/>
    </row>
    <row r="2139" spans="8:10">
      <c r="H2139" s="156"/>
      <c r="I2139" s="156"/>
      <c r="J2139" s="156"/>
    </row>
    <row r="2140" spans="8:10">
      <c r="H2140" s="156"/>
      <c r="I2140" s="156"/>
      <c r="J2140" s="156"/>
    </row>
    <row r="2141" spans="8:10">
      <c r="H2141" s="156"/>
      <c r="I2141" s="156"/>
      <c r="J2141" s="156"/>
    </row>
    <row r="2142" spans="8:10">
      <c r="H2142" s="156"/>
      <c r="I2142" s="156"/>
      <c r="J2142" s="156"/>
    </row>
    <row r="2143" spans="8:10">
      <c r="H2143" s="156"/>
      <c r="I2143" s="156"/>
      <c r="J2143" s="156"/>
    </row>
    <row r="2144" spans="8:10">
      <c r="H2144" s="156"/>
      <c r="I2144" s="156"/>
      <c r="J2144" s="156"/>
    </row>
    <row r="2145" spans="8:10">
      <c r="H2145" s="156"/>
      <c r="I2145" s="156"/>
      <c r="J2145" s="156"/>
    </row>
    <row r="2146" spans="8:10">
      <c r="H2146" s="156"/>
      <c r="I2146" s="156"/>
      <c r="J2146" s="156"/>
    </row>
    <row r="2147" spans="8:10">
      <c r="H2147" s="156"/>
      <c r="I2147" s="156"/>
      <c r="J2147" s="156"/>
    </row>
    <row r="2148" spans="8:10">
      <c r="H2148" s="156"/>
      <c r="I2148" s="156"/>
      <c r="J2148" s="156"/>
    </row>
    <row r="2149" spans="8:10">
      <c r="H2149" s="156"/>
      <c r="I2149" s="156"/>
      <c r="J2149" s="156"/>
    </row>
    <row r="2150" spans="8:10">
      <c r="H2150" s="156"/>
      <c r="I2150" s="156"/>
      <c r="J2150" s="156"/>
    </row>
    <row r="2151" spans="8:10">
      <c r="H2151" s="156"/>
      <c r="I2151" s="156"/>
      <c r="J2151" s="156"/>
    </row>
    <row r="2152" spans="8:10">
      <c r="H2152" s="156"/>
      <c r="I2152" s="156"/>
      <c r="J2152" s="156"/>
    </row>
    <row r="2153" spans="8:10">
      <c r="H2153" s="156"/>
      <c r="I2153" s="156"/>
      <c r="J2153" s="156"/>
    </row>
    <row r="2154" spans="8:10">
      <c r="H2154" s="156"/>
      <c r="I2154" s="156"/>
      <c r="J2154" s="156"/>
    </row>
    <row r="2155" spans="8:10">
      <c r="H2155" s="156"/>
      <c r="I2155" s="156"/>
      <c r="J2155" s="156"/>
    </row>
    <row r="2156" spans="8:10">
      <c r="H2156" s="156"/>
      <c r="I2156" s="156"/>
      <c r="J2156" s="156"/>
    </row>
    <row r="2157" spans="8:10">
      <c r="H2157" s="156"/>
      <c r="I2157" s="156"/>
      <c r="J2157" s="156"/>
    </row>
    <row r="2158" spans="8:10">
      <c r="H2158" s="156"/>
      <c r="I2158" s="156"/>
      <c r="J2158" s="156"/>
    </row>
    <row r="2159" spans="8:10">
      <c r="H2159" s="156"/>
      <c r="I2159" s="156"/>
      <c r="J2159" s="156"/>
    </row>
    <row r="2160" spans="8:10">
      <c r="H2160" s="156"/>
      <c r="I2160" s="156"/>
      <c r="J2160" s="156"/>
    </row>
    <row r="2161" spans="8:10">
      <c r="H2161" s="156"/>
      <c r="I2161" s="156"/>
      <c r="J2161" s="156"/>
    </row>
    <row r="2162" spans="8:10">
      <c r="H2162" s="156"/>
      <c r="I2162" s="156"/>
      <c r="J2162" s="156"/>
    </row>
    <row r="2163" spans="8:10">
      <c r="H2163" s="156"/>
      <c r="I2163" s="156"/>
      <c r="J2163" s="156"/>
    </row>
    <row r="2164" spans="8:10">
      <c r="H2164" s="156"/>
      <c r="I2164" s="156"/>
      <c r="J2164" s="156"/>
    </row>
    <row r="2165" spans="8:10">
      <c r="H2165" s="156"/>
      <c r="I2165" s="156"/>
      <c r="J2165" s="156"/>
    </row>
    <row r="2166" spans="8:10">
      <c r="H2166" s="156"/>
      <c r="I2166" s="156"/>
      <c r="J2166" s="156"/>
    </row>
    <row r="2167" spans="8:10">
      <c r="H2167" s="156"/>
      <c r="I2167" s="156"/>
      <c r="J2167" s="156"/>
    </row>
    <row r="2168" spans="8:10">
      <c r="H2168" s="156"/>
      <c r="I2168" s="156"/>
      <c r="J2168" s="156"/>
    </row>
    <row r="2169" spans="8:10">
      <c r="H2169" s="156"/>
      <c r="I2169" s="156"/>
      <c r="J2169" s="156"/>
    </row>
    <row r="2170" spans="8:10">
      <c r="H2170" s="156"/>
      <c r="I2170" s="156"/>
      <c r="J2170" s="156"/>
    </row>
    <row r="2171" spans="8:10">
      <c r="H2171" s="156"/>
      <c r="I2171" s="156"/>
      <c r="J2171" s="156"/>
    </row>
    <row r="2172" spans="8:10">
      <c r="H2172" s="156"/>
      <c r="I2172" s="156"/>
      <c r="J2172" s="156"/>
    </row>
    <row r="2173" spans="8:10">
      <c r="H2173" s="156"/>
      <c r="I2173" s="156"/>
      <c r="J2173" s="156"/>
    </row>
    <row r="2174" spans="8:10">
      <c r="H2174" s="156"/>
      <c r="I2174" s="156"/>
      <c r="J2174" s="156"/>
    </row>
    <row r="2175" spans="8:10">
      <c r="H2175" s="156"/>
      <c r="I2175" s="156"/>
      <c r="J2175" s="156"/>
    </row>
    <row r="2176" spans="8:10">
      <c r="H2176" s="156"/>
      <c r="I2176" s="156"/>
      <c r="J2176" s="156"/>
    </row>
    <row r="2177" spans="8:10">
      <c r="H2177" s="156"/>
      <c r="I2177" s="156"/>
      <c r="J2177" s="156"/>
    </row>
    <row r="2178" spans="8:10">
      <c r="H2178" s="156"/>
      <c r="I2178" s="156"/>
      <c r="J2178" s="156"/>
    </row>
    <row r="2179" spans="8:10">
      <c r="H2179" s="156"/>
      <c r="I2179" s="156"/>
      <c r="J2179" s="156"/>
    </row>
    <row r="2180" spans="8:10">
      <c r="H2180" s="156"/>
      <c r="I2180" s="156"/>
      <c r="J2180" s="156"/>
    </row>
    <row r="2181" spans="8:10">
      <c r="H2181" s="156"/>
      <c r="I2181" s="156"/>
      <c r="J2181" s="156"/>
    </row>
    <row r="2182" spans="8:10">
      <c r="H2182" s="156"/>
      <c r="I2182" s="156"/>
      <c r="J2182" s="156"/>
    </row>
    <row r="2183" spans="8:10">
      <c r="H2183" s="156"/>
      <c r="I2183" s="156"/>
      <c r="J2183" s="156"/>
    </row>
    <row r="2184" spans="8:10">
      <c r="H2184" s="156"/>
      <c r="I2184" s="156"/>
      <c r="J2184" s="156"/>
    </row>
    <row r="2185" spans="8:10">
      <c r="H2185" s="156"/>
      <c r="I2185" s="156"/>
      <c r="J2185" s="156"/>
    </row>
    <row r="2186" spans="8:10">
      <c r="H2186" s="156"/>
      <c r="I2186" s="156"/>
      <c r="J2186" s="156"/>
    </row>
    <row r="2187" spans="8:10">
      <c r="H2187" s="156"/>
      <c r="I2187" s="156"/>
      <c r="J2187" s="156"/>
    </row>
    <row r="2188" spans="8:10">
      <c r="H2188" s="156"/>
      <c r="I2188" s="156"/>
      <c r="J2188" s="156"/>
    </row>
    <row r="2189" spans="8:10">
      <c r="H2189" s="156"/>
      <c r="I2189" s="156"/>
      <c r="J2189" s="156"/>
    </row>
    <row r="2190" spans="8:10">
      <c r="H2190" s="156"/>
      <c r="I2190" s="156"/>
      <c r="J2190" s="156"/>
    </row>
    <row r="2191" spans="8:10">
      <c r="H2191" s="156"/>
      <c r="I2191" s="156"/>
      <c r="J2191" s="156"/>
    </row>
    <row r="2192" spans="8:10">
      <c r="H2192" s="156"/>
      <c r="I2192" s="156"/>
      <c r="J2192" s="156"/>
    </row>
    <row r="2193" spans="8:10">
      <c r="H2193" s="156"/>
      <c r="I2193" s="156"/>
      <c r="J2193" s="156"/>
    </row>
    <row r="2194" spans="8:10">
      <c r="H2194" s="156"/>
      <c r="I2194" s="156"/>
      <c r="J2194" s="156"/>
    </row>
    <row r="2195" spans="8:10">
      <c r="H2195" s="156"/>
      <c r="I2195" s="156"/>
      <c r="J2195" s="156"/>
    </row>
    <row r="2196" spans="8:10">
      <c r="H2196" s="156"/>
      <c r="I2196" s="156"/>
      <c r="J2196" s="156"/>
    </row>
    <row r="2197" spans="8:10">
      <c r="H2197" s="156"/>
      <c r="I2197" s="156"/>
      <c r="J2197" s="156"/>
    </row>
    <row r="2198" spans="8:10">
      <c r="H2198" s="156"/>
      <c r="I2198" s="156"/>
      <c r="J2198" s="156"/>
    </row>
    <row r="2199" spans="8:10">
      <c r="H2199" s="156"/>
      <c r="I2199" s="156"/>
      <c r="J2199" s="156"/>
    </row>
    <row r="2200" spans="8:10">
      <c r="H2200" s="156"/>
      <c r="I2200" s="156"/>
      <c r="J2200" s="156"/>
    </row>
    <row r="2201" spans="8:10">
      <c r="H2201" s="156"/>
      <c r="I2201" s="156"/>
      <c r="J2201" s="156"/>
    </row>
    <row r="2202" spans="8:10">
      <c r="H2202" s="156"/>
      <c r="I2202" s="156"/>
      <c r="J2202" s="156"/>
    </row>
    <row r="2203" spans="8:10">
      <c r="H2203" s="156"/>
      <c r="I2203" s="156"/>
      <c r="J2203" s="156"/>
    </row>
    <row r="2204" spans="8:10">
      <c r="H2204" s="156"/>
      <c r="I2204" s="156"/>
      <c r="J2204" s="156"/>
    </row>
    <row r="2205" spans="8:10">
      <c r="H2205" s="156"/>
      <c r="I2205" s="156"/>
      <c r="J2205" s="156"/>
    </row>
    <row r="2206" spans="8:10">
      <c r="H2206" s="156"/>
      <c r="I2206" s="156"/>
      <c r="J2206" s="156"/>
    </row>
    <row r="2207" spans="8:10">
      <c r="H2207" s="156"/>
      <c r="I2207" s="156"/>
      <c r="J2207" s="156"/>
    </row>
    <row r="2208" spans="8:10">
      <c r="H2208" s="156"/>
      <c r="I2208" s="156"/>
      <c r="J2208" s="156"/>
    </row>
    <row r="2209" spans="8:10">
      <c r="H2209" s="156"/>
      <c r="I2209" s="156"/>
      <c r="J2209" s="156"/>
    </row>
    <row r="2210" spans="8:10">
      <c r="H2210" s="156"/>
      <c r="I2210" s="156"/>
      <c r="J2210" s="156"/>
    </row>
    <row r="2211" spans="8:10">
      <c r="H2211" s="156"/>
      <c r="I2211" s="156"/>
      <c r="J2211" s="156"/>
    </row>
    <row r="2212" spans="8:10">
      <c r="H2212" s="156"/>
      <c r="I2212" s="156"/>
      <c r="J2212" s="156"/>
    </row>
    <row r="2213" spans="8:10">
      <c r="H2213" s="156"/>
      <c r="I2213" s="156"/>
      <c r="J2213" s="156"/>
    </row>
    <row r="2214" spans="8:10">
      <c r="H2214" s="156"/>
      <c r="I2214" s="156"/>
      <c r="J2214" s="156"/>
    </row>
    <row r="2215" spans="8:10">
      <c r="H2215" s="156"/>
      <c r="I2215" s="156"/>
      <c r="J2215" s="156"/>
    </row>
    <row r="2216" spans="8:10">
      <c r="H2216" s="156"/>
      <c r="I2216" s="156"/>
      <c r="J2216" s="156"/>
    </row>
    <row r="2217" spans="8:10">
      <c r="H2217" s="156"/>
      <c r="I2217" s="156"/>
      <c r="J2217" s="156"/>
    </row>
    <row r="2218" spans="8:10">
      <c r="H2218" s="156"/>
      <c r="I2218" s="156"/>
      <c r="J2218" s="156"/>
    </row>
    <row r="2219" spans="8:10">
      <c r="H2219" s="156"/>
      <c r="I2219" s="156"/>
      <c r="J2219" s="156"/>
    </row>
    <row r="2220" spans="8:10">
      <c r="H2220" s="156"/>
      <c r="I2220" s="156"/>
      <c r="J2220" s="156"/>
    </row>
    <row r="2221" spans="8:10">
      <c r="H2221" s="156"/>
      <c r="I2221" s="156"/>
      <c r="J2221" s="156"/>
    </row>
    <row r="2222" spans="8:10">
      <c r="H2222" s="156"/>
      <c r="I2222" s="156"/>
      <c r="J2222" s="156"/>
    </row>
    <row r="2223" spans="8:10">
      <c r="H2223" s="156"/>
      <c r="I2223" s="156"/>
      <c r="J2223" s="156"/>
    </row>
    <row r="2224" spans="8:10">
      <c r="H2224" s="156"/>
      <c r="I2224" s="156"/>
      <c r="J2224" s="156"/>
    </row>
    <row r="2225" spans="8:10">
      <c r="H2225" s="156"/>
      <c r="I2225" s="156"/>
      <c r="J2225" s="156"/>
    </row>
    <row r="2226" spans="8:10">
      <c r="H2226" s="156"/>
      <c r="I2226" s="156"/>
      <c r="J2226" s="156"/>
    </row>
    <row r="2227" spans="8:10">
      <c r="H2227" s="156"/>
      <c r="I2227" s="156"/>
      <c r="J2227" s="156"/>
    </row>
    <row r="2228" spans="8:10">
      <c r="H2228" s="156"/>
      <c r="I2228" s="156"/>
      <c r="J2228" s="156"/>
    </row>
    <row r="2229" spans="8:10">
      <c r="H2229" s="156"/>
      <c r="I2229" s="156"/>
      <c r="J2229" s="156"/>
    </row>
    <row r="2230" spans="8:10">
      <c r="H2230" s="156"/>
      <c r="I2230" s="156"/>
      <c r="J2230" s="156"/>
    </row>
    <row r="2231" spans="8:10">
      <c r="H2231" s="156"/>
      <c r="I2231" s="156"/>
      <c r="J2231" s="156"/>
    </row>
    <row r="2232" spans="8:10">
      <c r="H2232" s="156"/>
      <c r="I2232" s="156"/>
      <c r="J2232" s="156"/>
    </row>
    <row r="2233" spans="8:10">
      <c r="H2233" s="156"/>
      <c r="I2233" s="156"/>
      <c r="J2233" s="156"/>
    </row>
    <row r="2234" spans="8:10">
      <c r="H2234" s="156"/>
      <c r="I2234" s="156"/>
      <c r="J2234" s="156"/>
    </row>
    <row r="2235" spans="8:10">
      <c r="H2235" s="156"/>
      <c r="I2235" s="156"/>
      <c r="J2235" s="156"/>
    </row>
    <row r="2236" spans="8:10">
      <c r="H2236" s="156"/>
      <c r="I2236" s="156"/>
      <c r="J2236" s="156"/>
    </row>
    <row r="2237" spans="8:10">
      <c r="H2237" s="156"/>
      <c r="I2237" s="156"/>
      <c r="J2237" s="156"/>
    </row>
    <row r="2238" spans="8:10">
      <c r="H2238" s="156"/>
      <c r="I2238" s="156"/>
      <c r="J2238" s="156"/>
    </row>
    <row r="2239" spans="8:10">
      <c r="H2239" s="156"/>
      <c r="I2239" s="156"/>
      <c r="J2239" s="156"/>
    </row>
    <row r="2240" spans="8:10">
      <c r="H2240" s="156"/>
      <c r="I2240" s="156"/>
      <c r="J2240" s="156"/>
    </row>
    <row r="2241" spans="8:10">
      <c r="H2241" s="156"/>
      <c r="I2241" s="156"/>
      <c r="J2241" s="156"/>
    </row>
    <row r="2242" spans="8:10">
      <c r="H2242" s="156"/>
      <c r="I2242" s="156"/>
      <c r="J2242" s="156"/>
    </row>
    <row r="2243" spans="8:10">
      <c r="H2243" s="156"/>
      <c r="I2243" s="156"/>
      <c r="J2243" s="156"/>
    </row>
    <row r="2244" spans="8:10">
      <c r="H2244" s="156"/>
      <c r="I2244" s="156"/>
      <c r="J2244" s="156"/>
    </row>
    <row r="2245" spans="8:10">
      <c r="H2245" s="156"/>
      <c r="I2245" s="156"/>
      <c r="J2245" s="156"/>
    </row>
    <row r="2246" spans="8:10">
      <c r="H2246" s="156"/>
      <c r="I2246" s="156"/>
      <c r="J2246" s="156"/>
    </row>
    <row r="2247" spans="8:10">
      <c r="H2247" s="156"/>
      <c r="I2247" s="156"/>
      <c r="J2247" s="156"/>
    </row>
    <row r="2248" spans="8:10">
      <c r="H2248" s="156"/>
      <c r="I2248" s="156"/>
      <c r="J2248" s="156"/>
    </row>
    <row r="2249" spans="8:10">
      <c r="H2249" s="156"/>
      <c r="I2249" s="156"/>
      <c r="J2249" s="156"/>
    </row>
    <row r="2250" spans="8:10">
      <c r="H2250" s="156"/>
      <c r="I2250" s="156"/>
      <c r="J2250" s="156"/>
    </row>
    <row r="2251" spans="8:10">
      <c r="H2251" s="156"/>
      <c r="I2251" s="156"/>
      <c r="J2251" s="156"/>
    </row>
    <row r="2252" spans="8:10">
      <c r="H2252" s="156"/>
      <c r="I2252" s="156"/>
      <c r="J2252" s="156"/>
    </row>
    <row r="2253" spans="8:10">
      <c r="H2253" s="156"/>
      <c r="I2253" s="156"/>
      <c r="J2253" s="156"/>
    </row>
    <row r="2254" spans="8:10">
      <c r="H2254" s="156"/>
      <c r="I2254" s="156"/>
      <c r="J2254" s="156"/>
    </row>
    <row r="2255" spans="8:10">
      <c r="H2255" s="156"/>
      <c r="I2255" s="156"/>
      <c r="J2255" s="156"/>
    </row>
    <row r="2256" spans="8:10">
      <c r="H2256" s="156"/>
      <c r="I2256" s="156"/>
      <c r="J2256" s="156"/>
    </row>
    <row r="2257" spans="8:10">
      <c r="H2257" s="156"/>
      <c r="I2257" s="156"/>
      <c r="J2257" s="156"/>
    </row>
    <row r="2258" spans="8:10">
      <c r="H2258" s="156"/>
      <c r="I2258" s="156"/>
      <c r="J2258" s="156"/>
    </row>
    <row r="2259" spans="8:10">
      <c r="H2259" s="156"/>
      <c r="I2259" s="156"/>
      <c r="J2259" s="156"/>
    </row>
    <row r="2260" spans="8:10">
      <c r="H2260" s="156"/>
      <c r="I2260" s="156"/>
      <c r="J2260" s="156"/>
    </row>
    <row r="2261" spans="8:10">
      <c r="H2261" s="156"/>
      <c r="I2261" s="156"/>
      <c r="J2261" s="156"/>
    </row>
    <row r="2262" spans="8:10">
      <c r="H2262" s="156"/>
      <c r="I2262" s="156"/>
      <c r="J2262" s="156"/>
    </row>
    <row r="2263" spans="8:10">
      <c r="H2263" s="156"/>
      <c r="I2263" s="156"/>
      <c r="J2263" s="156"/>
    </row>
    <row r="2264" spans="8:10">
      <c r="H2264" s="156"/>
      <c r="I2264" s="156"/>
      <c r="J2264" s="156"/>
    </row>
    <row r="2265" spans="8:10">
      <c r="H2265" s="156"/>
      <c r="I2265" s="156"/>
      <c r="J2265" s="156"/>
    </row>
    <row r="2266" spans="8:10">
      <c r="H2266" s="156"/>
      <c r="I2266" s="156"/>
      <c r="J2266" s="156"/>
    </row>
    <row r="2267" spans="8:10">
      <c r="H2267" s="156"/>
      <c r="I2267" s="156"/>
      <c r="J2267" s="156"/>
    </row>
    <row r="2268" spans="8:10">
      <c r="H2268" s="156"/>
      <c r="I2268" s="156"/>
      <c r="J2268" s="156"/>
    </row>
    <row r="2269" spans="8:10">
      <c r="H2269" s="156"/>
      <c r="I2269" s="156"/>
      <c r="J2269" s="156"/>
    </row>
    <row r="2270" spans="8:10">
      <c r="H2270" s="156"/>
      <c r="I2270" s="156"/>
      <c r="J2270" s="156"/>
    </row>
    <row r="2271" spans="8:10">
      <c r="H2271" s="156"/>
      <c r="I2271" s="156"/>
      <c r="J2271" s="156"/>
    </row>
    <row r="2272" spans="8:10">
      <c r="H2272" s="156"/>
      <c r="I2272" s="156"/>
      <c r="J2272" s="156"/>
    </row>
    <row r="2273" spans="8:10">
      <c r="H2273" s="156"/>
      <c r="I2273" s="156"/>
      <c r="J2273" s="156"/>
    </row>
    <row r="2274" spans="8:10">
      <c r="H2274" s="156"/>
      <c r="I2274" s="156"/>
      <c r="J2274" s="156"/>
    </row>
    <row r="2275" spans="8:10">
      <c r="H2275" s="156"/>
      <c r="I2275" s="156"/>
      <c r="J2275" s="156"/>
    </row>
    <row r="2276" spans="8:10">
      <c r="H2276" s="156"/>
      <c r="I2276" s="156"/>
      <c r="J2276" s="156"/>
    </row>
    <row r="2277" spans="8:10">
      <c r="H2277" s="156"/>
      <c r="I2277" s="156"/>
      <c r="J2277" s="156"/>
    </row>
    <row r="2278" spans="8:10">
      <c r="H2278" s="156"/>
      <c r="I2278" s="156"/>
      <c r="J2278" s="156"/>
    </row>
    <row r="2279" spans="8:10">
      <c r="H2279" s="156"/>
      <c r="I2279" s="156"/>
      <c r="J2279" s="156"/>
    </row>
    <row r="2280" spans="8:10">
      <c r="H2280" s="156"/>
      <c r="I2280" s="156"/>
      <c r="J2280" s="156"/>
    </row>
    <row r="2281" spans="8:10">
      <c r="H2281" s="156"/>
      <c r="I2281" s="156"/>
      <c r="J2281" s="156"/>
    </row>
    <row r="2282" spans="8:10">
      <c r="H2282" s="156"/>
      <c r="I2282" s="156"/>
      <c r="J2282" s="156"/>
    </row>
    <row r="2283" spans="8:10">
      <c r="H2283" s="156"/>
      <c r="I2283" s="156"/>
      <c r="J2283" s="156"/>
    </row>
    <row r="2284" spans="8:10">
      <c r="H2284" s="156"/>
      <c r="I2284" s="156"/>
      <c r="J2284" s="156"/>
    </row>
    <row r="2285" spans="8:10">
      <c r="H2285" s="156"/>
      <c r="I2285" s="156"/>
      <c r="J2285" s="156"/>
    </row>
    <row r="2286" spans="8:10">
      <c r="H2286" s="156"/>
      <c r="I2286" s="156"/>
      <c r="J2286" s="156"/>
    </row>
    <row r="2287" spans="8:10">
      <c r="H2287" s="156"/>
      <c r="I2287" s="156"/>
      <c r="J2287" s="156"/>
    </row>
    <row r="2288" spans="8:10">
      <c r="H2288" s="156"/>
      <c r="I2288" s="156"/>
      <c r="J2288" s="156"/>
    </row>
    <row r="2289" spans="8:10">
      <c r="H2289" s="156"/>
      <c r="I2289" s="156"/>
      <c r="J2289" s="156"/>
    </row>
    <row r="2290" spans="8:10">
      <c r="H2290" s="156"/>
      <c r="I2290" s="156"/>
      <c r="J2290" s="156"/>
    </row>
    <row r="2291" spans="8:10">
      <c r="H2291" s="156"/>
      <c r="I2291" s="156"/>
      <c r="J2291" s="156"/>
    </row>
    <row r="2292" spans="8:10">
      <c r="H2292" s="156"/>
      <c r="I2292" s="156"/>
      <c r="J2292" s="156"/>
    </row>
    <row r="2293" spans="8:10">
      <c r="H2293" s="156"/>
      <c r="I2293" s="156"/>
      <c r="J2293" s="156"/>
    </row>
    <row r="2294" spans="8:10">
      <c r="H2294" s="156"/>
      <c r="I2294" s="156"/>
      <c r="J2294" s="156"/>
    </row>
    <row r="2295" spans="8:10">
      <c r="H2295" s="156"/>
      <c r="I2295" s="156"/>
      <c r="J2295" s="156"/>
    </row>
    <row r="2296" spans="8:10">
      <c r="H2296" s="156"/>
      <c r="I2296" s="156"/>
      <c r="J2296" s="156"/>
    </row>
    <row r="2297" spans="8:10">
      <c r="H2297" s="156"/>
      <c r="I2297" s="156"/>
      <c r="J2297" s="156"/>
    </row>
    <row r="2298" spans="8:10">
      <c r="H2298" s="156"/>
      <c r="I2298" s="156"/>
      <c r="J2298" s="156"/>
    </row>
    <row r="2299" spans="8:10">
      <c r="H2299" s="156"/>
      <c r="I2299" s="156"/>
      <c r="J2299" s="156"/>
    </row>
    <row r="2300" spans="8:10">
      <c r="H2300" s="156"/>
      <c r="I2300" s="156"/>
      <c r="J2300" s="156"/>
    </row>
    <row r="2301" spans="8:10">
      <c r="H2301" s="156"/>
      <c r="I2301" s="156"/>
      <c r="J2301" s="156"/>
    </row>
    <row r="2302" spans="8:10">
      <c r="H2302" s="156"/>
      <c r="I2302" s="156"/>
      <c r="J2302" s="156"/>
    </row>
    <row r="2303" spans="8:10">
      <c r="H2303" s="156"/>
      <c r="I2303" s="156"/>
      <c r="J2303" s="156"/>
    </row>
    <row r="2304" spans="8:10">
      <c r="H2304" s="156"/>
      <c r="I2304" s="156"/>
      <c r="J2304" s="156"/>
    </row>
    <row r="2305" spans="8:10">
      <c r="H2305" s="156"/>
      <c r="I2305" s="156"/>
      <c r="J2305" s="156"/>
    </row>
    <row r="2306" spans="8:10">
      <c r="H2306" s="156"/>
      <c r="I2306" s="156"/>
      <c r="J2306" s="156"/>
    </row>
    <row r="2307" spans="8:10">
      <c r="H2307" s="156"/>
      <c r="I2307" s="156"/>
      <c r="J2307" s="156"/>
    </row>
    <row r="2308" spans="8:10">
      <c r="H2308" s="156"/>
      <c r="I2308" s="156"/>
      <c r="J2308" s="156"/>
    </row>
    <row r="2309" spans="8:10">
      <c r="H2309" s="156"/>
      <c r="I2309" s="156"/>
      <c r="J2309" s="156"/>
    </row>
    <row r="2310" spans="8:10">
      <c r="H2310" s="156"/>
      <c r="I2310" s="156"/>
      <c r="J2310" s="156"/>
    </row>
    <row r="2311" spans="8:10">
      <c r="H2311" s="156"/>
      <c r="I2311" s="156"/>
      <c r="J2311" s="156"/>
    </row>
    <row r="2312" spans="8:10">
      <c r="H2312" s="156"/>
      <c r="I2312" s="156"/>
      <c r="J2312" s="156"/>
    </row>
    <row r="2313" spans="8:10">
      <c r="H2313" s="156"/>
      <c r="I2313" s="156"/>
      <c r="J2313" s="156"/>
    </row>
    <row r="2314" spans="8:10">
      <c r="H2314" s="156"/>
      <c r="I2314" s="156"/>
      <c r="J2314" s="156"/>
    </row>
    <row r="2315" spans="8:10">
      <c r="H2315" s="156"/>
      <c r="I2315" s="156"/>
      <c r="J2315" s="156"/>
    </row>
    <row r="2316" spans="8:10">
      <c r="H2316" s="156"/>
      <c r="I2316" s="156"/>
      <c r="J2316" s="156"/>
    </row>
    <row r="2317" spans="8:10">
      <c r="H2317" s="156"/>
      <c r="I2317" s="156"/>
      <c r="J2317" s="156"/>
    </row>
    <row r="2318" spans="8:10">
      <c r="H2318" s="156"/>
      <c r="I2318" s="156"/>
      <c r="J2318" s="156"/>
    </row>
    <row r="2319" spans="8:10">
      <c r="H2319" s="156"/>
      <c r="I2319" s="156"/>
      <c r="J2319" s="156"/>
    </row>
    <row r="2320" spans="8:10">
      <c r="H2320" s="156"/>
      <c r="I2320" s="156"/>
      <c r="J2320" s="156"/>
    </row>
    <row r="2321" spans="8:10">
      <c r="H2321" s="156"/>
      <c r="I2321" s="156"/>
      <c r="J2321" s="156"/>
    </row>
    <row r="2322" spans="8:10">
      <c r="H2322" s="156"/>
      <c r="I2322" s="156"/>
      <c r="J2322" s="156"/>
    </row>
    <row r="2323" spans="8:10">
      <c r="H2323" s="156"/>
      <c r="I2323" s="156"/>
      <c r="J2323" s="156"/>
    </row>
    <row r="2324" spans="8:10">
      <c r="H2324" s="156"/>
      <c r="I2324" s="156"/>
      <c r="J2324" s="156"/>
    </row>
    <row r="2325" spans="8:10">
      <c r="H2325" s="156"/>
      <c r="I2325" s="156"/>
      <c r="J2325" s="156"/>
    </row>
    <row r="2326" spans="8:10">
      <c r="H2326" s="156"/>
      <c r="I2326" s="156"/>
      <c r="J2326" s="156"/>
    </row>
    <row r="2327" spans="8:10">
      <c r="H2327" s="156"/>
      <c r="I2327" s="156"/>
      <c r="J2327" s="156"/>
    </row>
    <row r="2328" spans="8:10">
      <c r="H2328" s="156"/>
      <c r="I2328" s="156"/>
      <c r="J2328" s="156"/>
    </row>
    <row r="2329" spans="8:10">
      <c r="H2329" s="156"/>
      <c r="I2329" s="156"/>
      <c r="J2329" s="156"/>
    </row>
    <row r="2330" spans="8:10">
      <c r="H2330" s="156"/>
      <c r="I2330" s="156"/>
      <c r="J2330" s="156"/>
    </row>
    <row r="2331" spans="8:10">
      <c r="H2331" s="156"/>
      <c r="I2331" s="156"/>
      <c r="J2331" s="156"/>
    </row>
    <row r="2332" spans="8:10">
      <c r="H2332" s="156"/>
      <c r="I2332" s="156"/>
      <c r="J2332" s="156"/>
    </row>
    <row r="2333" spans="8:10">
      <c r="H2333" s="156"/>
      <c r="I2333" s="156"/>
      <c r="J2333" s="156"/>
    </row>
    <row r="2334" spans="8:10">
      <c r="H2334" s="156"/>
      <c r="I2334" s="156"/>
      <c r="J2334" s="156"/>
    </row>
    <row r="2335" spans="8:10">
      <c r="H2335" s="156"/>
      <c r="I2335" s="156"/>
      <c r="J2335" s="156"/>
    </row>
    <row r="2336" spans="8:10">
      <c r="H2336" s="156"/>
      <c r="I2336" s="156"/>
      <c r="J2336" s="156"/>
    </row>
    <row r="2337" spans="8:10">
      <c r="H2337" s="156"/>
      <c r="I2337" s="156"/>
      <c r="J2337" s="156"/>
    </row>
    <row r="2338" spans="8:10">
      <c r="H2338" s="156"/>
      <c r="I2338" s="156"/>
      <c r="J2338" s="156"/>
    </row>
    <row r="2339" spans="8:10">
      <c r="H2339" s="156"/>
      <c r="I2339" s="156"/>
      <c r="J2339" s="156"/>
    </row>
    <row r="2340" spans="8:10">
      <c r="H2340" s="156"/>
      <c r="I2340" s="156"/>
      <c r="J2340" s="156"/>
    </row>
    <row r="2341" spans="8:10">
      <c r="H2341" s="156"/>
      <c r="I2341" s="156"/>
      <c r="J2341" s="156"/>
    </row>
    <row r="2342" spans="8:10">
      <c r="H2342" s="156"/>
      <c r="I2342" s="156"/>
      <c r="J2342" s="156"/>
    </row>
    <row r="2343" spans="8:10">
      <c r="H2343" s="156"/>
      <c r="I2343" s="156"/>
      <c r="J2343" s="156"/>
    </row>
    <row r="2344" spans="8:10">
      <c r="H2344" s="156"/>
      <c r="I2344" s="156"/>
      <c r="J2344" s="156"/>
    </row>
    <row r="2345" spans="8:10">
      <c r="H2345" s="156"/>
      <c r="I2345" s="156"/>
      <c r="J2345" s="156"/>
    </row>
    <row r="2346" spans="8:10">
      <c r="H2346" s="156"/>
      <c r="I2346" s="156"/>
      <c r="J2346" s="156"/>
    </row>
    <row r="2347" spans="8:10">
      <c r="H2347" s="156"/>
      <c r="I2347" s="156"/>
      <c r="J2347" s="156"/>
    </row>
    <row r="2348" spans="8:10">
      <c r="H2348" s="156"/>
      <c r="I2348" s="156"/>
      <c r="J2348" s="156"/>
    </row>
    <row r="2349" spans="8:10">
      <c r="H2349" s="156"/>
      <c r="I2349" s="156"/>
      <c r="J2349" s="156"/>
    </row>
    <row r="2350" spans="8:10">
      <c r="H2350" s="156"/>
      <c r="I2350" s="156"/>
      <c r="J2350" s="156"/>
    </row>
    <row r="2351" spans="8:10">
      <c r="H2351" s="156"/>
      <c r="I2351" s="156"/>
      <c r="J2351" s="156"/>
    </row>
    <row r="2352" spans="8:10">
      <c r="H2352" s="156"/>
      <c r="I2352" s="156"/>
      <c r="J2352" s="156"/>
    </row>
    <row r="2353" spans="8:10">
      <c r="H2353" s="156"/>
      <c r="I2353" s="156"/>
      <c r="J2353" s="156"/>
    </row>
    <row r="2354" spans="8:10">
      <c r="H2354" s="156"/>
      <c r="I2354" s="156"/>
      <c r="J2354" s="156"/>
    </row>
    <row r="2355" spans="8:10">
      <c r="H2355" s="156"/>
      <c r="I2355" s="156"/>
      <c r="J2355" s="156"/>
    </row>
    <row r="2356" spans="8:10">
      <c r="H2356" s="156"/>
      <c r="I2356" s="156"/>
      <c r="J2356" s="156"/>
    </row>
    <row r="2357" spans="8:10">
      <c r="H2357" s="156"/>
      <c r="I2357" s="156"/>
      <c r="J2357" s="156"/>
    </row>
    <row r="2358" spans="8:10">
      <c r="H2358" s="156"/>
      <c r="I2358" s="156"/>
      <c r="J2358" s="156"/>
    </row>
    <row r="2359" spans="8:10">
      <c r="H2359" s="156"/>
      <c r="I2359" s="156"/>
      <c r="J2359" s="156"/>
    </row>
    <row r="2360" spans="8:10">
      <c r="H2360" s="156"/>
      <c r="I2360" s="156"/>
      <c r="J2360" s="156"/>
    </row>
    <row r="2361" spans="8:10">
      <c r="H2361" s="156"/>
      <c r="I2361" s="156"/>
      <c r="J2361" s="156"/>
    </row>
    <row r="2362" spans="8:10">
      <c r="H2362" s="156"/>
      <c r="I2362" s="156"/>
      <c r="J2362" s="156"/>
    </row>
    <row r="2363" spans="8:10">
      <c r="H2363" s="156"/>
      <c r="I2363" s="156"/>
      <c r="J2363" s="156"/>
    </row>
    <row r="2364" spans="8:10">
      <c r="H2364" s="156"/>
      <c r="I2364" s="156"/>
      <c r="J2364" s="156"/>
    </row>
    <row r="2365" spans="8:10">
      <c r="H2365" s="156"/>
      <c r="I2365" s="156"/>
      <c r="J2365" s="156"/>
    </row>
    <row r="2366" spans="8:10">
      <c r="H2366" s="156"/>
      <c r="I2366" s="156"/>
      <c r="J2366" s="156"/>
    </row>
    <row r="2367" spans="8:10">
      <c r="H2367" s="156"/>
      <c r="I2367" s="156"/>
      <c r="J2367" s="156"/>
    </row>
    <row r="2368" spans="8:10">
      <c r="H2368" s="156"/>
      <c r="I2368" s="156"/>
      <c r="J2368" s="156"/>
    </row>
    <row r="2369" spans="8:10">
      <c r="H2369" s="156"/>
      <c r="I2369" s="156"/>
      <c r="J2369" s="156"/>
    </row>
    <row r="2370" spans="8:10">
      <c r="H2370" s="156"/>
      <c r="I2370" s="156"/>
      <c r="J2370" s="156"/>
    </row>
    <row r="2371" spans="8:10">
      <c r="H2371" s="156"/>
      <c r="I2371" s="156"/>
      <c r="J2371" s="156"/>
    </row>
    <row r="2372" spans="8:10">
      <c r="H2372" s="156"/>
      <c r="I2372" s="156"/>
      <c r="J2372" s="156"/>
    </row>
    <row r="2373" spans="8:10">
      <c r="H2373" s="156"/>
      <c r="I2373" s="156"/>
      <c r="J2373" s="156"/>
    </row>
    <row r="2374" spans="8:10">
      <c r="H2374" s="156"/>
      <c r="I2374" s="156"/>
      <c r="J2374" s="156"/>
    </row>
    <row r="2375" spans="8:10">
      <c r="H2375" s="156"/>
      <c r="I2375" s="156"/>
      <c r="J2375" s="156"/>
    </row>
    <row r="2376" spans="8:10">
      <c r="H2376" s="156"/>
      <c r="I2376" s="156"/>
      <c r="J2376" s="156"/>
    </row>
    <row r="2377" spans="8:10">
      <c r="H2377" s="156"/>
      <c r="I2377" s="156"/>
      <c r="J2377" s="156"/>
    </row>
    <row r="2378" spans="8:10">
      <c r="H2378" s="156"/>
      <c r="I2378" s="156"/>
      <c r="J2378" s="156"/>
    </row>
    <row r="2379" spans="8:10">
      <c r="H2379" s="156"/>
      <c r="I2379" s="156"/>
      <c r="J2379" s="156"/>
    </row>
    <row r="2380" spans="8:10">
      <c r="H2380" s="156"/>
      <c r="I2380" s="156"/>
      <c r="J2380" s="156"/>
    </row>
    <row r="2381" spans="8:10">
      <c r="H2381" s="156"/>
      <c r="I2381" s="156"/>
      <c r="J2381" s="156"/>
    </row>
    <row r="2382" spans="8:10">
      <c r="H2382" s="156"/>
      <c r="I2382" s="156"/>
      <c r="J2382" s="156"/>
    </row>
    <row r="2383" spans="8:10">
      <c r="H2383" s="156"/>
      <c r="I2383" s="156"/>
      <c r="J2383" s="156"/>
    </row>
    <row r="2384" spans="8:10">
      <c r="H2384" s="156"/>
      <c r="I2384" s="156"/>
      <c r="J2384" s="156"/>
    </row>
    <row r="2385" spans="8:10">
      <c r="H2385" s="156"/>
      <c r="I2385" s="156"/>
      <c r="J2385" s="156"/>
    </row>
    <row r="2386" spans="8:10">
      <c r="H2386" s="156"/>
      <c r="I2386" s="156"/>
      <c r="J2386" s="156"/>
    </row>
    <row r="2387" spans="8:10">
      <c r="H2387" s="156"/>
      <c r="I2387" s="156"/>
      <c r="J2387" s="156"/>
    </row>
    <row r="2388" spans="8:10">
      <c r="H2388" s="156"/>
      <c r="I2388" s="156"/>
      <c r="J2388" s="156"/>
    </row>
    <row r="2389" spans="8:10">
      <c r="H2389" s="156"/>
      <c r="I2389" s="156"/>
      <c r="J2389" s="156"/>
    </row>
    <row r="2390" spans="8:10">
      <c r="H2390" s="156"/>
      <c r="I2390" s="156"/>
      <c r="J2390" s="156"/>
    </row>
    <row r="2391" spans="8:10">
      <c r="H2391" s="156"/>
      <c r="I2391" s="156"/>
      <c r="J2391" s="156"/>
    </row>
    <row r="2392" spans="8:10">
      <c r="H2392" s="156"/>
      <c r="I2392" s="156"/>
      <c r="J2392" s="156"/>
    </row>
    <row r="2393" spans="8:10">
      <c r="H2393" s="156"/>
      <c r="I2393" s="156"/>
      <c r="J2393" s="156"/>
    </row>
    <row r="2394" spans="8:10">
      <c r="H2394" s="156"/>
      <c r="I2394" s="156"/>
      <c r="J2394" s="156"/>
    </row>
    <row r="2395" spans="8:10">
      <c r="H2395" s="156"/>
      <c r="I2395" s="156"/>
      <c r="J2395" s="156"/>
    </row>
    <row r="2396" spans="8:10">
      <c r="H2396" s="156"/>
      <c r="I2396" s="156"/>
      <c r="J2396" s="156"/>
    </row>
    <row r="2397" spans="8:10">
      <c r="H2397" s="156"/>
      <c r="I2397" s="156"/>
      <c r="J2397" s="156"/>
    </row>
    <row r="2398" spans="8:10">
      <c r="H2398" s="156"/>
      <c r="I2398" s="156"/>
      <c r="J2398" s="156"/>
    </row>
    <row r="2399" spans="8:10">
      <c r="H2399" s="156"/>
      <c r="I2399" s="156"/>
      <c r="J2399" s="156"/>
    </row>
    <row r="2400" spans="8:10">
      <c r="H2400" s="156"/>
      <c r="I2400" s="156"/>
      <c r="J2400" s="156"/>
    </row>
    <row r="2401" spans="8:10">
      <c r="H2401" s="156"/>
      <c r="I2401" s="156"/>
      <c r="J2401" s="156"/>
    </row>
    <row r="2402" spans="8:10">
      <c r="H2402" s="156"/>
      <c r="I2402" s="156"/>
      <c r="J2402" s="156"/>
    </row>
    <row r="2403" spans="8:10">
      <c r="H2403" s="156"/>
      <c r="I2403" s="156"/>
      <c r="J2403" s="156"/>
    </row>
    <row r="2404" spans="8:10">
      <c r="H2404" s="156"/>
      <c r="I2404" s="156"/>
      <c r="J2404" s="156"/>
    </row>
    <row r="2405" spans="8:10">
      <c r="H2405" s="156"/>
      <c r="I2405" s="156"/>
      <c r="J2405" s="156"/>
    </row>
    <row r="2406" spans="8:10">
      <c r="H2406" s="156"/>
      <c r="I2406" s="156"/>
      <c r="J2406" s="156"/>
    </row>
    <row r="2407" spans="8:10">
      <c r="H2407" s="156"/>
      <c r="I2407" s="156"/>
      <c r="J2407" s="156"/>
    </row>
    <row r="2408" spans="8:10">
      <c r="H2408" s="156"/>
      <c r="I2408" s="156"/>
      <c r="J2408" s="156"/>
    </row>
    <row r="2409" spans="8:10">
      <c r="H2409" s="156"/>
      <c r="I2409" s="156"/>
      <c r="J2409" s="156"/>
    </row>
    <row r="2410" spans="8:10">
      <c r="H2410" s="156"/>
      <c r="I2410" s="156"/>
      <c r="J2410" s="156"/>
    </row>
    <row r="2411" spans="8:10">
      <c r="H2411" s="156"/>
      <c r="I2411" s="156"/>
      <c r="J2411" s="156"/>
    </row>
    <row r="2412" spans="8:10">
      <c r="H2412" s="156"/>
      <c r="I2412" s="156"/>
      <c r="J2412" s="156"/>
    </row>
    <row r="2413" spans="8:10">
      <c r="H2413" s="156"/>
      <c r="I2413" s="156"/>
      <c r="J2413" s="156"/>
    </row>
    <row r="2414" spans="8:10">
      <c r="H2414" s="156"/>
      <c r="I2414" s="156"/>
      <c r="J2414" s="156"/>
    </row>
    <row r="2415" spans="8:10">
      <c r="H2415" s="156"/>
      <c r="I2415" s="156"/>
      <c r="J2415" s="156"/>
    </row>
    <row r="2416" spans="8:10">
      <c r="H2416" s="156"/>
      <c r="I2416" s="156"/>
      <c r="J2416" s="156"/>
    </row>
    <row r="2417" spans="8:10">
      <c r="H2417" s="156"/>
      <c r="I2417" s="156"/>
      <c r="J2417" s="156"/>
    </row>
    <row r="2418" spans="8:10">
      <c r="H2418" s="156"/>
      <c r="I2418" s="156"/>
      <c r="J2418" s="156"/>
    </row>
    <row r="2419" spans="8:10">
      <c r="H2419" s="156"/>
      <c r="I2419" s="156"/>
      <c r="J2419" s="156"/>
    </row>
    <row r="2420" spans="8:10">
      <c r="H2420" s="156"/>
      <c r="I2420" s="156"/>
      <c r="J2420" s="156"/>
    </row>
    <row r="2421" spans="8:10">
      <c r="H2421" s="156"/>
      <c r="I2421" s="156"/>
      <c r="J2421" s="156"/>
    </row>
    <row r="2422" spans="8:10">
      <c r="H2422" s="156"/>
      <c r="I2422" s="156"/>
      <c r="J2422" s="156"/>
    </row>
    <row r="2423" spans="8:10">
      <c r="H2423" s="156"/>
      <c r="I2423" s="156"/>
      <c r="J2423" s="156"/>
    </row>
    <row r="2424" spans="8:10">
      <c r="H2424" s="156"/>
      <c r="I2424" s="156"/>
      <c r="J2424" s="156"/>
    </row>
    <row r="2425" spans="8:10">
      <c r="H2425" s="156"/>
      <c r="I2425" s="156"/>
      <c r="J2425" s="156"/>
    </row>
    <row r="2426" spans="8:10">
      <c r="H2426" s="156"/>
      <c r="I2426" s="156"/>
      <c r="J2426" s="156"/>
    </row>
    <row r="2427" spans="8:10">
      <c r="H2427" s="156"/>
      <c r="I2427" s="156"/>
      <c r="J2427" s="156"/>
    </row>
    <row r="2428" spans="8:10">
      <c r="H2428" s="156"/>
      <c r="I2428" s="156"/>
      <c r="J2428" s="156"/>
    </row>
    <row r="2429" spans="8:10">
      <c r="H2429" s="156"/>
      <c r="I2429" s="156"/>
      <c r="J2429" s="156"/>
    </row>
    <row r="2430" spans="8:10">
      <c r="H2430" s="156"/>
      <c r="I2430" s="156"/>
      <c r="J2430" s="156"/>
    </row>
    <row r="2431" spans="8:10">
      <c r="H2431" s="156"/>
      <c r="I2431" s="156"/>
      <c r="J2431" s="156"/>
    </row>
    <row r="2432" spans="8:10">
      <c r="H2432" s="156"/>
      <c r="I2432" s="156"/>
      <c r="J2432" s="156"/>
    </row>
    <row r="2433" spans="8:10">
      <c r="H2433" s="156"/>
      <c r="I2433" s="156"/>
      <c r="J2433" s="156"/>
    </row>
    <row r="2434" spans="8:10">
      <c r="H2434" s="156"/>
      <c r="I2434" s="156"/>
      <c r="J2434" s="156"/>
    </row>
    <row r="2435" spans="8:10">
      <c r="H2435" s="156"/>
      <c r="I2435" s="156"/>
      <c r="J2435" s="156"/>
    </row>
    <row r="2436" spans="8:10">
      <c r="H2436" s="156"/>
      <c r="I2436" s="156"/>
      <c r="J2436" s="156"/>
    </row>
    <row r="2437" spans="8:10">
      <c r="H2437" s="156"/>
      <c r="I2437" s="156"/>
      <c r="J2437" s="156"/>
    </row>
    <row r="2438" spans="8:10">
      <c r="H2438" s="156"/>
      <c r="I2438" s="156"/>
      <c r="J2438" s="156"/>
    </row>
    <row r="2439" spans="8:10">
      <c r="H2439" s="156"/>
      <c r="I2439" s="156"/>
      <c r="J2439" s="156"/>
    </row>
    <row r="2440" spans="8:10">
      <c r="H2440" s="156"/>
      <c r="I2440" s="156"/>
      <c r="J2440" s="156"/>
    </row>
    <row r="2441" spans="8:10">
      <c r="H2441" s="156"/>
      <c r="I2441" s="156"/>
      <c r="J2441" s="156"/>
    </row>
    <row r="2442" spans="8:10">
      <c r="H2442" s="156"/>
      <c r="I2442" s="156"/>
      <c r="J2442" s="156"/>
    </row>
    <row r="2443" spans="8:10">
      <c r="H2443" s="156"/>
      <c r="I2443" s="156"/>
      <c r="J2443" s="156"/>
    </row>
    <row r="2444" spans="8:10">
      <c r="H2444" s="156"/>
      <c r="I2444" s="156"/>
      <c r="J2444" s="156"/>
    </row>
    <row r="2445" spans="8:10">
      <c r="H2445" s="156"/>
      <c r="I2445" s="156"/>
      <c r="J2445" s="156"/>
    </row>
    <row r="2446" spans="8:10">
      <c r="H2446" s="156"/>
      <c r="I2446" s="156"/>
      <c r="J2446" s="156"/>
    </row>
    <row r="2447" spans="8:10">
      <c r="H2447" s="156"/>
      <c r="I2447" s="156"/>
      <c r="J2447" s="156"/>
    </row>
    <row r="2448" spans="8:10">
      <c r="H2448" s="156"/>
      <c r="I2448" s="156"/>
      <c r="J2448" s="156"/>
    </row>
    <row r="2449" spans="8:10">
      <c r="H2449" s="156"/>
      <c r="I2449" s="156"/>
      <c r="J2449" s="156"/>
    </row>
    <row r="2450" spans="8:10">
      <c r="H2450" s="156"/>
      <c r="I2450" s="156"/>
      <c r="J2450" s="156"/>
    </row>
    <row r="2451" spans="8:10">
      <c r="H2451" s="156"/>
      <c r="I2451" s="156"/>
      <c r="J2451" s="156"/>
    </row>
    <row r="2452" spans="8:10">
      <c r="H2452" s="156"/>
      <c r="I2452" s="156"/>
      <c r="J2452" s="156"/>
    </row>
    <row r="2453" spans="8:10">
      <c r="H2453" s="156"/>
      <c r="I2453" s="156"/>
      <c r="J2453" s="156"/>
    </row>
    <row r="2454" spans="8:10">
      <c r="H2454" s="156"/>
      <c r="I2454" s="156"/>
      <c r="J2454" s="156"/>
    </row>
    <row r="2455" spans="8:10">
      <c r="H2455" s="156"/>
      <c r="I2455" s="156"/>
      <c r="J2455" s="156"/>
    </row>
    <row r="2456" spans="8:10">
      <c r="H2456" s="156"/>
      <c r="I2456" s="156"/>
      <c r="J2456" s="156"/>
    </row>
    <row r="2457" spans="8:10">
      <c r="H2457" s="156"/>
      <c r="I2457" s="156"/>
      <c r="J2457" s="156"/>
    </row>
    <row r="2458" spans="8:10">
      <c r="H2458" s="156"/>
      <c r="I2458" s="156"/>
      <c r="J2458" s="156"/>
    </row>
    <row r="2459" spans="8:10">
      <c r="H2459" s="156"/>
      <c r="I2459" s="156"/>
      <c r="J2459" s="156"/>
    </row>
    <row r="2460" spans="8:10">
      <c r="H2460" s="156"/>
      <c r="I2460" s="156"/>
      <c r="J2460" s="156"/>
    </row>
    <row r="2461" spans="8:10">
      <c r="H2461" s="156"/>
      <c r="I2461" s="156"/>
      <c r="J2461" s="156"/>
    </row>
    <row r="2462" spans="8:10">
      <c r="H2462" s="156"/>
      <c r="I2462" s="156"/>
      <c r="J2462" s="156"/>
    </row>
    <row r="2463" spans="8:10">
      <c r="H2463" s="156"/>
      <c r="I2463" s="156"/>
      <c r="J2463" s="156"/>
    </row>
    <row r="2464" spans="8:10">
      <c r="H2464" s="156"/>
      <c r="I2464" s="156"/>
      <c r="J2464" s="156"/>
    </row>
    <row r="2465" spans="8:10">
      <c r="H2465" s="156"/>
      <c r="I2465" s="156"/>
      <c r="J2465" s="156"/>
    </row>
    <row r="2466" spans="8:10">
      <c r="H2466" s="156"/>
      <c r="I2466" s="156"/>
      <c r="J2466" s="156"/>
    </row>
    <row r="2467" spans="8:10">
      <c r="H2467" s="156"/>
      <c r="I2467" s="156"/>
      <c r="J2467" s="156"/>
    </row>
    <row r="2468" spans="8:10">
      <c r="H2468" s="156"/>
      <c r="I2468" s="156"/>
      <c r="J2468" s="156"/>
    </row>
    <row r="2469" spans="8:10">
      <c r="H2469" s="156"/>
      <c r="I2469" s="156"/>
      <c r="J2469" s="156"/>
    </row>
    <row r="2470" spans="8:10">
      <c r="H2470" s="156"/>
      <c r="I2470" s="156"/>
      <c r="J2470" s="156"/>
    </row>
    <row r="2471" spans="8:10">
      <c r="H2471" s="156"/>
      <c r="I2471" s="156"/>
      <c r="J2471" s="156"/>
    </row>
    <row r="2472" spans="8:10">
      <c r="H2472" s="156"/>
      <c r="I2472" s="156"/>
      <c r="J2472" s="156"/>
    </row>
    <row r="2473" spans="8:10">
      <c r="H2473" s="156"/>
      <c r="I2473" s="156"/>
      <c r="J2473" s="156"/>
    </row>
    <row r="2474" spans="8:10">
      <c r="H2474" s="156"/>
      <c r="I2474" s="156"/>
      <c r="J2474" s="156"/>
    </row>
    <row r="2475" spans="8:10">
      <c r="H2475" s="156"/>
      <c r="I2475" s="156"/>
      <c r="J2475" s="156"/>
    </row>
    <row r="2476" spans="8:10">
      <c r="H2476" s="156"/>
      <c r="I2476" s="156"/>
      <c r="J2476" s="156"/>
    </row>
    <row r="2477" spans="8:10">
      <c r="H2477" s="156"/>
      <c r="I2477" s="156"/>
      <c r="J2477" s="156"/>
    </row>
    <row r="2478" spans="8:10">
      <c r="H2478" s="156"/>
      <c r="I2478" s="156"/>
      <c r="J2478" s="156"/>
    </row>
    <row r="2479" spans="8:10">
      <c r="H2479" s="156"/>
      <c r="I2479" s="156"/>
      <c r="J2479" s="156"/>
    </row>
    <row r="2480" spans="8:10">
      <c r="H2480" s="156"/>
      <c r="I2480" s="156"/>
      <c r="J2480" s="156"/>
    </row>
    <row r="2481" spans="8:10">
      <c r="H2481" s="156"/>
      <c r="I2481" s="156"/>
      <c r="J2481" s="156"/>
    </row>
    <row r="2482" spans="8:10">
      <c r="H2482" s="156"/>
      <c r="I2482" s="156"/>
      <c r="J2482" s="156"/>
    </row>
    <row r="2483" spans="8:10">
      <c r="H2483" s="156"/>
      <c r="I2483" s="156"/>
      <c r="J2483" s="156"/>
    </row>
    <row r="2484" spans="8:10">
      <c r="H2484" s="156"/>
      <c r="I2484" s="156"/>
      <c r="J2484" s="156"/>
    </row>
    <row r="2485" spans="8:10">
      <c r="H2485" s="156"/>
      <c r="I2485" s="156"/>
      <c r="J2485" s="156"/>
    </row>
    <row r="2486" spans="8:10">
      <c r="H2486" s="156"/>
      <c r="I2486" s="156"/>
      <c r="J2486" s="156"/>
    </row>
    <row r="2487" spans="8:10">
      <c r="H2487" s="156"/>
      <c r="I2487" s="156"/>
      <c r="J2487" s="156"/>
    </row>
    <row r="2488" spans="8:10">
      <c r="H2488" s="156"/>
      <c r="I2488" s="156"/>
      <c r="J2488" s="156"/>
    </row>
    <row r="2489" spans="8:10">
      <c r="H2489" s="156"/>
      <c r="I2489" s="156"/>
      <c r="J2489" s="156"/>
    </row>
    <row r="2490" spans="8:10">
      <c r="H2490" s="156"/>
      <c r="I2490" s="156"/>
      <c r="J2490" s="156"/>
    </row>
    <row r="2491" spans="8:10">
      <c r="H2491" s="156"/>
      <c r="I2491" s="156"/>
      <c r="J2491" s="156"/>
    </row>
    <row r="2492" spans="8:10">
      <c r="H2492" s="156"/>
      <c r="I2492" s="156"/>
      <c r="J2492" s="156"/>
    </row>
    <row r="2493" spans="8:10">
      <c r="H2493" s="156"/>
      <c r="I2493" s="156"/>
      <c r="J2493" s="156"/>
    </row>
    <row r="2494" spans="8:10">
      <c r="H2494" s="156"/>
      <c r="I2494" s="156"/>
      <c r="J2494" s="156"/>
    </row>
    <row r="2495" spans="8:10">
      <c r="H2495" s="156"/>
      <c r="I2495" s="156"/>
      <c r="J2495" s="156"/>
    </row>
    <row r="2496" spans="8:10">
      <c r="H2496" s="156"/>
      <c r="I2496" s="156"/>
      <c r="J2496" s="156"/>
    </row>
    <row r="2497" spans="8:10">
      <c r="H2497" s="156"/>
      <c r="I2497" s="156"/>
      <c r="J2497" s="156"/>
    </row>
    <row r="2498" spans="8:10">
      <c r="H2498" s="156"/>
      <c r="I2498" s="156"/>
      <c r="J2498" s="156"/>
    </row>
    <row r="2499" spans="8:10">
      <c r="H2499" s="156"/>
      <c r="I2499" s="156"/>
      <c r="J2499" s="156"/>
    </row>
    <row r="2500" spans="8:10">
      <c r="H2500" s="156"/>
      <c r="I2500" s="156"/>
      <c r="J2500" s="156"/>
    </row>
    <row r="2501" spans="8:10">
      <c r="H2501" s="156"/>
      <c r="I2501" s="156"/>
      <c r="J2501" s="156"/>
    </row>
    <row r="2502" spans="8:10">
      <c r="H2502" s="156"/>
      <c r="I2502" s="156"/>
      <c r="J2502" s="156"/>
    </row>
    <row r="2503" spans="8:10">
      <c r="H2503" s="156"/>
      <c r="I2503" s="156"/>
      <c r="J2503" s="156"/>
    </row>
    <row r="2504" spans="8:10">
      <c r="H2504" s="156"/>
      <c r="I2504" s="156"/>
      <c r="J2504" s="156"/>
    </row>
    <row r="2505" spans="8:10">
      <c r="H2505" s="156"/>
      <c r="I2505" s="156"/>
      <c r="J2505" s="156"/>
    </row>
    <row r="2506" spans="8:10">
      <c r="H2506" s="156"/>
      <c r="I2506" s="156"/>
      <c r="J2506" s="156"/>
    </row>
    <row r="2507" spans="8:10">
      <c r="H2507" s="156"/>
      <c r="I2507" s="156"/>
      <c r="J2507" s="156"/>
    </row>
    <row r="2508" spans="8:10">
      <c r="H2508" s="156"/>
      <c r="I2508" s="156"/>
      <c r="J2508" s="156"/>
    </row>
    <row r="2509" spans="8:10">
      <c r="H2509" s="156"/>
      <c r="I2509" s="156"/>
      <c r="J2509" s="156"/>
    </row>
    <row r="2510" spans="8:10">
      <c r="H2510" s="156"/>
      <c r="I2510" s="156"/>
      <c r="J2510" s="156"/>
    </row>
    <row r="2511" spans="8:10">
      <c r="H2511" s="156"/>
      <c r="I2511" s="156"/>
      <c r="J2511" s="156"/>
    </row>
    <row r="2512" spans="8:10">
      <c r="H2512" s="156"/>
      <c r="I2512" s="156"/>
      <c r="J2512" s="156"/>
    </row>
    <row r="2513" spans="8:10">
      <c r="H2513" s="156"/>
      <c r="I2513" s="156"/>
      <c r="J2513" s="156"/>
    </row>
    <row r="2514" spans="8:10">
      <c r="H2514" s="156"/>
      <c r="I2514" s="156"/>
      <c r="J2514" s="156"/>
    </row>
    <row r="2515" spans="8:10">
      <c r="H2515" s="156"/>
      <c r="I2515" s="156"/>
      <c r="J2515" s="156"/>
    </row>
    <row r="2516" spans="8:10">
      <c r="H2516" s="156"/>
      <c r="I2516" s="156"/>
      <c r="J2516" s="156"/>
    </row>
    <row r="2517" spans="8:10">
      <c r="H2517" s="156"/>
      <c r="I2517" s="156"/>
      <c r="J2517" s="156"/>
    </row>
    <row r="2518" spans="8:10">
      <c r="H2518" s="156"/>
      <c r="I2518" s="156"/>
      <c r="J2518" s="156"/>
    </row>
    <row r="2519" spans="8:10">
      <c r="H2519" s="156"/>
      <c r="I2519" s="156"/>
      <c r="J2519" s="156"/>
    </row>
    <row r="2520" spans="8:10">
      <c r="H2520" s="156"/>
      <c r="I2520" s="156"/>
      <c r="J2520" s="156"/>
    </row>
    <row r="2521" spans="8:10">
      <c r="H2521" s="156"/>
      <c r="I2521" s="156"/>
      <c r="J2521" s="156"/>
    </row>
    <row r="2522" spans="8:10">
      <c r="H2522" s="156"/>
      <c r="I2522" s="156"/>
      <c r="J2522" s="156"/>
    </row>
    <row r="2523" spans="8:10">
      <c r="H2523" s="156"/>
      <c r="I2523" s="156"/>
      <c r="J2523" s="156"/>
    </row>
    <row r="2524" spans="8:10">
      <c r="H2524" s="156"/>
      <c r="I2524" s="156"/>
      <c r="J2524" s="156"/>
    </row>
    <row r="2525" spans="8:10">
      <c r="H2525" s="156"/>
      <c r="I2525" s="156"/>
      <c r="J2525" s="156"/>
    </row>
    <row r="2526" spans="8:10">
      <c r="H2526" s="156"/>
      <c r="I2526" s="156"/>
      <c r="J2526" s="156"/>
    </row>
    <row r="2527" spans="8:10">
      <c r="H2527" s="156"/>
      <c r="I2527" s="156"/>
      <c r="J2527" s="156"/>
    </row>
    <row r="2528" spans="8:10">
      <c r="H2528" s="156"/>
      <c r="I2528" s="156"/>
      <c r="J2528" s="156"/>
    </row>
    <row r="2529" spans="8:10">
      <c r="H2529" s="156"/>
      <c r="I2529" s="156"/>
      <c r="J2529" s="156"/>
    </row>
    <row r="2530" spans="8:10">
      <c r="H2530" s="156"/>
      <c r="I2530" s="156"/>
      <c r="J2530" s="156"/>
    </row>
    <row r="2531" spans="8:10">
      <c r="H2531" s="156"/>
      <c r="I2531" s="156"/>
      <c r="J2531" s="156"/>
    </row>
    <row r="2532" spans="8:10">
      <c r="H2532" s="156"/>
      <c r="I2532" s="156"/>
      <c r="J2532" s="156"/>
    </row>
    <row r="2533" spans="8:10">
      <c r="H2533" s="156"/>
      <c r="I2533" s="156"/>
      <c r="J2533" s="156"/>
    </row>
    <row r="2534" spans="8:10">
      <c r="H2534" s="156"/>
      <c r="I2534" s="156"/>
      <c r="J2534" s="156"/>
    </row>
    <row r="2535" spans="8:10">
      <c r="H2535" s="156"/>
      <c r="I2535" s="156"/>
      <c r="J2535" s="156"/>
    </row>
    <row r="2536" spans="8:10">
      <c r="H2536" s="156"/>
      <c r="I2536" s="156"/>
      <c r="J2536" s="156"/>
    </row>
    <row r="2537" spans="8:10">
      <c r="H2537" s="156"/>
      <c r="I2537" s="156"/>
      <c r="J2537" s="156"/>
    </row>
    <row r="2538" spans="8:10">
      <c r="H2538" s="156"/>
      <c r="I2538" s="156"/>
      <c r="J2538" s="156"/>
    </row>
    <row r="2539" spans="8:10">
      <c r="H2539" s="156"/>
      <c r="I2539" s="156"/>
      <c r="J2539" s="156"/>
    </row>
    <row r="2540" spans="8:10">
      <c r="H2540" s="156"/>
      <c r="I2540" s="156"/>
      <c r="J2540" s="156"/>
    </row>
    <row r="2541" spans="8:10">
      <c r="H2541" s="156"/>
      <c r="I2541" s="156"/>
      <c r="J2541" s="156"/>
    </row>
    <row r="2542" spans="8:10">
      <c r="H2542" s="156"/>
      <c r="I2542" s="156"/>
      <c r="J2542" s="156"/>
    </row>
    <row r="2543" spans="8:10">
      <c r="H2543" s="156"/>
      <c r="I2543" s="156"/>
      <c r="J2543" s="156"/>
    </row>
    <row r="2544" spans="8:10">
      <c r="H2544" s="156"/>
      <c r="I2544" s="156"/>
      <c r="J2544" s="156"/>
    </row>
    <row r="2545" spans="8:10">
      <c r="H2545" s="156"/>
      <c r="I2545" s="156"/>
      <c r="J2545" s="156"/>
    </row>
    <row r="2546" spans="8:10">
      <c r="H2546" s="156"/>
      <c r="I2546" s="156"/>
      <c r="J2546" s="156"/>
    </row>
    <row r="2547" spans="8:10">
      <c r="H2547" s="156"/>
      <c r="I2547" s="156"/>
      <c r="J2547" s="156"/>
    </row>
    <row r="2548" spans="8:10">
      <c r="H2548" s="156"/>
      <c r="I2548" s="156"/>
      <c r="J2548" s="156"/>
    </row>
    <row r="2549" spans="8:10">
      <c r="H2549" s="156"/>
      <c r="I2549" s="156"/>
      <c r="J2549" s="156"/>
    </row>
    <row r="2550" spans="8:10">
      <c r="H2550" s="156"/>
      <c r="I2550" s="156"/>
      <c r="J2550" s="156"/>
    </row>
    <row r="2551" spans="8:10">
      <c r="H2551" s="156"/>
      <c r="I2551" s="156"/>
      <c r="J2551" s="156"/>
    </row>
    <row r="2552" spans="8:10">
      <c r="H2552" s="156"/>
      <c r="I2552" s="156"/>
      <c r="J2552" s="156"/>
    </row>
    <row r="2553" spans="8:10">
      <c r="H2553" s="156"/>
      <c r="I2553" s="156"/>
      <c r="J2553" s="156"/>
    </row>
    <row r="2554" spans="8:10">
      <c r="H2554" s="156"/>
      <c r="I2554" s="156"/>
      <c r="J2554" s="156"/>
    </row>
    <row r="2555" spans="8:10">
      <c r="H2555" s="156"/>
      <c r="I2555" s="156"/>
      <c r="J2555" s="156"/>
    </row>
    <row r="2556" spans="8:10">
      <c r="H2556" s="156"/>
      <c r="I2556" s="156"/>
      <c r="J2556" s="156"/>
    </row>
    <row r="2557" spans="8:10">
      <c r="H2557" s="156"/>
      <c r="I2557" s="156"/>
      <c r="J2557" s="156"/>
    </row>
    <row r="2558" spans="8:10">
      <c r="H2558" s="156"/>
      <c r="I2558" s="156"/>
      <c r="J2558" s="156"/>
    </row>
    <row r="2559" spans="8:10">
      <c r="H2559" s="156"/>
      <c r="I2559" s="156"/>
      <c r="J2559" s="156"/>
    </row>
    <row r="2560" spans="8:10">
      <c r="H2560" s="156"/>
      <c r="I2560" s="156"/>
      <c r="J2560" s="156"/>
    </row>
    <row r="2561" spans="8:10">
      <c r="H2561" s="156"/>
      <c r="I2561" s="156"/>
      <c r="J2561" s="156"/>
    </row>
    <row r="2562" spans="8:10">
      <c r="H2562" s="156"/>
      <c r="I2562" s="156"/>
      <c r="J2562" s="156"/>
    </row>
    <row r="2563" spans="8:10">
      <c r="H2563" s="156"/>
      <c r="I2563" s="156"/>
      <c r="J2563" s="156"/>
    </row>
    <row r="2564" spans="8:10">
      <c r="H2564" s="156"/>
      <c r="I2564" s="156"/>
      <c r="J2564" s="156"/>
    </row>
    <row r="2565" spans="8:10">
      <c r="H2565" s="156"/>
      <c r="I2565" s="156"/>
      <c r="J2565" s="156"/>
    </row>
    <row r="2566" spans="8:10">
      <c r="H2566" s="156"/>
      <c r="I2566" s="156"/>
      <c r="J2566" s="156"/>
    </row>
    <row r="2567" spans="8:10">
      <c r="H2567" s="156"/>
      <c r="I2567" s="156"/>
      <c r="J2567" s="156"/>
    </row>
    <row r="2568" spans="8:10">
      <c r="H2568" s="156"/>
      <c r="I2568" s="156"/>
      <c r="J2568" s="156"/>
    </row>
    <row r="2569" spans="8:10">
      <c r="H2569" s="156"/>
      <c r="I2569" s="156"/>
      <c r="J2569" s="156"/>
    </row>
    <row r="2570" spans="8:10">
      <c r="H2570" s="156"/>
      <c r="I2570" s="156"/>
      <c r="J2570" s="156"/>
    </row>
    <row r="2571" spans="8:10">
      <c r="H2571" s="156"/>
      <c r="I2571" s="156"/>
      <c r="J2571" s="156"/>
    </row>
    <row r="2572" spans="8:10">
      <c r="H2572" s="156"/>
      <c r="I2572" s="156"/>
      <c r="J2572" s="156"/>
    </row>
    <row r="2573" spans="8:10">
      <c r="H2573" s="156"/>
      <c r="I2573" s="156"/>
      <c r="J2573" s="156"/>
    </row>
    <row r="2574" spans="8:10">
      <c r="H2574" s="156"/>
      <c r="I2574" s="156"/>
      <c r="J2574" s="156"/>
    </row>
    <row r="2575" spans="8:10">
      <c r="H2575" s="156"/>
      <c r="I2575" s="156"/>
      <c r="J2575" s="156"/>
    </row>
    <row r="2576" spans="8:10">
      <c r="H2576" s="156"/>
      <c r="I2576" s="156"/>
      <c r="J2576" s="156"/>
    </row>
    <row r="2577" spans="8:10">
      <c r="H2577" s="156"/>
      <c r="I2577" s="156"/>
      <c r="J2577" s="156"/>
    </row>
    <row r="2578" spans="8:10">
      <c r="H2578" s="156"/>
      <c r="I2578" s="156"/>
      <c r="J2578" s="156"/>
    </row>
    <row r="2579" spans="8:10">
      <c r="H2579" s="156"/>
      <c r="I2579" s="156"/>
      <c r="J2579" s="156"/>
    </row>
    <row r="2580" spans="8:10">
      <c r="H2580" s="156"/>
      <c r="I2580" s="156"/>
      <c r="J2580" s="156"/>
    </row>
    <row r="2581" spans="8:10">
      <c r="H2581" s="156"/>
      <c r="I2581" s="156"/>
      <c r="J2581" s="156"/>
    </row>
    <row r="2582" spans="8:10">
      <c r="H2582" s="156"/>
      <c r="I2582" s="156"/>
      <c r="J2582" s="156"/>
    </row>
    <row r="2583" spans="8:10">
      <c r="H2583" s="156"/>
      <c r="I2583" s="156"/>
      <c r="J2583" s="156"/>
    </row>
    <row r="2584" spans="8:10">
      <c r="H2584" s="156"/>
      <c r="I2584" s="156"/>
      <c r="J2584" s="156"/>
    </row>
    <row r="2585" spans="8:10">
      <c r="H2585" s="156"/>
      <c r="I2585" s="156"/>
      <c r="J2585" s="156"/>
    </row>
    <row r="2586" spans="8:10">
      <c r="H2586" s="156"/>
      <c r="I2586" s="156"/>
      <c r="J2586" s="156"/>
    </row>
    <row r="2587" spans="8:10">
      <c r="H2587" s="156"/>
      <c r="I2587" s="156"/>
      <c r="J2587" s="156"/>
    </row>
    <row r="2588" spans="8:10">
      <c r="H2588" s="156"/>
      <c r="I2588" s="156"/>
      <c r="J2588" s="156"/>
    </row>
    <row r="2589" spans="8:10">
      <c r="H2589" s="156"/>
      <c r="I2589" s="156"/>
      <c r="J2589" s="156"/>
    </row>
    <row r="2590" spans="8:10">
      <c r="H2590" s="156"/>
      <c r="I2590" s="156"/>
      <c r="J2590" s="156"/>
    </row>
    <row r="2591" spans="8:10">
      <c r="H2591" s="156"/>
      <c r="I2591" s="156"/>
      <c r="J2591" s="156"/>
    </row>
    <row r="2592" spans="8:10">
      <c r="H2592" s="156"/>
      <c r="I2592" s="156"/>
      <c r="J2592" s="156"/>
    </row>
    <row r="2593" spans="8:10">
      <c r="H2593" s="156"/>
      <c r="I2593" s="156"/>
      <c r="J2593" s="156"/>
    </row>
    <row r="2594" spans="8:10">
      <c r="H2594" s="156"/>
      <c r="I2594" s="156"/>
      <c r="J2594" s="156"/>
    </row>
    <row r="2595" spans="8:10">
      <c r="H2595" s="156"/>
      <c r="I2595" s="156"/>
      <c r="J2595" s="156"/>
    </row>
    <row r="2596" spans="8:10">
      <c r="H2596" s="156"/>
      <c r="I2596" s="156"/>
      <c r="J2596" s="156"/>
    </row>
    <row r="2597" spans="8:10">
      <c r="H2597" s="156"/>
      <c r="I2597" s="156"/>
      <c r="J2597" s="156"/>
    </row>
    <row r="2598" spans="8:10">
      <c r="H2598" s="156"/>
      <c r="I2598" s="156"/>
      <c r="J2598" s="156"/>
    </row>
    <row r="2599" spans="8:10">
      <c r="H2599" s="156"/>
      <c r="I2599" s="156"/>
      <c r="J2599" s="156"/>
    </row>
    <row r="2600" spans="8:10">
      <c r="H2600" s="156"/>
      <c r="I2600" s="156"/>
      <c r="J2600" s="156"/>
    </row>
    <row r="2601" spans="8:10">
      <c r="H2601" s="156"/>
      <c r="I2601" s="156"/>
      <c r="J2601" s="156"/>
    </row>
    <row r="2602" spans="8:10">
      <c r="H2602" s="156"/>
      <c r="I2602" s="156"/>
      <c r="J2602" s="156"/>
    </row>
    <row r="2603" spans="8:10">
      <c r="H2603" s="156"/>
      <c r="I2603" s="156"/>
      <c r="J2603" s="156"/>
    </row>
    <row r="2604" spans="8:10">
      <c r="H2604" s="156"/>
      <c r="I2604" s="156"/>
      <c r="J2604" s="156"/>
    </row>
    <row r="2605" spans="8:10">
      <c r="H2605" s="156"/>
      <c r="I2605" s="156"/>
      <c r="J2605" s="156"/>
    </row>
    <row r="2606" spans="8:10">
      <c r="H2606" s="156"/>
      <c r="I2606" s="156"/>
      <c r="J2606" s="156"/>
    </row>
    <row r="2607" spans="8:10">
      <c r="H2607" s="156"/>
      <c r="I2607" s="156"/>
      <c r="J2607" s="156"/>
    </row>
    <row r="2608" spans="8:10">
      <c r="H2608" s="156"/>
      <c r="I2608" s="156"/>
      <c r="J2608" s="156"/>
    </row>
    <row r="2609" spans="8:10">
      <c r="H2609" s="156"/>
      <c r="I2609" s="156"/>
      <c r="J2609" s="156"/>
    </row>
    <row r="2610" spans="8:10">
      <c r="H2610" s="156"/>
      <c r="I2610" s="156"/>
      <c r="J2610" s="156"/>
    </row>
    <row r="2611" spans="8:10">
      <c r="H2611" s="156"/>
      <c r="I2611" s="156"/>
      <c r="J2611" s="156"/>
    </row>
    <row r="2612" spans="8:10">
      <c r="H2612" s="156"/>
      <c r="I2612" s="156"/>
      <c r="J2612" s="156"/>
    </row>
    <row r="2613" spans="8:10">
      <c r="H2613" s="156"/>
      <c r="I2613" s="156"/>
      <c r="J2613" s="156"/>
    </row>
    <row r="2614" spans="8:10">
      <c r="H2614" s="156"/>
      <c r="I2614" s="156"/>
      <c r="J2614" s="156"/>
    </row>
    <row r="2615" spans="8:10">
      <c r="H2615" s="156"/>
      <c r="I2615" s="156"/>
      <c r="J2615" s="156"/>
    </row>
    <row r="2616" spans="8:10">
      <c r="H2616" s="156"/>
      <c r="I2616" s="156"/>
      <c r="J2616" s="156"/>
    </row>
    <row r="2617" spans="8:10">
      <c r="H2617" s="156"/>
      <c r="I2617" s="156"/>
      <c r="J2617" s="156"/>
    </row>
    <row r="2618" spans="8:10">
      <c r="H2618" s="156"/>
      <c r="I2618" s="156"/>
      <c r="J2618" s="156"/>
    </row>
    <row r="2619" spans="8:10">
      <c r="H2619" s="156"/>
      <c r="I2619" s="156"/>
      <c r="J2619" s="156"/>
    </row>
    <row r="2620" spans="8:10">
      <c r="H2620" s="156"/>
      <c r="I2620" s="156"/>
      <c r="J2620" s="156"/>
    </row>
    <row r="2621" spans="8:10">
      <c r="H2621" s="156"/>
      <c r="I2621" s="156"/>
      <c r="J2621" s="156"/>
    </row>
    <row r="2622" spans="8:10">
      <c r="H2622" s="156"/>
      <c r="I2622" s="156"/>
      <c r="J2622" s="156"/>
    </row>
    <row r="2623" spans="8:10">
      <c r="H2623" s="156"/>
      <c r="I2623" s="156"/>
      <c r="J2623" s="156"/>
    </row>
    <row r="2624" spans="8:10">
      <c r="H2624" s="156"/>
      <c r="I2624" s="156"/>
      <c r="J2624" s="156"/>
    </row>
    <row r="2625" spans="8:10">
      <c r="H2625" s="156"/>
      <c r="I2625" s="156"/>
      <c r="J2625" s="156"/>
    </row>
    <row r="2626" spans="8:10">
      <c r="H2626" s="156"/>
      <c r="I2626" s="156"/>
      <c r="J2626" s="156"/>
    </row>
    <row r="2627" spans="8:10">
      <c r="H2627" s="156"/>
      <c r="I2627" s="156"/>
      <c r="J2627" s="156"/>
    </row>
    <row r="2628" spans="8:10">
      <c r="H2628" s="156"/>
      <c r="I2628" s="156"/>
      <c r="J2628" s="156"/>
    </row>
    <row r="2629" spans="8:10">
      <c r="H2629" s="156"/>
      <c r="I2629" s="156"/>
      <c r="J2629" s="156"/>
    </row>
    <row r="2630" spans="8:10">
      <c r="H2630" s="156"/>
      <c r="I2630" s="156"/>
      <c r="J2630" s="156"/>
    </row>
    <row r="2631" spans="8:10">
      <c r="H2631" s="156"/>
      <c r="I2631" s="156"/>
      <c r="J2631" s="156"/>
    </row>
    <row r="2632" spans="8:10">
      <c r="H2632" s="156"/>
      <c r="I2632" s="156"/>
      <c r="J2632" s="156"/>
    </row>
    <row r="2633" spans="8:10">
      <c r="H2633" s="156"/>
      <c r="I2633" s="156"/>
      <c r="J2633" s="156"/>
    </row>
    <row r="2634" spans="8:10">
      <c r="H2634" s="156"/>
      <c r="I2634" s="156"/>
      <c r="J2634" s="156"/>
    </row>
    <row r="2635" spans="8:10">
      <c r="H2635" s="156"/>
      <c r="I2635" s="156"/>
      <c r="J2635" s="156"/>
    </row>
    <row r="2636" spans="8:10">
      <c r="H2636" s="156"/>
      <c r="I2636" s="156"/>
      <c r="J2636" s="156"/>
    </row>
    <row r="2637" spans="8:10">
      <c r="H2637" s="156"/>
      <c r="I2637" s="156"/>
      <c r="J2637" s="156"/>
    </row>
    <row r="2638" spans="8:10">
      <c r="H2638" s="156"/>
      <c r="I2638" s="156"/>
      <c r="J2638" s="156"/>
    </row>
    <row r="2639" spans="8:10">
      <c r="H2639" s="156"/>
      <c r="I2639" s="156"/>
      <c r="J2639" s="156"/>
    </row>
    <row r="2640" spans="8:10">
      <c r="H2640" s="156"/>
      <c r="I2640" s="156"/>
      <c r="J2640" s="156"/>
    </row>
    <row r="2641" spans="8:10">
      <c r="H2641" s="156"/>
      <c r="I2641" s="156"/>
      <c r="J2641" s="156"/>
    </row>
    <row r="2642" spans="8:10">
      <c r="H2642" s="156"/>
      <c r="I2642" s="156"/>
      <c r="J2642" s="156"/>
    </row>
    <row r="2643" spans="8:10">
      <c r="H2643" s="156"/>
      <c r="I2643" s="156"/>
      <c r="J2643" s="156"/>
    </row>
    <row r="2644" spans="8:10">
      <c r="H2644" s="156"/>
      <c r="I2644" s="156"/>
      <c r="J2644" s="156"/>
    </row>
    <row r="2645" spans="8:10">
      <c r="H2645" s="156"/>
      <c r="I2645" s="156"/>
      <c r="J2645" s="156"/>
    </row>
    <row r="2646" spans="8:10">
      <c r="H2646" s="156"/>
      <c r="I2646" s="156"/>
      <c r="J2646" s="156"/>
    </row>
    <row r="2647" spans="8:10">
      <c r="H2647" s="156"/>
      <c r="I2647" s="156"/>
      <c r="J2647" s="156"/>
    </row>
    <row r="2648" spans="8:10">
      <c r="H2648" s="156"/>
      <c r="I2648" s="156"/>
      <c r="J2648" s="156"/>
    </row>
    <row r="2649" spans="8:10">
      <c r="H2649" s="156"/>
      <c r="I2649" s="156"/>
      <c r="J2649" s="156"/>
    </row>
    <row r="2650" spans="8:10">
      <c r="H2650" s="156"/>
      <c r="I2650" s="156"/>
      <c r="J2650" s="156"/>
    </row>
    <row r="2651" spans="8:10">
      <c r="H2651" s="156"/>
      <c r="I2651" s="156"/>
      <c r="J2651" s="156"/>
    </row>
    <row r="2652" spans="8:10">
      <c r="H2652" s="156"/>
      <c r="I2652" s="156"/>
      <c r="J2652" s="156"/>
    </row>
    <row r="2653" spans="8:10">
      <c r="H2653" s="156"/>
      <c r="I2653" s="156"/>
      <c r="J2653" s="156"/>
    </row>
    <row r="2654" spans="8:10">
      <c r="H2654" s="156"/>
      <c r="I2654" s="156"/>
      <c r="J2654" s="156"/>
    </row>
    <row r="2655" spans="8:10">
      <c r="H2655" s="156"/>
      <c r="I2655" s="156"/>
      <c r="J2655" s="156"/>
    </row>
    <row r="2656" spans="8:10">
      <c r="H2656" s="156"/>
      <c r="I2656" s="156"/>
      <c r="J2656" s="156"/>
    </row>
    <row r="2657" spans="8:10">
      <c r="H2657" s="156"/>
      <c r="I2657" s="156"/>
      <c r="J2657" s="156"/>
    </row>
    <row r="2658" spans="8:10">
      <c r="H2658" s="156"/>
      <c r="I2658" s="156"/>
      <c r="J2658" s="156"/>
    </row>
    <row r="2659" spans="8:10">
      <c r="H2659" s="156"/>
      <c r="I2659" s="156"/>
      <c r="J2659" s="156"/>
    </row>
    <row r="2660" spans="8:10">
      <c r="H2660" s="156"/>
      <c r="I2660" s="156"/>
      <c r="J2660" s="156"/>
    </row>
    <row r="2661" spans="8:10">
      <c r="H2661" s="156"/>
      <c r="I2661" s="156"/>
      <c r="J2661" s="156"/>
    </row>
    <row r="2662" spans="8:10">
      <c r="H2662" s="156"/>
      <c r="I2662" s="156"/>
      <c r="J2662" s="156"/>
    </row>
    <row r="2663" spans="8:10">
      <c r="H2663" s="156"/>
      <c r="I2663" s="156"/>
      <c r="J2663" s="156"/>
    </row>
    <row r="2664" spans="8:10">
      <c r="H2664" s="156"/>
      <c r="I2664" s="156"/>
      <c r="J2664" s="156"/>
    </row>
    <row r="2665" spans="8:10">
      <c r="H2665" s="156"/>
      <c r="I2665" s="156"/>
      <c r="J2665" s="156"/>
    </row>
    <row r="2666" spans="8:10">
      <c r="H2666" s="156"/>
      <c r="I2666" s="156"/>
      <c r="J2666" s="156"/>
    </row>
    <row r="2667" spans="8:10">
      <c r="H2667" s="156"/>
      <c r="I2667" s="156"/>
      <c r="J2667" s="156"/>
    </row>
    <row r="2668" spans="8:10">
      <c r="H2668" s="156"/>
      <c r="I2668" s="156"/>
      <c r="J2668" s="156"/>
    </row>
    <row r="2669" spans="8:10">
      <c r="H2669" s="156"/>
      <c r="I2669" s="156"/>
      <c r="J2669" s="156"/>
    </row>
    <row r="2670" spans="8:10">
      <c r="H2670" s="156"/>
      <c r="I2670" s="156"/>
      <c r="J2670" s="156"/>
    </row>
    <row r="2671" spans="8:10">
      <c r="H2671" s="156"/>
      <c r="I2671" s="156"/>
      <c r="J2671" s="156"/>
    </row>
    <row r="2672" spans="8:10">
      <c r="H2672" s="156"/>
      <c r="I2672" s="156"/>
      <c r="J2672" s="156"/>
    </row>
    <row r="2673" spans="8:10">
      <c r="H2673" s="156"/>
      <c r="I2673" s="156"/>
      <c r="J2673" s="156"/>
    </row>
    <row r="2674" spans="8:10">
      <c r="H2674" s="156"/>
      <c r="I2674" s="156"/>
      <c r="J2674" s="156"/>
    </row>
    <row r="2675" spans="8:10">
      <c r="H2675" s="156"/>
      <c r="I2675" s="156"/>
      <c r="J2675" s="156"/>
    </row>
    <row r="2676" spans="8:10">
      <c r="H2676" s="156"/>
      <c r="I2676" s="156"/>
      <c r="J2676" s="156"/>
    </row>
    <row r="2677" spans="8:10">
      <c r="H2677" s="156"/>
      <c r="I2677" s="156"/>
      <c r="J2677" s="156"/>
    </row>
    <row r="2678" spans="8:10">
      <c r="H2678" s="156"/>
      <c r="I2678" s="156"/>
      <c r="J2678" s="156"/>
    </row>
    <row r="2679" spans="8:10">
      <c r="H2679" s="156"/>
      <c r="I2679" s="156"/>
      <c r="J2679" s="156"/>
    </row>
    <row r="2680" spans="8:10">
      <c r="H2680" s="156"/>
      <c r="I2680" s="156"/>
      <c r="J2680" s="156"/>
    </row>
    <row r="2681" spans="8:10">
      <c r="H2681" s="156"/>
      <c r="I2681" s="156"/>
      <c r="J2681" s="156"/>
    </row>
    <row r="2682" spans="8:10">
      <c r="H2682" s="156"/>
      <c r="I2682" s="156"/>
      <c r="J2682" s="156"/>
    </row>
    <row r="2683" spans="8:10">
      <c r="H2683" s="156"/>
      <c r="I2683" s="156"/>
      <c r="J2683" s="156"/>
    </row>
    <row r="2684" spans="8:10">
      <c r="H2684" s="156"/>
      <c r="I2684" s="156"/>
      <c r="J2684" s="156"/>
    </row>
    <row r="2685" spans="8:10">
      <c r="H2685" s="156"/>
      <c r="I2685" s="156"/>
      <c r="J2685" s="156"/>
    </row>
    <row r="2686" spans="8:10">
      <c r="H2686" s="156"/>
      <c r="I2686" s="156"/>
      <c r="J2686" s="156"/>
    </row>
    <row r="2687" spans="8:10">
      <c r="H2687" s="156"/>
      <c r="I2687" s="156"/>
      <c r="J2687" s="156"/>
    </row>
    <row r="2688" spans="8:10">
      <c r="H2688" s="156"/>
      <c r="I2688" s="156"/>
      <c r="J2688" s="156"/>
    </row>
    <row r="2689" spans="8:10">
      <c r="H2689" s="156"/>
      <c r="I2689" s="156"/>
      <c r="J2689" s="156"/>
    </row>
    <row r="2690" spans="8:10">
      <c r="H2690" s="156"/>
      <c r="I2690" s="156"/>
      <c r="J2690" s="156"/>
    </row>
    <row r="2691" spans="8:10">
      <c r="H2691" s="156"/>
      <c r="I2691" s="156"/>
      <c r="J2691" s="156"/>
    </row>
    <row r="2692" spans="8:10">
      <c r="H2692" s="156"/>
      <c r="I2692" s="156"/>
      <c r="J2692" s="156"/>
    </row>
    <row r="2693" spans="8:10">
      <c r="H2693" s="156"/>
      <c r="I2693" s="156"/>
      <c r="J2693" s="156"/>
    </row>
    <row r="2694" spans="8:10">
      <c r="H2694" s="156"/>
      <c r="I2694" s="156"/>
      <c r="J2694" s="156"/>
    </row>
    <row r="2695" spans="8:10">
      <c r="H2695" s="156"/>
      <c r="I2695" s="156"/>
      <c r="J2695" s="156"/>
    </row>
    <row r="2696" spans="8:10">
      <c r="H2696" s="156"/>
      <c r="I2696" s="156"/>
      <c r="J2696" s="156"/>
    </row>
    <row r="2697" spans="8:10">
      <c r="H2697" s="156"/>
      <c r="I2697" s="156"/>
      <c r="J2697" s="156"/>
    </row>
    <row r="2698" spans="8:10">
      <c r="H2698" s="156"/>
      <c r="I2698" s="156"/>
      <c r="J2698" s="156"/>
    </row>
    <row r="2699" spans="8:10">
      <c r="H2699" s="156"/>
      <c r="I2699" s="156"/>
      <c r="J2699" s="156"/>
    </row>
    <row r="2700" spans="8:10">
      <c r="H2700" s="156"/>
      <c r="I2700" s="156"/>
      <c r="J2700" s="156"/>
    </row>
    <row r="2701" spans="8:10">
      <c r="H2701" s="156"/>
      <c r="I2701" s="156"/>
      <c r="J2701" s="156"/>
    </row>
    <row r="2702" spans="8:10">
      <c r="H2702" s="156"/>
      <c r="I2702" s="156"/>
      <c r="J2702" s="156"/>
    </row>
    <row r="2703" spans="8:10">
      <c r="H2703" s="156"/>
      <c r="I2703" s="156"/>
      <c r="J2703" s="156"/>
    </row>
    <row r="2704" spans="8:10">
      <c r="H2704" s="156"/>
      <c r="I2704" s="156"/>
      <c r="J2704" s="156"/>
    </row>
    <row r="2705" spans="8:10">
      <c r="H2705" s="156"/>
      <c r="I2705" s="156"/>
      <c r="J2705" s="156"/>
    </row>
    <row r="2706" spans="8:10">
      <c r="H2706" s="156"/>
      <c r="I2706" s="156"/>
      <c r="J2706" s="156"/>
    </row>
    <row r="2707" spans="8:10">
      <c r="H2707" s="156"/>
      <c r="I2707" s="156"/>
      <c r="J2707" s="156"/>
    </row>
    <row r="2708" spans="8:10">
      <c r="H2708" s="156"/>
      <c r="I2708" s="156"/>
      <c r="J2708" s="156"/>
    </row>
    <row r="2709" spans="8:10">
      <c r="H2709" s="156"/>
      <c r="I2709" s="156"/>
      <c r="J2709" s="156"/>
    </row>
    <row r="2710" spans="8:10">
      <c r="H2710" s="156"/>
      <c r="I2710" s="156"/>
      <c r="J2710" s="156"/>
    </row>
    <row r="2711" spans="8:10">
      <c r="H2711" s="156"/>
      <c r="I2711" s="156"/>
      <c r="J2711" s="156"/>
    </row>
    <row r="2712" spans="8:10">
      <c r="H2712" s="156"/>
      <c r="I2712" s="156"/>
      <c r="J2712" s="156"/>
    </row>
    <row r="2713" spans="8:10">
      <c r="H2713" s="156"/>
      <c r="I2713" s="156"/>
      <c r="J2713" s="156"/>
    </row>
    <row r="2714" spans="8:10">
      <c r="H2714" s="156"/>
      <c r="I2714" s="156"/>
      <c r="J2714" s="156"/>
    </row>
    <row r="2715" spans="8:10">
      <c r="H2715" s="156"/>
      <c r="I2715" s="156"/>
      <c r="J2715" s="156"/>
    </row>
    <row r="2716" spans="8:10">
      <c r="H2716" s="156"/>
      <c r="I2716" s="156"/>
      <c r="J2716" s="156"/>
    </row>
    <row r="2717" spans="8:10">
      <c r="H2717" s="156"/>
      <c r="I2717" s="156"/>
      <c r="J2717" s="156"/>
    </row>
    <row r="2718" spans="8:10">
      <c r="H2718" s="156"/>
      <c r="I2718" s="156"/>
      <c r="J2718" s="156"/>
    </row>
    <row r="2719" spans="8:10">
      <c r="H2719" s="156"/>
      <c r="I2719" s="156"/>
      <c r="J2719" s="156"/>
    </row>
    <row r="2720" spans="8:10">
      <c r="H2720" s="156"/>
      <c r="I2720" s="156"/>
      <c r="J2720" s="156"/>
    </row>
    <row r="2721" spans="8:10">
      <c r="H2721" s="156"/>
      <c r="I2721" s="156"/>
      <c r="J2721" s="156"/>
    </row>
    <row r="2722" spans="8:10">
      <c r="H2722" s="156"/>
      <c r="I2722" s="156"/>
      <c r="J2722" s="156"/>
    </row>
    <row r="2723" spans="8:10">
      <c r="H2723" s="156"/>
      <c r="I2723" s="156"/>
      <c r="J2723" s="156"/>
    </row>
    <row r="2724" spans="8:10">
      <c r="H2724" s="156"/>
      <c r="I2724" s="156"/>
      <c r="J2724" s="156"/>
    </row>
    <row r="2725" spans="8:10">
      <c r="H2725" s="156"/>
      <c r="I2725" s="156"/>
      <c r="J2725" s="156"/>
    </row>
    <row r="2726" spans="8:10">
      <c r="H2726" s="156"/>
      <c r="I2726" s="156"/>
      <c r="J2726" s="156"/>
    </row>
    <row r="2727" spans="8:10">
      <c r="H2727" s="156"/>
      <c r="I2727" s="156"/>
      <c r="J2727" s="156"/>
    </row>
    <row r="2728" spans="8:10">
      <c r="H2728" s="156"/>
      <c r="I2728" s="156"/>
      <c r="J2728" s="156"/>
    </row>
    <row r="2729" spans="8:10">
      <c r="H2729" s="156"/>
      <c r="I2729" s="156"/>
      <c r="J2729" s="156"/>
    </row>
    <row r="2730" spans="8:10">
      <c r="H2730" s="156"/>
      <c r="I2730" s="156"/>
      <c r="J2730" s="156"/>
    </row>
    <row r="2731" spans="8:10">
      <c r="H2731" s="156"/>
      <c r="I2731" s="156"/>
      <c r="J2731" s="156"/>
    </row>
    <row r="2732" spans="8:10">
      <c r="H2732" s="156"/>
      <c r="I2732" s="156"/>
      <c r="J2732" s="156"/>
    </row>
    <row r="2733" spans="8:10">
      <c r="H2733" s="156"/>
      <c r="I2733" s="156"/>
      <c r="J2733" s="156"/>
    </row>
    <row r="2734" spans="8:10">
      <c r="H2734" s="156"/>
      <c r="I2734" s="156"/>
      <c r="J2734" s="156"/>
    </row>
    <row r="2735" spans="8:10">
      <c r="H2735" s="156"/>
      <c r="I2735" s="156"/>
      <c r="J2735" s="156"/>
    </row>
    <row r="2736" spans="8:10">
      <c r="H2736" s="156"/>
      <c r="I2736" s="156"/>
      <c r="J2736" s="156"/>
    </row>
    <row r="2737" spans="8:10">
      <c r="H2737" s="156"/>
      <c r="I2737" s="156"/>
      <c r="J2737" s="156"/>
    </row>
    <row r="2738" spans="8:10">
      <c r="H2738" s="156"/>
      <c r="I2738" s="156"/>
      <c r="J2738" s="156"/>
    </row>
    <row r="2739" spans="8:10">
      <c r="H2739" s="156"/>
      <c r="I2739" s="156"/>
      <c r="J2739" s="156"/>
    </row>
    <row r="2740" spans="8:10">
      <c r="H2740" s="156"/>
      <c r="I2740" s="156"/>
      <c r="J2740" s="156"/>
    </row>
    <row r="2741" spans="8:10">
      <c r="H2741" s="156"/>
      <c r="I2741" s="156"/>
      <c r="J2741" s="156"/>
    </row>
    <row r="2742" spans="8:10">
      <c r="H2742" s="156"/>
      <c r="I2742" s="156"/>
      <c r="J2742" s="156"/>
    </row>
    <row r="2743" spans="8:10">
      <c r="H2743" s="156"/>
      <c r="I2743" s="156"/>
      <c r="J2743" s="156"/>
    </row>
    <row r="2744" spans="8:10">
      <c r="H2744" s="156"/>
      <c r="I2744" s="156"/>
      <c r="J2744" s="156"/>
    </row>
    <row r="2745" spans="8:10">
      <c r="H2745" s="156"/>
      <c r="I2745" s="156"/>
      <c r="J2745" s="156"/>
    </row>
    <row r="2746" spans="8:10">
      <c r="H2746" s="156"/>
      <c r="I2746" s="156"/>
      <c r="J2746" s="156"/>
    </row>
    <row r="2747" spans="8:10">
      <c r="H2747" s="156"/>
      <c r="I2747" s="156"/>
      <c r="J2747" s="156"/>
    </row>
    <row r="2748" spans="8:10">
      <c r="H2748" s="156"/>
      <c r="I2748" s="156"/>
      <c r="J2748" s="156"/>
    </row>
    <row r="2749" spans="8:10">
      <c r="H2749" s="156"/>
      <c r="I2749" s="156"/>
      <c r="J2749" s="156"/>
    </row>
    <row r="2750" spans="8:10">
      <c r="H2750" s="156"/>
      <c r="I2750" s="156"/>
      <c r="J2750" s="156"/>
    </row>
    <row r="2751" spans="8:10">
      <c r="H2751" s="156"/>
      <c r="I2751" s="156"/>
      <c r="J2751" s="156"/>
    </row>
    <row r="2752" spans="8:10">
      <c r="H2752" s="156"/>
      <c r="I2752" s="156"/>
      <c r="J2752" s="156"/>
    </row>
    <row r="2753" spans="8:10">
      <c r="H2753" s="156"/>
      <c r="I2753" s="156"/>
      <c r="J2753" s="156"/>
    </row>
    <row r="2754" spans="8:10">
      <c r="H2754" s="156"/>
      <c r="I2754" s="156"/>
      <c r="J2754" s="156"/>
    </row>
    <row r="2755" spans="8:10">
      <c r="H2755" s="156"/>
      <c r="I2755" s="156"/>
      <c r="J2755" s="156"/>
    </row>
    <row r="2756" spans="8:10">
      <c r="H2756" s="156"/>
      <c r="I2756" s="156"/>
      <c r="J2756" s="156"/>
    </row>
    <row r="2757" spans="8:10">
      <c r="H2757" s="156"/>
      <c r="I2757" s="156"/>
      <c r="J2757" s="156"/>
    </row>
    <row r="2758" spans="8:10">
      <c r="H2758" s="156"/>
      <c r="I2758" s="156"/>
      <c r="J2758" s="156"/>
    </row>
    <row r="2759" spans="8:10">
      <c r="H2759" s="156"/>
      <c r="I2759" s="156"/>
      <c r="J2759" s="156"/>
    </row>
    <row r="2760" spans="8:10">
      <c r="H2760" s="156"/>
      <c r="I2760" s="156"/>
      <c r="J2760" s="156"/>
    </row>
    <row r="2761" spans="8:10">
      <c r="H2761" s="156"/>
      <c r="I2761" s="156"/>
      <c r="J2761" s="156"/>
    </row>
    <row r="2762" spans="8:10">
      <c r="H2762" s="156"/>
      <c r="I2762" s="156"/>
      <c r="J2762" s="156"/>
    </row>
    <row r="2763" spans="8:10">
      <c r="H2763" s="156"/>
      <c r="I2763" s="156"/>
      <c r="J2763" s="156"/>
    </row>
    <row r="2764" spans="8:10">
      <c r="H2764" s="156"/>
      <c r="I2764" s="156"/>
      <c r="J2764" s="156"/>
    </row>
    <row r="2765" spans="8:10">
      <c r="H2765" s="156"/>
      <c r="I2765" s="156"/>
      <c r="J2765" s="156"/>
    </row>
    <row r="2766" spans="8:10">
      <c r="H2766" s="156"/>
      <c r="I2766" s="156"/>
      <c r="J2766" s="156"/>
    </row>
    <row r="2767" spans="8:10">
      <c r="H2767" s="156"/>
      <c r="I2767" s="156"/>
      <c r="J2767" s="156"/>
    </row>
    <row r="2768" spans="8:10">
      <c r="H2768" s="156"/>
      <c r="I2768" s="156"/>
      <c r="J2768" s="156"/>
    </row>
    <row r="2769" spans="8:10">
      <c r="H2769" s="156"/>
      <c r="I2769" s="156"/>
      <c r="J2769" s="156"/>
    </row>
    <row r="2770" spans="8:10">
      <c r="H2770" s="156"/>
      <c r="I2770" s="156"/>
      <c r="J2770" s="156"/>
    </row>
    <row r="2771" spans="8:10">
      <c r="H2771" s="156"/>
      <c r="I2771" s="156"/>
      <c r="J2771" s="156"/>
    </row>
    <row r="2772" spans="8:10">
      <c r="H2772" s="156"/>
      <c r="I2772" s="156"/>
      <c r="J2772" s="156"/>
    </row>
    <row r="2773" spans="8:10">
      <c r="H2773" s="156"/>
      <c r="I2773" s="156"/>
      <c r="J2773" s="156"/>
    </row>
    <row r="2774" spans="8:10">
      <c r="H2774" s="156"/>
      <c r="I2774" s="156"/>
      <c r="J2774" s="156"/>
    </row>
    <row r="2775" spans="8:10">
      <c r="H2775" s="156"/>
      <c r="I2775" s="156"/>
      <c r="J2775" s="156"/>
    </row>
    <row r="2776" spans="8:10">
      <c r="H2776" s="156"/>
      <c r="I2776" s="156"/>
      <c r="J2776" s="156"/>
    </row>
    <row r="2777" spans="8:10">
      <c r="H2777" s="156"/>
      <c r="I2777" s="156"/>
      <c r="J2777" s="156"/>
    </row>
    <row r="2778" spans="8:10">
      <c r="H2778" s="156"/>
      <c r="I2778" s="156"/>
      <c r="J2778" s="156"/>
    </row>
    <row r="2779" spans="8:10">
      <c r="H2779" s="156"/>
      <c r="I2779" s="156"/>
      <c r="J2779" s="156"/>
    </row>
    <row r="2780" spans="8:10">
      <c r="H2780" s="156"/>
      <c r="I2780" s="156"/>
      <c r="J2780" s="156"/>
    </row>
    <row r="2781" spans="8:10">
      <c r="H2781" s="156"/>
      <c r="I2781" s="156"/>
      <c r="J2781" s="156"/>
    </row>
    <row r="2782" spans="8:10">
      <c r="H2782" s="156"/>
      <c r="I2782" s="156"/>
      <c r="J2782" s="156"/>
    </row>
    <row r="2783" spans="8:10">
      <c r="H2783" s="156"/>
      <c r="I2783" s="156"/>
      <c r="J2783" s="156"/>
    </row>
    <row r="2784" spans="8:10">
      <c r="H2784" s="156"/>
      <c r="I2784" s="156"/>
      <c r="J2784" s="156"/>
    </row>
    <row r="2785" spans="8:10">
      <c r="H2785" s="156"/>
      <c r="I2785" s="156"/>
      <c r="J2785" s="156"/>
    </row>
    <row r="2786" spans="8:10">
      <c r="H2786" s="156"/>
      <c r="I2786" s="156"/>
      <c r="J2786" s="156"/>
    </row>
    <row r="2787" spans="8:10">
      <c r="H2787" s="156"/>
      <c r="I2787" s="156"/>
      <c r="J2787" s="156"/>
    </row>
    <row r="2788" spans="8:10">
      <c r="H2788" s="156"/>
      <c r="I2788" s="156"/>
      <c r="J2788" s="156"/>
    </row>
    <row r="2789" spans="8:10">
      <c r="H2789" s="156"/>
      <c r="I2789" s="156"/>
      <c r="J2789" s="156"/>
    </row>
    <row r="2790" spans="8:10">
      <c r="H2790" s="156"/>
      <c r="I2790" s="156"/>
      <c r="J2790" s="156"/>
    </row>
    <row r="2791" spans="8:10">
      <c r="H2791" s="156"/>
      <c r="I2791" s="156"/>
      <c r="J2791" s="156"/>
    </row>
    <row r="2792" spans="8:10">
      <c r="H2792" s="156"/>
      <c r="I2792" s="156"/>
      <c r="J2792" s="156"/>
    </row>
    <row r="2793" spans="8:10">
      <c r="H2793" s="156"/>
      <c r="I2793" s="156"/>
      <c r="J2793" s="156"/>
    </row>
    <row r="2794" spans="8:10">
      <c r="H2794" s="156"/>
      <c r="I2794" s="156"/>
      <c r="J2794" s="156"/>
    </row>
    <row r="2795" spans="8:10">
      <c r="H2795" s="156"/>
      <c r="I2795" s="156"/>
      <c r="J2795" s="156"/>
    </row>
    <row r="2796" spans="8:10">
      <c r="H2796" s="156"/>
      <c r="I2796" s="156"/>
      <c r="J2796" s="156"/>
    </row>
    <row r="2797" spans="8:10">
      <c r="H2797" s="156"/>
      <c r="I2797" s="156"/>
      <c r="J2797" s="156"/>
    </row>
    <row r="2798" spans="8:10">
      <c r="H2798" s="156"/>
      <c r="I2798" s="156"/>
      <c r="J2798" s="156"/>
    </row>
    <row r="2799" spans="8:10">
      <c r="H2799" s="156"/>
      <c r="I2799" s="156"/>
      <c r="J2799" s="156"/>
    </row>
    <row r="2800" spans="8:10">
      <c r="H2800" s="156"/>
      <c r="I2800" s="156"/>
      <c r="J2800" s="156"/>
    </row>
    <row r="2801" spans="8:10">
      <c r="H2801" s="156"/>
      <c r="I2801" s="156"/>
      <c r="J2801" s="156"/>
    </row>
    <row r="2802" spans="8:10">
      <c r="H2802" s="156"/>
      <c r="I2802" s="156"/>
      <c r="J2802" s="156"/>
    </row>
    <row r="2803" spans="8:10">
      <c r="H2803" s="156"/>
      <c r="I2803" s="156"/>
      <c r="J2803" s="156"/>
    </row>
    <row r="2804" spans="8:10">
      <c r="H2804" s="156"/>
      <c r="I2804" s="156"/>
      <c r="J2804" s="156"/>
    </row>
    <row r="2805" spans="8:10">
      <c r="H2805" s="156"/>
      <c r="I2805" s="156"/>
      <c r="J2805" s="156"/>
    </row>
    <row r="2806" spans="8:10">
      <c r="H2806" s="156"/>
      <c r="I2806" s="156"/>
      <c r="J2806" s="156"/>
    </row>
    <row r="2807" spans="8:10">
      <c r="H2807" s="156"/>
      <c r="I2807" s="156"/>
      <c r="J2807" s="156"/>
    </row>
    <row r="2808" spans="8:10">
      <c r="H2808" s="156"/>
      <c r="I2808" s="156"/>
      <c r="J2808" s="156"/>
    </row>
    <row r="2809" spans="8:10">
      <c r="H2809" s="156"/>
      <c r="I2809" s="156"/>
      <c r="J2809" s="156"/>
    </row>
    <row r="2810" spans="8:10">
      <c r="H2810" s="156"/>
      <c r="I2810" s="156"/>
      <c r="J2810" s="156"/>
    </row>
    <row r="2811" spans="8:10">
      <c r="H2811" s="156"/>
      <c r="I2811" s="156"/>
      <c r="J2811" s="156"/>
    </row>
    <row r="2812" spans="8:10">
      <c r="H2812" s="156"/>
      <c r="I2812" s="156"/>
      <c r="J2812" s="156"/>
    </row>
    <row r="2813" spans="8:10">
      <c r="H2813" s="156"/>
      <c r="I2813" s="156"/>
      <c r="J2813" s="156"/>
    </row>
    <row r="2814" spans="8:10">
      <c r="H2814" s="156"/>
      <c r="I2814" s="156"/>
      <c r="J2814" s="156"/>
    </row>
    <row r="2815" spans="8:10">
      <c r="H2815" s="156"/>
      <c r="I2815" s="156"/>
      <c r="J2815" s="156"/>
    </row>
    <row r="2816" spans="8:10">
      <c r="H2816" s="156"/>
      <c r="I2816" s="156"/>
      <c r="J2816" s="156"/>
    </row>
    <row r="2817" spans="8:10">
      <c r="H2817" s="156"/>
      <c r="I2817" s="156"/>
      <c r="J2817" s="156"/>
    </row>
    <row r="2818" spans="8:10">
      <c r="H2818" s="156"/>
      <c r="I2818" s="156"/>
      <c r="J2818" s="156"/>
    </row>
    <row r="2819" spans="8:10">
      <c r="H2819" s="156"/>
      <c r="I2819" s="156"/>
      <c r="J2819" s="156"/>
    </row>
    <row r="2820" spans="8:10">
      <c r="H2820" s="156"/>
      <c r="I2820" s="156"/>
      <c r="J2820" s="156"/>
    </row>
    <row r="2821" spans="8:10">
      <c r="H2821" s="156"/>
      <c r="I2821" s="156"/>
      <c r="J2821" s="156"/>
    </row>
    <row r="2822" spans="8:10">
      <c r="H2822" s="156"/>
      <c r="I2822" s="156"/>
      <c r="J2822" s="156"/>
    </row>
    <row r="2823" spans="8:10">
      <c r="H2823" s="156"/>
      <c r="I2823" s="156"/>
      <c r="J2823" s="156"/>
    </row>
    <row r="2824" spans="8:10">
      <c r="H2824" s="156"/>
      <c r="I2824" s="156"/>
      <c r="J2824" s="156"/>
    </row>
    <row r="2825" spans="8:10">
      <c r="H2825" s="156"/>
      <c r="I2825" s="156"/>
      <c r="J2825" s="156"/>
    </row>
    <row r="2826" spans="8:10">
      <c r="H2826" s="156"/>
      <c r="I2826" s="156"/>
      <c r="J2826" s="156"/>
    </row>
    <row r="2827" spans="8:10">
      <c r="H2827" s="156"/>
      <c r="I2827" s="156"/>
      <c r="J2827" s="156"/>
    </row>
    <row r="2828" spans="8:10">
      <c r="H2828" s="156"/>
      <c r="I2828" s="156"/>
      <c r="J2828" s="156"/>
    </row>
    <row r="2829" spans="8:10">
      <c r="H2829" s="156"/>
      <c r="I2829" s="156"/>
      <c r="J2829" s="156"/>
    </row>
    <row r="2830" spans="8:10">
      <c r="H2830" s="156"/>
      <c r="I2830" s="156"/>
      <c r="J2830" s="156"/>
    </row>
    <row r="2831" spans="8:10">
      <c r="H2831" s="156"/>
      <c r="I2831" s="156"/>
      <c r="J2831" s="156"/>
    </row>
    <row r="2832" spans="8:10">
      <c r="H2832" s="156"/>
      <c r="I2832" s="156"/>
      <c r="J2832" s="156"/>
    </row>
    <row r="2833" spans="8:10">
      <c r="H2833" s="156"/>
      <c r="I2833" s="156"/>
      <c r="J2833" s="156"/>
    </row>
    <row r="2834" spans="8:10">
      <c r="H2834" s="156"/>
      <c r="I2834" s="156"/>
      <c r="J2834" s="156"/>
    </row>
    <row r="2835" spans="8:10">
      <c r="H2835" s="156"/>
      <c r="I2835" s="156"/>
      <c r="J2835" s="156"/>
    </row>
    <row r="2836" spans="8:10">
      <c r="H2836" s="156"/>
      <c r="I2836" s="156"/>
      <c r="J2836" s="156"/>
    </row>
    <row r="2837" spans="8:10">
      <c r="H2837" s="156"/>
      <c r="I2837" s="156"/>
      <c r="J2837" s="156"/>
    </row>
    <row r="2838" spans="8:10">
      <c r="H2838" s="156"/>
      <c r="I2838" s="156"/>
      <c r="J2838" s="156"/>
    </row>
    <row r="2839" spans="8:10">
      <c r="H2839" s="156"/>
      <c r="I2839" s="156"/>
      <c r="J2839" s="156"/>
    </row>
    <row r="2840" spans="8:10">
      <c r="H2840" s="156"/>
      <c r="I2840" s="156"/>
      <c r="J2840" s="156"/>
    </row>
    <row r="2841" spans="8:10">
      <c r="H2841" s="156"/>
      <c r="I2841" s="156"/>
      <c r="J2841" s="156"/>
    </row>
    <row r="2842" spans="8:10">
      <c r="H2842" s="156"/>
      <c r="I2842" s="156"/>
      <c r="J2842" s="156"/>
    </row>
    <row r="2843" spans="8:10">
      <c r="H2843" s="156"/>
      <c r="I2843" s="156"/>
      <c r="J2843" s="156"/>
    </row>
    <row r="2844" spans="8:10">
      <c r="H2844" s="156"/>
      <c r="I2844" s="156"/>
      <c r="J2844" s="156"/>
    </row>
    <row r="2845" spans="8:10">
      <c r="H2845" s="156"/>
      <c r="I2845" s="156"/>
      <c r="J2845" s="156"/>
    </row>
    <row r="2846" spans="8:10">
      <c r="H2846" s="156"/>
      <c r="I2846" s="156"/>
      <c r="J2846" s="156"/>
    </row>
    <row r="2847" spans="8:10">
      <c r="H2847" s="156"/>
      <c r="I2847" s="156"/>
      <c r="J2847" s="156"/>
    </row>
    <row r="2848" spans="8:10">
      <c r="H2848" s="156"/>
      <c r="I2848" s="156"/>
      <c r="J2848" s="156"/>
    </row>
    <row r="2849" spans="8:10">
      <c r="H2849" s="156"/>
      <c r="I2849" s="156"/>
      <c r="J2849" s="156"/>
    </row>
    <row r="2850" spans="8:10">
      <c r="H2850" s="156"/>
      <c r="I2850" s="156"/>
      <c r="J2850" s="156"/>
    </row>
    <row r="2851" spans="8:10">
      <c r="H2851" s="156"/>
      <c r="I2851" s="156"/>
      <c r="J2851" s="156"/>
    </row>
    <row r="2852" spans="8:10">
      <c r="H2852" s="156"/>
      <c r="I2852" s="156"/>
      <c r="J2852" s="156"/>
    </row>
    <row r="2853" spans="8:10">
      <c r="H2853" s="156"/>
      <c r="I2853" s="156"/>
      <c r="J2853" s="156"/>
    </row>
    <row r="2854" spans="8:10">
      <c r="H2854" s="156"/>
      <c r="I2854" s="156"/>
      <c r="J2854" s="156"/>
    </row>
    <row r="2855" spans="8:10">
      <c r="H2855" s="156"/>
      <c r="I2855" s="156"/>
      <c r="J2855" s="156"/>
    </row>
    <row r="2856" spans="8:10">
      <c r="H2856" s="156"/>
      <c r="I2856" s="156"/>
      <c r="J2856" s="156"/>
    </row>
    <row r="2857" spans="8:10">
      <c r="H2857" s="156"/>
      <c r="I2857" s="156"/>
      <c r="J2857" s="156"/>
    </row>
    <row r="2858" spans="8:10">
      <c r="H2858" s="156"/>
      <c r="I2858" s="156"/>
      <c r="J2858" s="156"/>
    </row>
    <row r="2859" spans="8:10">
      <c r="H2859" s="156"/>
      <c r="I2859" s="156"/>
      <c r="J2859" s="156"/>
    </row>
    <row r="2860" spans="8:10">
      <c r="H2860" s="156"/>
      <c r="I2860" s="156"/>
      <c r="J2860" s="156"/>
    </row>
    <row r="2861" spans="8:10">
      <c r="H2861" s="156"/>
      <c r="I2861" s="156"/>
      <c r="J2861" s="156"/>
    </row>
    <row r="2862" spans="8:10">
      <c r="H2862" s="156"/>
      <c r="I2862" s="156"/>
      <c r="J2862" s="156"/>
    </row>
    <row r="2863" spans="8:10">
      <c r="H2863" s="156"/>
      <c r="I2863" s="156"/>
      <c r="J2863" s="156"/>
    </row>
    <row r="2864" spans="8:10">
      <c r="H2864" s="156"/>
      <c r="I2864" s="156"/>
      <c r="J2864" s="156"/>
    </row>
    <row r="2865" spans="8:10">
      <c r="H2865" s="156"/>
      <c r="I2865" s="156"/>
      <c r="J2865" s="156"/>
    </row>
    <row r="2866" spans="8:10">
      <c r="H2866" s="156"/>
      <c r="I2866" s="156"/>
      <c r="J2866" s="156"/>
    </row>
    <row r="2867" spans="8:10">
      <c r="H2867" s="156"/>
      <c r="I2867" s="156"/>
      <c r="J2867" s="156"/>
    </row>
    <row r="2868" spans="8:10">
      <c r="H2868" s="156"/>
      <c r="I2868" s="156"/>
      <c r="J2868" s="156"/>
    </row>
    <row r="2869" spans="8:10">
      <c r="H2869" s="156"/>
      <c r="I2869" s="156"/>
      <c r="J2869" s="156"/>
    </row>
    <row r="2870" spans="8:10">
      <c r="H2870" s="156"/>
      <c r="I2870" s="156"/>
      <c r="J2870" s="156"/>
    </row>
    <row r="2871" spans="8:10">
      <c r="H2871" s="156"/>
      <c r="I2871" s="156"/>
      <c r="J2871" s="156"/>
    </row>
    <row r="2872" spans="8:10">
      <c r="H2872" s="156"/>
      <c r="I2872" s="156"/>
      <c r="J2872" s="156"/>
    </row>
    <row r="2873" spans="8:10">
      <c r="H2873" s="156"/>
      <c r="I2873" s="156"/>
      <c r="J2873" s="156"/>
    </row>
    <row r="2874" spans="8:10">
      <c r="H2874" s="156"/>
      <c r="I2874" s="156"/>
      <c r="J2874" s="156"/>
    </row>
    <row r="2875" spans="8:10">
      <c r="H2875" s="156"/>
      <c r="I2875" s="156"/>
      <c r="J2875" s="156"/>
    </row>
    <row r="2876" spans="8:10">
      <c r="H2876" s="156"/>
      <c r="I2876" s="156"/>
      <c r="J2876" s="156"/>
    </row>
    <row r="2877" spans="8:10">
      <c r="H2877" s="156"/>
      <c r="I2877" s="156"/>
      <c r="J2877" s="156"/>
    </row>
    <row r="2878" spans="8:10">
      <c r="H2878" s="156"/>
      <c r="I2878" s="156"/>
      <c r="J2878" s="156"/>
    </row>
    <row r="2879" spans="8:10">
      <c r="H2879" s="156"/>
      <c r="I2879" s="156"/>
      <c r="J2879" s="156"/>
    </row>
    <row r="2880" spans="8:10">
      <c r="H2880" s="156"/>
      <c r="I2880" s="156"/>
      <c r="J2880" s="156"/>
    </row>
    <row r="2881" spans="8:10">
      <c r="H2881" s="156"/>
      <c r="I2881" s="156"/>
      <c r="J2881" s="156"/>
    </row>
    <row r="2882" spans="8:10">
      <c r="H2882" s="156"/>
      <c r="I2882" s="156"/>
      <c r="J2882" s="156"/>
    </row>
    <row r="2883" spans="8:10">
      <c r="H2883" s="156"/>
      <c r="I2883" s="156"/>
      <c r="J2883" s="156"/>
    </row>
    <row r="2884" spans="8:10">
      <c r="H2884" s="156"/>
      <c r="I2884" s="156"/>
      <c r="J2884" s="156"/>
    </row>
    <row r="2885" spans="8:10">
      <c r="H2885" s="156"/>
      <c r="I2885" s="156"/>
      <c r="J2885" s="156"/>
    </row>
    <row r="2886" spans="8:10">
      <c r="H2886" s="156"/>
      <c r="I2886" s="156"/>
      <c r="J2886" s="156"/>
    </row>
    <row r="2887" spans="8:10">
      <c r="H2887" s="156"/>
      <c r="I2887" s="156"/>
      <c r="J2887" s="156"/>
    </row>
    <row r="2888" spans="8:10">
      <c r="H2888" s="156"/>
      <c r="I2888" s="156"/>
      <c r="J2888" s="156"/>
    </row>
    <row r="2889" spans="8:10">
      <c r="H2889" s="156"/>
      <c r="I2889" s="156"/>
      <c r="J2889" s="156"/>
    </row>
    <row r="2890" spans="8:10">
      <c r="H2890" s="156"/>
      <c r="I2890" s="156"/>
      <c r="J2890" s="156"/>
    </row>
    <row r="2891" spans="8:10">
      <c r="H2891" s="156"/>
      <c r="I2891" s="156"/>
      <c r="J2891" s="156"/>
    </row>
    <row r="2892" spans="8:10">
      <c r="H2892" s="156"/>
      <c r="I2892" s="156"/>
      <c r="J2892" s="156"/>
    </row>
    <row r="2893" spans="8:10">
      <c r="H2893" s="156"/>
      <c r="I2893" s="156"/>
      <c r="J2893" s="156"/>
    </row>
    <row r="2894" spans="8:10">
      <c r="H2894" s="156"/>
      <c r="I2894" s="156"/>
      <c r="J2894" s="156"/>
    </row>
    <row r="2895" spans="8:10">
      <c r="H2895" s="156"/>
      <c r="I2895" s="156"/>
      <c r="J2895" s="156"/>
    </row>
    <row r="2896" spans="8:10">
      <c r="H2896" s="156"/>
      <c r="I2896" s="156"/>
      <c r="J2896" s="156"/>
    </row>
    <row r="2897" spans="8:10">
      <c r="H2897" s="156"/>
      <c r="I2897" s="156"/>
      <c r="J2897" s="156"/>
    </row>
    <row r="2898" spans="8:10">
      <c r="H2898" s="156"/>
      <c r="I2898" s="156"/>
      <c r="J2898" s="156"/>
    </row>
    <row r="2899" spans="8:10">
      <c r="H2899" s="156"/>
      <c r="I2899" s="156"/>
      <c r="J2899" s="156"/>
    </row>
    <row r="2900" spans="8:10">
      <c r="H2900" s="156"/>
      <c r="I2900" s="156"/>
      <c r="J2900" s="156"/>
    </row>
    <row r="2901" spans="8:10">
      <c r="H2901" s="156"/>
      <c r="I2901" s="156"/>
      <c r="J2901" s="156"/>
    </row>
    <row r="2902" spans="8:10">
      <c r="H2902" s="156"/>
      <c r="I2902" s="156"/>
      <c r="J2902" s="156"/>
    </row>
    <row r="2903" spans="8:10">
      <c r="H2903" s="156"/>
      <c r="I2903" s="156"/>
      <c r="J2903" s="156"/>
    </row>
    <row r="2904" spans="8:10">
      <c r="H2904" s="156"/>
      <c r="I2904" s="156"/>
      <c r="J2904" s="156"/>
    </row>
    <row r="2905" spans="8:10">
      <c r="H2905" s="156"/>
      <c r="I2905" s="156"/>
      <c r="J2905" s="156"/>
    </row>
    <row r="2906" spans="8:10">
      <c r="H2906" s="156"/>
      <c r="I2906" s="156"/>
      <c r="J2906" s="156"/>
    </row>
    <row r="2907" spans="8:10">
      <c r="H2907" s="156"/>
      <c r="I2907" s="156"/>
      <c r="J2907" s="156"/>
    </row>
    <row r="2908" spans="8:10">
      <c r="H2908" s="156"/>
      <c r="I2908" s="156"/>
      <c r="J2908" s="156"/>
    </row>
    <row r="2909" spans="8:10">
      <c r="H2909" s="156"/>
      <c r="I2909" s="156"/>
      <c r="J2909" s="156"/>
    </row>
    <row r="2910" spans="8:10">
      <c r="H2910" s="156"/>
      <c r="I2910" s="156"/>
      <c r="J2910" s="156"/>
    </row>
    <row r="2911" spans="8:10">
      <c r="H2911" s="156"/>
      <c r="I2911" s="156"/>
      <c r="J2911" s="156"/>
    </row>
    <row r="2912" spans="8:10">
      <c r="H2912" s="156"/>
      <c r="I2912" s="156"/>
      <c r="J2912" s="156"/>
    </row>
    <row r="2913" spans="8:10">
      <c r="H2913" s="156"/>
      <c r="I2913" s="156"/>
      <c r="J2913" s="156"/>
    </row>
    <row r="2914" spans="8:10">
      <c r="H2914" s="156"/>
      <c r="I2914" s="156"/>
      <c r="J2914" s="156"/>
    </row>
    <row r="2915" spans="8:10">
      <c r="H2915" s="156"/>
      <c r="I2915" s="156"/>
      <c r="J2915" s="156"/>
    </row>
    <row r="2916" spans="8:10">
      <c r="H2916" s="156"/>
      <c r="I2916" s="156"/>
      <c r="J2916" s="156"/>
    </row>
    <row r="2917" spans="8:10">
      <c r="H2917" s="156"/>
      <c r="I2917" s="156"/>
      <c r="J2917" s="156"/>
    </row>
    <row r="2918" spans="8:10">
      <c r="H2918" s="156"/>
      <c r="I2918" s="156"/>
      <c r="J2918" s="156"/>
    </row>
    <row r="2919" spans="8:10">
      <c r="H2919" s="156"/>
      <c r="I2919" s="156"/>
      <c r="J2919" s="156"/>
    </row>
    <row r="2920" spans="8:10">
      <c r="H2920" s="156"/>
      <c r="I2920" s="156"/>
      <c r="J2920" s="156"/>
    </row>
    <row r="2921" spans="8:10">
      <c r="H2921" s="156"/>
      <c r="I2921" s="156"/>
      <c r="J2921" s="156"/>
    </row>
    <row r="2922" spans="8:10">
      <c r="H2922" s="156"/>
      <c r="I2922" s="156"/>
      <c r="J2922" s="156"/>
    </row>
    <row r="2923" spans="8:10">
      <c r="H2923" s="156"/>
      <c r="I2923" s="156"/>
      <c r="J2923" s="156"/>
    </row>
    <row r="2924" spans="8:10">
      <c r="H2924" s="156"/>
      <c r="I2924" s="156"/>
      <c r="J2924" s="156"/>
    </row>
    <row r="2925" spans="8:10">
      <c r="H2925" s="156"/>
      <c r="I2925" s="156"/>
      <c r="J2925" s="156"/>
    </row>
    <row r="2926" spans="8:10">
      <c r="H2926" s="156"/>
      <c r="I2926" s="156"/>
      <c r="J2926" s="156"/>
    </row>
    <row r="2927" spans="8:10">
      <c r="H2927" s="156"/>
      <c r="I2927" s="156"/>
      <c r="J2927" s="156"/>
    </row>
    <row r="2928" spans="8:10">
      <c r="H2928" s="156"/>
      <c r="I2928" s="156"/>
      <c r="J2928" s="156"/>
    </row>
    <row r="2929" spans="8:10">
      <c r="H2929" s="156"/>
      <c r="I2929" s="156"/>
      <c r="J2929" s="156"/>
    </row>
    <row r="2930" spans="8:10">
      <c r="H2930" s="156"/>
      <c r="I2930" s="156"/>
      <c r="J2930" s="156"/>
    </row>
    <row r="2931" spans="8:10">
      <c r="H2931" s="156"/>
      <c r="I2931" s="156"/>
      <c r="J2931" s="156"/>
    </row>
    <row r="2932" spans="8:10">
      <c r="H2932" s="156"/>
      <c r="I2932" s="156"/>
      <c r="J2932" s="156"/>
    </row>
    <row r="2933" spans="8:10">
      <c r="H2933" s="156"/>
      <c r="I2933" s="156"/>
      <c r="J2933" s="156"/>
    </row>
    <row r="2934" spans="8:10">
      <c r="H2934" s="156"/>
      <c r="I2934" s="156"/>
      <c r="J2934" s="156"/>
    </row>
    <row r="2935" spans="8:10">
      <c r="H2935" s="156"/>
      <c r="I2935" s="156"/>
      <c r="J2935" s="156"/>
    </row>
    <row r="2936" spans="8:10">
      <c r="H2936" s="156"/>
      <c r="I2936" s="156"/>
      <c r="J2936" s="156"/>
    </row>
    <row r="2937" spans="8:10">
      <c r="H2937" s="156"/>
      <c r="I2937" s="156"/>
      <c r="J2937" s="156"/>
    </row>
    <row r="2938" spans="8:10">
      <c r="H2938" s="156"/>
      <c r="I2938" s="156"/>
      <c r="J2938" s="156"/>
    </row>
    <row r="2939" spans="8:10">
      <c r="H2939" s="156"/>
      <c r="I2939" s="156"/>
      <c r="J2939" s="156"/>
    </row>
    <row r="2940" spans="8:10">
      <c r="H2940" s="156"/>
      <c r="I2940" s="156"/>
      <c r="J2940" s="156"/>
    </row>
    <row r="2941" spans="8:10">
      <c r="H2941" s="156"/>
      <c r="I2941" s="156"/>
      <c r="J2941" s="156"/>
    </row>
    <row r="2942" spans="8:10">
      <c r="H2942" s="156"/>
      <c r="I2942" s="156"/>
      <c r="J2942" s="156"/>
    </row>
    <row r="2943" spans="8:10">
      <c r="H2943" s="156"/>
      <c r="I2943" s="156"/>
      <c r="J2943" s="156"/>
    </row>
    <row r="2944" spans="8:10">
      <c r="H2944" s="156"/>
      <c r="I2944" s="156"/>
      <c r="J2944" s="156"/>
    </row>
    <row r="2945" spans="8:10">
      <c r="H2945" s="156"/>
      <c r="I2945" s="156"/>
      <c r="J2945" s="156"/>
    </row>
    <row r="2946" spans="8:10">
      <c r="H2946" s="156"/>
      <c r="I2946" s="156"/>
      <c r="J2946" s="156"/>
    </row>
    <row r="2947" spans="8:10">
      <c r="H2947" s="156"/>
      <c r="I2947" s="156"/>
      <c r="J2947" s="156"/>
    </row>
    <row r="2948" spans="8:10">
      <c r="H2948" s="156"/>
      <c r="I2948" s="156"/>
      <c r="J2948" s="156"/>
    </row>
    <row r="2949" spans="8:10">
      <c r="H2949" s="156"/>
      <c r="I2949" s="156"/>
      <c r="J2949" s="156"/>
    </row>
    <row r="2950" spans="8:10">
      <c r="H2950" s="156"/>
      <c r="I2950" s="156"/>
      <c r="J2950" s="156"/>
    </row>
    <row r="2951" spans="8:10">
      <c r="H2951" s="156"/>
      <c r="I2951" s="156"/>
      <c r="J2951" s="156"/>
    </row>
    <row r="2952" spans="8:10">
      <c r="H2952" s="156"/>
      <c r="I2952" s="156"/>
      <c r="J2952" s="156"/>
    </row>
    <row r="2953" spans="8:10">
      <c r="H2953" s="156"/>
      <c r="I2953" s="156"/>
      <c r="J2953" s="156"/>
    </row>
    <row r="2954" spans="8:10">
      <c r="H2954" s="156"/>
      <c r="I2954" s="156"/>
      <c r="J2954" s="156"/>
    </row>
    <row r="2955" spans="8:10">
      <c r="H2955" s="156"/>
      <c r="I2955" s="156"/>
      <c r="J2955" s="156"/>
    </row>
    <row r="2956" spans="8:10">
      <c r="H2956" s="156"/>
      <c r="I2956" s="156"/>
      <c r="J2956" s="156"/>
    </row>
    <row r="2957" spans="8:10">
      <c r="H2957" s="156"/>
      <c r="I2957" s="156"/>
      <c r="J2957" s="156"/>
    </row>
    <row r="2958" spans="8:10">
      <c r="H2958" s="156"/>
      <c r="I2958" s="156"/>
      <c r="J2958" s="156"/>
    </row>
    <row r="2959" spans="8:10">
      <c r="H2959" s="156"/>
      <c r="I2959" s="156"/>
      <c r="J2959" s="156"/>
    </row>
    <row r="2960" spans="8:10">
      <c r="H2960" s="156"/>
      <c r="I2960" s="156"/>
      <c r="J2960" s="156"/>
    </row>
    <row r="2961" spans="8:10">
      <c r="H2961" s="156"/>
      <c r="I2961" s="156"/>
      <c r="J2961" s="156"/>
    </row>
    <row r="2962" spans="8:10">
      <c r="H2962" s="156"/>
      <c r="I2962" s="156"/>
      <c r="J2962" s="156"/>
    </row>
    <row r="2963" spans="8:10">
      <c r="H2963" s="156"/>
      <c r="I2963" s="156"/>
      <c r="J2963" s="156"/>
    </row>
    <row r="2964" spans="8:10">
      <c r="H2964" s="156"/>
      <c r="I2964" s="156"/>
      <c r="J2964" s="156"/>
    </row>
    <row r="2965" spans="8:10">
      <c r="H2965" s="156"/>
      <c r="I2965" s="156"/>
      <c r="J2965" s="156"/>
    </row>
    <row r="2966" spans="8:10">
      <c r="H2966" s="156"/>
      <c r="I2966" s="156"/>
      <c r="J2966" s="156"/>
    </row>
    <row r="2967" spans="8:10">
      <c r="H2967" s="156"/>
      <c r="I2967" s="156"/>
      <c r="J2967" s="156"/>
    </row>
    <row r="2968" spans="8:10">
      <c r="H2968" s="156"/>
      <c r="I2968" s="156"/>
      <c r="J2968" s="156"/>
    </row>
    <row r="2969" spans="8:10">
      <c r="H2969" s="156"/>
      <c r="I2969" s="156"/>
      <c r="J2969" s="156"/>
    </row>
    <row r="2970" spans="8:10">
      <c r="H2970" s="156"/>
      <c r="I2970" s="156"/>
      <c r="J2970" s="156"/>
    </row>
    <row r="2971" spans="8:10">
      <c r="H2971" s="156"/>
      <c r="I2971" s="156"/>
      <c r="J2971" s="156"/>
    </row>
    <row r="2972" spans="8:10">
      <c r="H2972" s="156"/>
      <c r="I2972" s="156"/>
      <c r="J2972" s="156"/>
    </row>
    <row r="2973" spans="8:10">
      <c r="H2973" s="156"/>
      <c r="I2973" s="156"/>
      <c r="J2973" s="156"/>
    </row>
    <row r="2974" spans="8:10">
      <c r="H2974" s="156"/>
      <c r="I2974" s="156"/>
      <c r="J2974" s="156"/>
    </row>
    <row r="2975" spans="8:10">
      <c r="H2975" s="156"/>
      <c r="I2975" s="156"/>
      <c r="J2975" s="156"/>
    </row>
    <row r="2976" spans="8:10">
      <c r="H2976" s="156"/>
      <c r="I2976" s="156"/>
      <c r="J2976" s="156"/>
    </row>
    <row r="2977" spans="8:10">
      <c r="H2977" s="156"/>
      <c r="I2977" s="156"/>
      <c r="J2977" s="156"/>
    </row>
    <row r="2978" spans="8:10">
      <c r="H2978" s="156"/>
      <c r="I2978" s="156"/>
      <c r="J2978" s="156"/>
    </row>
    <row r="2979" spans="8:10">
      <c r="H2979" s="156"/>
      <c r="I2979" s="156"/>
      <c r="J2979" s="156"/>
    </row>
    <row r="2980" spans="8:10">
      <c r="H2980" s="156"/>
      <c r="I2980" s="156"/>
      <c r="J2980" s="156"/>
    </row>
    <row r="2981" spans="8:10">
      <c r="H2981" s="156"/>
      <c r="I2981" s="156"/>
      <c r="J2981" s="156"/>
    </row>
    <row r="2982" spans="8:10">
      <c r="H2982" s="156"/>
      <c r="I2982" s="156"/>
      <c r="J2982" s="156"/>
    </row>
    <row r="2983" spans="8:10">
      <c r="H2983" s="156"/>
      <c r="I2983" s="156"/>
      <c r="J2983" s="156"/>
    </row>
    <row r="2984" spans="8:10">
      <c r="H2984" s="156"/>
      <c r="I2984" s="156"/>
      <c r="J2984" s="156"/>
    </row>
    <row r="2985" spans="8:10">
      <c r="H2985" s="156"/>
      <c r="I2985" s="156"/>
      <c r="J2985" s="156"/>
    </row>
    <row r="2986" spans="8:10">
      <c r="H2986" s="156"/>
      <c r="I2986" s="156"/>
      <c r="J2986" s="156"/>
    </row>
    <row r="2987" spans="8:10">
      <c r="H2987" s="156"/>
      <c r="I2987" s="156"/>
      <c r="J2987" s="156"/>
    </row>
    <row r="2988" spans="8:10">
      <c r="H2988" s="156"/>
      <c r="I2988" s="156"/>
      <c r="J2988" s="156"/>
    </row>
    <row r="2989" spans="8:10">
      <c r="H2989" s="156"/>
      <c r="I2989" s="156"/>
      <c r="J2989" s="156"/>
    </row>
    <row r="2990" spans="8:10">
      <c r="H2990" s="156"/>
      <c r="I2990" s="156"/>
      <c r="J2990" s="156"/>
    </row>
    <row r="2991" spans="8:10">
      <c r="H2991" s="156"/>
      <c r="I2991" s="156"/>
      <c r="J2991" s="156"/>
    </row>
    <row r="2992" spans="8:10">
      <c r="H2992" s="156"/>
      <c r="I2992" s="156"/>
      <c r="J2992" s="156"/>
    </row>
    <row r="2993" spans="8:10">
      <c r="H2993" s="156"/>
      <c r="I2993" s="156"/>
      <c r="J2993" s="156"/>
    </row>
    <row r="2994" spans="8:10">
      <c r="H2994" s="156"/>
      <c r="I2994" s="156"/>
      <c r="J2994" s="156"/>
    </row>
    <row r="2995" spans="8:10">
      <c r="H2995" s="156"/>
      <c r="I2995" s="156"/>
      <c r="J2995" s="156"/>
    </row>
    <row r="2996" spans="8:10">
      <c r="H2996" s="156"/>
      <c r="I2996" s="156"/>
      <c r="J2996" s="156"/>
    </row>
    <row r="2997" spans="8:10">
      <c r="H2997" s="156"/>
      <c r="I2997" s="156"/>
      <c r="J2997" s="156"/>
    </row>
    <row r="2998" spans="8:10">
      <c r="H2998" s="156"/>
      <c r="I2998" s="156"/>
      <c r="J2998" s="156"/>
    </row>
    <row r="2999" spans="8:10">
      <c r="H2999" s="156"/>
      <c r="I2999" s="156"/>
      <c r="J2999" s="156"/>
    </row>
    <row r="3000" spans="8:10">
      <c r="H3000" s="156"/>
      <c r="I3000" s="156"/>
      <c r="J3000" s="156"/>
    </row>
    <row r="3001" spans="8:10">
      <c r="H3001" s="156"/>
      <c r="I3001" s="156"/>
      <c r="J3001" s="156"/>
    </row>
    <row r="3002" spans="8:10">
      <c r="H3002" s="156"/>
      <c r="I3002" s="156"/>
      <c r="J3002" s="156"/>
    </row>
    <row r="3003" spans="8:10">
      <c r="H3003" s="156"/>
      <c r="I3003" s="156"/>
      <c r="J3003" s="156"/>
    </row>
    <row r="3004" spans="8:10">
      <c r="H3004" s="156"/>
      <c r="I3004" s="156"/>
      <c r="J3004" s="156"/>
    </row>
    <row r="3005" spans="8:10">
      <c r="H3005" s="156"/>
      <c r="I3005" s="156"/>
      <c r="J3005" s="156"/>
    </row>
    <row r="3006" spans="8:10">
      <c r="H3006" s="156"/>
      <c r="I3006" s="156"/>
      <c r="J3006" s="156"/>
    </row>
    <row r="3007" spans="8:10">
      <c r="H3007" s="156"/>
      <c r="I3007" s="156"/>
      <c r="J3007" s="156"/>
    </row>
    <row r="3008" spans="8:10">
      <c r="H3008" s="156"/>
      <c r="I3008" s="156"/>
      <c r="J3008" s="156"/>
    </row>
    <row r="3009" spans="8:10">
      <c r="H3009" s="156"/>
      <c r="I3009" s="156"/>
      <c r="J3009" s="156"/>
    </row>
    <row r="3010" spans="8:10">
      <c r="H3010" s="156"/>
      <c r="I3010" s="156"/>
      <c r="J3010" s="156"/>
    </row>
    <row r="3011" spans="8:10">
      <c r="H3011" s="156"/>
      <c r="I3011" s="156"/>
      <c r="J3011" s="156"/>
    </row>
    <row r="3012" spans="8:10">
      <c r="H3012" s="156"/>
      <c r="I3012" s="156"/>
      <c r="J3012" s="156"/>
    </row>
    <row r="3013" spans="8:10">
      <c r="H3013" s="156"/>
      <c r="I3013" s="156"/>
      <c r="J3013" s="156"/>
    </row>
    <row r="3014" spans="8:10">
      <c r="H3014" s="156"/>
      <c r="I3014" s="156"/>
      <c r="J3014" s="156"/>
    </row>
    <row r="3015" spans="8:10">
      <c r="H3015" s="156"/>
      <c r="I3015" s="156"/>
      <c r="J3015" s="156"/>
    </row>
    <row r="3016" spans="8:10">
      <c r="H3016" s="156"/>
      <c r="I3016" s="156"/>
      <c r="J3016" s="156"/>
    </row>
    <row r="3017" spans="8:10">
      <c r="H3017" s="156"/>
      <c r="I3017" s="156"/>
      <c r="J3017" s="156"/>
    </row>
    <row r="3018" spans="8:10">
      <c r="H3018" s="156"/>
      <c r="I3018" s="156"/>
      <c r="J3018" s="156"/>
    </row>
    <row r="3019" spans="8:10">
      <c r="H3019" s="156"/>
      <c r="I3019" s="156"/>
      <c r="J3019" s="156"/>
    </row>
    <row r="3020" spans="8:10">
      <c r="H3020" s="156"/>
      <c r="I3020" s="156"/>
      <c r="J3020" s="156"/>
    </row>
    <row r="3021" spans="8:10">
      <c r="H3021" s="156"/>
      <c r="I3021" s="156"/>
      <c r="J3021" s="156"/>
    </row>
    <row r="3022" spans="8:10">
      <c r="H3022" s="156"/>
      <c r="I3022" s="156"/>
      <c r="J3022" s="156"/>
    </row>
    <row r="3023" spans="8:10">
      <c r="H3023" s="156"/>
      <c r="I3023" s="156"/>
      <c r="J3023" s="156"/>
    </row>
    <row r="3024" spans="8:10">
      <c r="H3024" s="156"/>
      <c r="I3024" s="156"/>
      <c r="J3024" s="156"/>
    </row>
    <row r="3025" spans="8:10">
      <c r="H3025" s="156"/>
      <c r="I3025" s="156"/>
      <c r="J3025" s="156"/>
    </row>
    <row r="3026" spans="8:10">
      <c r="H3026" s="156"/>
      <c r="I3026" s="156"/>
      <c r="J3026" s="156"/>
    </row>
    <row r="3027" spans="8:10">
      <c r="H3027" s="156"/>
      <c r="I3027" s="156"/>
      <c r="J3027" s="156"/>
    </row>
    <row r="3028" spans="8:10">
      <c r="H3028" s="156"/>
      <c r="I3028" s="156"/>
      <c r="J3028" s="156"/>
    </row>
    <row r="3029" spans="8:10">
      <c r="H3029" s="156"/>
      <c r="I3029" s="156"/>
      <c r="J3029" s="156"/>
    </row>
    <row r="3030" spans="8:10">
      <c r="H3030" s="156"/>
      <c r="I3030" s="156"/>
      <c r="J3030" s="156"/>
    </row>
    <row r="3031" spans="8:10">
      <c r="H3031" s="156"/>
      <c r="I3031" s="156"/>
      <c r="J3031" s="156"/>
    </row>
    <row r="3032" spans="8:10">
      <c r="H3032" s="156"/>
      <c r="I3032" s="156"/>
      <c r="J3032" s="156"/>
    </row>
    <row r="3033" spans="8:10">
      <c r="H3033" s="156"/>
      <c r="I3033" s="156"/>
      <c r="J3033" s="156"/>
    </row>
    <row r="3034" spans="8:10">
      <c r="H3034" s="156"/>
      <c r="I3034" s="156"/>
      <c r="J3034" s="156"/>
    </row>
    <row r="3035" spans="8:10">
      <c r="H3035" s="156"/>
      <c r="I3035" s="156"/>
      <c r="J3035" s="156"/>
    </row>
    <row r="3036" spans="8:10">
      <c r="H3036" s="156"/>
      <c r="I3036" s="156"/>
      <c r="J3036" s="156"/>
    </row>
    <row r="3037" spans="8:10">
      <c r="H3037" s="156"/>
      <c r="I3037" s="156"/>
      <c r="J3037" s="156"/>
    </row>
    <row r="3038" spans="8:10">
      <c r="H3038" s="156"/>
      <c r="I3038" s="156"/>
      <c r="J3038" s="156"/>
    </row>
    <row r="3039" spans="8:10">
      <c r="H3039" s="156"/>
      <c r="I3039" s="156"/>
      <c r="J3039" s="156"/>
    </row>
    <row r="3040" spans="8:10">
      <c r="H3040" s="156"/>
      <c r="I3040" s="156"/>
      <c r="J3040" s="156"/>
    </row>
    <row r="3041" spans="8:10">
      <c r="H3041" s="156"/>
      <c r="I3041" s="156"/>
      <c r="J3041" s="156"/>
    </row>
    <row r="3042" spans="8:10">
      <c r="H3042" s="156"/>
      <c r="I3042" s="156"/>
      <c r="J3042" s="156"/>
    </row>
    <row r="3043" spans="8:10">
      <c r="H3043" s="156"/>
      <c r="I3043" s="156"/>
      <c r="J3043" s="156"/>
    </row>
    <row r="3044" spans="8:10">
      <c r="H3044" s="156"/>
      <c r="I3044" s="156"/>
      <c r="J3044" s="156"/>
    </row>
    <row r="3045" spans="8:10">
      <c r="H3045" s="156"/>
      <c r="I3045" s="156"/>
      <c r="J3045" s="156"/>
    </row>
    <row r="3046" spans="8:10">
      <c r="H3046" s="156"/>
      <c r="I3046" s="156"/>
      <c r="J3046" s="156"/>
    </row>
    <row r="3047" spans="8:10">
      <c r="H3047" s="156"/>
      <c r="I3047" s="156"/>
      <c r="J3047" s="156"/>
    </row>
    <row r="3048" spans="8:10">
      <c r="H3048" s="156"/>
      <c r="I3048" s="156"/>
      <c r="J3048" s="156"/>
    </row>
    <row r="3049" spans="8:10">
      <c r="H3049" s="156"/>
      <c r="I3049" s="156"/>
      <c r="J3049" s="156"/>
    </row>
    <row r="3050" spans="8:10">
      <c r="H3050" s="156"/>
      <c r="I3050" s="156"/>
      <c r="J3050" s="156"/>
    </row>
    <row r="3051" spans="8:10">
      <c r="H3051" s="156"/>
      <c r="I3051" s="156"/>
      <c r="J3051" s="156"/>
    </row>
    <row r="3052" spans="8:10">
      <c r="H3052" s="156"/>
      <c r="I3052" s="156"/>
      <c r="J3052" s="156"/>
    </row>
    <row r="3053" spans="8:10">
      <c r="H3053" s="156"/>
      <c r="I3053" s="156"/>
      <c r="J3053" s="156"/>
    </row>
    <row r="3054" spans="8:10">
      <c r="H3054" s="156"/>
      <c r="I3054" s="156"/>
      <c r="J3054" s="156"/>
    </row>
    <row r="3055" spans="8:10">
      <c r="H3055" s="156"/>
      <c r="I3055" s="156"/>
      <c r="J3055" s="156"/>
    </row>
    <row r="3056" spans="8:10">
      <c r="H3056" s="156"/>
      <c r="I3056" s="156"/>
      <c r="J3056" s="156"/>
    </row>
    <row r="3057" spans="8:10">
      <c r="H3057" s="156"/>
      <c r="I3057" s="156"/>
      <c r="J3057" s="156"/>
    </row>
    <row r="3058" spans="8:10">
      <c r="H3058" s="156"/>
      <c r="I3058" s="156"/>
      <c r="J3058" s="156"/>
    </row>
    <row r="3059" spans="8:10">
      <c r="H3059" s="156"/>
      <c r="I3059" s="156"/>
      <c r="J3059" s="156"/>
    </row>
    <row r="3060" spans="8:10">
      <c r="H3060" s="156"/>
      <c r="I3060" s="156"/>
      <c r="J3060" s="156"/>
    </row>
    <row r="3061" spans="8:10">
      <c r="H3061" s="156"/>
      <c r="I3061" s="156"/>
      <c r="J3061" s="156"/>
    </row>
    <row r="3062" spans="8:10">
      <c r="H3062" s="156"/>
      <c r="I3062" s="156"/>
      <c r="J3062" s="156"/>
    </row>
    <row r="3063" spans="8:10">
      <c r="H3063" s="156"/>
      <c r="I3063" s="156"/>
      <c r="J3063" s="156"/>
    </row>
    <row r="3064" spans="8:10">
      <c r="H3064" s="156"/>
      <c r="I3064" s="156"/>
      <c r="J3064" s="156"/>
    </row>
    <row r="3065" spans="8:10">
      <c r="H3065" s="156"/>
      <c r="I3065" s="156"/>
      <c r="J3065" s="156"/>
    </row>
    <row r="3066" spans="8:10">
      <c r="H3066" s="156"/>
      <c r="I3066" s="156"/>
      <c r="J3066" s="156"/>
    </row>
    <row r="3067" spans="8:10">
      <c r="H3067" s="156"/>
      <c r="I3067" s="156"/>
      <c r="J3067" s="156"/>
    </row>
    <row r="3068" spans="8:10">
      <c r="H3068" s="156"/>
      <c r="I3068" s="156"/>
      <c r="J3068" s="156"/>
    </row>
    <row r="3069" spans="8:10">
      <c r="H3069" s="156"/>
      <c r="I3069" s="156"/>
      <c r="J3069" s="156"/>
    </row>
    <row r="3070" spans="8:10">
      <c r="H3070" s="156"/>
      <c r="I3070" s="156"/>
      <c r="J3070" s="156"/>
    </row>
    <row r="3071" spans="8:10">
      <c r="H3071" s="156"/>
      <c r="I3071" s="156"/>
      <c r="J3071" s="156"/>
    </row>
    <row r="3072" spans="8:10">
      <c r="H3072" s="156"/>
      <c r="I3072" s="156"/>
      <c r="J3072" s="156"/>
    </row>
    <row r="3073" spans="8:10">
      <c r="H3073" s="156"/>
      <c r="I3073" s="156"/>
      <c r="J3073" s="156"/>
    </row>
    <row r="3074" spans="8:10">
      <c r="H3074" s="156"/>
      <c r="I3074" s="156"/>
      <c r="J3074" s="156"/>
    </row>
    <row r="3075" spans="8:10">
      <c r="H3075" s="156"/>
      <c r="I3075" s="156"/>
      <c r="J3075" s="156"/>
    </row>
    <row r="3076" spans="8:10">
      <c r="H3076" s="156"/>
      <c r="I3076" s="156"/>
      <c r="J3076" s="156"/>
    </row>
    <row r="3077" spans="8:10">
      <c r="H3077" s="156"/>
      <c r="I3077" s="156"/>
      <c r="J3077" s="156"/>
    </row>
    <row r="3078" spans="8:10">
      <c r="H3078" s="156"/>
      <c r="I3078" s="156"/>
      <c r="J3078" s="156"/>
    </row>
    <row r="3079" spans="8:10">
      <c r="H3079" s="156"/>
      <c r="I3079" s="156"/>
      <c r="J3079" s="156"/>
    </row>
    <row r="3080" spans="8:10">
      <c r="H3080" s="156"/>
      <c r="I3080" s="156"/>
      <c r="J3080" s="156"/>
    </row>
    <row r="3081" spans="8:10">
      <c r="H3081" s="156"/>
      <c r="I3081" s="156"/>
      <c r="J3081" s="156"/>
    </row>
    <row r="3082" spans="8:10">
      <c r="H3082" s="156"/>
      <c r="I3082" s="156"/>
      <c r="J3082" s="156"/>
    </row>
    <row r="3083" spans="8:10">
      <c r="H3083" s="156"/>
      <c r="I3083" s="156"/>
      <c r="J3083" s="156"/>
    </row>
    <row r="3084" spans="8:10">
      <c r="H3084" s="156"/>
      <c r="I3084" s="156"/>
      <c r="J3084" s="156"/>
    </row>
    <row r="3085" spans="8:10">
      <c r="H3085" s="156"/>
      <c r="I3085" s="156"/>
      <c r="J3085" s="156"/>
    </row>
    <row r="3086" spans="8:10">
      <c r="H3086" s="156"/>
      <c r="I3086" s="156"/>
      <c r="J3086" s="156"/>
    </row>
    <row r="3087" spans="8:10">
      <c r="H3087" s="156"/>
      <c r="I3087" s="156"/>
      <c r="J3087" s="156"/>
    </row>
    <row r="3088" spans="8:10">
      <c r="H3088" s="156"/>
      <c r="I3088" s="156"/>
      <c r="J3088" s="156"/>
    </row>
    <row r="3089" spans="8:10">
      <c r="H3089" s="156"/>
      <c r="I3089" s="156"/>
      <c r="J3089" s="156"/>
    </row>
    <row r="3090" spans="8:10">
      <c r="H3090" s="156"/>
      <c r="I3090" s="156"/>
      <c r="J3090" s="156"/>
    </row>
    <row r="3091" spans="8:10">
      <c r="H3091" s="156"/>
      <c r="I3091" s="156"/>
      <c r="J3091" s="156"/>
    </row>
    <row r="3092" spans="8:10">
      <c r="H3092" s="156"/>
      <c r="I3092" s="156"/>
      <c r="J3092" s="156"/>
    </row>
    <row r="3093" spans="8:10">
      <c r="H3093" s="156"/>
      <c r="I3093" s="156"/>
      <c r="J3093" s="156"/>
    </row>
    <row r="3094" spans="8:10">
      <c r="H3094" s="156"/>
      <c r="I3094" s="156"/>
      <c r="J3094" s="156"/>
    </row>
    <row r="3095" spans="8:10">
      <c r="H3095" s="156"/>
      <c r="I3095" s="156"/>
      <c r="J3095" s="156"/>
    </row>
    <row r="3096" spans="8:10">
      <c r="H3096" s="156"/>
      <c r="I3096" s="156"/>
      <c r="J3096" s="156"/>
    </row>
    <row r="3097" spans="8:10">
      <c r="H3097" s="156"/>
      <c r="I3097" s="156"/>
      <c r="J3097" s="156"/>
    </row>
    <row r="3098" spans="8:10">
      <c r="H3098" s="156"/>
      <c r="I3098" s="156"/>
      <c r="J3098" s="156"/>
    </row>
    <row r="3099" spans="8:10">
      <c r="H3099" s="156"/>
      <c r="I3099" s="156"/>
      <c r="J3099" s="156"/>
    </row>
    <row r="3100" spans="8:10">
      <c r="H3100" s="156"/>
      <c r="I3100" s="156"/>
      <c r="J3100" s="156"/>
    </row>
    <row r="3101" spans="8:10">
      <c r="H3101" s="156"/>
      <c r="I3101" s="156"/>
      <c r="J3101" s="156"/>
    </row>
    <row r="3102" spans="8:10">
      <c r="H3102" s="156"/>
      <c r="I3102" s="156"/>
      <c r="J3102" s="156"/>
    </row>
    <row r="3103" spans="8:10">
      <c r="H3103" s="156"/>
      <c r="I3103" s="156"/>
      <c r="J3103" s="156"/>
    </row>
    <row r="3104" spans="8:10">
      <c r="H3104" s="156"/>
      <c r="I3104" s="156"/>
      <c r="J3104" s="156"/>
    </row>
    <row r="3105" spans="8:10">
      <c r="H3105" s="156"/>
      <c r="I3105" s="156"/>
      <c r="J3105" s="156"/>
    </row>
    <row r="3106" spans="8:10">
      <c r="H3106" s="156"/>
      <c r="I3106" s="156"/>
      <c r="J3106" s="156"/>
    </row>
    <row r="3107" spans="8:10">
      <c r="H3107" s="156"/>
      <c r="I3107" s="156"/>
      <c r="J3107" s="156"/>
    </row>
    <row r="3108" spans="8:10">
      <c r="H3108" s="156"/>
      <c r="I3108" s="156"/>
      <c r="J3108" s="156"/>
    </row>
    <row r="3109" spans="8:10">
      <c r="H3109" s="156"/>
      <c r="I3109" s="156"/>
      <c r="J3109" s="156"/>
    </row>
    <row r="3110" spans="8:10">
      <c r="H3110" s="156"/>
      <c r="I3110" s="156"/>
      <c r="J3110" s="156"/>
    </row>
    <row r="3111" spans="8:10">
      <c r="H3111" s="156"/>
      <c r="I3111" s="156"/>
      <c r="J3111" s="156"/>
    </row>
    <row r="3112" spans="8:10">
      <c r="H3112" s="156"/>
      <c r="I3112" s="156"/>
      <c r="J3112" s="156"/>
    </row>
    <row r="3113" spans="8:10">
      <c r="H3113" s="156"/>
      <c r="I3113" s="156"/>
      <c r="J3113" s="156"/>
    </row>
    <row r="3114" spans="8:10">
      <c r="H3114" s="156"/>
      <c r="I3114" s="156"/>
      <c r="J3114" s="156"/>
    </row>
    <row r="3115" spans="8:10">
      <c r="H3115" s="156"/>
      <c r="I3115" s="156"/>
      <c r="J3115" s="156"/>
    </row>
    <row r="3116" spans="8:10">
      <c r="H3116" s="156"/>
      <c r="I3116" s="156"/>
      <c r="J3116" s="156"/>
    </row>
    <row r="3117" spans="8:10">
      <c r="H3117" s="156"/>
      <c r="I3117" s="156"/>
      <c r="J3117" s="156"/>
    </row>
    <row r="3118" spans="8:10">
      <c r="H3118" s="156"/>
      <c r="I3118" s="156"/>
      <c r="J3118" s="156"/>
    </row>
    <row r="3119" spans="8:10">
      <c r="H3119" s="156"/>
      <c r="I3119" s="156"/>
      <c r="J3119" s="156"/>
    </row>
    <row r="3120" spans="8:10">
      <c r="H3120" s="156"/>
      <c r="I3120" s="156"/>
      <c r="J3120" s="156"/>
    </row>
    <row r="3121" spans="8:10">
      <c r="H3121" s="156"/>
      <c r="I3121" s="156"/>
      <c r="J3121" s="156"/>
    </row>
    <row r="3122" spans="8:10">
      <c r="H3122" s="156"/>
      <c r="I3122" s="156"/>
      <c r="J3122" s="156"/>
    </row>
    <row r="3123" spans="8:10">
      <c r="H3123" s="156"/>
      <c r="I3123" s="156"/>
      <c r="J3123" s="156"/>
    </row>
    <row r="3124" spans="8:10">
      <c r="H3124" s="156"/>
      <c r="I3124" s="156"/>
      <c r="J3124" s="156"/>
    </row>
    <row r="3125" spans="8:10">
      <c r="H3125" s="156"/>
      <c r="I3125" s="156"/>
      <c r="J3125" s="156"/>
    </row>
    <row r="3126" spans="8:10">
      <c r="H3126" s="156"/>
      <c r="I3126" s="156"/>
      <c r="J3126" s="156"/>
    </row>
    <row r="3127" spans="8:10">
      <c r="H3127" s="156"/>
      <c r="I3127" s="156"/>
      <c r="J3127" s="156"/>
    </row>
    <row r="3128" spans="8:10">
      <c r="H3128" s="156"/>
      <c r="I3128" s="156"/>
      <c r="J3128" s="156"/>
    </row>
    <row r="3129" spans="8:10">
      <c r="H3129" s="156"/>
      <c r="I3129" s="156"/>
      <c r="J3129" s="156"/>
    </row>
    <row r="3130" spans="8:10">
      <c r="H3130" s="156"/>
      <c r="I3130" s="156"/>
      <c r="J3130" s="156"/>
    </row>
    <row r="3131" spans="8:10">
      <c r="H3131" s="156"/>
      <c r="I3131" s="156"/>
      <c r="J3131" s="156"/>
    </row>
    <row r="3132" spans="8:10">
      <c r="H3132" s="156"/>
      <c r="I3132" s="156"/>
      <c r="J3132" s="156"/>
    </row>
    <row r="3133" spans="8:10">
      <c r="H3133" s="156"/>
      <c r="I3133" s="156"/>
      <c r="J3133" s="156"/>
    </row>
    <row r="3134" spans="8:10">
      <c r="H3134" s="156"/>
      <c r="I3134" s="156"/>
      <c r="J3134" s="156"/>
    </row>
    <row r="3135" spans="8:10">
      <c r="H3135" s="156"/>
      <c r="I3135" s="156"/>
      <c r="J3135" s="156"/>
    </row>
    <row r="3136" spans="8:10">
      <c r="H3136" s="156"/>
      <c r="I3136" s="156"/>
      <c r="J3136" s="156"/>
    </row>
    <row r="3137" spans="8:10">
      <c r="H3137" s="156"/>
      <c r="I3137" s="156"/>
      <c r="J3137" s="156"/>
    </row>
    <row r="3138" spans="8:10">
      <c r="H3138" s="156"/>
      <c r="I3138" s="156"/>
      <c r="J3138" s="156"/>
    </row>
    <row r="3139" spans="8:10">
      <c r="H3139" s="156"/>
      <c r="I3139" s="156"/>
      <c r="J3139" s="156"/>
    </row>
    <row r="3140" spans="8:10">
      <c r="H3140" s="156"/>
      <c r="I3140" s="156"/>
      <c r="J3140" s="156"/>
    </row>
    <row r="3141" spans="8:10">
      <c r="H3141" s="156"/>
      <c r="I3141" s="156"/>
      <c r="J3141" s="156"/>
    </row>
    <row r="3142" spans="8:10">
      <c r="H3142" s="156"/>
      <c r="I3142" s="156"/>
      <c r="J3142" s="156"/>
    </row>
    <row r="3143" spans="8:10">
      <c r="H3143" s="156"/>
      <c r="I3143" s="156"/>
      <c r="J3143" s="156"/>
    </row>
    <row r="3144" spans="8:10">
      <c r="H3144" s="156"/>
      <c r="I3144" s="156"/>
      <c r="J3144" s="156"/>
    </row>
    <row r="3145" spans="8:10">
      <c r="H3145" s="156"/>
      <c r="I3145" s="156"/>
      <c r="J3145" s="156"/>
    </row>
    <row r="3146" spans="8:10">
      <c r="H3146" s="156"/>
      <c r="I3146" s="156"/>
      <c r="J3146" s="156"/>
    </row>
    <row r="3147" spans="8:10">
      <c r="H3147" s="156"/>
      <c r="I3147" s="156"/>
      <c r="J3147" s="156"/>
    </row>
    <row r="3148" spans="8:10">
      <c r="H3148" s="156"/>
      <c r="I3148" s="156"/>
      <c r="J3148" s="156"/>
    </row>
    <row r="3149" spans="8:10">
      <c r="H3149" s="156"/>
      <c r="I3149" s="156"/>
      <c r="J3149" s="156"/>
    </row>
    <row r="3150" spans="8:10">
      <c r="H3150" s="156"/>
      <c r="I3150" s="156"/>
      <c r="J3150" s="156"/>
    </row>
    <row r="3151" spans="8:10">
      <c r="H3151" s="156"/>
      <c r="I3151" s="156"/>
      <c r="J3151" s="156"/>
    </row>
    <row r="3152" spans="8:10">
      <c r="H3152" s="156"/>
      <c r="I3152" s="156"/>
      <c r="J3152" s="156"/>
    </row>
    <row r="3153" spans="8:10">
      <c r="H3153" s="156"/>
      <c r="I3153" s="156"/>
      <c r="J3153" s="156"/>
    </row>
    <row r="3154" spans="8:10">
      <c r="H3154" s="156"/>
      <c r="I3154" s="156"/>
      <c r="J3154" s="156"/>
    </row>
    <row r="3155" spans="8:10">
      <c r="H3155" s="156"/>
      <c r="I3155" s="156"/>
      <c r="J3155" s="156"/>
    </row>
    <row r="3156" spans="8:10">
      <c r="H3156" s="156"/>
      <c r="I3156" s="156"/>
      <c r="J3156" s="156"/>
    </row>
    <row r="3157" spans="8:10">
      <c r="H3157" s="156"/>
      <c r="I3157" s="156"/>
      <c r="J3157" s="156"/>
    </row>
    <row r="3158" spans="8:10">
      <c r="H3158" s="156"/>
      <c r="I3158" s="156"/>
      <c r="J3158" s="156"/>
    </row>
    <row r="3159" spans="8:10">
      <c r="H3159" s="156"/>
      <c r="I3159" s="156"/>
      <c r="J3159" s="156"/>
    </row>
    <row r="3160" spans="8:10">
      <c r="H3160" s="156"/>
      <c r="I3160" s="156"/>
      <c r="J3160" s="156"/>
    </row>
    <row r="3161" spans="8:10">
      <c r="H3161" s="156"/>
      <c r="I3161" s="156"/>
      <c r="J3161" s="156"/>
    </row>
    <row r="3162" spans="8:10">
      <c r="H3162" s="156"/>
      <c r="I3162" s="156"/>
      <c r="J3162" s="156"/>
    </row>
    <row r="3163" spans="8:10">
      <c r="H3163" s="156"/>
      <c r="I3163" s="156"/>
      <c r="J3163" s="156"/>
    </row>
    <row r="3164" spans="8:10">
      <c r="H3164" s="156"/>
      <c r="I3164" s="156"/>
      <c r="J3164" s="156"/>
    </row>
    <row r="3165" spans="8:10">
      <c r="H3165" s="156"/>
      <c r="I3165" s="156"/>
      <c r="J3165" s="156"/>
    </row>
    <row r="3166" spans="8:10">
      <c r="H3166" s="156"/>
      <c r="I3166" s="156"/>
      <c r="J3166" s="156"/>
    </row>
    <row r="3167" spans="8:10">
      <c r="H3167" s="156"/>
      <c r="I3167" s="156"/>
      <c r="J3167" s="156"/>
    </row>
    <row r="3168" spans="8:10">
      <c r="H3168" s="156"/>
      <c r="I3168" s="156"/>
      <c r="J3168" s="156"/>
    </row>
    <row r="3169" spans="8:10">
      <c r="H3169" s="156"/>
      <c r="I3169" s="156"/>
      <c r="J3169" s="156"/>
    </row>
    <row r="3170" spans="8:10">
      <c r="H3170" s="156"/>
      <c r="I3170" s="156"/>
      <c r="J3170" s="156"/>
    </row>
    <row r="3171" spans="8:10">
      <c r="H3171" s="156"/>
      <c r="I3171" s="156"/>
      <c r="J3171" s="156"/>
    </row>
    <row r="3172" spans="8:10">
      <c r="H3172" s="156"/>
      <c r="I3172" s="156"/>
      <c r="J3172" s="156"/>
    </row>
    <row r="3173" spans="8:10">
      <c r="H3173" s="156"/>
      <c r="I3173" s="156"/>
      <c r="J3173" s="156"/>
    </row>
    <row r="3174" spans="8:10">
      <c r="H3174" s="156"/>
      <c r="I3174" s="156"/>
      <c r="J3174" s="156"/>
    </row>
    <row r="3175" spans="8:10">
      <c r="H3175" s="156"/>
      <c r="I3175" s="156"/>
      <c r="J3175" s="156"/>
    </row>
    <row r="3176" spans="8:10">
      <c r="H3176" s="156"/>
      <c r="I3176" s="156"/>
      <c r="J3176" s="156"/>
    </row>
    <row r="3177" spans="8:10">
      <c r="H3177" s="156"/>
      <c r="I3177" s="156"/>
      <c r="J3177" s="156"/>
    </row>
    <row r="3178" spans="8:10">
      <c r="H3178" s="156"/>
      <c r="I3178" s="156"/>
      <c r="J3178" s="156"/>
    </row>
    <row r="3179" spans="8:10">
      <c r="H3179" s="156"/>
      <c r="I3179" s="156"/>
      <c r="J3179" s="156"/>
    </row>
    <row r="3180" spans="8:10">
      <c r="H3180" s="156"/>
      <c r="I3180" s="156"/>
      <c r="J3180" s="156"/>
    </row>
    <row r="3181" spans="8:10">
      <c r="H3181" s="156"/>
      <c r="I3181" s="156"/>
      <c r="J3181" s="156"/>
    </row>
    <row r="3182" spans="8:10">
      <c r="H3182" s="156"/>
      <c r="I3182" s="156"/>
      <c r="J3182" s="156"/>
    </row>
    <row r="3183" spans="8:10">
      <c r="H3183" s="156"/>
      <c r="I3183" s="156"/>
      <c r="J3183" s="156"/>
    </row>
    <row r="3184" spans="8:10">
      <c r="H3184" s="156"/>
      <c r="I3184" s="156"/>
      <c r="J3184" s="156"/>
    </row>
    <row r="3185" spans="8:10">
      <c r="H3185" s="156"/>
      <c r="I3185" s="156"/>
      <c r="J3185" s="156"/>
    </row>
    <row r="3186" spans="8:10">
      <c r="H3186" s="156"/>
      <c r="I3186" s="156"/>
      <c r="J3186" s="156"/>
    </row>
    <row r="3187" spans="8:10">
      <c r="H3187" s="156"/>
      <c r="I3187" s="156"/>
      <c r="J3187" s="156"/>
    </row>
    <row r="3188" spans="8:10">
      <c r="H3188" s="156"/>
      <c r="I3188" s="156"/>
      <c r="J3188" s="156"/>
    </row>
    <row r="3189" spans="8:10">
      <c r="H3189" s="156"/>
      <c r="I3189" s="156"/>
      <c r="J3189" s="156"/>
    </row>
    <row r="3190" spans="8:10">
      <c r="H3190" s="156"/>
      <c r="I3190" s="156"/>
      <c r="J3190" s="156"/>
    </row>
    <row r="3191" spans="8:10">
      <c r="H3191" s="156"/>
      <c r="I3191" s="156"/>
      <c r="J3191" s="156"/>
    </row>
    <row r="3192" spans="8:10">
      <c r="H3192" s="156"/>
      <c r="I3192" s="156"/>
      <c r="J3192" s="156"/>
    </row>
    <row r="3193" spans="8:10">
      <c r="H3193" s="156"/>
      <c r="I3193" s="156"/>
      <c r="J3193" s="156"/>
    </row>
    <row r="3194" spans="8:10">
      <c r="H3194" s="156"/>
      <c r="I3194" s="156"/>
      <c r="J3194" s="156"/>
    </row>
    <row r="3195" spans="8:10">
      <c r="H3195" s="156"/>
      <c r="I3195" s="156"/>
      <c r="J3195" s="156"/>
    </row>
    <row r="3196" spans="8:10">
      <c r="H3196" s="156"/>
      <c r="I3196" s="156"/>
      <c r="J3196" s="156"/>
    </row>
    <row r="3197" spans="8:10">
      <c r="H3197" s="156"/>
      <c r="I3197" s="156"/>
      <c r="J3197" s="156"/>
    </row>
    <row r="3198" spans="8:10">
      <c r="H3198" s="156"/>
      <c r="I3198" s="156"/>
      <c r="J3198" s="156"/>
    </row>
    <row r="3199" spans="8:10">
      <c r="H3199" s="156"/>
      <c r="I3199" s="156"/>
      <c r="J3199" s="156"/>
    </row>
    <row r="3200" spans="8:10">
      <c r="H3200" s="156"/>
      <c r="I3200" s="156"/>
      <c r="J3200" s="156"/>
    </row>
    <row r="3201" spans="8:10">
      <c r="H3201" s="156"/>
      <c r="I3201" s="156"/>
      <c r="J3201" s="156"/>
    </row>
    <row r="3202" spans="8:10">
      <c r="H3202" s="156"/>
      <c r="I3202" s="156"/>
      <c r="J3202" s="156"/>
    </row>
    <row r="3203" spans="8:10">
      <c r="H3203" s="156"/>
      <c r="I3203" s="156"/>
      <c r="J3203" s="156"/>
    </row>
    <row r="3204" spans="8:10">
      <c r="H3204" s="156"/>
      <c r="I3204" s="156"/>
      <c r="J3204" s="156"/>
    </row>
    <row r="3205" spans="8:10">
      <c r="H3205" s="156"/>
      <c r="I3205" s="156"/>
      <c r="J3205" s="156"/>
    </row>
    <row r="3206" spans="8:10">
      <c r="H3206" s="156"/>
      <c r="I3206" s="156"/>
      <c r="J3206" s="156"/>
    </row>
    <row r="3207" spans="8:10">
      <c r="H3207" s="156"/>
      <c r="I3207" s="156"/>
      <c r="J3207" s="156"/>
    </row>
    <row r="3208" spans="8:10">
      <c r="H3208" s="156"/>
      <c r="I3208" s="156"/>
      <c r="J3208" s="156"/>
    </row>
    <row r="3209" spans="8:10">
      <c r="H3209" s="156"/>
      <c r="I3209" s="156"/>
      <c r="J3209" s="156"/>
    </row>
    <row r="3210" spans="8:10">
      <c r="H3210" s="156"/>
      <c r="I3210" s="156"/>
      <c r="J3210" s="156"/>
    </row>
    <row r="3211" spans="8:10">
      <c r="H3211" s="156"/>
      <c r="I3211" s="156"/>
      <c r="J3211" s="156"/>
    </row>
    <row r="3212" spans="8:10">
      <c r="H3212" s="156"/>
      <c r="I3212" s="156"/>
      <c r="J3212" s="156"/>
    </row>
    <row r="3213" spans="8:10">
      <c r="H3213" s="156"/>
      <c r="I3213" s="156"/>
      <c r="J3213" s="156"/>
    </row>
    <row r="3214" spans="8:10">
      <c r="H3214" s="156"/>
      <c r="I3214" s="156"/>
      <c r="J3214" s="156"/>
    </row>
    <row r="3215" spans="8:10">
      <c r="H3215" s="156"/>
      <c r="I3215" s="156"/>
      <c r="J3215" s="156"/>
    </row>
    <row r="3216" spans="8:10">
      <c r="H3216" s="156"/>
      <c r="I3216" s="156"/>
      <c r="J3216" s="156"/>
    </row>
    <row r="3217" spans="8:10">
      <c r="H3217" s="156"/>
      <c r="I3217" s="156"/>
      <c r="J3217" s="156"/>
    </row>
    <row r="3218" spans="8:10">
      <c r="H3218" s="156"/>
      <c r="I3218" s="156"/>
      <c r="J3218" s="156"/>
    </row>
    <row r="3219" spans="8:10">
      <c r="H3219" s="156"/>
      <c r="I3219" s="156"/>
      <c r="J3219" s="156"/>
    </row>
    <row r="3220" spans="8:10">
      <c r="H3220" s="156"/>
      <c r="I3220" s="156"/>
      <c r="J3220" s="156"/>
    </row>
    <row r="3221" spans="8:10">
      <c r="H3221" s="156"/>
      <c r="I3221" s="156"/>
      <c r="J3221" s="156"/>
    </row>
    <row r="3222" spans="8:10">
      <c r="H3222" s="156"/>
      <c r="I3222" s="156"/>
      <c r="J3222" s="156"/>
    </row>
    <row r="3223" spans="8:10">
      <c r="H3223" s="156"/>
      <c r="I3223" s="156"/>
      <c r="J3223" s="156"/>
    </row>
    <row r="3224" spans="8:10">
      <c r="H3224" s="156"/>
      <c r="I3224" s="156"/>
      <c r="J3224" s="156"/>
    </row>
    <row r="3225" spans="8:10">
      <c r="H3225" s="156"/>
      <c r="I3225" s="156"/>
      <c r="J3225" s="156"/>
    </row>
    <row r="3226" spans="8:10">
      <c r="H3226" s="156"/>
      <c r="I3226" s="156"/>
      <c r="J3226" s="156"/>
    </row>
    <row r="3227" spans="8:10">
      <c r="H3227" s="156"/>
      <c r="I3227" s="156"/>
      <c r="J3227" s="156"/>
    </row>
    <row r="3228" spans="8:10">
      <c r="H3228" s="156"/>
      <c r="I3228" s="156"/>
      <c r="J3228" s="156"/>
    </row>
    <row r="3229" spans="8:10">
      <c r="H3229" s="156"/>
      <c r="I3229" s="156"/>
      <c r="J3229" s="156"/>
    </row>
    <row r="3230" spans="8:10">
      <c r="H3230" s="156"/>
      <c r="I3230" s="156"/>
      <c r="J3230" s="156"/>
    </row>
    <row r="3231" spans="8:10">
      <c r="H3231" s="156"/>
      <c r="I3231" s="156"/>
      <c r="J3231" s="156"/>
    </row>
    <row r="3232" spans="8:10">
      <c r="H3232" s="156"/>
      <c r="I3232" s="156"/>
      <c r="J3232" s="156"/>
    </row>
    <row r="3233" spans="8:10">
      <c r="H3233" s="156"/>
      <c r="I3233" s="156"/>
      <c r="J3233" s="156"/>
    </row>
    <row r="3234" spans="8:10">
      <c r="H3234" s="156"/>
      <c r="I3234" s="156"/>
      <c r="J3234" s="156"/>
    </row>
    <row r="3235" spans="8:10">
      <c r="H3235" s="156"/>
      <c r="I3235" s="156"/>
      <c r="J3235" s="156"/>
    </row>
    <row r="3236" spans="8:10">
      <c r="H3236" s="156"/>
      <c r="I3236" s="156"/>
      <c r="J3236" s="156"/>
    </row>
    <row r="3237" spans="8:10">
      <c r="H3237" s="156"/>
      <c r="I3237" s="156"/>
      <c r="J3237" s="156"/>
    </row>
    <row r="3238" spans="8:10">
      <c r="H3238" s="156"/>
      <c r="I3238" s="156"/>
      <c r="J3238" s="156"/>
    </row>
    <row r="3239" spans="8:10">
      <c r="H3239" s="156"/>
      <c r="I3239" s="156"/>
      <c r="J3239" s="156"/>
    </row>
    <row r="3240" spans="8:10">
      <c r="H3240" s="156"/>
      <c r="I3240" s="156"/>
      <c r="J3240" s="156"/>
    </row>
    <row r="3241" spans="8:10">
      <c r="H3241" s="156"/>
      <c r="I3241" s="156"/>
      <c r="J3241" s="156"/>
    </row>
    <row r="3242" spans="8:10">
      <c r="H3242" s="156"/>
      <c r="I3242" s="156"/>
      <c r="J3242" s="156"/>
    </row>
    <row r="3243" spans="8:10">
      <c r="H3243" s="156"/>
      <c r="I3243" s="156"/>
      <c r="J3243" s="156"/>
    </row>
    <row r="3244" spans="8:10">
      <c r="H3244" s="156"/>
      <c r="I3244" s="156"/>
      <c r="J3244" s="156"/>
    </row>
    <row r="3245" spans="8:10">
      <c r="H3245" s="156"/>
      <c r="I3245" s="156"/>
      <c r="J3245" s="156"/>
    </row>
    <row r="3246" spans="8:10">
      <c r="H3246" s="156"/>
      <c r="I3246" s="156"/>
      <c r="J3246" s="156"/>
    </row>
    <row r="3247" spans="8:10">
      <c r="H3247" s="156"/>
      <c r="I3247" s="156"/>
      <c r="J3247" s="156"/>
    </row>
    <row r="3248" spans="8:10">
      <c r="H3248" s="156"/>
      <c r="I3248" s="156"/>
      <c r="J3248" s="156"/>
    </row>
    <row r="3249" spans="8:10">
      <c r="H3249" s="156"/>
      <c r="I3249" s="156"/>
      <c r="J3249" s="156"/>
    </row>
    <row r="3250" spans="8:10">
      <c r="H3250" s="156"/>
      <c r="I3250" s="156"/>
      <c r="J3250" s="156"/>
    </row>
    <row r="3251" spans="8:10">
      <c r="H3251" s="156"/>
      <c r="I3251" s="156"/>
      <c r="J3251" s="156"/>
    </row>
    <row r="3252" spans="8:10">
      <c r="H3252" s="156"/>
      <c r="I3252" s="156"/>
      <c r="J3252" s="156"/>
    </row>
    <row r="3253" spans="8:10">
      <c r="H3253" s="156"/>
      <c r="I3253" s="156"/>
      <c r="J3253" s="156"/>
    </row>
    <row r="3254" spans="8:10">
      <c r="H3254" s="156"/>
      <c r="I3254" s="156"/>
      <c r="J3254" s="156"/>
    </row>
    <row r="3255" spans="8:10">
      <c r="H3255" s="156"/>
      <c r="I3255" s="156"/>
      <c r="J3255" s="156"/>
    </row>
    <row r="3256" spans="8:10">
      <c r="H3256" s="156"/>
      <c r="I3256" s="156"/>
      <c r="J3256" s="156"/>
    </row>
    <row r="3257" spans="8:10">
      <c r="H3257" s="156"/>
      <c r="I3257" s="156"/>
      <c r="J3257" s="156"/>
    </row>
    <row r="3258" spans="8:10">
      <c r="H3258" s="156"/>
      <c r="I3258" s="156"/>
      <c r="J3258" s="156"/>
    </row>
    <row r="3259" spans="8:10">
      <c r="H3259" s="156"/>
      <c r="I3259" s="156"/>
      <c r="J3259" s="156"/>
    </row>
    <row r="3260" spans="8:10">
      <c r="H3260" s="156"/>
      <c r="I3260" s="156"/>
      <c r="J3260" s="156"/>
    </row>
    <row r="3261" spans="8:10">
      <c r="H3261" s="156"/>
      <c r="I3261" s="156"/>
      <c r="J3261" s="156"/>
    </row>
    <row r="3262" spans="8:10">
      <c r="H3262" s="156"/>
      <c r="I3262" s="156"/>
      <c r="J3262" s="156"/>
    </row>
    <row r="3263" spans="8:10">
      <c r="H3263" s="156"/>
      <c r="I3263" s="156"/>
      <c r="J3263" s="156"/>
    </row>
    <row r="3264" spans="8:10">
      <c r="H3264" s="156"/>
      <c r="I3264" s="156"/>
      <c r="J3264" s="156"/>
    </row>
    <row r="3265" spans="8:10">
      <c r="H3265" s="156"/>
      <c r="I3265" s="156"/>
      <c r="J3265" s="156"/>
    </row>
    <row r="3266" spans="8:10">
      <c r="H3266" s="156"/>
      <c r="I3266" s="156"/>
      <c r="J3266" s="156"/>
    </row>
    <row r="3267" spans="8:10">
      <c r="H3267" s="156"/>
      <c r="I3267" s="156"/>
      <c r="J3267" s="156"/>
    </row>
    <row r="3268" spans="8:10">
      <c r="H3268" s="156"/>
      <c r="I3268" s="156"/>
      <c r="J3268" s="156"/>
    </row>
    <row r="3269" spans="8:10">
      <c r="H3269" s="156"/>
      <c r="I3269" s="156"/>
      <c r="J3269" s="156"/>
    </row>
    <row r="3270" spans="8:10">
      <c r="H3270" s="156"/>
      <c r="I3270" s="156"/>
      <c r="J3270" s="156"/>
    </row>
    <row r="3271" spans="8:10">
      <c r="H3271" s="156"/>
      <c r="I3271" s="156"/>
      <c r="J3271" s="156"/>
    </row>
    <row r="3272" spans="8:10">
      <c r="H3272" s="156"/>
      <c r="I3272" s="156"/>
      <c r="J3272" s="156"/>
    </row>
    <row r="3273" spans="8:10">
      <c r="H3273" s="156"/>
      <c r="I3273" s="156"/>
      <c r="J3273" s="156"/>
    </row>
    <row r="3274" spans="8:10">
      <c r="H3274" s="156"/>
      <c r="I3274" s="156"/>
      <c r="J3274" s="156"/>
    </row>
    <row r="3275" spans="8:10">
      <c r="H3275" s="156"/>
      <c r="I3275" s="156"/>
      <c r="J3275" s="156"/>
    </row>
    <row r="3276" spans="8:10">
      <c r="H3276" s="156"/>
      <c r="I3276" s="156"/>
      <c r="J3276" s="156"/>
    </row>
    <row r="3277" spans="8:10">
      <c r="H3277" s="156"/>
      <c r="I3277" s="156"/>
      <c r="J3277" s="156"/>
    </row>
    <row r="3278" spans="8:10">
      <c r="H3278" s="156"/>
      <c r="I3278" s="156"/>
      <c r="J3278" s="156"/>
    </row>
    <row r="3279" spans="8:10">
      <c r="H3279" s="156"/>
      <c r="I3279" s="156"/>
      <c r="J3279" s="156"/>
    </row>
    <row r="3280" spans="8:10">
      <c r="H3280" s="156"/>
      <c r="I3280" s="156"/>
      <c r="J3280" s="156"/>
    </row>
    <row r="3281" spans="8:10">
      <c r="H3281" s="156"/>
      <c r="I3281" s="156"/>
      <c r="J3281" s="156"/>
    </row>
    <row r="3282" spans="8:10">
      <c r="H3282" s="156"/>
      <c r="I3282" s="156"/>
      <c r="J3282" s="156"/>
    </row>
    <row r="3283" spans="8:10">
      <c r="H3283" s="156"/>
      <c r="I3283" s="156"/>
      <c r="J3283" s="156"/>
    </row>
    <row r="3284" spans="8:10">
      <c r="H3284" s="156"/>
      <c r="I3284" s="156"/>
      <c r="J3284" s="156"/>
    </row>
    <row r="3285" spans="8:10">
      <c r="H3285" s="156"/>
      <c r="I3285" s="156"/>
      <c r="J3285" s="156"/>
    </row>
    <row r="3286" spans="8:10">
      <c r="H3286" s="156"/>
      <c r="I3286" s="156"/>
      <c r="J3286" s="156"/>
    </row>
    <row r="3287" spans="8:10">
      <c r="H3287" s="156"/>
      <c r="I3287" s="156"/>
      <c r="J3287" s="156"/>
    </row>
    <row r="3288" spans="8:10">
      <c r="H3288" s="156"/>
      <c r="I3288" s="156"/>
      <c r="J3288" s="156"/>
    </row>
    <row r="3289" spans="8:10">
      <c r="H3289" s="156"/>
      <c r="I3289" s="156"/>
      <c r="J3289" s="156"/>
    </row>
    <row r="3290" spans="8:10">
      <c r="H3290" s="156"/>
      <c r="I3290" s="156"/>
      <c r="J3290" s="156"/>
    </row>
    <row r="3291" spans="8:10">
      <c r="H3291" s="156"/>
      <c r="I3291" s="156"/>
      <c r="J3291" s="156"/>
    </row>
    <row r="3292" spans="8:10">
      <c r="H3292" s="156"/>
      <c r="I3292" s="156"/>
      <c r="J3292" s="156"/>
    </row>
    <row r="3293" spans="8:10">
      <c r="H3293" s="156"/>
      <c r="I3293" s="156"/>
      <c r="J3293" s="156"/>
    </row>
    <row r="3294" spans="8:10">
      <c r="H3294" s="156"/>
      <c r="I3294" s="156"/>
      <c r="J3294" s="156"/>
    </row>
    <row r="3295" spans="8:10">
      <c r="H3295" s="156"/>
      <c r="I3295" s="156"/>
      <c r="J3295" s="156"/>
    </row>
    <row r="3296" spans="8:10">
      <c r="H3296" s="156"/>
      <c r="I3296" s="156"/>
      <c r="J3296" s="156"/>
    </row>
    <row r="3297" spans="8:10">
      <c r="H3297" s="156"/>
      <c r="I3297" s="156"/>
      <c r="J3297" s="156"/>
    </row>
    <row r="3298" spans="8:10">
      <c r="H3298" s="156"/>
      <c r="I3298" s="156"/>
      <c r="J3298" s="156"/>
    </row>
    <row r="3299" spans="8:10">
      <c r="H3299" s="156"/>
      <c r="I3299" s="156"/>
      <c r="J3299" s="156"/>
    </row>
    <row r="3300" spans="8:10">
      <c r="H3300" s="156"/>
      <c r="I3300" s="156"/>
      <c r="J3300" s="156"/>
    </row>
    <row r="3301" spans="8:10">
      <c r="H3301" s="156"/>
      <c r="I3301" s="156"/>
      <c r="J3301" s="156"/>
    </row>
    <row r="3302" spans="8:10">
      <c r="H3302" s="156"/>
      <c r="I3302" s="156"/>
      <c r="J3302" s="156"/>
    </row>
    <row r="3303" spans="8:10">
      <c r="H3303" s="156"/>
      <c r="I3303" s="156"/>
      <c r="J3303" s="156"/>
    </row>
    <row r="3304" spans="8:10">
      <c r="H3304" s="156"/>
      <c r="I3304" s="156"/>
      <c r="J3304" s="156"/>
    </row>
    <row r="3305" spans="8:10">
      <c r="H3305" s="156"/>
      <c r="I3305" s="156"/>
      <c r="J3305" s="156"/>
    </row>
    <row r="3306" spans="8:10">
      <c r="H3306" s="156"/>
      <c r="I3306" s="156"/>
      <c r="J3306" s="156"/>
    </row>
    <row r="3307" spans="8:10">
      <c r="H3307" s="156"/>
      <c r="I3307" s="156"/>
      <c r="J3307" s="156"/>
    </row>
    <row r="3308" spans="8:10">
      <c r="H3308" s="156"/>
      <c r="I3308" s="156"/>
      <c r="J3308" s="156"/>
    </row>
    <row r="3309" spans="8:10">
      <c r="H3309" s="156"/>
      <c r="I3309" s="156"/>
      <c r="J3309" s="156"/>
    </row>
    <row r="3310" spans="8:10">
      <c r="H3310" s="156"/>
      <c r="I3310" s="156"/>
      <c r="J3310" s="156"/>
    </row>
    <row r="3311" spans="8:10">
      <c r="H3311" s="156"/>
      <c r="I3311" s="156"/>
      <c r="J3311" s="156"/>
    </row>
    <row r="3312" spans="8:10">
      <c r="H3312" s="156"/>
      <c r="I3312" s="156"/>
      <c r="J3312" s="156"/>
    </row>
    <row r="3313" spans="8:10">
      <c r="H3313" s="156"/>
      <c r="I3313" s="156"/>
      <c r="J3313" s="156"/>
    </row>
    <row r="3314" spans="8:10">
      <c r="H3314" s="156"/>
      <c r="I3314" s="156"/>
      <c r="J3314" s="156"/>
    </row>
    <row r="3315" spans="8:10">
      <c r="H3315" s="156"/>
      <c r="I3315" s="156"/>
      <c r="J3315" s="156"/>
    </row>
    <row r="3316" spans="8:10">
      <c r="H3316" s="156"/>
      <c r="I3316" s="156"/>
      <c r="J3316" s="156"/>
    </row>
    <row r="3317" spans="8:10">
      <c r="H3317" s="156"/>
      <c r="I3317" s="156"/>
      <c r="J3317" s="156"/>
    </row>
    <row r="3318" spans="8:10">
      <c r="H3318" s="156"/>
      <c r="I3318" s="156"/>
      <c r="J3318" s="156"/>
    </row>
    <row r="3319" spans="8:10">
      <c r="H3319" s="156"/>
      <c r="I3319" s="156"/>
      <c r="J3319" s="156"/>
    </row>
    <row r="3320" spans="8:10">
      <c r="H3320" s="156"/>
      <c r="I3320" s="156"/>
      <c r="J3320" s="156"/>
    </row>
    <row r="3321" spans="8:10">
      <c r="H3321" s="156"/>
      <c r="I3321" s="156"/>
      <c r="J3321" s="156"/>
    </row>
    <row r="3322" spans="8:10">
      <c r="H3322" s="156"/>
      <c r="I3322" s="156"/>
      <c r="J3322" s="156"/>
    </row>
    <row r="3323" spans="8:10">
      <c r="H3323" s="156"/>
      <c r="I3323" s="156"/>
      <c r="J3323" s="156"/>
    </row>
    <row r="3324" spans="8:10">
      <c r="H3324" s="156"/>
      <c r="I3324" s="156"/>
      <c r="J3324" s="156"/>
    </row>
    <row r="3325" spans="8:10">
      <c r="H3325" s="156"/>
      <c r="I3325" s="156"/>
      <c r="J3325" s="156"/>
    </row>
    <row r="3326" spans="8:10">
      <c r="H3326" s="156"/>
      <c r="I3326" s="156"/>
      <c r="J3326" s="156"/>
    </row>
    <row r="3327" spans="8:10">
      <c r="H3327" s="156"/>
      <c r="I3327" s="156"/>
      <c r="J3327" s="156"/>
    </row>
    <row r="3328" spans="8:10">
      <c r="H3328" s="156"/>
      <c r="I3328" s="156"/>
      <c r="J3328" s="156"/>
    </row>
    <row r="3329" spans="8:10">
      <c r="H3329" s="156"/>
      <c r="I3329" s="156"/>
      <c r="J3329" s="156"/>
    </row>
    <row r="3330" spans="8:10">
      <c r="H3330" s="156"/>
      <c r="I3330" s="156"/>
      <c r="J3330" s="156"/>
    </row>
    <row r="3331" spans="8:10">
      <c r="H3331" s="156"/>
      <c r="I3331" s="156"/>
      <c r="J3331" s="156"/>
    </row>
    <row r="3332" spans="8:10">
      <c r="H3332" s="156"/>
      <c r="I3332" s="156"/>
      <c r="J3332" s="156"/>
    </row>
    <row r="3333" spans="8:10">
      <c r="H3333" s="156"/>
      <c r="I3333" s="156"/>
      <c r="J3333" s="156"/>
    </row>
    <row r="3334" spans="8:10">
      <c r="H3334" s="156"/>
      <c r="I3334" s="156"/>
      <c r="J3334" s="156"/>
    </row>
    <row r="3335" spans="8:10">
      <c r="H3335" s="156"/>
      <c r="I3335" s="156"/>
      <c r="J3335" s="156"/>
    </row>
    <row r="3336" spans="8:10">
      <c r="H3336" s="156"/>
      <c r="I3336" s="156"/>
      <c r="J3336" s="156"/>
    </row>
    <row r="3337" spans="8:10">
      <c r="H3337" s="156"/>
      <c r="I3337" s="156"/>
      <c r="J3337" s="156"/>
    </row>
    <row r="3338" spans="8:10">
      <c r="H3338" s="156"/>
      <c r="I3338" s="156"/>
      <c r="J3338" s="156"/>
    </row>
    <row r="3339" spans="8:10">
      <c r="H3339" s="156"/>
      <c r="I3339" s="156"/>
      <c r="J3339" s="156"/>
    </row>
    <row r="3340" spans="8:10">
      <c r="H3340" s="156"/>
      <c r="I3340" s="156"/>
      <c r="J3340" s="156"/>
    </row>
    <row r="3341" spans="8:10">
      <c r="H3341" s="156"/>
      <c r="I3341" s="156"/>
      <c r="J3341" s="156"/>
    </row>
    <row r="3342" spans="8:10">
      <c r="H3342" s="156"/>
      <c r="I3342" s="156"/>
      <c r="J3342" s="156"/>
    </row>
    <row r="3343" spans="8:10">
      <c r="H3343" s="156"/>
      <c r="I3343" s="156"/>
      <c r="J3343" s="156"/>
    </row>
    <row r="3344" spans="8:10">
      <c r="H3344" s="156"/>
      <c r="I3344" s="156"/>
      <c r="J3344" s="156"/>
    </row>
    <row r="3345" spans="8:10">
      <c r="H3345" s="156"/>
      <c r="I3345" s="156"/>
      <c r="J3345" s="156"/>
    </row>
    <row r="3346" spans="8:10">
      <c r="H3346" s="156"/>
      <c r="I3346" s="156"/>
      <c r="J3346" s="156"/>
    </row>
    <row r="3347" spans="8:10">
      <c r="H3347" s="156"/>
      <c r="I3347" s="156"/>
      <c r="J3347" s="156"/>
    </row>
    <row r="3348" spans="8:10">
      <c r="H3348" s="156"/>
      <c r="I3348" s="156"/>
      <c r="J3348" s="156"/>
    </row>
    <row r="3349" spans="8:10">
      <c r="H3349" s="156"/>
      <c r="I3349" s="156"/>
      <c r="J3349" s="156"/>
    </row>
    <row r="3350" spans="8:10">
      <c r="H3350" s="156"/>
      <c r="I3350" s="156"/>
      <c r="J3350" s="156"/>
    </row>
    <row r="3351" spans="8:10">
      <c r="H3351" s="156"/>
      <c r="I3351" s="156"/>
      <c r="J3351" s="156"/>
    </row>
    <row r="3352" spans="8:10">
      <c r="H3352" s="156"/>
      <c r="I3352" s="156"/>
      <c r="J3352" s="156"/>
    </row>
    <row r="3353" spans="8:10">
      <c r="H3353" s="156"/>
      <c r="I3353" s="156"/>
      <c r="J3353" s="156"/>
    </row>
    <row r="3354" spans="8:10">
      <c r="H3354" s="156"/>
      <c r="I3354" s="156"/>
      <c r="J3354" s="156"/>
    </row>
    <row r="3355" spans="8:10">
      <c r="H3355" s="156"/>
      <c r="I3355" s="156"/>
      <c r="J3355" s="156"/>
    </row>
    <row r="3356" spans="8:10">
      <c r="H3356" s="156"/>
      <c r="I3356" s="156"/>
      <c r="J3356" s="156"/>
    </row>
    <row r="3357" spans="8:10">
      <c r="H3357" s="156"/>
      <c r="I3357" s="156"/>
      <c r="J3357" s="156"/>
    </row>
    <row r="3358" spans="8:10">
      <c r="H3358" s="156"/>
      <c r="I3358" s="156"/>
      <c r="J3358" s="156"/>
    </row>
    <row r="3359" spans="8:10">
      <c r="H3359" s="156"/>
      <c r="I3359" s="156"/>
      <c r="J3359" s="156"/>
    </row>
    <row r="3360" spans="8:10">
      <c r="H3360" s="156"/>
      <c r="I3360" s="156"/>
      <c r="J3360" s="156"/>
    </row>
    <row r="3361" spans="8:10">
      <c r="H3361" s="156"/>
      <c r="I3361" s="156"/>
      <c r="J3361" s="156"/>
    </row>
    <row r="3362" spans="8:10">
      <c r="H3362" s="156"/>
      <c r="I3362" s="156"/>
      <c r="J3362" s="156"/>
    </row>
    <row r="3363" spans="8:10">
      <c r="H3363" s="156"/>
      <c r="I3363" s="156"/>
      <c r="J3363" s="156"/>
    </row>
    <row r="3364" spans="8:10">
      <c r="H3364" s="156"/>
      <c r="I3364" s="156"/>
      <c r="J3364" s="156"/>
    </row>
    <row r="3365" spans="8:10">
      <c r="H3365" s="156"/>
      <c r="I3365" s="156"/>
      <c r="J3365" s="156"/>
    </row>
    <row r="3366" spans="8:10">
      <c r="H3366" s="156"/>
      <c r="I3366" s="156"/>
      <c r="J3366" s="156"/>
    </row>
    <row r="3367" spans="8:10">
      <c r="H3367" s="156"/>
      <c r="I3367" s="156"/>
      <c r="J3367" s="156"/>
    </row>
    <row r="3368" spans="8:10">
      <c r="H3368" s="156"/>
      <c r="I3368" s="156"/>
      <c r="J3368" s="156"/>
    </row>
    <row r="3369" spans="8:10">
      <c r="H3369" s="156"/>
      <c r="I3369" s="156"/>
      <c r="J3369" s="156"/>
    </row>
    <row r="3370" spans="8:10">
      <c r="H3370" s="156"/>
      <c r="I3370" s="156"/>
      <c r="J3370" s="156"/>
    </row>
    <row r="3371" spans="8:10">
      <c r="H3371" s="156"/>
      <c r="I3371" s="156"/>
      <c r="J3371" s="156"/>
    </row>
    <row r="3372" spans="8:10">
      <c r="H3372" s="156"/>
      <c r="I3372" s="156"/>
      <c r="J3372" s="156"/>
    </row>
    <row r="3373" spans="8:10">
      <c r="H3373" s="156"/>
      <c r="I3373" s="156"/>
      <c r="J3373" s="156"/>
    </row>
    <row r="3374" spans="8:10">
      <c r="H3374" s="156"/>
      <c r="I3374" s="156"/>
      <c r="J3374" s="156"/>
    </row>
    <row r="3375" spans="8:10">
      <c r="H3375" s="156"/>
      <c r="I3375" s="156"/>
      <c r="J3375" s="156"/>
    </row>
    <row r="3376" spans="8:10">
      <c r="H3376" s="156"/>
      <c r="I3376" s="156"/>
      <c r="J3376" s="156"/>
    </row>
    <row r="3377" spans="8:10">
      <c r="H3377" s="156"/>
      <c r="I3377" s="156"/>
      <c r="J3377" s="156"/>
    </row>
    <row r="3378" spans="8:10">
      <c r="H3378" s="156"/>
      <c r="I3378" s="156"/>
      <c r="J3378" s="156"/>
    </row>
    <row r="3379" spans="8:10">
      <c r="H3379" s="156"/>
      <c r="I3379" s="156"/>
      <c r="J3379" s="156"/>
    </row>
    <row r="3380" spans="8:10">
      <c r="H3380" s="156"/>
      <c r="I3380" s="156"/>
      <c r="J3380" s="156"/>
    </row>
    <row r="3381" spans="8:10">
      <c r="H3381" s="156"/>
      <c r="I3381" s="156"/>
      <c r="J3381" s="156"/>
    </row>
    <row r="3382" spans="8:10">
      <c r="H3382" s="156"/>
      <c r="I3382" s="156"/>
      <c r="J3382" s="156"/>
    </row>
    <row r="3383" spans="8:10">
      <c r="H3383" s="156"/>
      <c r="I3383" s="156"/>
      <c r="J3383" s="156"/>
    </row>
    <row r="3384" spans="8:10">
      <c r="H3384" s="156"/>
      <c r="I3384" s="156"/>
      <c r="J3384" s="156"/>
    </row>
    <row r="3385" spans="8:10">
      <c r="H3385" s="156"/>
      <c r="I3385" s="156"/>
      <c r="J3385" s="156"/>
    </row>
    <row r="3386" spans="8:10">
      <c r="H3386" s="156"/>
      <c r="I3386" s="156"/>
      <c r="J3386" s="156"/>
    </row>
    <row r="3387" spans="8:10">
      <c r="H3387" s="156"/>
      <c r="I3387" s="156"/>
      <c r="J3387" s="156"/>
    </row>
    <row r="3388" spans="8:10">
      <c r="H3388" s="156"/>
      <c r="I3388" s="156"/>
      <c r="J3388" s="156"/>
    </row>
    <row r="3389" spans="8:10">
      <c r="H3389" s="156"/>
      <c r="I3389" s="156"/>
      <c r="J3389" s="156"/>
    </row>
    <row r="3390" spans="8:10">
      <c r="H3390" s="156"/>
      <c r="I3390" s="156"/>
      <c r="J3390" s="156"/>
    </row>
    <row r="3391" spans="8:10">
      <c r="H3391" s="156"/>
      <c r="I3391" s="156"/>
      <c r="J3391" s="156"/>
    </row>
    <row r="3392" spans="8:10">
      <c r="H3392" s="156"/>
      <c r="I3392" s="156"/>
      <c r="J3392" s="156"/>
    </row>
    <row r="3393" spans="8:10">
      <c r="H3393" s="156"/>
      <c r="I3393" s="156"/>
      <c r="J3393" s="156"/>
    </row>
    <row r="3394" spans="8:10">
      <c r="H3394" s="156"/>
      <c r="I3394" s="156"/>
      <c r="J3394" s="156"/>
    </row>
    <row r="3395" spans="8:10">
      <c r="H3395" s="156"/>
      <c r="I3395" s="156"/>
      <c r="J3395" s="156"/>
    </row>
    <row r="3396" spans="8:10">
      <c r="H3396" s="156"/>
      <c r="I3396" s="156"/>
      <c r="J3396" s="156"/>
    </row>
    <row r="3397" spans="8:10">
      <c r="H3397" s="156"/>
      <c r="I3397" s="156"/>
      <c r="J3397" s="156"/>
    </row>
    <row r="3398" spans="8:10">
      <c r="H3398" s="156"/>
      <c r="I3398" s="156"/>
      <c r="J3398" s="156"/>
    </row>
    <row r="3399" spans="8:10">
      <c r="H3399" s="156"/>
      <c r="I3399" s="156"/>
      <c r="J3399" s="156"/>
    </row>
    <row r="3400" spans="8:10">
      <c r="H3400" s="156"/>
      <c r="I3400" s="156"/>
      <c r="J3400" s="156"/>
    </row>
    <row r="3401" spans="8:10">
      <c r="H3401" s="156"/>
      <c r="I3401" s="156"/>
      <c r="J3401" s="156"/>
    </row>
    <row r="3402" spans="8:10">
      <c r="H3402" s="156"/>
      <c r="I3402" s="156"/>
      <c r="J3402" s="156"/>
    </row>
    <row r="3403" spans="8:10">
      <c r="H3403" s="156"/>
      <c r="I3403" s="156"/>
      <c r="J3403" s="156"/>
    </row>
    <row r="3404" spans="8:10">
      <c r="H3404" s="156"/>
      <c r="I3404" s="156"/>
      <c r="J3404" s="156"/>
    </row>
    <row r="3405" spans="8:10">
      <c r="H3405" s="156"/>
      <c r="I3405" s="156"/>
      <c r="J3405" s="156"/>
    </row>
    <row r="3406" spans="8:10">
      <c r="H3406" s="156"/>
      <c r="I3406" s="156"/>
      <c r="J3406" s="156"/>
    </row>
    <row r="3407" spans="8:10">
      <c r="H3407" s="156"/>
      <c r="I3407" s="156"/>
      <c r="J3407" s="156"/>
    </row>
    <row r="3408" spans="8:10">
      <c r="H3408" s="156"/>
      <c r="I3408" s="156"/>
      <c r="J3408" s="156"/>
    </row>
    <row r="3409" spans="8:10">
      <c r="H3409" s="156"/>
      <c r="I3409" s="156"/>
      <c r="J3409" s="156"/>
    </row>
    <row r="3410" spans="8:10">
      <c r="H3410" s="156"/>
      <c r="I3410" s="156"/>
      <c r="J3410" s="156"/>
    </row>
    <row r="3411" spans="8:10">
      <c r="H3411" s="156"/>
      <c r="I3411" s="156"/>
      <c r="J3411" s="156"/>
    </row>
    <row r="3412" spans="8:10">
      <c r="H3412" s="156"/>
      <c r="I3412" s="156"/>
      <c r="J3412" s="156"/>
    </row>
    <row r="3413" spans="8:10">
      <c r="H3413" s="156"/>
      <c r="I3413" s="156"/>
      <c r="J3413" s="156"/>
    </row>
    <row r="3414" spans="8:10">
      <c r="H3414" s="156"/>
      <c r="I3414" s="156"/>
      <c r="J3414" s="156"/>
    </row>
    <row r="3415" spans="8:10">
      <c r="H3415" s="156"/>
      <c r="I3415" s="156"/>
      <c r="J3415" s="156"/>
    </row>
    <row r="3416" spans="8:10">
      <c r="H3416" s="156"/>
      <c r="I3416" s="156"/>
      <c r="J3416" s="156"/>
    </row>
    <row r="3417" spans="8:10">
      <c r="H3417" s="156"/>
      <c r="I3417" s="156"/>
      <c r="J3417" s="156"/>
    </row>
    <row r="3418" spans="8:10">
      <c r="H3418" s="156"/>
      <c r="I3418" s="156"/>
      <c r="J3418" s="156"/>
    </row>
    <row r="3419" spans="8:10">
      <c r="H3419" s="156"/>
      <c r="I3419" s="156"/>
      <c r="J3419" s="156"/>
    </row>
    <row r="3420" spans="8:10">
      <c r="H3420" s="156"/>
      <c r="I3420" s="156"/>
      <c r="J3420" s="156"/>
    </row>
    <row r="3421" spans="8:10">
      <c r="H3421" s="156"/>
      <c r="I3421" s="156"/>
      <c r="J3421" s="156"/>
    </row>
    <row r="3422" spans="8:10">
      <c r="H3422" s="156"/>
      <c r="I3422" s="156"/>
      <c r="J3422" s="156"/>
    </row>
    <row r="3423" spans="8:10">
      <c r="H3423" s="156"/>
      <c r="I3423" s="156"/>
      <c r="J3423" s="156"/>
    </row>
    <row r="3424" spans="8:10">
      <c r="H3424" s="156"/>
      <c r="I3424" s="156"/>
      <c r="J3424" s="156"/>
    </row>
    <row r="3425" spans="8:10">
      <c r="H3425" s="156"/>
      <c r="I3425" s="156"/>
      <c r="J3425" s="156"/>
    </row>
    <row r="3426" spans="8:10">
      <c r="H3426" s="156"/>
      <c r="I3426" s="156"/>
      <c r="J3426" s="156"/>
    </row>
    <row r="3427" spans="8:10">
      <c r="H3427" s="156"/>
      <c r="I3427" s="156"/>
      <c r="J3427" s="156"/>
    </row>
    <row r="3428" spans="8:10">
      <c r="H3428" s="156"/>
      <c r="I3428" s="156"/>
      <c r="J3428" s="156"/>
    </row>
    <row r="3429" spans="8:10">
      <c r="H3429" s="156"/>
      <c r="I3429" s="156"/>
      <c r="J3429" s="156"/>
    </row>
    <row r="3430" spans="8:10">
      <c r="H3430" s="156"/>
      <c r="I3430" s="156"/>
      <c r="J3430" s="156"/>
    </row>
    <row r="3431" spans="8:10">
      <c r="H3431" s="156"/>
      <c r="I3431" s="156"/>
      <c r="J3431" s="156"/>
    </row>
    <row r="3432" spans="8:10">
      <c r="H3432" s="156"/>
      <c r="I3432" s="156"/>
      <c r="J3432" s="156"/>
    </row>
    <row r="3433" spans="8:10">
      <c r="H3433" s="156"/>
      <c r="I3433" s="156"/>
      <c r="J3433" s="156"/>
    </row>
    <row r="3434" spans="8:10">
      <c r="H3434" s="156"/>
      <c r="I3434" s="156"/>
      <c r="J3434" s="156"/>
    </row>
    <row r="3435" spans="8:10">
      <c r="H3435" s="156"/>
      <c r="I3435" s="156"/>
      <c r="J3435" s="156"/>
    </row>
    <row r="3436" spans="8:10">
      <c r="H3436" s="156"/>
      <c r="I3436" s="156"/>
      <c r="J3436" s="156"/>
    </row>
    <row r="3437" spans="8:10">
      <c r="H3437" s="156"/>
      <c r="I3437" s="156"/>
      <c r="J3437" s="156"/>
    </row>
    <row r="3438" spans="8:10">
      <c r="H3438" s="156"/>
      <c r="I3438" s="156"/>
      <c r="J3438" s="156"/>
    </row>
    <row r="3439" spans="8:10">
      <c r="H3439" s="156"/>
      <c r="I3439" s="156"/>
      <c r="J3439" s="156"/>
    </row>
    <row r="3440" spans="8:10">
      <c r="H3440" s="156"/>
      <c r="I3440" s="156"/>
      <c r="J3440" s="156"/>
    </row>
    <row r="3441" spans="8:10">
      <c r="H3441" s="156"/>
      <c r="I3441" s="156"/>
      <c r="J3441" s="156"/>
    </row>
    <row r="3442" spans="8:10">
      <c r="H3442" s="156"/>
      <c r="I3442" s="156"/>
      <c r="J3442" s="156"/>
    </row>
    <row r="3443" spans="8:10">
      <c r="H3443" s="156"/>
      <c r="I3443" s="156"/>
      <c r="J3443" s="156"/>
    </row>
    <row r="3444" spans="8:10">
      <c r="H3444" s="156"/>
      <c r="I3444" s="156"/>
      <c r="J3444" s="156"/>
    </row>
    <row r="3445" spans="8:10">
      <c r="H3445" s="156"/>
      <c r="I3445" s="156"/>
      <c r="J3445" s="156"/>
    </row>
    <row r="3446" spans="8:10">
      <c r="H3446" s="156"/>
      <c r="I3446" s="156"/>
      <c r="J3446" s="156"/>
    </row>
    <row r="3447" spans="8:10">
      <c r="H3447" s="156"/>
      <c r="I3447" s="156"/>
      <c r="J3447" s="156"/>
    </row>
    <row r="3448" spans="8:10">
      <c r="H3448" s="156"/>
      <c r="I3448" s="156"/>
      <c r="J3448" s="156"/>
    </row>
    <row r="3449" spans="8:10">
      <c r="H3449" s="156"/>
      <c r="I3449" s="156"/>
      <c r="J3449" s="156"/>
    </row>
    <row r="3450" spans="8:10">
      <c r="H3450" s="156"/>
      <c r="I3450" s="156"/>
      <c r="J3450" s="156"/>
    </row>
    <row r="3451" spans="8:10">
      <c r="H3451" s="156"/>
      <c r="I3451" s="156"/>
      <c r="J3451" s="156"/>
    </row>
    <row r="3452" spans="8:10">
      <c r="H3452" s="156"/>
      <c r="I3452" s="156"/>
      <c r="J3452" s="156"/>
    </row>
    <row r="3453" spans="8:10">
      <c r="H3453" s="156"/>
      <c r="I3453" s="156"/>
      <c r="J3453" s="156"/>
    </row>
    <row r="3454" spans="8:10">
      <c r="H3454" s="156"/>
      <c r="I3454" s="156"/>
      <c r="J3454" s="156"/>
    </row>
    <row r="3455" spans="8:10">
      <c r="H3455" s="156"/>
      <c r="I3455" s="156"/>
      <c r="J3455" s="156"/>
    </row>
    <row r="3456" spans="8:10">
      <c r="H3456" s="156"/>
      <c r="I3456" s="156"/>
      <c r="J3456" s="156"/>
    </row>
    <row r="3457" spans="8:10">
      <c r="H3457" s="156"/>
      <c r="I3457" s="156"/>
      <c r="J3457" s="156"/>
    </row>
    <row r="3458" spans="8:10">
      <c r="H3458" s="156"/>
      <c r="I3458" s="156"/>
      <c r="J3458" s="156"/>
    </row>
    <row r="3459" spans="8:10">
      <c r="H3459" s="156"/>
      <c r="I3459" s="156"/>
      <c r="J3459" s="156"/>
    </row>
    <row r="3460" spans="8:10">
      <c r="H3460" s="156"/>
      <c r="I3460" s="156"/>
      <c r="J3460" s="156"/>
    </row>
    <row r="3461" spans="8:10">
      <c r="H3461" s="156"/>
      <c r="I3461" s="156"/>
      <c r="J3461" s="156"/>
    </row>
    <row r="3462" spans="8:10">
      <c r="H3462" s="156"/>
      <c r="I3462" s="156"/>
      <c r="J3462" s="156"/>
    </row>
    <row r="3463" spans="8:10">
      <c r="H3463" s="156"/>
      <c r="I3463" s="156"/>
      <c r="J3463" s="156"/>
    </row>
    <row r="3464" spans="8:10">
      <c r="H3464" s="156"/>
      <c r="I3464" s="156"/>
      <c r="J3464" s="156"/>
    </row>
    <row r="3465" spans="8:10">
      <c r="H3465" s="156"/>
      <c r="I3465" s="156"/>
      <c r="J3465" s="156"/>
    </row>
    <row r="3466" spans="8:10">
      <c r="H3466" s="156"/>
      <c r="I3466" s="156"/>
      <c r="J3466" s="156"/>
    </row>
    <row r="3467" spans="8:10">
      <c r="H3467" s="156"/>
      <c r="I3467" s="156"/>
      <c r="J3467" s="156"/>
    </row>
    <row r="3468" spans="8:10">
      <c r="H3468" s="156"/>
      <c r="I3468" s="156"/>
      <c r="J3468" s="156"/>
    </row>
    <row r="3469" spans="8:10">
      <c r="H3469" s="156"/>
      <c r="I3469" s="156"/>
      <c r="J3469" s="156"/>
    </row>
    <row r="3470" spans="8:10">
      <c r="H3470" s="156"/>
      <c r="I3470" s="156"/>
      <c r="J3470" s="156"/>
    </row>
    <row r="3471" spans="8:10">
      <c r="H3471" s="156"/>
      <c r="I3471" s="156"/>
      <c r="J3471" s="156"/>
    </row>
    <row r="3472" spans="8:10">
      <c r="H3472" s="156"/>
      <c r="I3472" s="156"/>
      <c r="J3472" s="156"/>
    </row>
    <row r="3473" spans="8:10">
      <c r="H3473" s="156"/>
      <c r="I3473" s="156"/>
      <c r="J3473" s="156"/>
    </row>
    <row r="3474" spans="8:10">
      <c r="H3474" s="156"/>
      <c r="I3474" s="156"/>
      <c r="J3474" s="156"/>
    </row>
    <row r="3475" spans="8:10">
      <c r="H3475" s="156"/>
      <c r="I3475" s="156"/>
      <c r="J3475" s="156"/>
    </row>
    <row r="3476" spans="8:10">
      <c r="H3476" s="156"/>
      <c r="I3476" s="156"/>
      <c r="J3476" s="156"/>
    </row>
    <row r="3477" spans="8:10">
      <c r="H3477" s="156"/>
      <c r="I3477" s="156"/>
      <c r="J3477" s="156"/>
    </row>
    <row r="3478" spans="8:10">
      <c r="H3478" s="156"/>
      <c r="I3478" s="156"/>
      <c r="J3478" s="156"/>
    </row>
    <row r="3479" spans="8:10">
      <c r="H3479" s="156"/>
      <c r="I3479" s="156"/>
      <c r="J3479" s="156"/>
    </row>
    <row r="3480" spans="8:10">
      <c r="H3480" s="156"/>
      <c r="I3480" s="156"/>
      <c r="J3480" s="156"/>
    </row>
    <row r="3481" spans="8:10">
      <c r="H3481" s="156"/>
      <c r="I3481" s="156"/>
      <c r="J3481" s="156"/>
    </row>
    <row r="3482" spans="8:10">
      <c r="H3482" s="156"/>
      <c r="I3482" s="156"/>
      <c r="J3482" s="156"/>
    </row>
    <row r="3483" spans="8:10">
      <c r="H3483" s="156"/>
      <c r="I3483" s="156"/>
      <c r="J3483" s="156"/>
    </row>
    <row r="3484" spans="8:10">
      <c r="H3484" s="156"/>
      <c r="I3484" s="156"/>
      <c r="J3484" s="156"/>
    </row>
    <row r="3485" spans="8:10">
      <c r="H3485" s="156"/>
      <c r="I3485" s="156"/>
      <c r="J3485" s="156"/>
    </row>
    <row r="3486" spans="8:10">
      <c r="H3486" s="156"/>
      <c r="I3486" s="156"/>
      <c r="J3486" s="156"/>
    </row>
    <row r="3487" spans="8:10">
      <c r="H3487" s="156"/>
      <c r="I3487" s="156"/>
      <c r="J3487" s="156"/>
    </row>
    <row r="3488" spans="8:10">
      <c r="H3488" s="156"/>
      <c r="I3488" s="156"/>
      <c r="J3488" s="156"/>
    </row>
    <row r="3489" spans="8:10">
      <c r="H3489" s="156"/>
      <c r="I3489" s="156"/>
      <c r="J3489" s="156"/>
    </row>
    <row r="3490" spans="8:10">
      <c r="H3490" s="156"/>
      <c r="I3490" s="156"/>
      <c r="J3490" s="156"/>
    </row>
    <row r="3491" spans="8:10">
      <c r="H3491" s="156"/>
      <c r="I3491" s="156"/>
      <c r="J3491" s="156"/>
    </row>
    <row r="3492" spans="8:10">
      <c r="H3492" s="156"/>
      <c r="I3492" s="156"/>
      <c r="J3492" s="156"/>
    </row>
    <row r="3493" spans="8:10">
      <c r="H3493" s="156"/>
      <c r="I3493" s="156"/>
      <c r="J3493" s="156"/>
    </row>
    <row r="3494" spans="8:10">
      <c r="H3494" s="156"/>
      <c r="I3494" s="156"/>
      <c r="J3494" s="156"/>
    </row>
    <row r="3495" spans="8:10">
      <c r="H3495" s="156"/>
      <c r="I3495" s="156"/>
      <c r="J3495" s="156"/>
    </row>
    <row r="3496" spans="8:10">
      <c r="H3496" s="156"/>
      <c r="I3496" s="156"/>
      <c r="J3496" s="156"/>
    </row>
    <row r="3497" spans="8:10">
      <c r="H3497" s="156"/>
      <c r="I3497" s="156"/>
      <c r="J3497" s="156"/>
    </row>
    <row r="3498" spans="8:10">
      <c r="H3498" s="156"/>
      <c r="I3498" s="156"/>
      <c r="J3498" s="156"/>
    </row>
    <row r="3499" spans="8:10">
      <c r="H3499" s="156"/>
      <c r="I3499" s="156"/>
      <c r="J3499" s="156"/>
    </row>
    <row r="3500" spans="8:10">
      <c r="H3500" s="156"/>
      <c r="I3500" s="156"/>
      <c r="J3500" s="156"/>
    </row>
    <row r="3501" spans="8:10">
      <c r="H3501" s="156"/>
      <c r="I3501" s="156"/>
      <c r="J3501" s="156"/>
    </row>
    <row r="3502" spans="8:10">
      <c r="H3502" s="156"/>
      <c r="I3502" s="156"/>
      <c r="J3502" s="156"/>
    </row>
    <row r="3503" spans="8:10">
      <c r="H3503" s="156"/>
      <c r="I3503" s="156"/>
      <c r="J3503" s="156"/>
    </row>
    <row r="3504" spans="8:10">
      <c r="H3504" s="156"/>
      <c r="I3504" s="156"/>
      <c r="J3504" s="156"/>
    </row>
    <row r="3505" spans="8:10">
      <c r="H3505" s="156"/>
      <c r="I3505" s="156"/>
      <c r="J3505" s="156"/>
    </row>
    <row r="3506" spans="8:10">
      <c r="H3506" s="156"/>
      <c r="I3506" s="156"/>
      <c r="J3506" s="156"/>
    </row>
    <row r="3507" spans="8:10">
      <c r="H3507" s="156"/>
      <c r="I3507" s="156"/>
      <c r="J3507" s="156"/>
    </row>
    <row r="3508" spans="8:10">
      <c r="H3508" s="156"/>
      <c r="I3508" s="156"/>
      <c r="J3508" s="156"/>
    </row>
    <row r="3509" spans="8:10">
      <c r="H3509" s="156"/>
      <c r="I3509" s="156"/>
      <c r="J3509" s="156"/>
    </row>
    <row r="3510" spans="8:10">
      <c r="H3510" s="156"/>
      <c r="I3510" s="156"/>
      <c r="J3510" s="156"/>
    </row>
    <row r="3511" spans="8:10">
      <c r="H3511" s="156"/>
      <c r="I3511" s="156"/>
      <c r="J3511" s="156"/>
    </row>
    <row r="3512" spans="8:10">
      <c r="H3512" s="156"/>
      <c r="I3512" s="156"/>
      <c r="J3512" s="156"/>
    </row>
    <row r="3513" spans="8:10">
      <c r="H3513" s="156"/>
      <c r="I3513" s="156"/>
      <c r="J3513" s="156"/>
    </row>
    <row r="3514" spans="8:10">
      <c r="H3514" s="156"/>
      <c r="I3514" s="156"/>
      <c r="J3514" s="156"/>
    </row>
    <row r="3515" spans="8:10">
      <c r="H3515" s="156"/>
      <c r="I3515" s="156"/>
      <c r="J3515" s="156"/>
    </row>
    <row r="3516" spans="8:10">
      <c r="H3516" s="156"/>
      <c r="I3516" s="156"/>
      <c r="J3516" s="156"/>
    </row>
    <row r="3517" spans="8:10">
      <c r="H3517" s="156"/>
      <c r="I3517" s="156"/>
      <c r="J3517" s="156"/>
    </row>
    <row r="3518" spans="8:10">
      <c r="H3518" s="156"/>
      <c r="I3518" s="156"/>
      <c r="J3518" s="156"/>
    </row>
    <row r="3519" spans="8:10">
      <c r="H3519" s="156"/>
      <c r="I3519" s="156"/>
      <c r="J3519" s="156"/>
    </row>
    <row r="3520" spans="8:10">
      <c r="H3520" s="156"/>
      <c r="I3520" s="156"/>
      <c r="J3520" s="156"/>
    </row>
    <row r="3521" spans="8:10">
      <c r="H3521" s="156"/>
      <c r="I3521" s="156"/>
      <c r="J3521" s="156"/>
    </row>
    <row r="3522" spans="8:10">
      <c r="H3522" s="156"/>
      <c r="I3522" s="156"/>
      <c r="J3522" s="156"/>
    </row>
    <row r="3523" spans="8:10">
      <c r="H3523" s="156"/>
      <c r="I3523" s="156"/>
      <c r="J3523" s="156"/>
    </row>
    <row r="3524" spans="8:10">
      <c r="H3524" s="156"/>
      <c r="I3524" s="156"/>
      <c r="J3524" s="156"/>
    </row>
    <row r="3525" spans="8:10">
      <c r="H3525" s="156"/>
      <c r="I3525" s="156"/>
      <c r="J3525" s="156"/>
    </row>
    <row r="3526" spans="8:10">
      <c r="H3526" s="156"/>
      <c r="I3526" s="156"/>
      <c r="J3526" s="156"/>
    </row>
    <row r="3527" spans="8:10">
      <c r="H3527" s="156"/>
      <c r="I3527" s="156"/>
      <c r="J3527" s="156"/>
    </row>
    <row r="3528" spans="8:10">
      <c r="H3528" s="156"/>
      <c r="I3528" s="156"/>
      <c r="J3528" s="156"/>
    </row>
    <row r="3529" spans="8:10">
      <c r="H3529" s="156"/>
      <c r="I3529" s="156"/>
      <c r="J3529" s="156"/>
    </row>
    <row r="3530" spans="8:10">
      <c r="H3530" s="156"/>
      <c r="I3530" s="156"/>
      <c r="J3530" s="156"/>
    </row>
    <row r="3531" spans="8:10">
      <c r="H3531" s="156"/>
      <c r="I3531" s="156"/>
      <c r="J3531" s="156"/>
    </row>
    <row r="3532" spans="8:10">
      <c r="H3532" s="156"/>
      <c r="I3532" s="156"/>
      <c r="J3532" s="156"/>
    </row>
    <row r="3533" spans="8:10">
      <c r="H3533" s="156"/>
      <c r="I3533" s="156"/>
      <c r="J3533" s="156"/>
    </row>
    <row r="3534" spans="8:10">
      <c r="H3534" s="156"/>
      <c r="I3534" s="156"/>
      <c r="J3534" s="156"/>
    </row>
    <row r="3535" spans="8:10">
      <c r="H3535" s="156"/>
      <c r="I3535" s="156"/>
      <c r="J3535" s="156"/>
    </row>
    <row r="3536" spans="8:10">
      <c r="H3536" s="156"/>
      <c r="I3536" s="156"/>
      <c r="J3536" s="156"/>
    </row>
    <row r="3537" spans="8:10">
      <c r="H3537" s="156"/>
      <c r="I3537" s="156"/>
      <c r="J3537" s="156"/>
    </row>
    <row r="3538" spans="8:10">
      <c r="H3538" s="156"/>
      <c r="I3538" s="156"/>
      <c r="J3538" s="156"/>
    </row>
    <row r="3539" spans="8:10">
      <c r="H3539" s="156"/>
      <c r="I3539" s="156"/>
      <c r="J3539" s="156"/>
    </row>
    <row r="3540" spans="8:10">
      <c r="H3540" s="156"/>
      <c r="I3540" s="156"/>
      <c r="J3540" s="156"/>
    </row>
    <row r="3541" spans="8:10">
      <c r="H3541" s="156"/>
      <c r="I3541" s="156"/>
      <c r="J3541" s="156"/>
    </row>
    <row r="3542" spans="8:10">
      <c r="H3542" s="156"/>
      <c r="I3542" s="156"/>
      <c r="J3542" s="156"/>
    </row>
    <row r="3543" spans="8:10">
      <c r="H3543" s="156"/>
      <c r="I3543" s="156"/>
      <c r="J3543" s="156"/>
    </row>
    <row r="3544" spans="8:10">
      <c r="H3544" s="156"/>
      <c r="I3544" s="156"/>
      <c r="J3544" s="156"/>
    </row>
    <row r="3545" spans="8:10">
      <c r="H3545" s="156"/>
      <c r="I3545" s="156"/>
      <c r="J3545" s="156"/>
    </row>
    <row r="3546" spans="8:10">
      <c r="H3546" s="156"/>
      <c r="I3546" s="156"/>
      <c r="J3546" s="156"/>
    </row>
    <row r="3547" spans="8:10">
      <c r="H3547" s="156"/>
      <c r="I3547" s="156"/>
      <c r="J3547" s="156"/>
    </row>
    <row r="3548" spans="8:10">
      <c r="H3548" s="156"/>
      <c r="I3548" s="156"/>
      <c r="J3548" s="156"/>
    </row>
    <row r="3549" spans="8:10">
      <c r="H3549" s="156"/>
      <c r="I3549" s="156"/>
      <c r="J3549" s="156"/>
    </row>
    <row r="3550" spans="8:10">
      <c r="H3550" s="156"/>
      <c r="I3550" s="156"/>
      <c r="J3550" s="156"/>
    </row>
    <row r="3551" spans="8:10">
      <c r="H3551" s="156"/>
      <c r="I3551" s="156"/>
      <c r="J3551" s="156"/>
    </row>
    <row r="3552" spans="8:10">
      <c r="H3552" s="156"/>
      <c r="I3552" s="156"/>
      <c r="J3552" s="156"/>
    </row>
    <row r="3553" spans="8:10">
      <c r="H3553" s="156"/>
      <c r="I3553" s="156"/>
      <c r="J3553" s="156"/>
    </row>
    <row r="3554" spans="8:10">
      <c r="H3554" s="156"/>
      <c r="I3554" s="156"/>
      <c r="J3554" s="156"/>
    </row>
    <row r="3555" spans="8:10">
      <c r="H3555" s="156"/>
      <c r="I3555" s="156"/>
      <c r="J3555" s="156"/>
    </row>
    <row r="3556" spans="8:10">
      <c r="H3556" s="156"/>
      <c r="I3556" s="156"/>
      <c r="J3556" s="156"/>
    </row>
    <row r="3557" spans="8:10">
      <c r="H3557" s="156"/>
      <c r="I3557" s="156"/>
      <c r="J3557" s="156"/>
    </row>
    <row r="3558" spans="8:10">
      <c r="H3558" s="156"/>
      <c r="I3558" s="156"/>
      <c r="J3558" s="156"/>
    </row>
    <row r="3559" spans="8:10">
      <c r="H3559" s="156"/>
      <c r="I3559" s="156"/>
      <c r="J3559" s="156"/>
    </row>
    <row r="3560" spans="8:10">
      <c r="H3560" s="156"/>
      <c r="I3560" s="156"/>
      <c r="J3560" s="156"/>
    </row>
    <row r="3561" spans="8:10">
      <c r="H3561" s="156"/>
      <c r="I3561" s="156"/>
      <c r="J3561" s="156"/>
    </row>
    <row r="3562" spans="8:10">
      <c r="H3562" s="156"/>
      <c r="I3562" s="156"/>
      <c r="J3562" s="156"/>
    </row>
    <row r="3563" spans="8:10">
      <c r="H3563" s="156"/>
      <c r="I3563" s="156"/>
      <c r="J3563" s="156"/>
    </row>
    <row r="3564" spans="8:10">
      <c r="H3564" s="156"/>
      <c r="I3564" s="156"/>
      <c r="J3564" s="156"/>
    </row>
    <row r="3565" spans="8:10">
      <c r="H3565" s="156"/>
      <c r="I3565" s="156"/>
      <c r="J3565" s="156"/>
    </row>
    <row r="3566" spans="8:10">
      <c r="H3566" s="156"/>
      <c r="I3566" s="156"/>
      <c r="J3566" s="156"/>
    </row>
    <row r="3567" spans="8:10">
      <c r="H3567" s="156"/>
      <c r="I3567" s="156"/>
      <c r="J3567" s="156"/>
    </row>
    <row r="3568" spans="8:10">
      <c r="H3568" s="156"/>
      <c r="I3568" s="156"/>
      <c r="J3568" s="156"/>
    </row>
    <row r="3569" spans="8:10">
      <c r="H3569" s="156"/>
      <c r="I3569" s="156"/>
      <c r="J3569" s="156"/>
    </row>
    <row r="3570" spans="8:10">
      <c r="H3570" s="156"/>
      <c r="I3570" s="156"/>
      <c r="J3570" s="156"/>
    </row>
    <row r="3571" spans="8:10">
      <c r="H3571" s="156"/>
      <c r="I3571" s="156"/>
      <c r="J3571" s="156"/>
    </row>
    <row r="3572" spans="8:10">
      <c r="H3572" s="156"/>
      <c r="I3572" s="156"/>
      <c r="J3572" s="156"/>
    </row>
    <row r="3573" spans="8:10">
      <c r="H3573" s="156"/>
      <c r="I3573" s="156"/>
      <c r="J3573" s="156"/>
    </row>
    <row r="3574" spans="8:10">
      <c r="H3574" s="156"/>
      <c r="I3574" s="156"/>
      <c r="J3574" s="156"/>
    </row>
    <row r="3575" spans="8:10">
      <c r="H3575" s="156"/>
      <c r="I3575" s="156"/>
      <c r="J3575" s="156"/>
    </row>
    <row r="3576" spans="8:10">
      <c r="H3576" s="156"/>
      <c r="I3576" s="156"/>
      <c r="J3576" s="156"/>
    </row>
    <row r="3577" spans="8:10">
      <c r="H3577" s="156"/>
      <c r="I3577" s="156"/>
      <c r="J3577" s="156"/>
    </row>
    <row r="3578" spans="8:10">
      <c r="H3578" s="156"/>
      <c r="I3578" s="156"/>
      <c r="J3578" s="156"/>
    </row>
    <row r="3579" spans="8:10">
      <c r="H3579" s="156"/>
      <c r="I3579" s="156"/>
      <c r="J3579" s="156"/>
    </row>
    <row r="3580" spans="8:10">
      <c r="H3580" s="156"/>
      <c r="I3580" s="156"/>
      <c r="J3580" s="156"/>
    </row>
    <row r="3581" spans="8:10">
      <c r="H3581" s="156"/>
      <c r="I3581" s="156"/>
      <c r="J3581" s="156"/>
    </row>
    <row r="3582" spans="8:10">
      <c r="H3582" s="156"/>
      <c r="I3582" s="156"/>
      <c r="J3582" s="156"/>
    </row>
    <row r="3583" spans="8:10">
      <c r="H3583" s="156"/>
      <c r="I3583" s="156"/>
      <c r="J3583" s="156"/>
    </row>
    <row r="3584" spans="8:10">
      <c r="H3584" s="156"/>
      <c r="I3584" s="156"/>
      <c r="J3584" s="156"/>
    </row>
    <row r="3585" spans="8:10">
      <c r="H3585" s="156"/>
      <c r="I3585" s="156"/>
      <c r="J3585" s="156"/>
    </row>
    <row r="3586" spans="8:10">
      <c r="H3586" s="156"/>
      <c r="I3586" s="156"/>
      <c r="J3586" s="156"/>
    </row>
    <row r="3587" spans="8:10">
      <c r="H3587" s="156"/>
      <c r="I3587" s="156"/>
      <c r="J3587" s="156"/>
    </row>
    <row r="3588" spans="8:10">
      <c r="H3588" s="156"/>
      <c r="I3588" s="156"/>
      <c r="J3588" s="156"/>
    </row>
    <row r="3589" spans="8:10">
      <c r="H3589" s="156"/>
      <c r="I3589" s="156"/>
      <c r="J3589" s="156"/>
    </row>
    <row r="3590" spans="8:10">
      <c r="H3590" s="156"/>
      <c r="I3590" s="156"/>
      <c r="J3590" s="156"/>
    </row>
    <row r="3591" spans="8:10">
      <c r="H3591" s="156"/>
      <c r="I3591" s="156"/>
      <c r="J3591" s="156"/>
    </row>
    <row r="3592" spans="8:10">
      <c r="H3592" s="156"/>
      <c r="I3592" s="156"/>
      <c r="J3592" s="156"/>
    </row>
    <row r="3593" spans="8:10">
      <c r="H3593" s="156"/>
      <c r="I3593" s="156"/>
      <c r="J3593" s="156"/>
    </row>
    <row r="3594" spans="8:10">
      <c r="H3594" s="156"/>
      <c r="I3594" s="156"/>
      <c r="J3594" s="156"/>
    </row>
    <row r="3595" spans="8:10">
      <c r="H3595" s="156"/>
      <c r="I3595" s="156"/>
      <c r="J3595" s="156"/>
    </row>
    <row r="3596" spans="8:10">
      <c r="H3596" s="156"/>
      <c r="I3596" s="156"/>
      <c r="J3596" s="156"/>
    </row>
    <row r="3597" spans="8:10">
      <c r="H3597" s="156"/>
      <c r="I3597" s="156"/>
      <c r="J3597" s="156"/>
    </row>
    <row r="3598" spans="8:10">
      <c r="H3598" s="156"/>
      <c r="I3598" s="156"/>
      <c r="J3598" s="156"/>
    </row>
    <row r="3599" spans="8:10">
      <c r="H3599" s="156"/>
      <c r="I3599" s="156"/>
      <c r="J3599" s="156"/>
    </row>
    <row r="3600" spans="8:10">
      <c r="H3600" s="156"/>
      <c r="I3600" s="156"/>
      <c r="J3600" s="156"/>
    </row>
    <row r="3601" spans="8:10">
      <c r="H3601" s="156"/>
      <c r="I3601" s="156"/>
      <c r="J3601" s="156"/>
    </row>
    <row r="3602" spans="8:10">
      <c r="H3602" s="156"/>
      <c r="I3602" s="156"/>
      <c r="J3602" s="156"/>
    </row>
    <row r="3603" spans="8:10">
      <c r="H3603" s="156"/>
      <c r="I3603" s="156"/>
      <c r="J3603" s="156"/>
    </row>
    <row r="3604" spans="8:10">
      <c r="H3604" s="156"/>
      <c r="I3604" s="156"/>
      <c r="J3604" s="156"/>
    </row>
    <row r="3605" spans="8:10">
      <c r="H3605" s="156"/>
      <c r="I3605" s="156"/>
      <c r="J3605" s="156"/>
    </row>
    <row r="3606" spans="8:10">
      <c r="H3606" s="156"/>
      <c r="I3606" s="156"/>
      <c r="J3606" s="156"/>
    </row>
    <row r="3607" spans="8:10">
      <c r="H3607" s="156"/>
      <c r="I3607" s="156"/>
      <c r="J3607" s="156"/>
    </row>
    <row r="3608" spans="8:10">
      <c r="H3608" s="156"/>
      <c r="I3608" s="156"/>
      <c r="J3608" s="156"/>
    </row>
    <row r="3609" spans="8:10">
      <c r="H3609" s="156"/>
      <c r="I3609" s="156"/>
      <c r="J3609" s="156"/>
    </row>
    <row r="3610" spans="8:10">
      <c r="H3610" s="156"/>
      <c r="I3610" s="156"/>
      <c r="J3610" s="156"/>
    </row>
    <row r="3611" spans="8:10">
      <c r="H3611" s="156"/>
      <c r="I3611" s="156"/>
      <c r="J3611" s="156"/>
    </row>
    <row r="3612" spans="8:10">
      <c r="H3612" s="156"/>
      <c r="I3612" s="156"/>
      <c r="J3612" s="156"/>
    </row>
    <row r="3613" spans="8:10">
      <c r="H3613" s="156"/>
      <c r="I3613" s="156"/>
      <c r="J3613" s="156"/>
    </row>
    <row r="3614" spans="8:10">
      <c r="H3614" s="156"/>
      <c r="I3614" s="156"/>
      <c r="J3614" s="156"/>
    </row>
    <row r="3615" spans="8:10">
      <c r="H3615" s="156"/>
      <c r="I3615" s="156"/>
      <c r="J3615" s="156"/>
    </row>
    <row r="3616" spans="8:10">
      <c r="H3616" s="156"/>
      <c r="I3616" s="156"/>
      <c r="J3616" s="156"/>
    </row>
    <row r="3617" spans="8:10">
      <c r="H3617" s="156"/>
      <c r="I3617" s="156"/>
      <c r="J3617" s="156"/>
    </row>
    <row r="3618" spans="8:10">
      <c r="H3618" s="156"/>
      <c r="I3618" s="156"/>
      <c r="J3618" s="156"/>
    </row>
    <row r="3619" spans="8:10">
      <c r="H3619" s="156"/>
      <c r="I3619" s="156"/>
      <c r="J3619" s="156"/>
    </row>
    <row r="3620" spans="8:10">
      <c r="H3620" s="156"/>
      <c r="I3620" s="156"/>
      <c r="J3620" s="156"/>
    </row>
    <row r="3621" spans="8:10">
      <c r="H3621" s="156"/>
      <c r="I3621" s="156"/>
      <c r="J3621" s="156"/>
    </row>
    <row r="3622" spans="8:10">
      <c r="H3622" s="156"/>
      <c r="I3622" s="156"/>
      <c r="J3622" s="156"/>
    </row>
    <row r="3623" spans="8:10">
      <c r="H3623" s="156"/>
      <c r="I3623" s="156"/>
      <c r="J3623" s="156"/>
    </row>
    <row r="3624" spans="8:10">
      <c r="H3624" s="156"/>
      <c r="I3624" s="156"/>
      <c r="J3624" s="156"/>
    </row>
    <row r="3625" spans="8:10">
      <c r="H3625" s="156"/>
      <c r="I3625" s="156"/>
      <c r="J3625" s="156"/>
    </row>
    <row r="3626" spans="8:10">
      <c r="H3626" s="156"/>
      <c r="I3626" s="156"/>
      <c r="J3626" s="156"/>
    </row>
    <row r="3627" spans="8:10">
      <c r="H3627" s="156"/>
      <c r="I3627" s="156"/>
      <c r="J3627" s="156"/>
    </row>
    <row r="3628" spans="8:10">
      <c r="H3628" s="156"/>
      <c r="I3628" s="156"/>
      <c r="J3628" s="156"/>
    </row>
    <row r="3629" spans="8:10">
      <c r="H3629" s="156"/>
      <c r="I3629" s="156"/>
      <c r="J3629" s="156"/>
    </row>
    <row r="3630" spans="8:10">
      <c r="H3630" s="156"/>
      <c r="I3630" s="156"/>
      <c r="J3630" s="156"/>
    </row>
    <row r="3631" spans="8:10">
      <c r="H3631" s="156"/>
      <c r="I3631" s="156"/>
      <c r="J3631" s="156"/>
    </row>
    <row r="3632" spans="8:10">
      <c r="H3632" s="156"/>
      <c r="I3632" s="156"/>
      <c r="J3632" s="156"/>
    </row>
    <row r="3633" spans="8:10">
      <c r="H3633" s="156"/>
      <c r="I3633" s="156"/>
      <c r="J3633" s="156"/>
    </row>
    <row r="3634" spans="8:10">
      <c r="H3634" s="156"/>
      <c r="I3634" s="156"/>
      <c r="J3634" s="156"/>
    </row>
    <row r="3635" spans="8:10">
      <c r="H3635" s="156"/>
      <c r="I3635" s="156"/>
      <c r="J3635" s="156"/>
    </row>
    <row r="3636" spans="8:10">
      <c r="H3636" s="156"/>
      <c r="I3636" s="156"/>
      <c r="J3636" s="156"/>
    </row>
    <row r="3637" spans="8:10">
      <c r="H3637" s="156"/>
      <c r="I3637" s="156"/>
      <c r="J3637" s="156"/>
    </row>
    <row r="3638" spans="8:10">
      <c r="H3638" s="156"/>
      <c r="I3638" s="156"/>
      <c r="J3638" s="156"/>
    </row>
    <row r="3639" spans="8:10">
      <c r="H3639" s="156"/>
      <c r="I3639" s="156"/>
      <c r="J3639" s="156"/>
    </row>
    <row r="3640" spans="8:10">
      <c r="H3640" s="156"/>
      <c r="I3640" s="156"/>
      <c r="J3640" s="156"/>
    </row>
    <row r="3641" spans="8:10">
      <c r="H3641" s="156"/>
      <c r="I3641" s="156"/>
      <c r="J3641" s="156"/>
    </row>
    <row r="3642" spans="8:10">
      <c r="H3642" s="156"/>
      <c r="I3642" s="156"/>
      <c r="J3642" s="156"/>
    </row>
    <row r="3643" spans="8:10">
      <c r="H3643" s="156"/>
      <c r="I3643" s="156"/>
      <c r="J3643" s="156"/>
    </row>
    <row r="3644" spans="8:10">
      <c r="H3644" s="156"/>
      <c r="I3644" s="156"/>
      <c r="J3644" s="156"/>
    </row>
    <row r="3645" spans="8:10">
      <c r="H3645" s="156"/>
      <c r="I3645" s="156"/>
      <c r="J3645" s="156"/>
    </row>
    <row r="3646" spans="8:10">
      <c r="H3646" s="156"/>
      <c r="I3646" s="156"/>
      <c r="J3646" s="156"/>
    </row>
    <row r="3647" spans="8:10">
      <c r="H3647" s="156"/>
      <c r="I3647" s="156"/>
      <c r="J3647" s="156"/>
    </row>
    <row r="3648" spans="8:10">
      <c r="H3648" s="156"/>
      <c r="I3648" s="156"/>
      <c r="J3648" s="156"/>
    </row>
    <row r="3649" spans="8:10">
      <c r="H3649" s="156"/>
      <c r="I3649" s="156"/>
      <c r="J3649" s="156"/>
    </row>
    <row r="3650" spans="8:10">
      <c r="H3650" s="156"/>
      <c r="I3650" s="156"/>
      <c r="J3650" s="156"/>
    </row>
    <row r="3651" spans="8:10">
      <c r="H3651" s="156"/>
      <c r="I3651" s="156"/>
      <c r="J3651" s="156"/>
    </row>
    <row r="3652" spans="8:10">
      <c r="H3652" s="156"/>
      <c r="I3652" s="156"/>
      <c r="J3652" s="156"/>
    </row>
    <row r="3653" spans="8:10">
      <c r="H3653" s="156"/>
      <c r="I3653" s="156"/>
      <c r="J3653" s="156"/>
    </row>
    <row r="3654" spans="8:10">
      <c r="H3654" s="156"/>
      <c r="I3654" s="156"/>
      <c r="J3654" s="156"/>
    </row>
    <row r="3655" spans="8:10">
      <c r="H3655" s="156"/>
      <c r="I3655" s="156"/>
      <c r="J3655" s="156"/>
    </row>
    <row r="3656" spans="8:10">
      <c r="H3656" s="156"/>
      <c r="I3656" s="156"/>
      <c r="J3656" s="156"/>
    </row>
    <row r="3657" spans="8:10">
      <c r="H3657" s="156"/>
      <c r="I3657" s="156"/>
      <c r="J3657" s="156"/>
    </row>
    <row r="3658" spans="8:10">
      <c r="H3658" s="156"/>
      <c r="I3658" s="156"/>
      <c r="J3658" s="156"/>
    </row>
    <row r="3659" spans="8:10">
      <c r="H3659" s="156"/>
      <c r="I3659" s="156"/>
      <c r="J3659" s="156"/>
    </row>
    <row r="3660" spans="8:10">
      <c r="H3660" s="156"/>
      <c r="I3660" s="156"/>
      <c r="J3660" s="156"/>
    </row>
    <row r="3661" spans="8:10">
      <c r="H3661" s="156"/>
      <c r="I3661" s="156"/>
      <c r="J3661" s="156"/>
    </row>
    <row r="3662" spans="8:10">
      <c r="H3662" s="156"/>
      <c r="I3662" s="156"/>
      <c r="J3662" s="156"/>
    </row>
    <row r="3663" spans="8:10">
      <c r="H3663" s="156"/>
      <c r="I3663" s="156"/>
      <c r="J3663" s="156"/>
    </row>
    <row r="3664" spans="8:10">
      <c r="H3664" s="156"/>
      <c r="I3664" s="156"/>
      <c r="J3664" s="156"/>
    </row>
    <row r="3665" spans="8:10">
      <c r="H3665" s="156"/>
      <c r="I3665" s="156"/>
      <c r="J3665" s="156"/>
    </row>
    <row r="3666" spans="8:10">
      <c r="H3666" s="156"/>
      <c r="I3666" s="156"/>
      <c r="J3666" s="156"/>
    </row>
    <row r="3667" spans="8:10">
      <c r="H3667" s="156"/>
      <c r="I3667" s="156"/>
      <c r="J3667" s="156"/>
    </row>
    <row r="3668" spans="8:10">
      <c r="H3668" s="156"/>
      <c r="I3668" s="156"/>
      <c r="J3668" s="156"/>
    </row>
    <row r="3669" spans="8:10">
      <c r="H3669" s="156"/>
      <c r="I3669" s="156"/>
      <c r="J3669" s="156"/>
    </row>
    <row r="3670" spans="8:10">
      <c r="H3670" s="156"/>
      <c r="I3670" s="156"/>
      <c r="J3670" s="156"/>
    </row>
    <row r="3671" spans="8:10">
      <c r="H3671" s="156"/>
      <c r="I3671" s="156"/>
      <c r="J3671" s="156"/>
    </row>
    <row r="3672" spans="8:10">
      <c r="H3672" s="156"/>
      <c r="I3672" s="156"/>
      <c r="J3672" s="156"/>
    </row>
    <row r="3673" spans="8:10">
      <c r="H3673" s="156"/>
      <c r="I3673" s="156"/>
      <c r="J3673" s="156"/>
    </row>
    <row r="3674" spans="8:10">
      <c r="H3674" s="156"/>
      <c r="I3674" s="156"/>
      <c r="J3674" s="156"/>
    </row>
    <row r="3675" spans="8:10">
      <c r="H3675" s="156"/>
      <c r="I3675" s="156"/>
      <c r="J3675" s="156"/>
    </row>
    <row r="3676" spans="8:10">
      <c r="H3676" s="156"/>
      <c r="I3676" s="156"/>
      <c r="J3676" s="156"/>
    </row>
    <row r="3677" spans="8:10">
      <c r="H3677" s="156"/>
      <c r="I3677" s="156"/>
      <c r="J3677" s="156"/>
    </row>
    <row r="3678" spans="8:10">
      <c r="H3678" s="156"/>
      <c r="I3678" s="156"/>
      <c r="J3678" s="156"/>
    </row>
    <row r="3679" spans="8:10">
      <c r="H3679" s="156"/>
      <c r="I3679" s="156"/>
      <c r="J3679" s="156"/>
    </row>
    <row r="3680" spans="8:10">
      <c r="H3680" s="156"/>
      <c r="I3680" s="156"/>
      <c r="J3680" s="156"/>
    </row>
    <row r="3681" spans="8:10">
      <c r="H3681" s="156"/>
      <c r="I3681" s="156"/>
      <c r="J3681" s="156"/>
    </row>
    <row r="3682" spans="8:10">
      <c r="H3682" s="156"/>
      <c r="I3682" s="156"/>
      <c r="J3682" s="156"/>
    </row>
    <row r="3683" spans="8:10">
      <c r="H3683" s="156"/>
      <c r="I3683" s="156"/>
      <c r="J3683" s="156"/>
    </row>
    <row r="3684" spans="8:10">
      <c r="H3684" s="156"/>
      <c r="I3684" s="156"/>
      <c r="J3684" s="156"/>
    </row>
    <row r="3685" spans="8:10">
      <c r="H3685" s="156"/>
      <c r="I3685" s="156"/>
      <c r="J3685" s="156"/>
    </row>
    <row r="3686" spans="8:10">
      <c r="H3686" s="156"/>
      <c r="I3686" s="156"/>
      <c r="J3686" s="156"/>
    </row>
    <row r="3687" spans="8:10">
      <c r="H3687" s="156"/>
      <c r="I3687" s="156"/>
      <c r="J3687" s="156"/>
    </row>
    <row r="3688" spans="8:10">
      <c r="H3688" s="156"/>
      <c r="I3688" s="156"/>
      <c r="J3688" s="156"/>
    </row>
    <row r="3689" spans="8:10">
      <c r="H3689" s="156"/>
      <c r="I3689" s="156"/>
      <c r="J3689" s="156"/>
    </row>
    <row r="3690" spans="8:10">
      <c r="H3690" s="156"/>
      <c r="I3690" s="156"/>
      <c r="J3690" s="156"/>
    </row>
    <row r="3691" spans="8:10">
      <c r="H3691" s="156"/>
      <c r="I3691" s="156"/>
      <c r="J3691" s="156"/>
    </row>
    <row r="3692" spans="8:10">
      <c r="H3692" s="156"/>
      <c r="I3692" s="156"/>
      <c r="J3692" s="156"/>
    </row>
    <row r="3693" spans="8:10">
      <c r="H3693" s="156"/>
      <c r="I3693" s="156"/>
      <c r="J3693" s="156"/>
    </row>
    <row r="3694" spans="8:10">
      <c r="H3694" s="156"/>
      <c r="I3694" s="156"/>
      <c r="J3694" s="156"/>
    </row>
    <row r="3695" spans="8:10">
      <c r="H3695" s="156"/>
      <c r="I3695" s="156"/>
      <c r="J3695" s="156"/>
    </row>
    <row r="3696" spans="8:10">
      <c r="H3696" s="156"/>
      <c r="I3696" s="156"/>
      <c r="J3696" s="156"/>
    </row>
    <row r="3697" spans="8:10">
      <c r="H3697" s="156"/>
      <c r="I3697" s="156"/>
      <c r="J3697" s="156"/>
    </row>
    <row r="3698" spans="8:10">
      <c r="H3698" s="156"/>
      <c r="I3698" s="156"/>
      <c r="J3698" s="156"/>
    </row>
    <row r="3699" spans="8:10">
      <c r="H3699" s="156"/>
      <c r="I3699" s="156"/>
      <c r="J3699" s="156"/>
    </row>
    <row r="3700" spans="8:10">
      <c r="H3700" s="156"/>
      <c r="I3700" s="156"/>
      <c r="J3700" s="156"/>
    </row>
    <row r="3701" spans="8:10">
      <c r="H3701" s="156"/>
      <c r="I3701" s="156"/>
      <c r="J3701" s="156"/>
    </row>
    <row r="3702" spans="8:10">
      <c r="H3702" s="156"/>
      <c r="I3702" s="156"/>
      <c r="J3702" s="156"/>
    </row>
    <row r="3703" spans="8:10">
      <c r="H3703" s="156"/>
      <c r="I3703" s="156"/>
      <c r="J3703" s="156"/>
    </row>
    <row r="3704" spans="8:10">
      <c r="H3704" s="156"/>
      <c r="I3704" s="156"/>
      <c r="J3704" s="156"/>
    </row>
    <row r="3705" spans="8:10">
      <c r="H3705" s="156"/>
      <c r="I3705" s="156"/>
      <c r="J3705" s="156"/>
    </row>
    <row r="3706" spans="8:10">
      <c r="H3706" s="156"/>
      <c r="I3706" s="156"/>
      <c r="J3706" s="156"/>
    </row>
    <row r="3707" spans="8:10">
      <c r="H3707" s="156"/>
      <c r="I3707" s="156"/>
      <c r="J3707" s="156"/>
    </row>
    <row r="3708" spans="8:10">
      <c r="H3708" s="156"/>
      <c r="I3708" s="156"/>
      <c r="J3708" s="156"/>
    </row>
    <row r="3709" spans="8:10">
      <c r="H3709" s="156"/>
      <c r="I3709" s="156"/>
      <c r="J3709" s="156"/>
    </row>
    <row r="3710" spans="8:10">
      <c r="H3710" s="156"/>
      <c r="I3710" s="156"/>
      <c r="J3710" s="156"/>
    </row>
    <row r="3711" spans="8:10">
      <c r="H3711" s="156"/>
      <c r="I3711" s="156"/>
      <c r="J3711" s="156"/>
    </row>
    <row r="3712" spans="8:10">
      <c r="H3712" s="156"/>
      <c r="I3712" s="156"/>
      <c r="J3712" s="156"/>
    </row>
    <row r="3713" spans="8:10">
      <c r="H3713" s="156"/>
      <c r="I3713" s="156"/>
      <c r="J3713" s="156"/>
    </row>
    <row r="3714" spans="8:10">
      <c r="H3714" s="156"/>
      <c r="I3714" s="156"/>
      <c r="J3714" s="156"/>
    </row>
    <row r="3715" spans="8:10">
      <c r="H3715" s="156"/>
      <c r="I3715" s="156"/>
      <c r="J3715" s="156"/>
    </row>
    <row r="3716" spans="8:10">
      <c r="H3716" s="156"/>
      <c r="I3716" s="156"/>
      <c r="J3716" s="156"/>
    </row>
    <row r="3717" spans="8:10">
      <c r="H3717" s="156"/>
      <c r="I3717" s="156"/>
      <c r="J3717" s="156"/>
    </row>
    <row r="3718" spans="8:10">
      <c r="H3718" s="156"/>
      <c r="I3718" s="156"/>
      <c r="J3718" s="156"/>
    </row>
    <row r="3719" spans="8:10">
      <c r="H3719" s="156"/>
      <c r="I3719" s="156"/>
      <c r="J3719" s="156"/>
    </row>
    <row r="3720" spans="8:10">
      <c r="H3720" s="156"/>
      <c r="I3720" s="156"/>
      <c r="J3720" s="156"/>
    </row>
    <row r="3721" spans="8:10">
      <c r="H3721" s="156"/>
      <c r="I3721" s="156"/>
      <c r="J3721" s="156"/>
    </row>
    <row r="3722" spans="8:10">
      <c r="H3722" s="156"/>
      <c r="I3722" s="156"/>
      <c r="J3722" s="156"/>
    </row>
    <row r="3723" spans="8:10">
      <c r="H3723" s="156"/>
      <c r="I3723" s="156"/>
      <c r="J3723" s="156"/>
    </row>
    <row r="3724" spans="8:10">
      <c r="H3724" s="156"/>
      <c r="I3724" s="156"/>
      <c r="J3724" s="156"/>
    </row>
    <row r="3725" spans="8:10">
      <c r="H3725" s="156"/>
      <c r="I3725" s="156"/>
      <c r="J3725" s="156"/>
    </row>
    <row r="3726" spans="8:10">
      <c r="H3726" s="156"/>
      <c r="I3726" s="156"/>
      <c r="J3726" s="156"/>
    </row>
    <row r="3727" spans="8:10">
      <c r="H3727" s="156"/>
      <c r="I3727" s="156"/>
      <c r="J3727" s="156"/>
    </row>
    <row r="3728" spans="8:10">
      <c r="H3728" s="156"/>
      <c r="I3728" s="156"/>
      <c r="J3728" s="156"/>
    </row>
    <row r="3729" spans="8:10">
      <c r="H3729" s="156"/>
      <c r="I3729" s="156"/>
      <c r="J3729" s="156"/>
    </row>
    <row r="3730" spans="8:10">
      <c r="H3730" s="156"/>
      <c r="I3730" s="156"/>
      <c r="J3730" s="156"/>
    </row>
    <row r="3731" spans="8:10">
      <c r="H3731" s="156"/>
      <c r="I3731" s="156"/>
      <c r="J3731" s="156"/>
    </row>
    <row r="3732" spans="8:10">
      <c r="H3732" s="156"/>
      <c r="I3732" s="156"/>
      <c r="J3732" s="156"/>
    </row>
    <row r="3733" spans="8:10">
      <c r="H3733" s="156"/>
      <c r="I3733" s="156"/>
      <c r="J3733" s="156"/>
    </row>
    <row r="3734" spans="8:10">
      <c r="H3734" s="156"/>
      <c r="I3734" s="156"/>
      <c r="J3734" s="156"/>
    </row>
    <row r="3735" spans="8:10">
      <c r="H3735" s="156"/>
      <c r="I3735" s="156"/>
      <c r="J3735" s="156"/>
    </row>
    <row r="3736" spans="8:10">
      <c r="H3736" s="156"/>
      <c r="I3736" s="156"/>
      <c r="J3736" s="156"/>
    </row>
    <row r="3737" spans="8:10">
      <c r="H3737" s="156"/>
      <c r="I3737" s="156"/>
      <c r="J3737" s="156"/>
    </row>
    <row r="3738" spans="8:10">
      <c r="H3738" s="156"/>
      <c r="I3738" s="156"/>
      <c r="J3738" s="156"/>
    </row>
    <row r="3739" spans="8:10">
      <c r="H3739" s="156"/>
      <c r="I3739" s="156"/>
      <c r="J3739" s="156"/>
    </row>
    <row r="3740" spans="8:10">
      <c r="H3740" s="156"/>
      <c r="I3740" s="156"/>
      <c r="J3740" s="156"/>
    </row>
    <row r="3741" spans="8:10">
      <c r="H3741" s="156"/>
      <c r="I3741" s="156"/>
      <c r="J3741" s="156"/>
    </row>
    <row r="3742" spans="8:10">
      <c r="H3742" s="156"/>
      <c r="I3742" s="156"/>
      <c r="J3742" s="156"/>
    </row>
    <row r="3743" spans="8:10">
      <c r="H3743" s="156"/>
      <c r="I3743" s="156"/>
      <c r="J3743" s="156"/>
    </row>
    <row r="3744" spans="8:10">
      <c r="H3744" s="156"/>
      <c r="I3744" s="156"/>
      <c r="J3744" s="156"/>
    </row>
    <row r="3745" spans="8:10">
      <c r="H3745" s="156"/>
      <c r="I3745" s="156"/>
      <c r="J3745" s="156"/>
    </row>
    <row r="3746" spans="8:10">
      <c r="H3746" s="156"/>
      <c r="I3746" s="156"/>
      <c r="J3746" s="156"/>
    </row>
    <row r="3747" spans="8:10">
      <c r="H3747" s="156"/>
      <c r="I3747" s="156"/>
      <c r="J3747" s="156"/>
    </row>
    <row r="3748" spans="8:10">
      <c r="H3748" s="156"/>
      <c r="I3748" s="156"/>
      <c r="J3748" s="156"/>
    </row>
    <row r="3749" spans="8:10">
      <c r="H3749" s="156"/>
      <c r="I3749" s="156"/>
      <c r="J3749" s="156"/>
    </row>
    <row r="3750" spans="8:10">
      <c r="H3750" s="156"/>
      <c r="I3750" s="156"/>
      <c r="J3750" s="156"/>
    </row>
    <row r="3751" spans="8:10">
      <c r="H3751" s="156"/>
      <c r="I3751" s="156"/>
      <c r="J3751" s="156"/>
    </row>
    <row r="3752" spans="8:10">
      <c r="H3752" s="156"/>
      <c r="I3752" s="156"/>
      <c r="J3752" s="156"/>
    </row>
    <row r="3753" spans="8:10">
      <c r="H3753" s="156"/>
      <c r="I3753" s="156"/>
      <c r="J3753" s="156"/>
    </row>
    <row r="3754" spans="8:10">
      <c r="H3754" s="156"/>
      <c r="I3754" s="156"/>
      <c r="J3754" s="156"/>
    </row>
    <row r="3755" spans="8:10">
      <c r="H3755" s="156"/>
      <c r="I3755" s="156"/>
      <c r="J3755" s="156"/>
    </row>
    <row r="3756" spans="8:10">
      <c r="H3756" s="156"/>
      <c r="I3756" s="156"/>
      <c r="J3756" s="156"/>
    </row>
    <row r="3757" spans="8:10">
      <c r="H3757" s="156"/>
      <c r="I3757" s="156"/>
      <c r="J3757" s="156"/>
    </row>
    <row r="3758" spans="8:10">
      <c r="H3758" s="156"/>
      <c r="I3758" s="156"/>
      <c r="J3758" s="156"/>
    </row>
    <row r="3759" spans="8:10">
      <c r="H3759" s="156"/>
      <c r="I3759" s="156"/>
      <c r="J3759" s="156"/>
    </row>
    <row r="3760" spans="8:10">
      <c r="H3760" s="156"/>
      <c r="I3760" s="156"/>
      <c r="J3760" s="156"/>
    </row>
    <row r="3761" spans="8:10">
      <c r="H3761" s="156"/>
      <c r="I3761" s="156"/>
      <c r="J3761" s="156"/>
    </row>
    <row r="3762" spans="8:10">
      <c r="H3762" s="156"/>
      <c r="I3762" s="156"/>
      <c r="J3762" s="156"/>
    </row>
    <row r="3763" spans="8:10">
      <c r="H3763" s="156"/>
      <c r="I3763" s="156"/>
      <c r="J3763" s="156"/>
    </row>
    <row r="3764" spans="8:10">
      <c r="H3764" s="156"/>
      <c r="I3764" s="156"/>
      <c r="J3764" s="156"/>
    </row>
    <row r="3765" spans="8:10">
      <c r="H3765" s="156"/>
      <c r="I3765" s="156"/>
      <c r="J3765" s="156"/>
    </row>
    <row r="3766" spans="8:10">
      <c r="H3766" s="156"/>
      <c r="I3766" s="156"/>
      <c r="J3766" s="156"/>
    </row>
    <row r="3767" spans="8:10">
      <c r="H3767" s="156"/>
      <c r="I3767" s="156"/>
      <c r="J3767" s="156"/>
    </row>
    <row r="3768" spans="8:10">
      <c r="H3768" s="156"/>
      <c r="I3768" s="156"/>
      <c r="J3768" s="156"/>
    </row>
    <row r="3769" spans="8:10">
      <c r="H3769" s="156"/>
      <c r="I3769" s="156"/>
      <c r="J3769" s="156"/>
    </row>
    <row r="3770" spans="8:10">
      <c r="H3770" s="156"/>
      <c r="I3770" s="156"/>
      <c r="J3770" s="156"/>
    </row>
    <row r="3771" spans="8:10">
      <c r="H3771" s="156"/>
      <c r="I3771" s="156"/>
      <c r="J3771" s="156"/>
    </row>
    <row r="3772" spans="8:10">
      <c r="H3772" s="156"/>
      <c r="I3772" s="156"/>
      <c r="J3772" s="156"/>
    </row>
    <row r="3773" spans="8:10">
      <c r="H3773" s="156"/>
      <c r="I3773" s="156"/>
      <c r="J3773" s="156"/>
    </row>
    <row r="3774" spans="8:10">
      <c r="H3774" s="156"/>
      <c r="I3774" s="156"/>
      <c r="J3774" s="156"/>
    </row>
    <row r="3775" spans="8:10">
      <c r="H3775" s="156"/>
      <c r="I3775" s="156"/>
      <c r="J3775" s="156"/>
    </row>
    <row r="3776" spans="8:10">
      <c r="H3776" s="156"/>
      <c r="I3776" s="156"/>
      <c r="J3776" s="156"/>
    </row>
    <row r="3777" spans="8:10">
      <c r="H3777" s="156"/>
      <c r="I3777" s="156"/>
      <c r="J3777" s="156"/>
    </row>
    <row r="3778" spans="8:10">
      <c r="H3778" s="156"/>
      <c r="I3778" s="156"/>
      <c r="J3778" s="156"/>
    </row>
    <row r="3779" spans="8:10">
      <c r="H3779" s="156"/>
      <c r="I3779" s="156"/>
      <c r="J3779" s="156"/>
    </row>
    <row r="3780" spans="8:10">
      <c r="H3780" s="156"/>
      <c r="I3780" s="156"/>
      <c r="J3780" s="156"/>
    </row>
    <row r="3781" spans="8:10">
      <c r="H3781" s="156"/>
      <c r="I3781" s="156"/>
      <c r="J3781" s="156"/>
    </row>
    <row r="3782" spans="8:10">
      <c r="H3782" s="156"/>
      <c r="I3782" s="156"/>
      <c r="J3782" s="156"/>
    </row>
    <row r="3783" spans="8:10">
      <c r="H3783" s="156"/>
      <c r="I3783" s="156"/>
      <c r="J3783" s="156"/>
    </row>
    <row r="3784" spans="8:10">
      <c r="H3784" s="156"/>
      <c r="I3784" s="156"/>
      <c r="J3784" s="156"/>
    </row>
    <row r="3785" spans="8:10">
      <c r="H3785" s="156"/>
      <c r="I3785" s="156"/>
      <c r="J3785" s="156"/>
    </row>
    <row r="3786" spans="8:10">
      <c r="H3786" s="156"/>
      <c r="I3786" s="156"/>
      <c r="J3786" s="156"/>
    </row>
    <row r="3787" spans="8:10">
      <c r="H3787" s="156"/>
      <c r="I3787" s="156"/>
      <c r="J3787" s="156"/>
    </row>
    <row r="3788" spans="8:10">
      <c r="H3788" s="156"/>
      <c r="I3788" s="156"/>
      <c r="J3788" s="156"/>
    </row>
    <row r="3789" spans="8:10">
      <c r="H3789" s="156"/>
      <c r="I3789" s="156"/>
      <c r="J3789" s="156"/>
    </row>
    <row r="3790" spans="8:10">
      <c r="H3790" s="156"/>
      <c r="I3790" s="156"/>
      <c r="J3790" s="156"/>
    </row>
    <row r="3791" spans="8:10">
      <c r="H3791" s="156"/>
      <c r="I3791" s="156"/>
      <c r="J3791" s="156"/>
    </row>
    <row r="3792" spans="8:10">
      <c r="H3792" s="156"/>
      <c r="I3792" s="156"/>
      <c r="J3792" s="156"/>
    </row>
    <row r="3793" spans="8:10">
      <c r="H3793" s="156"/>
      <c r="I3793" s="156"/>
      <c r="J3793" s="156"/>
    </row>
    <row r="3794" spans="8:10">
      <c r="H3794" s="156"/>
      <c r="I3794" s="156"/>
      <c r="J3794" s="156"/>
    </row>
    <row r="3795" spans="8:10">
      <c r="H3795" s="156"/>
      <c r="I3795" s="156"/>
      <c r="J3795" s="156"/>
    </row>
    <row r="3796" spans="8:10">
      <c r="H3796" s="156"/>
      <c r="I3796" s="156"/>
      <c r="J3796" s="156"/>
    </row>
    <row r="3797" spans="8:10">
      <c r="H3797" s="156"/>
      <c r="I3797" s="156"/>
      <c r="J3797" s="156"/>
    </row>
    <row r="3798" spans="8:10">
      <c r="H3798" s="156"/>
      <c r="I3798" s="156"/>
      <c r="J3798" s="156"/>
    </row>
    <row r="3799" spans="8:10">
      <c r="H3799" s="156"/>
      <c r="I3799" s="156"/>
      <c r="J3799" s="156"/>
    </row>
    <row r="3800" spans="8:10">
      <c r="H3800" s="156"/>
      <c r="I3800" s="156"/>
      <c r="J3800" s="156"/>
    </row>
    <row r="3801" spans="8:10">
      <c r="H3801" s="156"/>
      <c r="I3801" s="156"/>
      <c r="J3801" s="156"/>
    </row>
    <row r="3802" spans="8:10">
      <c r="H3802" s="156"/>
      <c r="I3802" s="156"/>
      <c r="J3802" s="156"/>
    </row>
    <row r="3803" spans="8:10">
      <c r="H3803" s="156"/>
      <c r="I3803" s="156"/>
      <c r="J3803" s="156"/>
    </row>
    <row r="3804" spans="8:10">
      <c r="H3804" s="156"/>
      <c r="I3804" s="156"/>
      <c r="J3804" s="156"/>
    </row>
    <row r="3805" spans="8:10">
      <c r="H3805" s="156"/>
      <c r="I3805" s="156"/>
      <c r="J3805" s="156"/>
    </row>
    <row r="3806" spans="8:10">
      <c r="H3806" s="156"/>
      <c r="I3806" s="156"/>
      <c r="J3806" s="156"/>
    </row>
    <row r="3807" spans="8:10">
      <c r="H3807" s="156"/>
      <c r="I3807" s="156"/>
      <c r="J3807" s="156"/>
    </row>
    <row r="3808" spans="8:10">
      <c r="H3808" s="156"/>
      <c r="I3808" s="156"/>
      <c r="J3808" s="156"/>
    </row>
    <row r="3809" spans="8:10">
      <c r="H3809" s="156"/>
      <c r="I3809" s="156"/>
      <c r="J3809" s="156"/>
    </row>
    <row r="3810" spans="8:10">
      <c r="H3810" s="156"/>
      <c r="I3810" s="156"/>
      <c r="J3810" s="156"/>
    </row>
    <row r="3811" spans="8:10">
      <c r="H3811" s="156"/>
      <c r="I3811" s="156"/>
      <c r="J3811" s="156"/>
    </row>
    <row r="3812" spans="8:10">
      <c r="H3812" s="156"/>
      <c r="I3812" s="156"/>
      <c r="J3812" s="156"/>
    </row>
    <row r="3813" spans="8:10">
      <c r="H3813" s="156"/>
      <c r="I3813" s="156"/>
      <c r="J3813" s="156"/>
    </row>
    <row r="3814" spans="8:10">
      <c r="H3814" s="156"/>
      <c r="I3814" s="156"/>
      <c r="J3814" s="156"/>
    </row>
    <row r="3815" spans="8:10">
      <c r="H3815" s="156"/>
      <c r="I3815" s="156"/>
      <c r="J3815" s="156"/>
    </row>
    <row r="3816" spans="8:10">
      <c r="H3816" s="156"/>
      <c r="I3816" s="156"/>
      <c r="J3816" s="156"/>
    </row>
    <row r="3817" spans="8:10">
      <c r="H3817" s="156"/>
      <c r="I3817" s="156"/>
      <c r="J3817" s="156"/>
    </row>
    <row r="3818" spans="8:10">
      <c r="H3818" s="156"/>
      <c r="I3818" s="156"/>
      <c r="J3818" s="156"/>
    </row>
    <row r="3819" spans="8:10">
      <c r="H3819" s="156"/>
      <c r="I3819" s="156"/>
      <c r="J3819" s="156"/>
    </row>
    <row r="3820" spans="8:10">
      <c r="H3820" s="156"/>
      <c r="I3820" s="156"/>
      <c r="J3820" s="156"/>
    </row>
    <row r="3821" spans="8:10">
      <c r="H3821" s="156"/>
      <c r="I3821" s="156"/>
      <c r="J3821" s="156"/>
    </row>
    <row r="3822" spans="8:10">
      <c r="H3822" s="156"/>
      <c r="I3822" s="156"/>
      <c r="J3822" s="156"/>
    </row>
    <row r="3823" spans="8:10">
      <c r="H3823" s="156"/>
      <c r="I3823" s="156"/>
      <c r="J3823" s="156"/>
    </row>
    <row r="3824" spans="8:10">
      <c r="H3824" s="156"/>
      <c r="I3824" s="156"/>
      <c r="J3824" s="156"/>
    </row>
    <row r="3825" spans="8:10">
      <c r="H3825" s="156"/>
      <c r="I3825" s="156"/>
      <c r="J3825" s="156"/>
    </row>
    <row r="3826" spans="8:10">
      <c r="H3826" s="156"/>
      <c r="I3826" s="156"/>
      <c r="J3826" s="156"/>
    </row>
    <row r="3827" spans="8:10">
      <c r="H3827" s="156"/>
      <c r="I3827" s="156"/>
      <c r="J3827" s="156"/>
    </row>
    <row r="3828" spans="8:10">
      <c r="H3828" s="156"/>
      <c r="I3828" s="156"/>
      <c r="J3828" s="156"/>
    </row>
    <row r="3829" spans="8:10">
      <c r="H3829" s="156"/>
      <c r="I3829" s="156"/>
      <c r="J3829" s="156"/>
    </row>
    <row r="3830" spans="8:10">
      <c r="H3830" s="156"/>
      <c r="I3830" s="156"/>
      <c r="J3830" s="156"/>
    </row>
    <row r="3831" spans="8:10">
      <c r="H3831" s="156"/>
      <c r="I3831" s="156"/>
      <c r="J3831" s="156"/>
    </row>
    <row r="3832" spans="8:10">
      <c r="H3832" s="156"/>
      <c r="I3832" s="156"/>
      <c r="J3832" s="156"/>
    </row>
    <row r="3833" spans="8:10">
      <c r="H3833" s="156"/>
      <c r="I3833" s="156"/>
      <c r="J3833" s="156"/>
    </row>
    <row r="3834" spans="8:10">
      <c r="H3834" s="156"/>
      <c r="I3834" s="156"/>
      <c r="J3834" s="156"/>
    </row>
    <row r="3835" spans="8:10">
      <c r="H3835" s="156"/>
      <c r="I3835" s="156"/>
      <c r="J3835" s="156"/>
    </row>
    <row r="3836" spans="8:10">
      <c r="H3836" s="156"/>
      <c r="I3836" s="156"/>
      <c r="J3836" s="156"/>
    </row>
    <row r="3837" spans="8:10">
      <c r="H3837" s="156"/>
      <c r="I3837" s="156"/>
      <c r="J3837" s="156"/>
    </row>
    <row r="3838" spans="8:10">
      <c r="H3838" s="156"/>
      <c r="I3838" s="156"/>
      <c r="J3838" s="156"/>
    </row>
    <row r="3839" spans="8:10">
      <c r="H3839" s="156"/>
      <c r="I3839" s="156"/>
      <c r="J3839" s="156"/>
    </row>
    <row r="3840" spans="8:10">
      <c r="H3840" s="156"/>
      <c r="I3840" s="156"/>
      <c r="J3840" s="156"/>
    </row>
    <row r="3841" spans="8:10">
      <c r="H3841" s="156"/>
      <c r="I3841" s="156"/>
      <c r="J3841" s="156"/>
    </row>
    <row r="3842" spans="8:10">
      <c r="H3842" s="156"/>
      <c r="I3842" s="156"/>
      <c r="J3842" s="156"/>
    </row>
    <row r="3843" spans="8:10">
      <c r="H3843" s="156"/>
      <c r="I3843" s="156"/>
      <c r="J3843" s="156"/>
    </row>
    <row r="3844" spans="8:10">
      <c r="H3844" s="156"/>
      <c r="I3844" s="156"/>
      <c r="J3844" s="156"/>
    </row>
    <row r="3845" spans="8:10">
      <c r="H3845" s="156"/>
      <c r="I3845" s="156"/>
      <c r="J3845" s="156"/>
    </row>
    <row r="3846" spans="8:10">
      <c r="H3846" s="156"/>
      <c r="I3846" s="156"/>
      <c r="J3846" s="156"/>
    </row>
    <row r="3847" spans="8:10">
      <c r="H3847" s="156"/>
      <c r="I3847" s="156"/>
      <c r="J3847" s="156"/>
    </row>
    <row r="3848" spans="8:10">
      <c r="H3848" s="156"/>
      <c r="I3848" s="156"/>
      <c r="J3848" s="156"/>
    </row>
    <row r="3849" spans="8:10">
      <c r="H3849" s="156"/>
      <c r="I3849" s="156"/>
      <c r="J3849" s="156"/>
    </row>
    <row r="3850" spans="8:10">
      <c r="H3850" s="156"/>
      <c r="I3850" s="156"/>
      <c r="J3850" s="156"/>
    </row>
    <row r="3851" spans="8:10">
      <c r="H3851" s="156"/>
      <c r="I3851" s="156"/>
      <c r="J3851" s="156"/>
    </row>
    <row r="3852" spans="8:10">
      <c r="H3852" s="156"/>
      <c r="I3852" s="156"/>
      <c r="J3852" s="156"/>
    </row>
    <row r="3853" spans="8:10">
      <c r="H3853" s="156"/>
      <c r="I3853" s="156"/>
      <c r="J3853" s="156"/>
    </row>
    <row r="3854" spans="8:10">
      <c r="H3854" s="156"/>
      <c r="I3854" s="156"/>
      <c r="J3854" s="156"/>
    </row>
    <row r="3855" spans="8:10">
      <c r="H3855" s="156"/>
      <c r="I3855" s="156"/>
      <c r="J3855" s="156"/>
    </row>
    <row r="3856" spans="8:10">
      <c r="H3856" s="156"/>
      <c r="I3856" s="156"/>
      <c r="J3856" s="156"/>
    </row>
    <row r="3857" spans="8:10">
      <c r="H3857" s="156"/>
      <c r="I3857" s="156"/>
      <c r="J3857" s="156"/>
    </row>
    <row r="3858" spans="8:10">
      <c r="H3858" s="156"/>
      <c r="I3858" s="156"/>
      <c r="J3858" s="156"/>
    </row>
    <row r="3859" spans="8:10">
      <c r="H3859" s="156"/>
      <c r="I3859" s="156"/>
      <c r="J3859" s="156"/>
    </row>
    <row r="3860" spans="8:10">
      <c r="H3860" s="156"/>
      <c r="I3860" s="156"/>
      <c r="J3860" s="156"/>
    </row>
    <row r="3861" spans="8:10">
      <c r="H3861" s="156"/>
      <c r="I3861" s="156"/>
      <c r="J3861" s="156"/>
    </row>
    <row r="3862" spans="8:10">
      <c r="H3862" s="156"/>
      <c r="I3862" s="156"/>
      <c r="J3862" s="156"/>
    </row>
    <row r="3863" spans="8:10">
      <c r="H3863" s="156"/>
      <c r="I3863" s="156"/>
      <c r="J3863" s="156"/>
    </row>
    <row r="3864" spans="8:10">
      <c r="H3864" s="156"/>
      <c r="I3864" s="156"/>
      <c r="J3864" s="156"/>
    </row>
    <row r="3865" spans="8:10">
      <c r="H3865" s="156"/>
      <c r="I3865" s="156"/>
      <c r="J3865" s="156"/>
    </row>
    <row r="3866" spans="8:10">
      <c r="H3866" s="156"/>
      <c r="I3866" s="156"/>
      <c r="J3866" s="156"/>
    </row>
    <row r="3867" spans="8:10">
      <c r="H3867" s="156"/>
      <c r="I3867" s="156"/>
      <c r="J3867" s="156"/>
    </row>
    <row r="3868" spans="8:10">
      <c r="H3868" s="156"/>
      <c r="I3868" s="156"/>
      <c r="J3868" s="156"/>
    </row>
    <row r="3869" spans="8:10">
      <c r="H3869" s="156"/>
      <c r="I3869" s="156"/>
      <c r="J3869" s="156"/>
    </row>
    <row r="3870" spans="8:10">
      <c r="H3870" s="156"/>
      <c r="I3870" s="156"/>
      <c r="J3870" s="156"/>
    </row>
    <row r="3871" spans="8:10">
      <c r="H3871" s="156"/>
      <c r="I3871" s="156"/>
      <c r="J3871" s="156"/>
    </row>
    <row r="3872" spans="8:10">
      <c r="H3872" s="156"/>
      <c r="I3872" s="156"/>
      <c r="J3872" s="156"/>
    </row>
    <row r="3873" spans="8:10">
      <c r="H3873" s="156"/>
      <c r="I3873" s="156"/>
      <c r="J3873" s="156"/>
    </row>
    <row r="3874" spans="8:10">
      <c r="H3874" s="156"/>
      <c r="I3874" s="156"/>
      <c r="J3874" s="156"/>
    </row>
    <row r="3875" spans="8:10">
      <c r="H3875" s="156"/>
      <c r="I3875" s="156"/>
      <c r="J3875" s="156"/>
    </row>
    <row r="3876" spans="8:10">
      <c r="H3876" s="156"/>
      <c r="I3876" s="156"/>
      <c r="J3876" s="156"/>
    </row>
    <row r="3877" spans="8:10">
      <c r="H3877" s="156"/>
      <c r="I3877" s="156"/>
      <c r="J3877" s="156"/>
    </row>
    <row r="3878" spans="8:10">
      <c r="H3878" s="156"/>
      <c r="I3878" s="156"/>
      <c r="J3878" s="156"/>
    </row>
    <row r="3879" spans="8:10">
      <c r="H3879" s="156"/>
      <c r="I3879" s="156"/>
      <c r="J3879" s="156"/>
    </row>
    <row r="3880" spans="8:10">
      <c r="H3880" s="156"/>
      <c r="I3880" s="156"/>
      <c r="J3880" s="156"/>
    </row>
    <row r="3881" spans="8:10">
      <c r="H3881" s="156"/>
      <c r="I3881" s="156"/>
      <c r="J3881" s="156"/>
    </row>
    <row r="3882" spans="8:10">
      <c r="H3882" s="156"/>
      <c r="I3882" s="156"/>
      <c r="J3882" s="156"/>
    </row>
    <row r="3883" spans="8:10">
      <c r="H3883" s="156"/>
      <c r="I3883" s="156"/>
      <c r="J3883" s="156"/>
    </row>
    <row r="3884" spans="8:10">
      <c r="H3884" s="156"/>
      <c r="I3884" s="156"/>
      <c r="J3884" s="156"/>
    </row>
    <row r="3885" spans="8:10">
      <c r="H3885" s="156"/>
      <c r="I3885" s="156"/>
      <c r="J3885" s="156"/>
    </row>
    <row r="3886" spans="8:10">
      <c r="H3886" s="156"/>
      <c r="I3886" s="156"/>
      <c r="J3886" s="156"/>
    </row>
    <row r="3887" spans="8:10">
      <c r="H3887" s="156"/>
      <c r="I3887" s="156"/>
      <c r="J3887" s="156"/>
    </row>
    <row r="3888" spans="8:10">
      <c r="H3888" s="156"/>
      <c r="I3888" s="156"/>
      <c r="J3888" s="156"/>
    </row>
    <row r="3889" spans="8:10">
      <c r="H3889" s="156"/>
      <c r="I3889" s="156"/>
      <c r="J3889" s="156"/>
    </row>
    <row r="3890" spans="8:10">
      <c r="H3890" s="156"/>
      <c r="I3890" s="156"/>
      <c r="J3890" s="156"/>
    </row>
    <row r="3891" spans="8:10">
      <c r="H3891" s="156"/>
      <c r="I3891" s="156"/>
      <c r="J3891" s="156"/>
    </row>
    <row r="3892" spans="8:10">
      <c r="H3892" s="156"/>
      <c r="I3892" s="156"/>
      <c r="J3892" s="156"/>
    </row>
    <row r="3893" spans="8:10">
      <c r="H3893" s="156"/>
      <c r="I3893" s="156"/>
      <c r="J3893" s="156"/>
    </row>
    <row r="3894" spans="8:10">
      <c r="H3894" s="156"/>
      <c r="I3894" s="156"/>
      <c r="J3894" s="156"/>
    </row>
    <row r="3895" spans="8:10">
      <c r="H3895" s="156"/>
      <c r="I3895" s="156"/>
      <c r="J3895" s="156"/>
    </row>
    <row r="3896" spans="8:10">
      <c r="H3896" s="156"/>
      <c r="I3896" s="156"/>
      <c r="J3896" s="156"/>
    </row>
    <row r="3897" spans="8:10">
      <c r="H3897" s="156"/>
      <c r="I3897" s="156"/>
      <c r="J3897" s="156"/>
    </row>
    <row r="3898" spans="8:10">
      <c r="H3898" s="156"/>
      <c r="I3898" s="156"/>
      <c r="J3898" s="156"/>
    </row>
    <row r="3899" spans="8:10">
      <c r="H3899" s="156"/>
      <c r="I3899" s="156"/>
      <c r="J3899" s="156"/>
    </row>
    <row r="3900" spans="8:10">
      <c r="H3900" s="156"/>
      <c r="I3900" s="156"/>
      <c r="J3900" s="156"/>
    </row>
    <row r="3901" spans="8:10">
      <c r="H3901" s="156"/>
      <c r="I3901" s="156"/>
      <c r="J3901" s="156"/>
    </row>
    <row r="3902" spans="8:10">
      <c r="H3902" s="156"/>
      <c r="I3902" s="156"/>
      <c r="J3902" s="156"/>
    </row>
    <row r="3903" spans="8:10">
      <c r="H3903" s="156"/>
      <c r="I3903" s="156"/>
      <c r="J3903" s="156"/>
    </row>
    <row r="3904" spans="8:10">
      <c r="H3904" s="156"/>
      <c r="I3904" s="156"/>
      <c r="J3904" s="156"/>
    </row>
    <row r="3905" spans="8:10">
      <c r="H3905" s="156"/>
      <c r="I3905" s="156"/>
      <c r="J3905" s="156"/>
    </row>
    <row r="3906" spans="8:10">
      <c r="H3906" s="156"/>
      <c r="I3906" s="156"/>
      <c r="J3906" s="156"/>
    </row>
    <row r="3907" spans="8:10">
      <c r="H3907" s="156"/>
      <c r="I3907" s="156"/>
      <c r="J3907" s="156"/>
    </row>
    <row r="3908" spans="8:10">
      <c r="H3908" s="156"/>
      <c r="I3908" s="156"/>
      <c r="J3908" s="156"/>
    </row>
    <row r="3909" spans="8:10">
      <c r="H3909" s="156"/>
      <c r="I3909" s="156"/>
      <c r="J3909" s="156"/>
    </row>
    <row r="3910" spans="8:10">
      <c r="H3910" s="156"/>
      <c r="I3910" s="156"/>
      <c r="J3910" s="156"/>
    </row>
    <row r="3911" spans="8:10">
      <c r="H3911" s="156"/>
      <c r="I3911" s="156"/>
      <c r="J3911" s="156"/>
    </row>
    <row r="3912" spans="8:10">
      <c r="H3912" s="156"/>
      <c r="I3912" s="156"/>
      <c r="J3912" s="156"/>
    </row>
    <row r="3913" spans="8:10">
      <c r="H3913" s="156"/>
      <c r="I3913" s="156"/>
      <c r="J3913" s="156"/>
    </row>
    <row r="3914" spans="8:10">
      <c r="H3914" s="156"/>
      <c r="I3914" s="156"/>
      <c r="J3914" s="156"/>
    </row>
    <row r="3915" spans="8:10">
      <c r="H3915" s="156"/>
      <c r="I3915" s="156"/>
      <c r="J3915" s="156"/>
    </row>
    <row r="3916" spans="8:10">
      <c r="H3916" s="156"/>
      <c r="I3916" s="156"/>
      <c r="J3916" s="156"/>
    </row>
    <row r="3917" spans="8:10">
      <c r="H3917" s="156"/>
      <c r="I3917" s="156"/>
      <c r="J3917" s="156"/>
    </row>
    <row r="3918" spans="8:10">
      <c r="H3918" s="156"/>
      <c r="I3918" s="156"/>
      <c r="J3918" s="156"/>
    </row>
    <row r="3919" spans="8:10">
      <c r="H3919" s="156"/>
      <c r="I3919" s="156"/>
      <c r="J3919" s="156"/>
    </row>
    <row r="3920" spans="8:10">
      <c r="H3920" s="156"/>
      <c r="I3920" s="156"/>
      <c r="J3920" s="156"/>
    </row>
    <row r="3921" spans="8:10">
      <c r="H3921" s="156"/>
      <c r="I3921" s="156"/>
      <c r="J3921" s="156"/>
    </row>
    <row r="3922" spans="8:10">
      <c r="H3922" s="156"/>
      <c r="I3922" s="156"/>
      <c r="J3922" s="156"/>
    </row>
    <row r="3923" spans="8:10">
      <c r="H3923" s="156"/>
      <c r="I3923" s="156"/>
      <c r="J3923" s="156"/>
    </row>
    <row r="3924" spans="8:10">
      <c r="H3924" s="156"/>
      <c r="I3924" s="156"/>
      <c r="J3924" s="156"/>
    </row>
    <row r="3925" spans="8:10">
      <c r="H3925" s="156"/>
      <c r="I3925" s="156"/>
      <c r="J3925" s="156"/>
    </row>
    <row r="3926" spans="8:10">
      <c r="H3926" s="156"/>
      <c r="I3926" s="156"/>
      <c r="J3926" s="156"/>
    </row>
    <row r="3927" spans="8:10">
      <c r="H3927" s="156"/>
      <c r="I3927" s="156"/>
      <c r="J3927" s="156"/>
    </row>
    <row r="3928" spans="8:10">
      <c r="H3928" s="156"/>
      <c r="I3928" s="156"/>
      <c r="J3928" s="156"/>
    </row>
    <row r="3929" spans="8:10">
      <c r="H3929" s="156"/>
      <c r="I3929" s="156"/>
      <c r="J3929" s="156"/>
    </row>
    <row r="3930" spans="8:10">
      <c r="H3930" s="156"/>
      <c r="I3930" s="156"/>
      <c r="J3930" s="156"/>
    </row>
    <row r="3931" spans="8:10">
      <c r="H3931" s="156"/>
      <c r="I3931" s="156"/>
      <c r="J3931" s="156"/>
    </row>
    <row r="3932" spans="8:10">
      <c r="H3932" s="156"/>
      <c r="I3932" s="156"/>
      <c r="J3932" s="156"/>
    </row>
    <row r="3933" spans="8:10">
      <c r="H3933" s="156"/>
      <c r="I3933" s="156"/>
      <c r="J3933" s="156"/>
    </row>
    <row r="3934" spans="8:10">
      <c r="H3934" s="156"/>
      <c r="I3934" s="156"/>
      <c r="J3934" s="156"/>
    </row>
    <row r="3935" spans="8:10">
      <c r="H3935" s="156"/>
      <c r="I3935" s="156"/>
      <c r="J3935" s="156"/>
    </row>
    <row r="3936" spans="8:10">
      <c r="H3936" s="156"/>
      <c r="I3936" s="156"/>
      <c r="J3936" s="156"/>
    </row>
    <row r="3937" spans="8:10">
      <c r="H3937" s="156"/>
      <c r="I3937" s="156"/>
      <c r="J3937" s="156"/>
    </row>
    <row r="3938" spans="8:10">
      <c r="H3938" s="156"/>
      <c r="I3938" s="156"/>
      <c r="J3938" s="156"/>
    </row>
    <row r="3939" spans="8:10">
      <c r="H3939" s="156"/>
      <c r="I3939" s="156"/>
      <c r="J3939" s="156"/>
    </row>
    <row r="3940" spans="8:10">
      <c r="H3940" s="156"/>
      <c r="I3940" s="156"/>
      <c r="J3940" s="156"/>
    </row>
    <row r="3941" spans="8:10">
      <c r="H3941" s="156"/>
      <c r="I3941" s="156"/>
      <c r="J3941" s="156"/>
    </row>
    <row r="3942" spans="8:10">
      <c r="H3942" s="156"/>
      <c r="I3942" s="156"/>
      <c r="J3942" s="156"/>
    </row>
    <row r="3943" spans="8:10">
      <c r="H3943" s="156"/>
      <c r="I3943" s="156"/>
      <c r="J3943" s="156"/>
    </row>
    <row r="3944" spans="8:10">
      <c r="H3944" s="156"/>
      <c r="I3944" s="156"/>
      <c r="J3944" s="156"/>
    </row>
    <row r="3945" spans="8:10">
      <c r="H3945" s="156"/>
      <c r="I3945" s="156"/>
      <c r="J3945" s="156"/>
    </row>
    <row r="3946" spans="8:10">
      <c r="H3946" s="156"/>
      <c r="I3946" s="156"/>
      <c r="J3946" s="156"/>
    </row>
    <row r="3947" spans="8:10">
      <c r="H3947" s="156"/>
      <c r="I3947" s="156"/>
      <c r="J3947" s="156"/>
    </row>
    <row r="3948" spans="8:10">
      <c r="H3948" s="156"/>
      <c r="I3948" s="156"/>
      <c r="J3948" s="156"/>
    </row>
    <row r="3949" spans="8:10">
      <c r="H3949" s="156"/>
      <c r="I3949" s="156"/>
      <c r="J3949" s="156"/>
    </row>
    <row r="3950" spans="8:10">
      <c r="H3950" s="156"/>
      <c r="I3950" s="156"/>
      <c r="J3950" s="156"/>
    </row>
    <row r="3951" spans="8:10">
      <c r="H3951" s="156"/>
      <c r="I3951" s="156"/>
      <c r="J3951" s="156"/>
    </row>
    <row r="3952" spans="8:10">
      <c r="H3952" s="156"/>
      <c r="I3952" s="156"/>
      <c r="J3952" s="156"/>
    </row>
    <row r="3953" spans="8:10">
      <c r="H3953" s="156"/>
      <c r="I3953" s="156"/>
      <c r="J3953" s="156"/>
    </row>
    <row r="3954" spans="8:10">
      <c r="H3954" s="156"/>
      <c r="I3954" s="156"/>
      <c r="J3954" s="156"/>
    </row>
    <row r="3955" spans="8:10">
      <c r="H3955" s="156"/>
      <c r="I3955" s="156"/>
      <c r="J3955" s="156"/>
    </row>
    <row r="3956" spans="8:10">
      <c r="H3956" s="156"/>
      <c r="I3956" s="156"/>
      <c r="J3956" s="156"/>
    </row>
    <row r="3957" spans="8:10">
      <c r="H3957" s="156"/>
      <c r="I3957" s="156"/>
      <c r="J3957" s="156"/>
    </row>
    <row r="3958" spans="8:10">
      <c r="H3958" s="156"/>
      <c r="I3958" s="156"/>
      <c r="J3958" s="156"/>
    </row>
    <row r="3959" spans="8:10">
      <c r="H3959" s="156"/>
      <c r="I3959" s="156"/>
      <c r="J3959" s="156"/>
    </row>
    <row r="3960" spans="8:10">
      <c r="H3960" s="156"/>
      <c r="I3960" s="156"/>
      <c r="J3960" s="156"/>
    </row>
    <row r="3961" spans="8:10">
      <c r="H3961" s="156"/>
      <c r="I3961" s="156"/>
      <c r="J3961" s="156"/>
    </row>
    <row r="3962" spans="8:10">
      <c r="H3962" s="156"/>
      <c r="I3962" s="156"/>
      <c r="J3962" s="156"/>
    </row>
    <row r="3963" spans="8:10">
      <c r="H3963" s="156"/>
      <c r="I3963" s="156"/>
      <c r="J3963" s="156"/>
    </row>
    <row r="3964" spans="8:10">
      <c r="H3964" s="156"/>
      <c r="I3964" s="156"/>
      <c r="J3964" s="156"/>
    </row>
    <row r="3965" spans="8:10">
      <c r="H3965" s="156"/>
      <c r="I3965" s="156"/>
      <c r="J3965" s="156"/>
    </row>
    <row r="3966" spans="8:10">
      <c r="H3966" s="156"/>
      <c r="I3966" s="156"/>
      <c r="J3966" s="156"/>
    </row>
    <row r="3967" spans="8:10">
      <c r="H3967" s="156"/>
      <c r="I3967" s="156"/>
      <c r="J3967" s="156"/>
    </row>
    <row r="3968" spans="8:10">
      <c r="H3968" s="156"/>
      <c r="I3968" s="156"/>
      <c r="J3968" s="156"/>
    </row>
    <row r="3969" spans="8:10">
      <c r="H3969" s="156"/>
      <c r="I3969" s="156"/>
      <c r="J3969" s="156"/>
    </row>
    <row r="3970" spans="8:10">
      <c r="H3970" s="156"/>
      <c r="I3970" s="156"/>
      <c r="J3970" s="156"/>
    </row>
    <row r="3971" spans="8:10">
      <c r="H3971" s="156"/>
      <c r="I3971" s="156"/>
      <c r="J3971" s="156"/>
    </row>
    <row r="3972" spans="8:10">
      <c r="H3972" s="156"/>
      <c r="I3972" s="156"/>
      <c r="J3972" s="156"/>
    </row>
    <row r="3973" spans="8:10">
      <c r="H3973" s="156"/>
      <c r="I3973" s="156"/>
      <c r="J3973" s="156"/>
    </row>
    <row r="3974" spans="8:10">
      <c r="H3974" s="156"/>
      <c r="I3974" s="156"/>
      <c r="J3974" s="156"/>
    </row>
    <row r="3975" spans="8:10">
      <c r="H3975" s="156"/>
      <c r="I3975" s="156"/>
      <c r="J3975" s="156"/>
    </row>
    <row r="3976" spans="8:10">
      <c r="H3976" s="156"/>
      <c r="I3976" s="156"/>
      <c r="J3976" s="156"/>
    </row>
    <row r="3977" spans="8:10">
      <c r="H3977" s="156"/>
      <c r="I3977" s="156"/>
      <c r="J3977" s="156"/>
    </row>
    <row r="3978" spans="8:10">
      <c r="H3978" s="156"/>
      <c r="I3978" s="156"/>
      <c r="J3978" s="156"/>
    </row>
    <row r="3979" spans="8:10">
      <c r="H3979" s="156"/>
      <c r="I3979" s="156"/>
      <c r="J3979" s="156"/>
    </row>
    <row r="3980" spans="8:10">
      <c r="H3980" s="156"/>
      <c r="I3980" s="156"/>
      <c r="J3980" s="156"/>
    </row>
    <row r="3981" spans="8:10">
      <c r="H3981" s="156"/>
      <c r="I3981" s="156"/>
      <c r="J3981" s="156"/>
    </row>
    <row r="3982" spans="8:10">
      <c r="H3982" s="156"/>
      <c r="I3982" s="156"/>
      <c r="J3982" s="156"/>
    </row>
    <row r="3983" spans="8:10">
      <c r="H3983" s="156"/>
      <c r="I3983" s="156"/>
      <c r="J3983" s="156"/>
    </row>
    <row r="3984" spans="8:10">
      <c r="H3984" s="156"/>
      <c r="I3984" s="156"/>
      <c r="J3984" s="156"/>
    </row>
    <row r="3985" spans="8:10">
      <c r="H3985" s="156"/>
      <c r="I3985" s="156"/>
      <c r="J3985" s="156"/>
    </row>
    <row r="3986" spans="8:10">
      <c r="H3986" s="156"/>
      <c r="I3986" s="156"/>
      <c r="J3986" s="156"/>
    </row>
    <row r="3987" spans="8:10">
      <c r="H3987" s="156"/>
      <c r="I3987" s="156"/>
      <c r="J3987" s="156"/>
    </row>
    <row r="3988" spans="8:10">
      <c r="H3988" s="156"/>
      <c r="I3988" s="156"/>
      <c r="J3988" s="156"/>
    </row>
    <row r="3989" spans="8:10">
      <c r="H3989" s="156"/>
      <c r="I3989" s="156"/>
      <c r="J3989" s="156"/>
    </row>
    <row r="3990" spans="8:10">
      <c r="H3990" s="156"/>
      <c r="I3990" s="156"/>
      <c r="J3990" s="156"/>
    </row>
    <row r="3991" spans="8:10">
      <c r="H3991" s="156"/>
      <c r="I3991" s="156"/>
      <c r="J3991" s="156"/>
    </row>
    <row r="3992" spans="8:10">
      <c r="H3992" s="156"/>
      <c r="I3992" s="156"/>
      <c r="J3992" s="156"/>
    </row>
    <row r="3993" spans="8:10">
      <c r="H3993" s="156"/>
      <c r="I3993" s="156"/>
      <c r="J3993" s="156"/>
    </row>
    <row r="3994" spans="8:10">
      <c r="H3994" s="156"/>
      <c r="I3994" s="156"/>
      <c r="J3994" s="156"/>
    </row>
    <row r="3995" spans="8:10">
      <c r="H3995" s="156"/>
      <c r="I3995" s="156"/>
      <c r="J3995" s="156"/>
    </row>
    <row r="3996" spans="8:10">
      <c r="H3996" s="156"/>
      <c r="I3996" s="156"/>
      <c r="J3996" s="156"/>
    </row>
    <row r="3997" spans="8:10">
      <c r="H3997" s="156"/>
      <c r="I3997" s="156"/>
      <c r="J3997" s="156"/>
    </row>
    <row r="3998" spans="8:10">
      <c r="H3998" s="156"/>
      <c r="I3998" s="156"/>
      <c r="J3998" s="156"/>
    </row>
    <row r="3999" spans="8:10">
      <c r="H3999" s="156"/>
      <c r="I3999" s="156"/>
      <c r="J3999" s="156"/>
    </row>
    <row r="4000" spans="8:10">
      <c r="H4000" s="156"/>
      <c r="I4000" s="156"/>
      <c r="J4000" s="156"/>
    </row>
    <row r="4001" spans="8:10">
      <c r="H4001" s="156"/>
      <c r="I4001" s="156"/>
      <c r="J4001" s="156"/>
    </row>
    <row r="4002" spans="8:10">
      <c r="H4002" s="156"/>
      <c r="I4002" s="156"/>
      <c r="J4002" s="156"/>
    </row>
    <row r="4003" spans="8:10">
      <c r="H4003" s="156"/>
      <c r="I4003" s="156"/>
      <c r="J4003" s="156"/>
    </row>
    <row r="4004" spans="8:10">
      <c r="H4004" s="156"/>
      <c r="I4004" s="156"/>
      <c r="J4004" s="156"/>
    </row>
    <row r="4005" spans="8:10">
      <c r="H4005" s="156"/>
      <c r="I4005" s="156"/>
      <c r="J4005" s="156"/>
    </row>
    <row r="4006" spans="8:10">
      <c r="H4006" s="156"/>
      <c r="I4006" s="156"/>
      <c r="J4006" s="156"/>
    </row>
    <row r="4007" spans="8:10">
      <c r="H4007" s="156"/>
      <c r="I4007" s="156"/>
      <c r="J4007" s="156"/>
    </row>
    <row r="4008" spans="8:10">
      <c r="H4008" s="156"/>
      <c r="I4008" s="156"/>
      <c r="J4008" s="156"/>
    </row>
    <row r="4009" spans="8:10">
      <c r="H4009" s="156"/>
      <c r="I4009" s="156"/>
      <c r="J4009" s="156"/>
    </row>
    <row r="4010" spans="8:10">
      <c r="H4010" s="156"/>
      <c r="I4010" s="156"/>
      <c r="J4010" s="156"/>
    </row>
    <row r="4011" spans="8:10">
      <c r="H4011" s="156"/>
      <c r="I4011" s="156"/>
      <c r="J4011" s="156"/>
    </row>
    <row r="4012" spans="8:10">
      <c r="H4012" s="156"/>
      <c r="I4012" s="156"/>
      <c r="J4012" s="156"/>
    </row>
    <row r="4013" spans="8:10">
      <c r="H4013" s="156"/>
      <c r="I4013" s="156"/>
      <c r="J4013" s="156"/>
    </row>
    <row r="4014" spans="8:10">
      <c r="H4014" s="156"/>
      <c r="I4014" s="156"/>
      <c r="J4014" s="156"/>
    </row>
    <row r="4015" spans="8:10">
      <c r="H4015" s="156"/>
      <c r="I4015" s="156"/>
      <c r="J4015" s="156"/>
    </row>
    <row r="4016" spans="8:10">
      <c r="H4016" s="156"/>
      <c r="I4016" s="156"/>
      <c r="J4016" s="156"/>
    </row>
    <row r="4017" spans="8:10">
      <c r="H4017" s="156"/>
      <c r="I4017" s="156"/>
      <c r="J4017" s="156"/>
    </row>
    <row r="4018" spans="8:10">
      <c r="H4018" s="156"/>
      <c r="I4018" s="156"/>
      <c r="J4018" s="156"/>
    </row>
    <row r="4019" spans="8:10">
      <c r="H4019" s="156"/>
      <c r="I4019" s="156"/>
      <c r="J4019" s="156"/>
    </row>
    <row r="4020" spans="8:10">
      <c r="H4020" s="156"/>
      <c r="I4020" s="156"/>
      <c r="J4020" s="156"/>
    </row>
    <row r="4021" spans="8:10">
      <c r="H4021" s="156"/>
      <c r="I4021" s="156"/>
      <c r="J4021" s="156"/>
    </row>
    <row r="4022" spans="8:10">
      <c r="H4022" s="156"/>
      <c r="I4022" s="156"/>
      <c r="J4022" s="156"/>
    </row>
    <row r="4023" spans="8:10">
      <c r="H4023" s="156"/>
      <c r="I4023" s="156"/>
      <c r="J4023" s="156"/>
    </row>
    <row r="4024" spans="8:10">
      <c r="H4024" s="156"/>
      <c r="I4024" s="156"/>
      <c r="J4024" s="156"/>
    </row>
    <row r="4025" spans="8:10">
      <c r="H4025" s="156"/>
      <c r="I4025" s="156"/>
      <c r="J4025" s="156"/>
    </row>
    <row r="4026" spans="8:10">
      <c r="H4026" s="156"/>
      <c r="I4026" s="156"/>
      <c r="J4026" s="156"/>
    </row>
    <row r="4027" spans="8:10">
      <c r="H4027" s="156"/>
      <c r="I4027" s="156"/>
      <c r="J4027" s="156"/>
    </row>
    <row r="4028" spans="8:10">
      <c r="H4028" s="156"/>
      <c r="I4028" s="156"/>
      <c r="J4028" s="156"/>
    </row>
    <row r="4029" spans="8:10">
      <c r="H4029" s="156"/>
      <c r="I4029" s="156"/>
      <c r="J4029" s="156"/>
    </row>
    <row r="4030" spans="8:10">
      <c r="H4030" s="156"/>
      <c r="I4030" s="156"/>
      <c r="J4030" s="156"/>
    </row>
    <row r="4031" spans="8:10">
      <c r="H4031" s="156"/>
      <c r="I4031" s="156"/>
      <c r="J4031" s="156"/>
    </row>
    <row r="4032" spans="8:10">
      <c r="H4032" s="156"/>
      <c r="I4032" s="156"/>
      <c r="J4032" s="156"/>
    </row>
    <row r="4033" spans="8:10">
      <c r="H4033" s="156"/>
      <c r="I4033" s="156"/>
      <c r="J4033" s="156"/>
    </row>
    <row r="4034" spans="8:10">
      <c r="H4034" s="156"/>
      <c r="I4034" s="156"/>
      <c r="J4034" s="156"/>
    </row>
    <row r="4035" spans="8:10">
      <c r="H4035" s="156"/>
      <c r="I4035" s="156"/>
      <c r="J4035" s="156"/>
    </row>
    <row r="4036" spans="8:10">
      <c r="H4036" s="156"/>
      <c r="I4036" s="156"/>
      <c r="J4036" s="156"/>
    </row>
    <row r="4037" spans="8:10">
      <c r="H4037" s="156"/>
      <c r="I4037" s="156"/>
      <c r="J4037" s="156"/>
    </row>
    <row r="4038" spans="8:10">
      <c r="H4038" s="156"/>
      <c r="I4038" s="156"/>
      <c r="J4038" s="156"/>
    </row>
    <row r="4039" spans="8:10">
      <c r="H4039" s="156"/>
      <c r="I4039" s="156"/>
      <c r="J4039" s="156"/>
    </row>
    <row r="4040" spans="8:10">
      <c r="H4040" s="156"/>
      <c r="I4040" s="156"/>
      <c r="J4040" s="156"/>
    </row>
    <row r="4041" spans="8:10">
      <c r="H4041" s="156"/>
      <c r="I4041" s="156"/>
      <c r="J4041" s="156"/>
    </row>
    <row r="4042" spans="8:10">
      <c r="H4042" s="156"/>
      <c r="I4042" s="156"/>
      <c r="J4042" s="156"/>
    </row>
    <row r="4043" spans="8:10">
      <c r="H4043" s="156"/>
      <c r="I4043" s="156"/>
      <c r="J4043" s="156"/>
    </row>
    <row r="4044" spans="8:10">
      <c r="H4044" s="156"/>
      <c r="I4044" s="156"/>
      <c r="J4044" s="156"/>
    </row>
    <row r="4045" spans="8:10">
      <c r="H4045" s="156"/>
      <c r="I4045" s="156"/>
      <c r="J4045" s="156"/>
    </row>
    <row r="4046" spans="8:10">
      <c r="H4046" s="156"/>
      <c r="I4046" s="156"/>
      <c r="J4046" s="156"/>
    </row>
    <row r="4047" spans="8:10">
      <c r="H4047" s="156"/>
      <c r="I4047" s="156"/>
      <c r="J4047" s="156"/>
    </row>
    <row r="4048" spans="8:10">
      <c r="H4048" s="156"/>
      <c r="I4048" s="156"/>
      <c r="J4048" s="156"/>
    </row>
    <row r="4049" spans="8:10">
      <c r="H4049" s="156"/>
      <c r="I4049" s="156"/>
      <c r="J4049" s="156"/>
    </row>
    <row r="4050" spans="8:10">
      <c r="H4050" s="156"/>
      <c r="I4050" s="156"/>
      <c r="J4050" s="156"/>
    </row>
    <row r="4051" spans="8:10">
      <c r="H4051" s="156"/>
      <c r="I4051" s="156"/>
      <c r="J4051" s="156"/>
    </row>
    <row r="4052" spans="8:10">
      <c r="H4052" s="156"/>
      <c r="I4052" s="156"/>
      <c r="J4052" s="156"/>
    </row>
    <row r="4053" spans="8:10">
      <c r="H4053" s="156"/>
      <c r="I4053" s="156"/>
      <c r="J4053" s="156"/>
    </row>
    <row r="4054" spans="8:10">
      <c r="H4054" s="156"/>
      <c r="I4054" s="156"/>
      <c r="J4054" s="156"/>
    </row>
    <row r="4055" spans="8:10">
      <c r="H4055" s="156"/>
      <c r="I4055" s="156"/>
      <c r="J4055" s="156"/>
    </row>
    <row r="4056" spans="8:10">
      <c r="H4056" s="156"/>
      <c r="I4056" s="156"/>
      <c r="J4056" s="156"/>
    </row>
    <row r="4057" spans="8:10">
      <c r="H4057" s="156"/>
      <c r="I4057" s="156"/>
      <c r="J4057" s="156"/>
    </row>
    <row r="4058" spans="8:10">
      <c r="H4058" s="156"/>
      <c r="I4058" s="156"/>
      <c r="J4058" s="156"/>
    </row>
    <row r="4059" spans="8:10">
      <c r="H4059" s="156"/>
      <c r="I4059" s="156"/>
      <c r="J4059" s="156"/>
    </row>
    <row r="4060" spans="8:10">
      <c r="H4060" s="156"/>
      <c r="I4060" s="156"/>
      <c r="J4060" s="156"/>
    </row>
    <row r="4061" spans="8:10">
      <c r="H4061" s="156"/>
      <c r="I4061" s="156"/>
      <c r="J4061" s="156"/>
    </row>
    <row r="4062" spans="8:10">
      <c r="H4062" s="156"/>
      <c r="I4062" s="156"/>
      <c r="J4062" s="156"/>
    </row>
    <row r="4063" spans="8:10">
      <c r="H4063" s="156"/>
      <c r="I4063" s="156"/>
      <c r="J4063" s="156"/>
    </row>
    <row r="4064" spans="8:10">
      <c r="H4064" s="156"/>
      <c r="I4064" s="156"/>
      <c r="J4064" s="156"/>
    </row>
    <row r="4065" spans="8:10">
      <c r="H4065" s="156"/>
      <c r="I4065" s="156"/>
      <c r="J4065" s="156"/>
    </row>
    <row r="4066" spans="8:10">
      <c r="H4066" s="156"/>
      <c r="I4066" s="156"/>
      <c r="J4066" s="156"/>
    </row>
    <row r="4067" spans="8:10">
      <c r="H4067" s="156"/>
      <c r="I4067" s="156"/>
      <c r="J4067" s="156"/>
    </row>
    <row r="4068" spans="8:10">
      <c r="H4068" s="156"/>
      <c r="I4068" s="156"/>
      <c r="J4068" s="156"/>
    </row>
    <row r="4069" spans="8:10">
      <c r="H4069" s="156"/>
      <c r="I4069" s="156"/>
      <c r="J4069" s="156"/>
    </row>
    <row r="4070" spans="8:10">
      <c r="H4070" s="156"/>
      <c r="I4070" s="156"/>
      <c r="J4070" s="156"/>
    </row>
    <row r="4071" spans="8:10">
      <c r="H4071" s="156"/>
      <c r="I4071" s="156"/>
      <c r="J4071" s="156"/>
    </row>
    <row r="4072" spans="8:10">
      <c r="H4072" s="156"/>
      <c r="I4072" s="156"/>
      <c r="J4072" s="156"/>
    </row>
    <row r="4073" spans="8:10">
      <c r="H4073" s="156"/>
      <c r="I4073" s="156"/>
      <c r="J4073" s="156"/>
    </row>
    <row r="4074" spans="8:10">
      <c r="H4074" s="156"/>
      <c r="I4074" s="156"/>
      <c r="J4074" s="156"/>
    </row>
    <row r="4075" spans="8:10">
      <c r="H4075" s="156"/>
      <c r="I4075" s="156"/>
      <c r="J4075" s="156"/>
    </row>
    <row r="4076" spans="8:10">
      <c r="H4076" s="156"/>
      <c r="I4076" s="156"/>
      <c r="J4076" s="156"/>
    </row>
    <row r="4077" spans="8:10">
      <c r="H4077" s="156"/>
      <c r="I4077" s="156"/>
      <c r="J4077" s="156"/>
    </row>
    <row r="4078" spans="8:10">
      <c r="H4078" s="156"/>
      <c r="I4078" s="156"/>
      <c r="J4078" s="156"/>
    </row>
    <row r="4079" spans="8:10">
      <c r="H4079" s="156"/>
      <c r="I4079" s="156"/>
      <c r="J4079" s="156"/>
    </row>
    <row r="4080" spans="8:10">
      <c r="H4080" s="156"/>
      <c r="I4080" s="156"/>
      <c r="J4080" s="156"/>
    </row>
    <row r="4081" spans="8:10">
      <c r="H4081" s="156"/>
      <c r="I4081" s="156"/>
      <c r="J4081" s="156"/>
    </row>
    <row r="4082" spans="8:10">
      <c r="H4082" s="156"/>
      <c r="I4082" s="156"/>
      <c r="J4082" s="156"/>
    </row>
    <row r="4083" spans="8:10">
      <c r="H4083" s="156"/>
      <c r="I4083" s="156"/>
      <c r="J4083" s="156"/>
    </row>
    <row r="4084" spans="8:10">
      <c r="H4084" s="156"/>
      <c r="I4084" s="156"/>
      <c r="J4084" s="156"/>
    </row>
    <row r="4085" spans="8:10">
      <c r="H4085" s="156"/>
      <c r="I4085" s="156"/>
      <c r="J4085" s="156"/>
    </row>
    <row r="4086" spans="8:10">
      <c r="H4086" s="156"/>
      <c r="I4086" s="156"/>
      <c r="J4086" s="156"/>
    </row>
    <row r="4087" spans="8:10">
      <c r="H4087" s="156"/>
      <c r="I4087" s="156"/>
      <c r="J4087" s="156"/>
    </row>
    <row r="4088" spans="8:10">
      <c r="H4088" s="156"/>
      <c r="I4088" s="156"/>
      <c r="J4088" s="156"/>
    </row>
    <row r="4089" spans="8:10">
      <c r="H4089" s="156"/>
      <c r="I4089" s="156"/>
      <c r="J4089" s="156"/>
    </row>
    <row r="4090" spans="8:10">
      <c r="H4090" s="156"/>
      <c r="I4090" s="156"/>
      <c r="J4090" s="156"/>
    </row>
    <row r="4091" spans="8:10">
      <c r="H4091" s="156"/>
      <c r="I4091" s="156"/>
      <c r="J4091" s="156"/>
    </row>
    <row r="4092" spans="8:10">
      <c r="H4092" s="156"/>
      <c r="I4092" s="156"/>
      <c r="J4092" s="156"/>
    </row>
    <row r="4093" spans="8:10">
      <c r="H4093" s="156"/>
      <c r="I4093" s="156"/>
      <c r="J4093" s="156"/>
    </row>
    <row r="4094" spans="8:10">
      <c r="H4094" s="156"/>
      <c r="I4094" s="156"/>
      <c r="J4094" s="156"/>
    </row>
    <row r="4095" spans="8:10">
      <c r="H4095" s="156"/>
      <c r="I4095" s="156"/>
      <c r="J4095" s="156"/>
    </row>
    <row r="4096" spans="8:10">
      <c r="H4096" s="156"/>
      <c r="I4096" s="156"/>
      <c r="J4096" s="156"/>
    </row>
    <row r="4097" spans="8:10">
      <c r="H4097" s="156"/>
      <c r="I4097" s="156"/>
      <c r="J4097" s="156"/>
    </row>
    <row r="4098" spans="8:10">
      <c r="H4098" s="156"/>
      <c r="I4098" s="156"/>
      <c r="J4098" s="156"/>
    </row>
    <row r="4099" spans="8:10">
      <c r="H4099" s="156"/>
      <c r="I4099" s="156"/>
      <c r="J4099" s="156"/>
    </row>
    <row r="4100" spans="8:10">
      <c r="H4100" s="156"/>
      <c r="I4100" s="156"/>
      <c r="J4100" s="156"/>
    </row>
    <row r="4101" spans="8:10">
      <c r="H4101" s="156"/>
      <c r="I4101" s="156"/>
      <c r="J4101" s="156"/>
    </row>
    <row r="4102" spans="8:10">
      <c r="H4102" s="156"/>
      <c r="I4102" s="156"/>
      <c r="J4102" s="156"/>
    </row>
    <row r="4103" spans="8:10">
      <c r="H4103" s="156"/>
      <c r="I4103" s="156"/>
      <c r="J4103" s="156"/>
    </row>
    <row r="4104" spans="8:10">
      <c r="H4104" s="156"/>
      <c r="I4104" s="156"/>
      <c r="J4104" s="156"/>
    </row>
    <row r="4105" spans="8:10">
      <c r="H4105" s="156"/>
      <c r="I4105" s="156"/>
      <c r="J4105" s="156"/>
    </row>
    <row r="4106" spans="8:10">
      <c r="H4106" s="156"/>
      <c r="I4106" s="156"/>
      <c r="J4106" s="156"/>
    </row>
    <row r="4107" spans="8:10">
      <c r="H4107" s="156"/>
      <c r="I4107" s="156"/>
      <c r="J4107" s="156"/>
    </row>
    <row r="4108" spans="8:10">
      <c r="H4108" s="156"/>
      <c r="I4108" s="156"/>
      <c r="J4108" s="156"/>
    </row>
    <row r="4109" spans="8:10">
      <c r="H4109" s="156"/>
      <c r="I4109" s="156"/>
      <c r="J4109" s="156"/>
    </row>
    <row r="4110" spans="8:10">
      <c r="H4110" s="156"/>
      <c r="I4110" s="156"/>
      <c r="J4110" s="156"/>
    </row>
    <row r="4111" spans="8:10">
      <c r="H4111" s="156"/>
      <c r="I4111" s="156"/>
      <c r="J4111" s="156"/>
    </row>
    <row r="4112" spans="8:10">
      <c r="H4112" s="156"/>
      <c r="I4112" s="156"/>
      <c r="J4112" s="156"/>
    </row>
    <row r="4113" spans="8:10">
      <c r="H4113" s="156"/>
      <c r="I4113" s="156"/>
      <c r="J4113" s="156"/>
    </row>
    <row r="4114" spans="8:10">
      <c r="H4114" s="156"/>
      <c r="I4114" s="156"/>
      <c r="J4114" s="156"/>
    </row>
    <row r="4115" spans="8:10">
      <c r="H4115" s="156"/>
      <c r="I4115" s="156"/>
      <c r="J4115" s="156"/>
    </row>
    <row r="4116" spans="8:10">
      <c r="H4116" s="156"/>
      <c r="I4116" s="156"/>
      <c r="J4116" s="156"/>
    </row>
    <row r="4117" spans="8:10">
      <c r="H4117" s="156"/>
      <c r="I4117" s="156"/>
      <c r="J4117" s="156"/>
    </row>
    <row r="4118" spans="8:10">
      <c r="H4118" s="156"/>
      <c r="I4118" s="156"/>
      <c r="J4118" s="156"/>
    </row>
    <row r="4119" spans="8:10">
      <c r="H4119" s="156"/>
      <c r="I4119" s="156"/>
      <c r="J4119" s="156"/>
    </row>
    <row r="4120" spans="8:10">
      <c r="H4120" s="156"/>
      <c r="I4120" s="156"/>
      <c r="J4120" s="156"/>
    </row>
    <row r="4121" spans="8:10">
      <c r="H4121" s="156"/>
      <c r="I4121" s="156"/>
      <c r="J4121" s="156"/>
    </row>
    <row r="4122" spans="8:10">
      <c r="H4122" s="156"/>
      <c r="I4122" s="156"/>
      <c r="J4122" s="156"/>
    </row>
    <row r="4123" spans="8:10">
      <c r="H4123" s="156"/>
      <c r="I4123" s="156"/>
      <c r="J4123" s="156"/>
    </row>
    <row r="4124" spans="8:10">
      <c r="H4124" s="156"/>
      <c r="I4124" s="156"/>
      <c r="J4124" s="156"/>
    </row>
    <row r="4125" spans="8:10">
      <c r="H4125" s="156"/>
      <c r="I4125" s="156"/>
      <c r="J4125" s="156"/>
    </row>
    <row r="4126" spans="8:10">
      <c r="H4126" s="156"/>
      <c r="I4126" s="156"/>
      <c r="J4126" s="156"/>
    </row>
    <row r="4127" spans="8:10">
      <c r="H4127" s="156"/>
      <c r="I4127" s="156"/>
      <c r="J4127" s="156"/>
    </row>
    <row r="4128" spans="8:10">
      <c r="H4128" s="156"/>
      <c r="I4128" s="156"/>
      <c r="J4128" s="156"/>
    </row>
    <row r="4129" spans="8:10">
      <c r="H4129" s="156"/>
      <c r="I4129" s="156"/>
      <c r="J4129" s="156"/>
    </row>
    <row r="4130" spans="8:10">
      <c r="H4130" s="156"/>
      <c r="I4130" s="156"/>
      <c r="J4130" s="156"/>
    </row>
    <row r="4131" spans="8:10">
      <c r="H4131" s="156"/>
      <c r="I4131" s="156"/>
      <c r="J4131" s="156"/>
    </row>
    <row r="4132" spans="8:10">
      <c r="H4132" s="156"/>
      <c r="I4132" s="156"/>
      <c r="J4132" s="156"/>
    </row>
    <row r="4133" spans="8:10">
      <c r="H4133" s="156"/>
      <c r="I4133" s="156"/>
      <c r="J4133" s="156"/>
    </row>
    <row r="4134" spans="8:10">
      <c r="H4134" s="156"/>
      <c r="I4134" s="156"/>
      <c r="J4134" s="156"/>
    </row>
    <row r="4135" spans="8:10">
      <c r="H4135" s="156"/>
      <c r="I4135" s="156"/>
      <c r="J4135" s="156"/>
    </row>
    <row r="4136" spans="8:10">
      <c r="H4136" s="156"/>
      <c r="I4136" s="156"/>
      <c r="J4136" s="156"/>
    </row>
    <row r="4137" spans="8:10">
      <c r="H4137" s="156"/>
      <c r="I4137" s="156"/>
      <c r="J4137" s="156"/>
    </row>
    <row r="4138" spans="8:10">
      <c r="H4138" s="156"/>
      <c r="I4138" s="156"/>
      <c r="J4138" s="156"/>
    </row>
    <row r="4139" spans="8:10">
      <c r="H4139" s="156"/>
      <c r="I4139" s="156"/>
      <c r="J4139" s="156"/>
    </row>
    <row r="4140" spans="8:10">
      <c r="H4140" s="156"/>
      <c r="I4140" s="156"/>
      <c r="J4140" s="156"/>
    </row>
    <row r="4141" spans="8:10">
      <c r="H4141" s="156"/>
      <c r="I4141" s="156"/>
      <c r="J4141" s="156"/>
    </row>
    <row r="4142" spans="8:10">
      <c r="H4142" s="156"/>
      <c r="I4142" s="156"/>
      <c r="J4142" s="156"/>
    </row>
    <row r="4143" spans="8:10">
      <c r="H4143" s="156"/>
      <c r="I4143" s="156"/>
      <c r="J4143" s="156"/>
    </row>
    <row r="4144" spans="8:10">
      <c r="H4144" s="156"/>
      <c r="I4144" s="156"/>
      <c r="J4144" s="156"/>
    </row>
    <row r="4145" spans="8:10">
      <c r="H4145" s="156"/>
      <c r="I4145" s="156"/>
      <c r="J4145" s="156"/>
    </row>
    <row r="4146" spans="8:10">
      <c r="H4146" s="156"/>
      <c r="I4146" s="156"/>
      <c r="J4146" s="156"/>
    </row>
    <row r="4147" spans="8:10">
      <c r="H4147" s="156"/>
      <c r="I4147" s="156"/>
      <c r="J4147" s="156"/>
    </row>
    <row r="4148" spans="8:10">
      <c r="H4148" s="156"/>
      <c r="I4148" s="156"/>
      <c r="J4148" s="156"/>
    </row>
    <row r="4149" spans="8:10">
      <c r="H4149" s="156"/>
      <c r="I4149" s="156"/>
      <c r="J4149" s="156"/>
    </row>
    <row r="4150" spans="8:10">
      <c r="H4150" s="156"/>
      <c r="I4150" s="156"/>
      <c r="J4150" s="156"/>
    </row>
    <row r="4151" spans="8:10">
      <c r="H4151" s="156"/>
      <c r="I4151" s="156"/>
      <c r="J4151" s="156"/>
    </row>
    <row r="4152" spans="8:10">
      <c r="H4152" s="156"/>
      <c r="I4152" s="156"/>
      <c r="J4152" s="156"/>
    </row>
    <row r="4153" spans="8:10">
      <c r="H4153" s="156"/>
      <c r="I4153" s="156"/>
      <c r="J4153" s="156"/>
    </row>
    <row r="4154" spans="8:10">
      <c r="H4154" s="156"/>
      <c r="I4154" s="156"/>
      <c r="J4154" s="156"/>
    </row>
    <row r="4155" spans="8:10">
      <c r="H4155" s="156"/>
      <c r="I4155" s="156"/>
      <c r="J4155" s="156"/>
    </row>
    <row r="4156" spans="8:10">
      <c r="H4156" s="156"/>
      <c r="I4156" s="156"/>
      <c r="J4156" s="156"/>
    </row>
    <row r="4157" spans="8:10">
      <c r="H4157" s="156"/>
      <c r="I4157" s="156"/>
      <c r="J4157" s="156"/>
    </row>
    <row r="4158" spans="8:10">
      <c r="H4158" s="156"/>
      <c r="I4158" s="156"/>
      <c r="J4158" s="156"/>
    </row>
    <row r="4159" spans="8:10">
      <c r="H4159" s="156"/>
      <c r="I4159" s="156"/>
      <c r="J4159" s="156"/>
    </row>
    <row r="4160" spans="8:10">
      <c r="H4160" s="156"/>
      <c r="I4160" s="156"/>
      <c r="J4160" s="156"/>
    </row>
    <row r="4161" spans="8:10">
      <c r="H4161" s="156"/>
      <c r="I4161" s="156"/>
      <c r="J4161" s="156"/>
    </row>
    <row r="4162" spans="8:10">
      <c r="H4162" s="156"/>
      <c r="I4162" s="156"/>
      <c r="J4162" s="156"/>
    </row>
    <row r="4163" spans="8:10">
      <c r="H4163" s="156"/>
      <c r="I4163" s="156"/>
      <c r="J4163" s="156"/>
    </row>
    <row r="4164" spans="8:10">
      <c r="H4164" s="156"/>
      <c r="I4164" s="156"/>
      <c r="J4164" s="156"/>
    </row>
    <row r="4165" spans="8:10">
      <c r="H4165" s="156"/>
      <c r="I4165" s="156"/>
      <c r="J4165" s="156"/>
    </row>
    <row r="4166" spans="8:10">
      <c r="H4166" s="156"/>
      <c r="I4166" s="156"/>
      <c r="J4166" s="156"/>
    </row>
    <row r="4167" spans="8:10">
      <c r="H4167" s="156"/>
      <c r="I4167" s="156"/>
      <c r="J4167" s="156"/>
    </row>
    <row r="4168" spans="8:10">
      <c r="H4168" s="156"/>
      <c r="I4168" s="156"/>
      <c r="J4168" s="156"/>
    </row>
    <row r="4169" spans="8:10">
      <c r="H4169" s="156"/>
      <c r="I4169" s="156"/>
      <c r="J4169" s="156"/>
    </row>
    <row r="4170" spans="8:10">
      <c r="H4170" s="156"/>
      <c r="I4170" s="156"/>
      <c r="J4170" s="156"/>
    </row>
    <row r="4171" spans="8:10">
      <c r="H4171" s="156"/>
      <c r="I4171" s="156"/>
      <c r="J4171" s="156"/>
    </row>
    <row r="4172" spans="8:10">
      <c r="H4172" s="156"/>
      <c r="I4172" s="156"/>
      <c r="J4172" s="156"/>
    </row>
    <row r="4173" spans="8:10">
      <c r="H4173" s="156"/>
      <c r="I4173" s="156"/>
      <c r="J4173" s="156"/>
    </row>
    <row r="4174" spans="8:10">
      <c r="H4174" s="156"/>
      <c r="I4174" s="156"/>
      <c r="J4174" s="156"/>
    </row>
    <row r="4175" spans="8:10">
      <c r="H4175" s="156"/>
      <c r="I4175" s="156"/>
      <c r="J4175" s="156"/>
    </row>
    <row r="4176" spans="8:10">
      <c r="H4176" s="156"/>
      <c r="I4176" s="156"/>
      <c r="J4176" s="156"/>
    </row>
    <row r="4177" spans="8:10">
      <c r="H4177" s="156"/>
      <c r="I4177" s="156"/>
      <c r="J4177" s="156"/>
    </row>
    <row r="4178" spans="8:10">
      <c r="H4178" s="156"/>
      <c r="I4178" s="156"/>
      <c r="J4178" s="156"/>
    </row>
    <row r="4179" spans="8:10">
      <c r="H4179" s="156"/>
      <c r="I4179" s="156"/>
      <c r="J4179" s="156"/>
    </row>
    <row r="4180" spans="8:10">
      <c r="H4180" s="156"/>
      <c r="I4180" s="156"/>
      <c r="J4180" s="156"/>
    </row>
    <row r="4181" spans="8:10">
      <c r="H4181" s="156"/>
      <c r="I4181" s="156"/>
      <c r="J4181" s="156"/>
    </row>
    <row r="4182" spans="8:10">
      <c r="H4182" s="156"/>
      <c r="I4182" s="156"/>
      <c r="J4182" s="156"/>
    </row>
    <row r="4183" spans="8:10">
      <c r="H4183" s="156"/>
      <c r="I4183" s="156"/>
      <c r="J4183" s="156"/>
    </row>
    <row r="4184" spans="8:10">
      <c r="H4184" s="156"/>
      <c r="I4184" s="156"/>
      <c r="J4184" s="156"/>
    </row>
    <row r="4185" spans="8:10">
      <c r="H4185" s="156"/>
      <c r="I4185" s="156"/>
      <c r="J4185" s="156"/>
    </row>
    <row r="4186" spans="8:10">
      <c r="H4186" s="156"/>
      <c r="I4186" s="156"/>
      <c r="J4186" s="156"/>
    </row>
    <row r="4187" spans="8:10">
      <c r="H4187" s="156"/>
      <c r="I4187" s="156"/>
      <c r="J4187" s="156"/>
    </row>
    <row r="4188" spans="8:10">
      <c r="H4188" s="156"/>
      <c r="I4188" s="156"/>
      <c r="J4188" s="156"/>
    </row>
    <row r="4189" spans="8:10">
      <c r="H4189" s="156"/>
      <c r="I4189" s="156"/>
      <c r="J4189" s="156"/>
    </row>
    <row r="4190" spans="8:10">
      <c r="H4190" s="156"/>
      <c r="I4190" s="156"/>
      <c r="J4190" s="156"/>
    </row>
    <row r="4191" spans="8:10">
      <c r="H4191" s="156"/>
      <c r="I4191" s="156"/>
      <c r="J4191" s="156"/>
    </row>
    <row r="4192" spans="8:10">
      <c r="H4192" s="156"/>
      <c r="I4192" s="156"/>
      <c r="J4192" s="156"/>
    </row>
    <row r="4193" spans="8:10">
      <c r="H4193" s="156"/>
      <c r="I4193" s="156"/>
      <c r="J4193" s="156"/>
    </row>
    <row r="4194" spans="8:10">
      <c r="H4194" s="156"/>
      <c r="I4194" s="156"/>
      <c r="J4194" s="156"/>
    </row>
    <row r="4195" spans="8:10">
      <c r="H4195" s="156"/>
      <c r="I4195" s="156"/>
      <c r="J4195" s="156"/>
    </row>
    <row r="4196" spans="8:10">
      <c r="H4196" s="156"/>
      <c r="I4196" s="156"/>
      <c r="J4196" s="156"/>
    </row>
    <row r="4197" spans="8:10">
      <c r="H4197" s="156"/>
      <c r="I4197" s="156"/>
      <c r="J4197" s="156"/>
    </row>
    <row r="4198" spans="8:10">
      <c r="H4198" s="156"/>
      <c r="I4198" s="156"/>
      <c r="J4198" s="156"/>
    </row>
    <row r="4199" spans="8:10">
      <c r="H4199" s="156"/>
      <c r="I4199" s="156"/>
      <c r="J4199" s="156"/>
    </row>
    <row r="4200" spans="8:10">
      <c r="H4200" s="156"/>
      <c r="I4200" s="156"/>
      <c r="J4200" s="156"/>
    </row>
    <row r="4201" spans="8:10">
      <c r="H4201" s="156"/>
      <c r="I4201" s="156"/>
      <c r="J4201" s="156"/>
    </row>
    <row r="4202" spans="8:10">
      <c r="H4202" s="156"/>
      <c r="I4202" s="156"/>
      <c r="J4202" s="156"/>
    </row>
    <row r="4203" spans="8:10">
      <c r="H4203" s="156"/>
      <c r="I4203" s="156"/>
      <c r="J4203" s="156"/>
    </row>
    <row r="4204" spans="8:10">
      <c r="H4204" s="156"/>
      <c r="I4204" s="156"/>
      <c r="J4204" s="156"/>
    </row>
    <row r="4205" spans="8:10">
      <c r="H4205" s="156"/>
      <c r="I4205" s="156"/>
      <c r="J4205" s="156"/>
    </row>
    <row r="4206" spans="8:10">
      <c r="H4206" s="156"/>
      <c r="I4206" s="156"/>
      <c r="J4206" s="156"/>
    </row>
    <row r="4207" spans="8:10">
      <c r="H4207" s="156"/>
      <c r="I4207" s="156"/>
      <c r="J4207" s="156"/>
    </row>
    <row r="4208" spans="8:10">
      <c r="H4208" s="156"/>
      <c r="I4208" s="156"/>
      <c r="J4208" s="156"/>
    </row>
    <row r="4209" spans="8:10">
      <c r="H4209" s="156"/>
      <c r="I4209" s="156"/>
      <c r="J4209" s="156"/>
    </row>
    <row r="4210" spans="8:10">
      <c r="H4210" s="156"/>
      <c r="I4210" s="156"/>
      <c r="J4210" s="156"/>
    </row>
    <row r="4211" spans="8:10">
      <c r="H4211" s="156"/>
      <c r="I4211" s="156"/>
      <c r="J4211" s="156"/>
    </row>
    <row r="4212" spans="8:10">
      <c r="H4212" s="156"/>
      <c r="I4212" s="156"/>
      <c r="J4212" s="156"/>
    </row>
    <row r="4213" spans="8:10">
      <c r="H4213" s="156"/>
      <c r="I4213" s="156"/>
      <c r="J4213" s="156"/>
    </row>
    <row r="4214" spans="8:10">
      <c r="H4214" s="156"/>
      <c r="I4214" s="156"/>
      <c r="J4214" s="156"/>
    </row>
    <row r="4215" spans="8:10">
      <c r="H4215" s="156"/>
      <c r="I4215" s="156"/>
      <c r="J4215" s="156"/>
    </row>
    <row r="4216" spans="8:10">
      <c r="H4216" s="156"/>
      <c r="I4216" s="156"/>
      <c r="J4216" s="156"/>
    </row>
    <row r="4217" spans="8:10">
      <c r="H4217" s="156"/>
      <c r="I4217" s="156"/>
      <c r="J4217" s="156"/>
    </row>
    <row r="4218" spans="8:10">
      <c r="H4218" s="156"/>
      <c r="I4218" s="156"/>
      <c r="J4218" s="156"/>
    </row>
    <row r="4219" spans="8:10">
      <c r="H4219" s="156"/>
      <c r="I4219" s="156"/>
      <c r="J4219" s="156"/>
    </row>
    <row r="4220" spans="8:10">
      <c r="H4220" s="156"/>
      <c r="I4220" s="156"/>
      <c r="J4220" s="156"/>
    </row>
    <row r="4221" spans="8:10">
      <c r="H4221" s="156"/>
      <c r="I4221" s="156"/>
      <c r="J4221" s="156"/>
    </row>
    <row r="4222" spans="8:10">
      <c r="H4222" s="156"/>
      <c r="I4222" s="156"/>
      <c r="J4222" s="156"/>
    </row>
    <row r="4223" spans="8:10">
      <c r="H4223" s="156"/>
      <c r="I4223" s="156"/>
      <c r="J4223" s="156"/>
    </row>
    <row r="4224" spans="8:10">
      <c r="H4224" s="156"/>
      <c r="I4224" s="156"/>
      <c r="J4224" s="156"/>
    </row>
    <row r="4225" spans="8:10">
      <c r="H4225" s="156"/>
      <c r="I4225" s="156"/>
      <c r="J4225" s="156"/>
    </row>
    <row r="4226" spans="8:10">
      <c r="H4226" s="156"/>
      <c r="I4226" s="156"/>
      <c r="J4226" s="156"/>
    </row>
    <row r="4227" spans="8:10">
      <c r="H4227" s="156"/>
      <c r="I4227" s="156"/>
      <c r="J4227" s="156"/>
    </row>
    <row r="4228" spans="8:10">
      <c r="H4228" s="156"/>
      <c r="I4228" s="156"/>
      <c r="J4228" s="156"/>
    </row>
    <row r="4229" spans="8:10">
      <c r="H4229" s="156"/>
      <c r="I4229" s="156"/>
      <c r="J4229" s="156"/>
    </row>
    <row r="4230" spans="8:10">
      <c r="H4230" s="156"/>
      <c r="I4230" s="156"/>
      <c r="J4230" s="156"/>
    </row>
    <row r="4231" spans="8:10">
      <c r="H4231" s="156"/>
      <c r="I4231" s="156"/>
      <c r="J4231" s="156"/>
    </row>
    <row r="4232" spans="8:10">
      <c r="H4232" s="156"/>
      <c r="I4232" s="156"/>
      <c r="J4232" s="156"/>
    </row>
    <row r="4233" spans="8:10">
      <c r="H4233" s="156"/>
      <c r="I4233" s="156"/>
      <c r="J4233" s="156"/>
    </row>
    <row r="4234" spans="8:10">
      <c r="H4234" s="156"/>
      <c r="I4234" s="156"/>
      <c r="J4234" s="156"/>
    </row>
    <row r="4235" spans="8:10">
      <c r="H4235" s="156"/>
      <c r="I4235" s="156"/>
      <c r="J4235" s="156"/>
    </row>
    <row r="4236" spans="8:10">
      <c r="H4236" s="156"/>
      <c r="I4236" s="156"/>
      <c r="J4236" s="156"/>
    </row>
    <row r="4237" spans="8:10">
      <c r="H4237" s="156"/>
      <c r="I4237" s="156"/>
      <c r="J4237" s="156"/>
    </row>
    <row r="4238" spans="8:10">
      <c r="H4238" s="156"/>
      <c r="I4238" s="156"/>
      <c r="J4238" s="156"/>
    </row>
    <row r="4239" spans="8:10">
      <c r="H4239" s="156"/>
      <c r="I4239" s="156"/>
      <c r="J4239" s="156"/>
    </row>
    <row r="4240" spans="8:10">
      <c r="H4240" s="156"/>
      <c r="I4240" s="156"/>
      <c r="J4240" s="156"/>
    </row>
    <row r="4241" spans="8:10">
      <c r="H4241" s="156"/>
      <c r="I4241" s="156"/>
      <c r="J4241" s="156"/>
    </row>
    <row r="4242" spans="8:10">
      <c r="H4242" s="156"/>
      <c r="I4242" s="156"/>
      <c r="J4242" s="156"/>
    </row>
    <row r="4243" spans="8:10">
      <c r="H4243" s="156"/>
      <c r="I4243" s="156"/>
      <c r="J4243" s="156"/>
    </row>
    <row r="4244" spans="8:10">
      <c r="H4244" s="156"/>
      <c r="I4244" s="156"/>
      <c r="J4244" s="156"/>
    </row>
    <row r="4245" spans="8:10">
      <c r="H4245" s="156"/>
      <c r="I4245" s="156"/>
      <c r="J4245" s="156"/>
    </row>
    <row r="4246" spans="8:10">
      <c r="H4246" s="156"/>
      <c r="I4246" s="156"/>
      <c r="J4246" s="156"/>
    </row>
    <row r="4247" spans="8:10">
      <c r="H4247" s="156"/>
      <c r="I4247" s="156"/>
      <c r="J4247" s="156"/>
    </row>
    <row r="4248" spans="8:10">
      <c r="H4248" s="156"/>
      <c r="I4248" s="156"/>
      <c r="J4248" s="156"/>
    </row>
    <row r="4249" spans="8:10">
      <c r="H4249" s="156"/>
      <c r="I4249" s="156"/>
      <c r="J4249" s="156"/>
    </row>
    <row r="4250" spans="8:10">
      <c r="H4250" s="156"/>
      <c r="I4250" s="156"/>
      <c r="J4250" s="156"/>
    </row>
    <row r="4251" spans="8:10">
      <c r="H4251" s="156"/>
      <c r="I4251" s="156"/>
      <c r="J4251" s="156"/>
    </row>
    <row r="4252" spans="8:10">
      <c r="H4252" s="156"/>
      <c r="I4252" s="156"/>
      <c r="J4252" s="156"/>
    </row>
    <row r="4253" spans="8:10">
      <c r="H4253" s="156"/>
      <c r="I4253" s="156"/>
      <c r="J4253" s="156"/>
    </row>
    <row r="4254" spans="8:10">
      <c r="H4254" s="156"/>
      <c r="I4254" s="156"/>
      <c r="J4254" s="156"/>
    </row>
    <row r="4255" spans="8:10">
      <c r="H4255" s="156"/>
      <c r="I4255" s="156"/>
      <c r="J4255" s="156"/>
    </row>
    <row r="4256" spans="8:10">
      <c r="H4256" s="156"/>
      <c r="I4256" s="156"/>
      <c r="J4256" s="156"/>
    </row>
    <row r="4257" spans="8:10">
      <c r="H4257" s="156"/>
      <c r="I4257" s="156"/>
      <c r="J4257" s="156"/>
    </row>
    <row r="4258" spans="8:10">
      <c r="H4258" s="156"/>
      <c r="I4258" s="156"/>
      <c r="J4258" s="156"/>
    </row>
    <row r="4259" spans="8:10">
      <c r="H4259" s="156"/>
      <c r="I4259" s="156"/>
      <c r="J4259" s="156"/>
    </row>
    <row r="4260" spans="8:10">
      <c r="H4260" s="156"/>
      <c r="I4260" s="156"/>
      <c r="J4260" s="156"/>
    </row>
    <row r="4261" spans="8:10">
      <c r="H4261" s="156"/>
      <c r="I4261" s="156"/>
      <c r="J4261" s="156"/>
    </row>
    <row r="4262" spans="8:10">
      <c r="H4262" s="156"/>
      <c r="I4262" s="156"/>
      <c r="J4262" s="156"/>
    </row>
    <row r="4263" spans="8:10">
      <c r="H4263" s="156"/>
      <c r="I4263" s="156"/>
      <c r="J4263" s="156"/>
    </row>
    <row r="4264" spans="8:10">
      <c r="H4264" s="156"/>
      <c r="I4264" s="156"/>
      <c r="J4264" s="156"/>
    </row>
    <row r="4265" spans="8:10">
      <c r="H4265" s="156"/>
      <c r="I4265" s="156"/>
      <c r="J4265" s="156"/>
    </row>
    <row r="4266" spans="8:10">
      <c r="H4266" s="156"/>
      <c r="I4266" s="156"/>
      <c r="J4266" s="156"/>
    </row>
    <row r="4267" spans="8:10">
      <c r="H4267" s="156"/>
      <c r="I4267" s="156"/>
      <c r="J4267" s="156"/>
    </row>
    <row r="4268" spans="8:10">
      <c r="H4268" s="156"/>
      <c r="I4268" s="156"/>
      <c r="J4268" s="156"/>
    </row>
    <row r="4269" spans="8:10">
      <c r="H4269" s="156"/>
      <c r="I4269" s="156"/>
      <c r="J4269" s="156"/>
    </row>
    <row r="4270" spans="8:10">
      <c r="H4270" s="156"/>
      <c r="I4270" s="156"/>
      <c r="J4270" s="156"/>
    </row>
    <row r="4271" spans="8:10">
      <c r="H4271" s="156"/>
      <c r="I4271" s="156"/>
      <c r="J4271" s="156"/>
    </row>
    <row r="4272" spans="8:10">
      <c r="H4272" s="156"/>
      <c r="I4272" s="156"/>
      <c r="J4272" s="156"/>
    </row>
    <row r="4273" spans="8:10">
      <c r="H4273" s="156"/>
      <c r="I4273" s="156"/>
      <c r="J4273" s="156"/>
    </row>
    <row r="4274" spans="8:10">
      <c r="H4274" s="156"/>
      <c r="I4274" s="156"/>
      <c r="J4274" s="156"/>
    </row>
    <row r="4275" spans="8:10">
      <c r="H4275" s="156"/>
      <c r="I4275" s="156"/>
      <c r="J4275" s="156"/>
    </row>
    <row r="4276" spans="8:10">
      <c r="H4276" s="156"/>
      <c r="I4276" s="156"/>
      <c r="J4276" s="156"/>
    </row>
    <row r="4277" spans="8:10">
      <c r="H4277" s="156"/>
      <c r="I4277" s="156"/>
      <c r="J4277" s="156"/>
    </row>
    <row r="4278" spans="8:10">
      <c r="H4278" s="156"/>
      <c r="I4278" s="156"/>
      <c r="J4278" s="156"/>
    </row>
    <row r="4279" spans="8:10">
      <c r="H4279" s="156"/>
      <c r="I4279" s="156"/>
      <c r="J4279" s="156"/>
    </row>
    <row r="4280" spans="8:10">
      <c r="H4280" s="156"/>
      <c r="I4280" s="156"/>
      <c r="J4280" s="156"/>
    </row>
    <row r="4281" spans="8:10">
      <c r="H4281" s="156"/>
      <c r="I4281" s="156"/>
      <c r="J4281" s="156"/>
    </row>
    <row r="4282" spans="8:10">
      <c r="H4282" s="156"/>
      <c r="I4282" s="156"/>
      <c r="J4282" s="156"/>
    </row>
    <row r="4283" spans="8:10">
      <c r="H4283" s="156"/>
      <c r="I4283" s="156"/>
      <c r="J4283" s="156"/>
    </row>
    <row r="4284" spans="8:10">
      <c r="H4284" s="156"/>
      <c r="I4284" s="156"/>
      <c r="J4284" s="156"/>
    </row>
    <row r="4285" spans="8:10">
      <c r="H4285" s="156"/>
      <c r="I4285" s="156"/>
      <c r="J4285" s="156"/>
    </row>
    <row r="4286" spans="8:10">
      <c r="H4286" s="156"/>
      <c r="I4286" s="156"/>
      <c r="J4286" s="156"/>
    </row>
    <row r="4287" spans="8:10">
      <c r="H4287" s="156"/>
      <c r="I4287" s="156"/>
      <c r="J4287" s="156"/>
    </row>
    <row r="4288" spans="8:10">
      <c r="H4288" s="156"/>
      <c r="I4288" s="156"/>
      <c r="J4288" s="156"/>
    </row>
    <row r="4289" spans="8:10">
      <c r="H4289" s="156"/>
      <c r="I4289" s="156"/>
      <c r="J4289" s="156"/>
    </row>
    <row r="4290" spans="8:10">
      <c r="H4290" s="156"/>
      <c r="I4290" s="156"/>
      <c r="J4290" s="156"/>
    </row>
    <row r="4291" spans="8:10">
      <c r="H4291" s="156"/>
      <c r="I4291" s="156"/>
      <c r="J4291" s="156"/>
    </row>
    <row r="4292" spans="8:10">
      <c r="H4292" s="156"/>
      <c r="I4292" s="156"/>
      <c r="J4292" s="156"/>
    </row>
    <row r="4293" spans="8:10">
      <c r="H4293" s="156"/>
      <c r="I4293" s="156"/>
      <c r="J4293" s="156"/>
    </row>
    <row r="4294" spans="8:10">
      <c r="H4294" s="156"/>
      <c r="I4294" s="156"/>
      <c r="J4294" s="156"/>
    </row>
    <row r="4295" spans="8:10">
      <c r="H4295" s="156"/>
      <c r="I4295" s="156"/>
      <c r="J4295" s="156"/>
    </row>
    <row r="4296" spans="8:10">
      <c r="H4296" s="156"/>
      <c r="I4296" s="156"/>
      <c r="J4296" s="156"/>
    </row>
    <row r="4297" spans="8:10">
      <c r="H4297" s="156"/>
      <c r="I4297" s="156"/>
      <c r="J4297" s="156"/>
    </row>
    <row r="4298" spans="8:10">
      <c r="H4298" s="156"/>
      <c r="I4298" s="156"/>
      <c r="J4298" s="156"/>
    </row>
    <row r="4299" spans="8:10">
      <c r="H4299" s="156"/>
      <c r="I4299" s="156"/>
      <c r="J4299" s="156"/>
    </row>
    <row r="4300" spans="8:10">
      <c r="H4300" s="156"/>
      <c r="I4300" s="156"/>
      <c r="J4300" s="156"/>
    </row>
    <row r="4301" spans="8:10">
      <c r="H4301" s="156"/>
      <c r="I4301" s="156"/>
      <c r="J4301" s="156"/>
    </row>
    <row r="4302" spans="8:10">
      <c r="H4302" s="156"/>
      <c r="I4302" s="156"/>
      <c r="J4302" s="156"/>
    </row>
    <row r="4303" spans="8:10">
      <c r="H4303" s="156"/>
      <c r="I4303" s="156"/>
      <c r="J4303" s="156"/>
    </row>
    <row r="4304" spans="8:10">
      <c r="H4304" s="156"/>
      <c r="I4304" s="156"/>
      <c r="J4304" s="156"/>
    </row>
    <row r="4305" spans="8:10">
      <c r="H4305" s="156"/>
      <c r="I4305" s="156"/>
      <c r="J4305" s="156"/>
    </row>
    <row r="4306" spans="8:10">
      <c r="H4306" s="156"/>
      <c r="I4306" s="156"/>
      <c r="J4306" s="156"/>
    </row>
    <row r="4307" spans="8:10">
      <c r="H4307" s="156"/>
      <c r="I4307" s="156"/>
      <c r="J4307" s="156"/>
    </row>
    <row r="4308" spans="8:10">
      <c r="H4308" s="156"/>
      <c r="I4308" s="156"/>
      <c r="J4308" s="156"/>
    </row>
    <row r="4309" spans="8:10">
      <c r="H4309" s="156"/>
      <c r="I4309" s="156"/>
      <c r="J4309" s="156"/>
    </row>
    <row r="4310" spans="8:10">
      <c r="H4310" s="156"/>
      <c r="I4310" s="156"/>
      <c r="J4310" s="156"/>
    </row>
    <row r="4311" spans="8:10">
      <c r="H4311" s="156"/>
      <c r="I4311" s="156"/>
      <c r="J4311" s="156"/>
    </row>
    <row r="4312" spans="8:10">
      <c r="H4312" s="156"/>
      <c r="I4312" s="156"/>
      <c r="J4312" s="156"/>
    </row>
    <row r="4313" spans="8:10">
      <c r="H4313" s="156"/>
      <c r="I4313" s="156"/>
      <c r="J4313" s="156"/>
    </row>
    <row r="4314" spans="8:10">
      <c r="H4314" s="156"/>
      <c r="I4314" s="156"/>
      <c r="J4314" s="156"/>
    </row>
    <row r="4315" spans="8:10">
      <c r="H4315" s="156"/>
      <c r="I4315" s="156"/>
      <c r="J4315" s="156"/>
    </row>
    <row r="4316" spans="8:10">
      <c r="H4316" s="156"/>
      <c r="I4316" s="156"/>
      <c r="J4316" s="156"/>
    </row>
    <row r="4317" spans="8:10">
      <c r="H4317" s="156"/>
      <c r="I4317" s="156"/>
      <c r="J4317" s="156"/>
    </row>
    <row r="4318" spans="8:10">
      <c r="H4318" s="156"/>
      <c r="I4318" s="156"/>
      <c r="J4318" s="156"/>
    </row>
    <row r="4319" spans="8:10">
      <c r="H4319" s="156"/>
      <c r="I4319" s="156"/>
      <c r="J4319" s="156"/>
    </row>
    <row r="4320" spans="8:10">
      <c r="H4320" s="156"/>
      <c r="I4320" s="156"/>
      <c r="J4320" s="156"/>
    </row>
    <row r="4321" spans="8:10">
      <c r="H4321" s="156"/>
      <c r="I4321" s="156"/>
      <c r="J4321" s="156"/>
    </row>
    <row r="4322" spans="8:10">
      <c r="H4322" s="156"/>
      <c r="I4322" s="156"/>
      <c r="J4322" s="156"/>
    </row>
    <row r="4323" spans="8:10">
      <c r="H4323" s="156"/>
      <c r="I4323" s="156"/>
      <c r="J4323" s="156"/>
    </row>
    <row r="4324" spans="8:10">
      <c r="H4324" s="156"/>
      <c r="I4324" s="156"/>
      <c r="J4324" s="156"/>
    </row>
    <row r="4325" spans="8:10">
      <c r="H4325" s="156"/>
      <c r="I4325" s="156"/>
      <c r="J4325" s="156"/>
    </row>
    <row r="4326" spans="8:10">
      <c r="H4326" s="156"/>
      <c r="I4326" s="156"/>
      <c r="J4326" s="156"/>
    </row>
    <row r="4327" spans="8:10">
      <c r="H4327" s="156"/>
      <c r="I4327" s="156"/>
      <c r="J4327" s="156"/>
    </row>
    <row r="4328" spans="8:10">
      <c r="H4328" s="156"/>
      <c r="I4328" s="156"/>
      <c r="J4328" s="156"/>
    </row>
    <row r="4329" spans="8:10">
      <c r="H4329" s="156"/>
      <c r="I4329" s="156"/>
      <c r="J4329" s="156"/>
    </row>
    <row r="4330" spans="8:10">
      <c r="H4330" s="156"/>
      <c r="I4330" s="156"/>
      <c r="J4330" s="156"/>
    </row>
    <row r="4331" spans="8:10">
      <c r="H4331" s="156"/>
      <c r="I4331" s="156"/>
      <c r="J4331" s="156"/>
    </row>
    <row r="4332" spans="8:10">
      <c r="H4332" s="156"/>
      <c r="I4332" s="156"/>
      <c r="J4332" s="156"/>
    </row>
    <row r="4333" spans="8:10">
      <c r="H4333" s="156"/>
      <c r="I4333" s="156"/>
      <c r="J4333" s="156"/>
    </row>
    <row r="4334" spans="8:10">
      <c r="H4334" s="156"/>
      <c r="I4334" s="156"/>
      <c r="J4334" s="156"/>
    </row>
    <row r="4335" spans="8:10">
      <c r="H4335" s="156"/>
      <c r="I4335" s="156"/>
      <c r="J4335" s="156"/>
    </row>
    <row r="4336" spans="8:10">
      <c r="H4336" s="156"/>
      <c r="I4336" s="156"/>
      <c r="J4336" s="156"/>
    </row>
    <row r="4337" spans="8:10">
      <c r="H4337" s="156"/>
      <c r="I4337" s="156"/>
      <c r="J4337" s="156"/>
    </row>
    <row r="4338" spans="8:10">
      <c r="H4338" s="156"/>
      <c r="I4338" s="156"/>
      <c r="J4338" s="156"/>
    </row>
    <row r="4339" spans="8:10">
      <c r="H4339" s="156"/>
      <c r="I4339" s="156"/>
      <c r="J4339" s="156"/>
    </row>
    <row r="4340" spans="8:10">
      <c r="H4340" s="156"/>
      <c r="I4340" s="156"/>
      <c r="J4340" s="156"/>
    </row>
    <row r="4341" spans="8:10">
      <c r="H4341" s="156"/>
      <c r="I4341" s="156"/>
      <c r="J4341" s="156"/>
    </row>
    <row r="4342" spans="8:10">
      <c r="H4342" s="156"/>
      <c r="I4342" s="156"/>
      <c r="J4342" s="156"/>
    </row>
    <row r="4343" spans="8:10">
      <c r="H4343" s="156"/>
      <c r="I4343" s="156"/>
      <c r="J4343" s="156"/>
    </row>
    <row r="4344" spans="8:10">
      <c r="H4344" s="156"/>
      <c r="I4344" s="156"/>
      <c r="J4344" s="156"/>
    </row>
    <row r="4345" spans="8:10">
      <c r="H4345" s="156"/>
      <c r="I4345" s="156"/>
      <c r="J4345" s="156"/>
    </row>
    <row r="4346" spans="8:10">
      <c r="H4346" s="156"/>
      <c r="I4346" s="156"/>
      <c r="J4346" s="156"/>
    </row>
    <row r="4347" spans="8:10">
      <c r="H4347" s="156"/>
      <c r="I4347" s="156"/>
      <c r="J4347" s="156"/>
    </row>
    <row r="4348" spans="8:10">
      <c r="H4348" s="156"/>
      <c r="I4348" s="156"/>
      <c r="J4348" s="156"/>
    </row>
    <row r="4349" spans="8:10">
      <c r="H4349" s="156"/>
      <c r="I4349" s="156"/>
      <c r="J4349" s="156"/>
    </row>
    <row r="4350" spans="8:10">
      <c r="H4350" s="156"/>
      <c r="I4350" s="156"/>
      <c r="J4350" s="156"/>
    </row>
    <row r="4351" spans="8:10">
      <c r="H4351" s="156"/>
      <c r="I4351" s="156"/>
      <c r="J4351" s="156"/>
    </row>
    <row r="4352" spans="8:10">
      <c r="H4352" s="156"/>
      <c r="I4352" s="156"/>
      <c r="J4352" s="156"/>
    </row>
    <row r="4353" spans="8:10">
      <c r="H4353" s="156"/>
      <c r="I4353" s="156"/>
      <c r="J4353" s="156"/>
    </row>
    <row r="4354" spans="8:10">
      <c r="H4354" s="156"/>
      <c r="I4354" s="156"/>
      <c r="J4354" s="156"/>
    </row>
    <row r="4355" spans="8:10">
      <c r="H4355" s="156"/>
      <c r="I4355" s="156"/>
      <c r="J4355" s="156"/>
    </row>
    <row r="4356" spans="8:10">
      <c r="H4356" s="156"/>
      <c r="I4356" s="156"/>
      <c r="J4356" s="156"/>
    </row>
    <row r="4357" spans="8:10">
      <c r="H4357" s="156"/>
      <c r="I4357" s="156"/>
      <c r="J4357" s="156"/>
    </row>
    <row r="4358" spans="8:10">
      <c r="H4358" s="156"/>
      <c r="I4358" s="156"/>
      <c r="J4358" s="156"/>
    </row>
    <row r="4359" spans="8:10">
      <c r="H4359" s="156"/>
      <c r="I4359" s="156"/>
      <c r="J4359" s="156"/>
    </row>
    <row r="4360" spans="8:10">
      <c r="H4360" s="156"/>
      <c r="I4360" s="156"/>
      <c r="J4360" s="156"/>
    </row>
    <row r="4361" spans="8:10">
      <c r="H4361" s="156"/>
      <c r="I4361" s="156"/>
      <c r="J4361" s="156"/>
    </row>
    <row r="4362" spans="8:10">
      <c r="H4362" s="156"/>
      <c r="I4362" s="156"/>
      <c r="J4362" s="156"/>
    </row>
    <row r="4363" spans="8:10">
      <c r="H4363" s="156"/>
      <c r="I4363" s="156"/>
      <c r="J4363" s="156"/>
    </row>
    <row r="4364" spans="8:10">
      <c r="H4364" s="156"/>
      <c r="I4364" s="156"/>
      <c r="J4364" s="156"/>
    </row>
    <row r="4365" spans="8:10">
      <c r="H4365" s="156"/>
      <c r="I4365" s="156"/>
      <c r="J4365" s="156"/>
    </row>
    <row r="4366" spans="8:10">
      <c r="H4366" s="156"/>
      <c r="I4366" s="156"/>
      <c r="J4366" s="156"/>
    </row>
    <row r="4367" spans="8:10">
      <c r="H4367" s="156"/>
      <c r="I4367" s="156"/>
      <c r="J4367" s="156"/>
    </row>
    <row r="4368" spans="8:10">
      <c r="H4368" s="156"/>
      <c r="I4368" s="156"/>
      <c r="J4368" s="156"/>
    </row>
    <row r="4369" spans="8:10">
      <c r="H4369" s="156"/>
      <c r="I4369" s="156"/>
      <c r="J4369" s="156"/>
    </row>
    <row r="4370" spans="8:10">
      <c r="H4370" s="156"/>
      <c r="I4370" s="156"/>
      <c r="J4370" s="156"/>
    </row>
    <row r="4371" spans="8:10">
      <c r="H4371" s="156"/>
      <c r="I4371" s="156"/>
      <c r="J4371" s="156"/>
    </row>
    <row r="4372" spans="8:10">
      <c r="H4372" s="156"/>
      <c r="I4372" s="156"/>
      <c r="J4372" s="156"/>
    </row>
    <row r="4373" spans="8:10">
      <c r="H4373" s="156"/>
      <c r="I4373" s="156"/>
      <c r="J4373" s="156"/>
    </row>
    <row r="4374" spans="8:10">
      <c r="H4374" s="156"/>
      <c r="I4374" s="156"/>
      <c r="J4374" s="156"/>
    </row>
    <row r="4375" spans="8:10">
      <c r="H4375" s="156"/>
      <c r="I4375" s="156"/>
      <c r="J4375" s="156"/>
    </row>
    <row r="4376" spans="8:10">
      <c r="H4376" s="156"/>
      <c r="I4376" s="156"/>
      <c r="J4376" s="156"/>
    </row>
    <row r="4377" spans="8:10">
      <c r="H4377" s="156"/>
      <c r="I4377" s="156"/>
      <c r="J4377" s="156"/>
    </row>
    <row r="4378" spans="8:10">
      <c r="H4378" s="156"/>
      <c r="I4378" s="156"/>
      <c r="J4378" s="156"/>
    </row>
    <row r="4379" spans="8:10">
      <c r="H4379" s="156"/>
      <c r="I4379" s="156"/>
      <c r="J4379" s="156"/>
    </row>
    <row r="4380" spans="8:10">
      <c r="H4380" s="156"/>
      <c r="I4380" s="156"/>
      <c r="J4380" s="156"/>
    </row>
    <row r="4381" spans="8:10">
      <c r="H4381" s="156"/>
      <c r="I4381" s="156"/>
      <c r="J4381" s="156"/>
    </row>
    <row r="4382" spans="8:10">
      <c r="H4382" s="156"/>
      <c r="I4382" s="156"/>
      <c r="J4382" s="156"/>
    </row>
    <row r="4383" spans="8:10">
      <c r="H4383" s="156"/>
      <c r="I4383" s="156"/>
      <c r="J4383" s="156"/>
    </row>
    <row r="4384" spans="8:10">
      <c r="H4384" s="156"/>
      <c r="I4384" s="156"/>
      <c r="J4384" s="156"/>
    </row>
    <row r="4385" spans="8:10">
      <c r="H4385" s="156"/>
      <c r="I4385" s="156"/>
      <c r="J4385" s="156"/>
    </row>
    <row r="4386" spans="8:10">
      <c r="H4386" s="156"/>
      <c r="I4386" s="156"/>
      <c r="J4386" s="156"/>
    </row>
    <row r="4387" spans="8:10">
      <c r="H4387" s="156"/>
      <c r="I4387" s="156"/>
      <c r="J4387" s="156"/>
    </row>
    <row r="4388" spans="8:10">
      <c r="H4388" s="156"/>
      <c r="I4388" s="156"/>
      <c r="J4388" s="156"/>
    </row>
    <row r="4389" spans="8:10">
      <c r="H4389" s="156"/>
      <c r="I4389" s="156"/>
      <c r="J4389" s="156"/>
    </row>
    <row r="4390" spans="8:10">
      <c r="H4390" s="156"/>
      <c r="I4390" s="156"/>
      <c r="J4390" s="156"/>
    </row>
    <row r="4391" spans="8:10">
      <c r="H4391" s="156"/>
      <c r="I4391" s="156"/>
      <c r="J4391" s="156"/>
    </row>
    <row r="4392" spans="8:10">
      <c r="H4392" s="156"/>
      <c r="I4392" s="156"/>
      <c r="J4392" s="156"/>
    </row>
    <row r="4393" spans="8:10">
      <c r="H4393" s="156"/>
      <c r="I4393" s="156"/>
      <c r="J4393" s="156"/>
    </row>
    <row r="4394" spans="8:10">
      <c r="H4394" s="156"/>
      <c r="I4394" s="156"/>
      <c r="J4394" s="156"/>
    </row>
    <row r="4395" spans="8:10">
      <c r="H4395" s="156"/>
      <c r="I4395" s="156"/>
      <c r="J4395" s="156"/>
    </row>
    <row r="4396" spans="8:10">
      <c r="H4396" s="156"/>
      <c r="I4396" s="156"/>
      <c r="J4396" s="156"/>
    </row>
    <row r="4397" spans="8:10">
      <c r="H4397" s="156"/>
      <c r="I4397" s="156"/>
      <c r="J4397" s="156"/>
    </row>
    <row r="4398" spans="8:10">
      <c r="H4398" s="156"/>
      <c r="I4398" s="156"/>
      <c r="J4398" s="156"/>
    </row>
    <row r="4399" spans="8:10">
      <c r="H4399" s="156"/>
      <c r="I4399" s="156"/>
      <c r="J4399" s="156"/>
    </row>
    <row r="4400" spans="8:10">
      <c r="H4400" s="156"/>
      <c r="I4400" s="156"/>
      <c r="J4400" s="156"/>
    </row>
    <row r="4401" spans="8:10">
      <c r="H4401" s="156"/>
      <c r="I4401" s="156"/>
      <c r="J4401" s="156"/>
    </row>
    <row r="4402" spans="8:10">
      <c r="H4402" s="156"/>
      <c r="I4402" s="156"/>
      <c r="J4402" s="156"/>
    </row>
    <row r="4403" spans="8:10">
      <c r="H4403" s="156"/>
      <c r="I4403" s="156"/>
      <c r="J4403" s="156"/>
    </row>
    <row r="4404" spans="8:10">
      <c r="H4404" s="156"/>
      <c r="I4404" s="156"/>
      <c r="J4404" s="156"/>
    </row>
    <row r="4405" spans="8:10">
      <c r="H4405" s="156"/>
      <c r="I4405" s="156"/>
      <c r="J4405" s="156"/>
    </row>
    <row r="4406" spans="8:10">
      <c r="H4406" s="156"/>
      <c r="I4406" s="156"/>
      <c r="J4406" s="156"/>
    </row>
    <row r="4407" spans="8:10">
      <c r="H4407" s="156"/>
      <c r="I4407" s="156"/>
      <c r="J4407" s="156"/>
    </row>
    <row r="4408" spans="8:10">
      <c r="H4408" s="156"/>
      <c r="I4408" s="156"/>
      <c r="J4408" s="156"/>
    </row>
    <row r="4409" spans="8:10">
      <c r="H4409" s="156"/>
      <c r="I4409" s="156"/>
      <c r="J4409" s="156"/>
    </row>
    <row r="4410" spans="8:10">
      <c r="H4410" s="156"/>
      <c r="I4410" s="156"/>
      <c r="J4410" s="156"/>
    </row>
    <row r="4411" spans="8:10">
      <c r="H4411" s="156"/>
      <c r="I4411" s="156"/>
      <c r="J4411" s="156"/>
    </row>
    <row r="4412" spans="8:10">
      <c r="H4412" s="156"/>
      <c r="I4412" s="156"/>
      <c r="J4412" s="156"/>
    </row>
    <row r="4413" spans="8:10">
      <c r="H4413" s="156"/>
      <c r="I4413" s="156"/>
      <c r="J4413" s="156"/>
    </row>
    <row r="4414" spans="8:10">
      <c r="H4414" s="156"/>
      <c r="I4414" s="156"/>
      <c r="J4414" s="156"/>
    </row>
    <row r="4415" spans="8:10">
      <c r="H4415" s="156"/>
      <c r="I4415" s="156"/>
      <c r="J4415" s="156"/>
    </row>
    <row r="4416" spans="8:10">
      <c r="H4416" s="156"/>
      <c r="I4416" s="156"/>
      <c r="J4416" s="156"/>
    </row>
    <row r="4417" spans="8:10">
      <c r="H4417" s="156"/>
      <c r="I4417" s="156"/>
      <c r="J4417" s="156"/>
    </row>
    <row r="4418" spans="8:10">
      <c r="H4418" s="156"/>
      <c r="I4418" s="156"/>
      <c r="J4418" s="156"/>
    </row>
    <row r="4419" spans="8:10">
      <c r="H4419" s="156"/>
      <c r="I4419" s="156"/>
      <c r="J4419" s="156"/>
    </row>
    <row r="4420" spans="8:10">
      <c r="H4420" s="156"/>
      <c r="I4420" s="156"/>
      <c r="J4420" s="156"/>
    </row>
    <row r="4421" spans="8:10">
      <c r="H4421" s="156"/>
      <c r="I4421" s="156"/>
      <c r="J4421" s="156"/>
    </row>
    <row r="4422" spans="8:10">
      <c r="H4422" s="156"/>
      <c r="I4422" s="156"/>
      <c r="J4422" s="156"/>
    </row>
    <row r="4423" spans="8:10">
      <c r="H4423" s="156"/>
      <c r="I4423" s="156"/>
      <c r="J4423" s="156"/>
    </row>
    <row r="4424" spans="8:10">
      <c r="H4424" s="156"/>
      <c r="I4424" s="156"/>
      <c r="J4424" s="156"/>
    </row>
    <row r="4425" spans="8:10">
      <c r="H4425" s="156"/>
      <c r="I4425" s="156"/>
      <c r="J4425" s="156"/>
    </row>
    <row r="4426" spans="8:10">
      <c r="H4426" s="156"/>
      <c r="I4426" s="156"/>
      <c r="J4426" s="156"/>
    </row>
    <row r="4427" spans="8:10">
      <c r="H4427" s="156"/>
      <c r="I4427" s="156"/>
      <c r="J4427" s="156"/>
    </row>
    <row r="4428" spans="8:10">
      <c r="H4428" s="156"/>
      <c r="I4428" s="156"/>
      <c r="J4428" s="156"/>
    </row>
    <row r="4429" spans="8:10">
      <c r="H4429" s="156"/>
      <c r="I4429" s="156"/>
      <c r="J4429" s="156"/>
    </row>
    <row r="4430" spans="8:10">
      <c r="H4430" s="156"/>
      <c r="I4430" s="156"/>
      <c r="J4430" s="156"/>
    </row>
    <row r="4431" spans="8:10">
      <c r="H4431" s="156"/>
      <c r="I4431" s="156"/>
      <c r="J4431" s="156"/>
    </row>
    <row r="4432" spans="8:10">
      <c r="H4432" s="156"/>
      <c r="I4432" s="156"/>
      <c r="J4432" s="156"/>
    </row>
    <row r="4433" spans="8:10">
      <c r="H4433" s="156"/>
      <c r="I4433" s="156"/>
      <c r="J4433" s="156"/>
    </row>
    <row r="4434" spans="8:10">
      <c r="H4434" s="156"/>
      <c r="I4434" s="156"/>
      <c r="J4434" s="156"/>
    </row>
    <row r="4435" spans="8:10">
      <c r="H4435" s="156"/>
      <c r="I4435" s="156"/>
      <c r="J4435" s="156"/>
    </row>
    <row r="4436" spans="8:10">
      <c r="H4436" s="156"/>
      <c r="I4436" s="156"/>
      <c r="J4436" s="156"/>
    </row>
    <row r="4437" spans="8:10">
      <c r="H4437" s="156"/>
      <c r="I4437" s="156"/>
      <c r="J4437" s="156"/>
    </row>
    <row r="4438" spans="8:10">
      <c r="H4438" s="156"/>
      <c r="I4438" s="156"/>
      <c r="J4438" s="156"/>
    </row>
    <row r="4439" spans="8:10">
      <c r="H4439" s="156"/>
      <c r="I4439" s="156"/>
      <c r="J4439" s="156"/>
    </row>
    <row r="4440" spans="8:10">
      <c r="H4440" s="156"/>
      <c r="I4440" s="156"/>
      <c r="J4440" s="156"/>
    </row>
    <row r="4441" spans="8:10">
      <c r="H4441" s="156"/>
      <c r="I4441" s="156"/>
      <c r="J4441" s="156"/>
    </row>
    <row r="4442" spans="8:10">
      <c r="H4442" s="156"/>
      <c r="I4442" s="156"/>
      <c r="J4442" s="156"/>
    </row>
    <row r="4443" spans="8:10">
      <c r="H4443" s="156"/>
      <c r="I4443" s="156"/>
      <c r="J4443" s="156"/>
    </row>
    <row r="4444" spans="8:10">
      <c r="H4444" s="156"/>
      <c r="I4444" s="156"/>
      <c r="J4444" s="156"/>
    </row>
    <row r="4445" spans="8:10">
      <c r="H4445" s="156"/>
      <c r="I4445" s="156"/>
      <c r="J4445" s="156"/>
    </row>
    <row r="4446" spans="8:10">
      <c r="H4446" s="156"/>
      <c r="I4446" s="156"/>
      <c r="J4446" s="156"/>
    </row>
    <row r="4447" spans="8:10">
      <c r="H4447" s="156"/>
      <c r="I4447" s="156"/>
      <c r="J4447" s="156"/>
    </row>
    <row r="4448" spans="8:10">
      <c r="H4448" s="156"/>
      <c r="I4448" s="156"/>
      <c r="J4448" s="156"/>
    </row>
    <row r="4449" spans="8:10">
      <c r="H4449" s="156"/>
      <c r="I4449" s="156"/>
      <c r="J4449" s="156"/>
    </row>
    <row r="4450" spans="8:10">
      <c r="H4450" s="156"/>
      <c r="I4450" s="156"/>
      <c r="J4450" s="156"/>
    </row>
    <row r="4451" spans="8:10">
      <c r="H4451" s="156"/>
      <c r="I4451" s="156"/>
      <c r="J4451" s="156"/>
    </row>
    <row r="4452" spans="8:10">
      <c r="H4452" s="156"/>
      <c r="I4452" s="156"/>
      <c r="J4452" s="156"/>
    </row>
    <row r="4453" spans="8:10">
      <c r="H4453" s="156"/>
      <c r="I4453" s="156"/>
      <c r="J4453" s="156"/>
    </row>
    <row r="4454" spans="8:10">
      <c r="H4454" s="156"/>
      <c r="I4454" s="156"/>
      <c r="J4454" s="156"/>
    </row>
    <row r="4455" spans="8:10">
      <c r="H4455" s="156"/>
      <c r="I4455" s="156"/>
      <c r="J4455" s="156"/>
    </row>
    <row r="4456" spans="8:10">
      <c r="H4456" s="156"/>
      <c r="I4456" s="156"/>
      <c r="J4456" s="156"/>
    </row>
    <row r="4457" spans="8:10">
      <c r="H4457" s="156"/>
      <c r="I4457" s="156"/>
      <c r="J4457" s="156"/>
    </row>
    <row r="4458" spans="8:10">
      <c r="H4458" s="156"/>
      <c r="I4458" s="156"/>
      <c r="J4458" s="156"/>
    </row>
    <row r="4459" spans="8:10">
      <c r="H4459" s="156"/>
      <c r="I4459" s="156"/>
      <c r="J4459" s="156"/>
    </row>
    <row r="4460" spans="8:10">
      <c r="H4460" s="156"/>
      <c r="I4460" s="156"/>
      <c r="J4460" s="156"/>
    </row>
    <row r="4461" spans="8:10">
      <c r="H4461" s="156"/>
      <c r="I4461" s="156"/>
      <c r="J4461" s="156"/>
    </row>
    <row r="4462" spans="8:10">
      <c r="H4462" s="156"/>
      <c r="I4462" s="156"/>
      <c r="J4462" s="156"/>
    </row>
    <row r="4463" spans="8:10">
      <c r="H4463" s="156"/>
      <c r="I4463" s="156"/>
      <c r="J4463" s="156"/>
    </row>
    <row r="4464" spans="8:10">
      <c r="H4464" s="156"/>
      <c r="I4464" s="156"/>
      <c r="J4464" s="156"/>
    </row>
    <row r="4465" spans="8:10">
      <c r="H4465" s="156"/>
      <c r="I4465" s="156"/>
      <c r="J4465" s="156"/>
    </row>
    <row r="4466" spans="8:10">
      <c r="H4466" s="156"/>
      <c r="I4466" s="156"/>
      <c r="J4466" s="156"/>
    </row>
    <row r="4467" spans="8:10">
      <c r="H4467" s="156"/>
      <c r="I4467" s="156"/>
      <c r="J4467" s="156"/>
    </row>
    <row r="4468" spans="8:10">
      <c r="H4468" s="156"/>
      <c r="I4468" s="156"/>
      <c r="J4468" s="156"/>
    </row>
    <row r="4469" spans="8:10">
      <c r="H4469" s="156"/>
      <c r="I4469" s="156"/>
      <c r="J4469" s="156"/>
    </row>
    <row r="4470" spans="8:10">
      <c r="H4470" s="156"/>
      <c r="I4470" s="156"/>
      <c r="J4470" s="156"/>
    </row>
    <row r="4471" spans="8:10">
      <c r="H4471" s="156"/>
      <c r="I4471" s="156"/>
      <c r="J4471" s="156"/>
    </row>
    <row r="4472" spans="8:10">
      <c r="H4472" s="156"/>
      <c r="I4472" s="156"/>
      <c r="J4472" s="156"/>
    </row>
    <row r="4473" spans="8:10">
      <c r="H4473" s="156"/>
      <c r="I4473" s="156"/>
      <c r="J4473" s="156"/>
    </row>
    <row r="4474" spans="8:10">
      <c r="H4474" s="156"/>
      <c r="I4474" s="156"/>
      <c r="J4474" s="156"/>
    </row>
    <row r="4475" spans="8:10">
      <c r="H4475" s="156"/>
      <c r="I4475" s="156"/>
      <c r="J4475" s="156"/>
    </row>
    <row r="4476" spans="8:10">
      <c r="H4476" s="156"/>
      <c r="I4476" s="156"/>
      <c r="J4476" s="156"/>
    </row>
    <row r="4477" spans="8:10">
      <c r="H4477" s="156"/>
      <c r="I4477" s="156"/>
      <c r="J4477" s="156"/>
    </row>
    <row r="4478" spans="8:10">
      <c r="H4478" s="156"/>
      <c r="I4478" s="156"/>
      <c r="J4478" s="156"/>
    </row>
    <row r="4479" spans="8:10">
      <c r="H4479" s="156"/>
      <c r="I4479" s="156"/>
      <c r="J4479" s="156"/>
    </row>
    <row r="4480" spans="8:10">
      <c r="H4480" s="156"/>
      <c r="I4480" s="156"/>
      <c r="J4480" s="156"/>
    </row>
    <row r="4481" spans="8:10">
      <c r="H4481" s="156"/>
      <c r="I4481" s="156"/>
      <c r="J4481" s="156"/>
    </row>
    <row r="4482" spans="8:10">
      <c r="H4482" s="156"/>
      <c r="I4482" s="156"/>
      <c r="J4482" s="156"/>
    </row>
    <row r="4483" spans="8:10">
      <c r="H4483" s="156"/>
      <c r="I4483" s="156"/>
      <c r="J4483" s="156"/>
    </row>
    <row r="4484" spans="8:10">
      <c r="H4484" s="156"/>
      <c r="I4484" s="156"/>
      <c r="J4484" s="156"/>
    </row>
    <row r="4485" spans="8:10">
      <c r="H4485" s="156"/>
      <c r="I4485" s="156"/>
      <c r="J4485" s="156"/>
    </row>
    <row r="4486" spans="8:10">
      <c r="H4486" s="156"/>
      <c r="I4486" s="156"/>
      <c r="J4486" s="156"/>
    </row>
    <row r="4487" spans="8:10">
      <c r="H4487" s="156"/>
      <c r="I4487" s="156"/>
      <c r="J4487" s="156"/>
    </row>
    <row r="4488" spans="8:10">
      <c r="H4488" s="156"/>
      <c r="I4488" s="156"/>
      <c r="J4488" s="156"/>
    </row>
    <row r="4489" spans="8:10">
      <c r="H4489" s="156"/>
      <c r="I4489" s="156"/>
      <c r="J4489" s="156"/>
    </row>
    <row r="4490" spans="8:10">
      <c r="H4490" s="156"/>
      <c r="I4490" s="156"/>
      <c r="J4490" s="156"/>
    </row>
    <row r="4491" spans="8:10">
      <c r="H4491" s="156"/>
      <c r="I4491" s="156"/>
      <c r="J4491" s="156"/>
    </row>
    <row r="4492" spans="8:10">
      <c r="H4492" s="156"/>
      <c r="I4492" s="156"/>
      <c r="J4492" s="156"/>
    </row>
    <row r="4493" spans="8:10">
      <c r="H4493" s="156"/>
      <c r="I4493" s="156"/>
      <c r="J4493" s="156"/>
    </row>
    <row r="4494" spans="8:10">
      <c r="H4494" s="156"/>
      <c r="I4494" s="156"/>
      <c r="J4494" s="156"/>
    </row>
    <row r="4495" spans="8:10">
      <c r="H4495" s="156"/>
      <c r="I4495" s="156"/>
      <c r="J4495" s="156"/>
    </row>
    <row r="4496" spans="8:10">
      <c r="H4496" s="156"/>
      <c r="I4496" s="156"/>
      <c r="J4496" s="156"/>
    </row>
    <row r="4497" spans="8:10">
      <c r="H4497" s="156"/>
      <c r="I4497" s="156"/>
      <c r="J4497" s="156"/>
    </row>
    <row r="4498" spans="8:10">
      <c r="H4498" s="156"/>
      <c r="I4498" s="156"/>
      <c r="J4498" s="156"/>
    </row>
    <row r="4499" spans="8:10">
      <c r="H4499" s="156"/>
      <c r="I4499" s="156"/>
      <c r="J4499" s="156"/>
    </row>
    <row r="4500" spans="8:10">
      <c r="H4500" s="156"/>
      <c r="I4500" s="156"/>
      <c r="J4500" s="156"/>
    </row>
    <row r="4501" spans="8:10">
      <c r="H4501" s="156"/>
      <c r="I4501" s="156"/>
      <c r="J4501" s="156"/>
    </row>
    <row r="4502" spans="8:10">
      <c r="H4502" s="156"/>
      <c r="I4502" s="156"/>
      <c r="J4502" s="156"/>
    </row>
    <row r="4503" spans="8:10">
      <c r="H4503" s="156"/>
      <c r="I4503" s="156"/>
      <c r="J4503" s="156"/>
    </row>
    <row r="4504" spans="8:10">
      <c r="H4504" s="156"/>
      <c r="I4504" s="156"/>
      <c r="J4504" s="156"/>
    </row>
    <row r="4505" spans="8:10">
      <c r="H4505" s="156"/>
      <c r="I4505" s="156"/>
      <c r="J4505" s="156"/>
    </row>
    <row r="4506" spans="8:10">
      <c r="H4506" s="156"/>
      <c r="I4506" s="156"/>
      <c r="J4506" s="156"/>
    </row>
    <row r="4507" spans="8:10">
      <c r="H4507" s="156"/>
      <c r="I4507" s="156"/>
      <c r="J4507" s="156"/>
    </row>
    <row r="4508" spans="8:10">
      <c r="H4508" s="156"/>
      <c r="I4508" s="156"/>
      <c r="J4508" s="156"/>
    </row>
    <row r="4509" spans="8:10">
      <c r="H4509" s="156"/>
      <c r="I4509" s="156"/>
      <c r="J4509" s="156"/>
    </row>
    <row r="4510" spans="8:10">
      <c r="H4510" s="156"/>
      <c r="I4510" s="156"/>
      <c r="J4510" s="156"/>
    </row>
    <row r="4511" spans="8:10">
      <c r="H4511" s="156"/>
      <c r="I4511" s="156"/>
      <c r="J4511" s="156"/>
    </row>
    <row r="4512" spans="8:10">
      <c r="H4512" s="156"/>
      <c r="I4512" s="156"/>
      <c r="J4512" s="156"/>
    </row>
    <row r="4513" spans="8:10">
      <c r="H4513" s="156"/>
      <c r="I4513" s="156"/>
      <c r="J4513" s="156"/>
    </row>
    <row r="4514" spans="8:10">
      <c r="H4514" s="156"/>
      <c r="I4514" s="156"/>
      <c r="J4514" s="156"/>
    </row>
    <row r="4515" spans="8:10">
      <c r="H4515" s="156"/>
      <c r="I4515" s="156"/>
      <c r="J4515" s="156"/>
    </row>
    <row r="4516" spans="8:10">
      <c r="H4516" s="156"/>
      <c r="I4516" s="156"/>
      <c r="J4516" s="156"/>
    </row>
    <row r="4517" spans="8:10">
      <c r="H4517" s="156"/>
      <c r="I4517" s="156"/>
      <c r="J4517" s="156"/>
    </row>
    <row r="4518" spans="8:10">
      <c r="H4518" s="156"/>
      <c r="I4518" s="156"/>
      <c r="J4518" s="156"/>
    </row>
    <row r="4519" spans="8:10">
      <c r="H4519" s="156"/>
      <c r="I4519" s="156"/>
      <c r="J4519" s="156"/>
    </row>
    <row r="4520" spans="8:10">
      <c r="H4520" s="156"/>
      <c r="I4520" s="156"/>
      <c r="J4520" s="156"/>
    </row>
    <row r="4521" spans="8:10">
      <c r="H4521" s="156"/>
      <c r="I4521" s="156"/>
      <c r="J4521" s="156"/>
    </row>
    <row r="4522" spans="8:10">
      <c r="H4522" s="156"/>
      <c r="I4522" s="156"/>
      <c r="J4522" s="156"/>
    </row>
    <row r="4523" spans="8:10">
      <c r="H4523" s="156"/>
      <c r="I4523" s="156"/>
      <c r="J4523" s="156"/>
    </row>
    <row r="4524" spans="8:10">
      <c r="H4524" s="156"/>
      <c r="I4524" s="156"/>
      <c r="J4524" s="156"/>
    </row>
    <row r="4525" spans="8:10">
      <c r="H4525" s="156"/>
      <c r="I4525" s="156"/>
      <c r="J4525" s="156"/>
    </row>
    <row r="4526" spans="8:10">
      <c r="H4526" s="156"/>
      <c r="I4526" s="156"/>
      <c r="J4526" s="156"/>
    </row>
    <row r="4527" spans="8:10">
      <c r="H4527" s="156"/>
      <c r="I4527" s="156"/>
      <c r="J4527" s="156"/>
    </row>
    <row r="4528" spans="8:10">
      <c r="H4528" s="156"/>
      <c r="I4528" s="156"/>
      <c r="J4528" s="156"/>
    </row>
    <row r="4529" spans="8:10">
      <c r="H4529" s="156"/>
      <c r="I4529" s="156"/>
      <c r="J4529" s="156"/>
    </row>
    <row r="4530" spans="8:10">
      <c r="H4530" s="156"/>
      <c r="I4530" s="156"/>
      <c r="J4530" s="156"/>
    </row>
    <row r="4531" spans="8:10">
      <c r="H4531" s="156"/>
      <c r="I4531" s="156"/>
      <c r="J4531" s="156"/>
    </row>
    <row r="4532" spans="8:10">
      <c r="H4532" s="156"/>
      <c r="I4532" s="156"/>
      <c r="J4532" s="156"/>
    </row>
    <row r="4533" spans="8:10">
      <c r="H4533" s="156"/>
      <c r="I4533" s="156"/>
      <c r="J4533" s="156"/>
    </row>
    <row r="4534" spans="8:10">
      <c r="H4534" s="156"/>
      <c r="I4534" s="156"/>
      <c r="J4534" s="156"/>
    </row>
    <row r="4535" spans="8:10">
      <c r="H4535" s="156"/>
      <c r="I4535" s="156"/>
      <c r="J4535" s="156"/>
    </row>
    <row r="4536" spans="8:10">
      <c r="H4536" s="156"/>
      <c r="I4536" s="156"/>
      <c r="J4536" s="156"/>
    </row>
    <row r="4537" spans="8:10">
      <c r="H4537" s="156"/>
      <c r="I4537" s="156"/>
      <c r="J4537" s="156"/>
    </row>
    <row r="4538" spans="8:10">
      <c r="H4538" s="156"/>
      <c r="I4538" s="156"/>
      <c r="J4538" s="156"/>
    </row>
    <row r="4539" spans="8:10">
      <c r="H4539" s="156"/>
      <c r="I4539" s="156"/>
      <c r="J4539" s="156"/>
    </row>
    <row r="4540" spans="8:10">
      <c r="H4540" s="156"/>
      <c r="I4540" s="156"/>
      <c r="J4540" s="156"/>
    </row>
    <row r="4541" spans="8:10">
      <c r="H4541" s="156"/>
      <c r="I4541" s="156"/>
      <c r="J4541" s="156"/>
    </row>
    <row r="4542" spans="8:10">
      <c r="H4542" s="156"/>
      <c r="I4542" s="156"/>
      <c r="J4542" s="156"/>
    </row>
    <row r="4543" spans="8:10">
      <c r="H4543" s="156"/>
      <c r="I4543" s="156"/>
      <c r="J4543" s="156"/>
    </row>
    <row r="4544" spans="8:10">
      <c r="H4544" s="156"/>
      <c r="I4544" s="156"/>
      <c r="J4544" s="156"/>
    </row>
    <row r="4545" spans="8:10">
      <c r="H4545" s="156"/>
      <c r="I4545" s="156"/>
      <c r="J4545" s="156"/>
    </row>
    <row r="4546" spans="8:10">
      <c r="H4546" s="156"/>
      <c r="I4546" s="156"/>
      <c r="J4546" s="156"/>
    </row>
    <row r="4547" spans="8:10">
      <c r="H4547" s="156"/>
      <c r="I4547" s="156"/>
      <c r="J4547" s="156"/>
    </row>
    <row r="4548" spans="8:10">
      <c r="H4548" s="156"/>
      <c r="I4548" s="156"/>
      <c r="J4548" s="156"/>
    </row>
    <row r="4549" spans="8:10">
      <c r="H4549" s="156"/>
      <c r="I4549" s="156"/>
      <c r="J4549" s="156"/>
    </row>
    <row r="4550" spans="8:10">
      <c r="H4550" s="156"/>
      <c r="I4550" s="156"/>
      <c r="J4550" s="156"/>
    </row>
    <row r="4551" spans="8:10">
      <c r="H4551" s="156"/>
      <c r="I4551" s="156"/>
      <c r="J4551" s="156"/>
    </row>
    <row r="4552" spans="8:10">
      <c r="H4552" s="156"/>
      <c r="I4552" s="156"/>
      <c r="J4552" s="156"/>
    </row>
    <row r="4553" spans="8:10">
      <c r="H4553" s="156"/>
      <c r="I4553" s="156"/>
      <c r="J4553" s="156"/>
    </row>
    <row r="4554" spans="8:10">
      <c r="H4554" s="156"/>
      <c r="I4554" s="156"/>
      <c r="J4554" s="156"/>
    </row>
    <row r="4555" spans="8:10">
      <c r="H4555" s="156"/>
      <c r="I4555" s="156"/>
      <c r="J4555" s="156"/>
    </row>
    <row r="4556" spans="8:10">
      <c r="H4556" s="156"/>
      <c r="I4556" s="156"/>
      <c r="J4556" s="156"/>
    </row>
    <row r="4557" spans="8:10">
      <c r="H4557" s="156"/>
      <c r="I4557" s="156"/>
      <c r="J4557" s="156"/>
    </row>
    <row r="4558" spans="8:10">
      <c r="H4558" s="156"/>
      <c r="I4558" s="156"/>
      <c r="J4558" s="156"/>
    </row>
    <row r="4559" spans="8:10">
      <c r="H4559" s="156"/>
      <c r="I4559" s="156"/>
      <c r="J4559" s="156"/>
    </row>
    <row r="4560" spans="8:10">
      <c r="H4560" s="156"/>
      <c r="I4560" s="156"/>
      <c r="J4560" s="156"/>
    </row>
    <row r="4561" spans="8:10">
      <c r="H4561" s="156"/>
      <c r="I4561" s="156"/>
      <c r="J4561" s="156"/>
    </row>
    <row r="4562" spans="8:10">
      <c r="H4562" s="156"/>
      <c r="I4562" s="156"/>
      <c r="J4562" s="156"/>
    </row>
    <row r="4563" spans="8:10">
      <c r="H4563" s="156"/>
      <c r="I4563" s="156"/>
      <c r="J4563" s="156"/>
    </row>
    <row r="4564" spans="8:10">
      <c r="H4564" s="156"/>
      <c r="I4564" s="156"/>
      <c r="J4564" s="156"/>
    </row>
    <row r="4565" spans="8:10">
      <c r="H4565" s="156"/>
      <c r="I4565" s="156"/>
      <c r="J4565" s="156"/>
    </row>
    <row r="4566" spans="8:10">
      <c r="H4566" s="156"/>
      <c r="I4566" s="156"/>
      <c r="J4566" s="156"/>
    </row>
    <row r="4567" spans="8:10">
      <c r="H4567" s="156"/>
      <c r="I4567" s="156"/>
      <c r="J4567" s="156"/>
    </row>
    <row r="4568" spans="8:10">
      <c r="H4568" s="156"/>
      <c r="I4568" s="156"/>
      <c r="J4568" s="156"/>
    </row>
    <row r="4569" spans="8:10">
      <c r="H4569" s="156"/>
      <c r="I4569" s="156"/>
      <c r="J4569" s="156"/>
    </row>
    <row r="4570" spans="8:10">
      <c r="H4570" s="156"/>
      <c r="I4570" s="156"/>
      <c r="J4570" s="156"/>
    </row>
    <row r="4571" spans="8:10">
      <c r="H4571" s="156"/>
      <c r="I4571" s="156"/>
      <c r="J4571" s="156"/>
    </row>
    <row r="4572" spans="8:10">
      <c r="H4572" s="156"/>
      <c r="I4572" s="156"/>
      <c r="J4572" s="156"/>
    </row>
    <row r="4573" spans="8:10">
      <c r="H4573" s="156"/>
      <c r="I4573" s="156"/>
      <c r="J4573" s="156"/>
    </row>
    <row r="4574" spans="8:10">
      <c r="H4574" s="156"/>
      <c r="I4574" s="156"/>
      <c r="J4574" s="156"/>
    </row>
    <row r="4575" spans="8:10">
      <c r="H4575" s="156"/>
      <c r="I4575" s="156"/>
      <c r="J4575" s="156"/>
    </row>
    <row r="4576" spans="8:10">
      <c r="H4576" s="156"/>
      <c r="I4576" s="156"/>
      <c r="J4576" s="156"/>
    </row>
    <row r="4577" spans="8:10">
      <c r="H4577" s="156"/>
      <c r="I4577" s="156"/>
      <c r="J4577" s="156"/>
    </row>
    <row r="4578" spans="8:10">
      <c r="H4578" s="156"/>
      <c r="I4578" s="156"/>
      <c r="J4578" s="156"/>
    </row>
    <row r="4579" spans="8:10">
      <c r="H4579" s="156"/>
      <c r="I4579" s="156"/>
      <c r="J4579" s="156"/>
    </row>
    <row r="4580" spans="8:10">
      <c r="H4580" s="156"/>
      <c r="I4580" s="156"/>
      <c r="J4580" s="156"/>
    </row>
    <row r="4581" spans="8:10">
      <c r="H4581" s="156"/>
      <c r="I4581" s="156"/>
      <c r="J4581" s="156"/>
    </row>
    <row r="4582" spans="8:10">
      <c r="H4582" s="156"/>
      <c r="I4582" s="156"/>
      <c r="J4582" s="156"/>
    </row>
    <row r="4583" spans="8:10">
      <c r="H4583" s="156"/>
      <c r="I4583" s="156"/>
      <c r="J4583" s="156"/>
    </row>
    <row r="4584" spans="8:10">
      <c r="H4584" s="156"/>
      <c r="I4584" s="156"/>
      <c r="J4584" s="156"/>
    </row>
    <row r="4585" spans="8:10">
      <c r="H4585" s="156"/>
      <c r="I4585" s="156"/>
      <c r="J4585" s="156"/>
    </row>
    <row r="4586" spans="8:10">
      <c r="H4586" s="156"/>
      <c r="I4586" s="156"/>
      <c r="J4586" s="156"/>
    </row>
    <row r="4587" spans="8:10">
      <c r="H4587" s="156"/>
      <c r="I4587" s="156"/>
      <c r="J4587" s="156"/>
    </row>
    <row r="4588" spans="8:10">
      <c r="H4588" s="156"/>
      <c r="I4588" s="156"/>
      <c r="J4588" s="156"/>
    </row>
    <row r="4589" spans="8:10">
      <c r="H4589" s="156"/>
      <c r="I4589" s="156"/>
      <c r="J4589" s="156"/>
    </row>
    <row r="4590" spans="8:10">
      <c r="H4590" s="156"/>
      <c r="I4590" s="156"/>
      <c r="J4590" s="156"/>
    </row>
    <row r="4591" spans="8:10">
      <c r="H4591" s="156"/>
      <c r="I4591" s="156"/>
      <c r="J4591" s="156"/>
    </row>
    <row r="4592" spans="8:10">
      <c r="H4592" s="156"/>
      <c r="I4592" s="156"/>
      <c r="J4592" s="156"/>
    </row>
    <row r="4593" spans="8:10">
      <c r="H4593" s="156"/>
      <c r="I4593" s="156"/>
      <c r="J4593" s="156"/>
    </row>
    <row r="4594" spans="8:10">
      <c r="H4594" s="156"/>
      <c r="I4594" s="156"/>
      <c r="J4594" s="156"/>
    </row>
    <row r="4595" spans="8:10">
      <c r="H4595" s="156"/>
      <c r="I4595" s="156"/>
      <c r="J4595" s="156"/>
    </row>
    <row r="4596" spans="8:10">
      <c r="H4596" s="156"/>
      <c r="I4596" s="156"/>
      <c r="J4596" s="156"/>
    </row>
    <row r="4597" spans="8:10">
      <c r="H4597" s="156"/>
      <c r="I4597" s="156"/>
      <c r="J4597" s="156"/>
    </row>
    <row r="4598" spans="8:10">
      <c r="H4598" s="156"/>
      <c r="I4598" s="156"/>
      <c r="J4598" s="156"/>
    </row>
    <row r="4599" spans="8:10">
      <c r="H4599" s="156"/>
      <c r="I4599" s="156"/>
      <c r="J4599" s="156"/>
    </row>
    <row r="4600" spans="8:10">
      <c r="H4600" s="156"/>
      <c r="I4600" s="156"/>
      <c r="J4600" s="156"/>
    </row>
    <row r="4601" spans="8:10">
      <c r="H4601" s="156"/>
      <c r="I4601" s="156"/>
      <c r="J4601" s="156"/>
    </row>
    <row r="4602" spans="8:10">
      <c r="H4602" s="156"/>
      <c r="I4602" s="156"/>
      <c r="J4602" s="156"/>
    </row>
    <row r="4603" spans="8:10">
      <c r="H4603" s="156"/>
      <c r="I4603" s="156"/>
      <c r="J4603" s="156"/>
    </row>
    <row r="4604" spans="8:10">
      <c r="H4604" s="156"/>
      <c r="I4604" s="156"/>
      <c r="J4604" s="156"/>
    </row>
    <row r="4605" spans="8:10">
      <c r="H4605" s="156"/>
      <c r="I4605" s="156"/>
      <c r="J4605" s="156"/>
    </row>
    <row r="4606" spans="8:10">
      <c r="H4606" s="156"/>
      <c r="I4606" s="156"/>
      <c r="J4606" s="156"/>
    </row>
    <row r="4607" spans="8:10">
      <c r="H4607" s="156"/>
      <c r="I4607" s="156"/>
      <c r="J4607" s="156"/>
    </row>
    <row r="4608" spans="8:10">
      <c r="H4608" s="156"/>
      <c r="I4608" s="156"/>
      <c r="J4608" s="156"/>
    </row>
    <row r="4609" spans="8:10">
      <c r="H4609" s="156"/>
      <c r="I4609" s="156"/>
      <c r="J4609" s="156"/>
    </row>
    <row r="4610" spans="8:10">
      <c r="H4610" s="156"/>
      <c r="I4610" s="156"/>
      <c r="J4610" s="156"/>
    </row>
    <row r="4611" spans="8:10">
      <c r="H4611" s="156"/>
      <c r="I4611" s="156"/>
      <c r="J4611" s="156"/>
    </row>
    <row r="4612" spans="8:10">
      <c r="H4612" s="156"/>
      <c r="I4612" s="156"/>
      <c r="J4612" s="156"/>
    </row>
    <row r="4613" spans="8:10">
      <c r="H4613" s="156"/>
      <c r="I4613" s="156"/>
      <c r="J4613" s="156"/>
    </row>
    <row r="4614" spans="8:10">
      <c r="H4614" s="156"/>
      <c r="I4614" s="156"/>
      <c r="J4614" s="156"/>
    </row>
    <row r="4615" spans="8:10">
      <c r="H4615" s="156"/>
      <c r="I4615" s="156"/>
      <c r="J4615" s="156"/>
    </row>
    <row r="4616" spans="8:10">
      <c r="H4616" s="156"/>
      <c r="I4616" s="156"/>
      <c r="J4616" s="156"/>
    </row>
    <row r="4617" spans="8:10">
      <c r="H4617" s="156"/>
      <c r="I4617" s="156"/>
      <c r="J4617" s="156"/>
    </row>
    <row r="4618" spans="8:10">
      <c r="H4618" s="156"/>
      <c r="I4618" s="156"/>
      <c r="J4618" s="156"/>
    </row>
    <row r="4619" spans="8:10">
      <c r="H4619" s="156"/>
      <c r="I4619" s="156"/>
      <c r="J4619" s="156"/>
    </row>
    <row r="4620" spans="8:10">
      <c r="H4620" s="156"/>
      <c r="I4620" s="156"/>
      <c r="J4620" s="156"/>
    </row>
    <row r="4621" spans="8:10">
      <c r="H4621" s="156"/>
      <c r="I4621" s="156"/>
      <c r="J4621" s="156"/>
    </row>
    <row r="4622" spans="8:10">
      <c r="H4622" s="156"/>
      <c r="I4622" s="156"/>
      <c r="J4622" s="156"/>
    </row>
    <row r="4623" spans="8:10">
      <c r="H4623" s="156"/>
      <c r="I4623" s="156"/>
      <c r="J4623" s="156"/>
    </row>
    <row r="4624" spans="8:10">
      <c r="H4624" s="156"/>
      <c r="I4624" s="156"/>
      <c r="J4624" s="156"/>
    </row>
    <row r="4625" spans="8:10">
      <c r="H4625" s="156"/>
      <c r="I4625" s="156"/>
      <c r="J4625" s="156"/>
    </row>
    <row r="4626" spans="8:10">
      <c r="H4626" s="156"/>
      <c r="I4626" s="156"/>
      <c r="J4626" s="156"/>
    </row>
    <row r="4627" spans="8:10">
      <c r="H4627" s="156"/>
      <c r="I4627" s="156"/>
      <c r="J4627" s="156"/>
    </row>
    <row r="4628" spans="8:10">
      <c r="H4628" s="156"/>
      <c r="I4628" s="156"/>
      <c r="J4628" s="156"/>
    </row>
    <row r="4629" spans="8:10">
      <c r="H4629" s="156"/>
      <c r="I4629" s="156"/>
      <c r="J4629" s="156"/>
    </row>
    <row r="4630" spans="8:10">
      <c r="H4630" s="156"/>
      <c r="I4630" s="156"/>
      <c r="J4630" s="156"/>
    </row>
    <row r="4631" spans="8:10">
      <c r="H4631" s="156"/>
      <c r="I4631" s="156"/>
      <c r="J4631" s="156"/>
    </row>
    <row r="4632" spans="8:10">
      <c r="H4632" s="156"/>
      <c r="I4632" s="156"/>
      <c r="J4632" s="156"/>
    </row>
    <row r="4633" spans="8:10">
      <c r="H4633" s="156"/>
      <c r="I4633" s="156"/>
      <c r="J4633" s="156"/>
    </row>
    <row r="4634" spans="8:10">
      <c r="H4634" s="156"/>
      <c r="I4634" s="156"/>
      <c r="J4634" s="156"/>
    </row>
    <row r="4635" spans="8:10">
      <c r="H4635" s="156"/>
      <c r="I4635" s="156"/>
      <c r="J4635" s="156"/>
    </row>
    <row r="4636" spans="8:10">
      <c r="H4636" s="156"/>
      <c r="I4636" s="156"/>
      <c r="J4636" s="156"/>
    </row>
    <row r="4637" spans="8:10">
      <c r="H4637" s="156"/>
      <c r="I4637" s="156"/>
      <c r="J4637" s="156"/>
    </row>
    <row r="4638" spans="8:10">
      <c r="H4638" s="156"/>
      <c r="I4638" s="156"/>
      <c r="J4638" s="156"/>
    </row>
    <row r="4639" spans="8:10">
      <c r="H4639" s="156"/>
      <c r="I4639" s="156"/>
      <c r="J4639" s="156"/>
    </row>
    <row r="4640" spans="8:10">
      <c r="H4640" s="156"/>
      <c r="I4640" s="156"/>
      <c r="J4640" s="156"/>
    </row>
    <row r="4641" spans="8:10">
      <c r="H4641" s="156"/>
      <c r="I4641" s="156"/>
      <c r="J4641" s="156"/>
    </row>
    <row r="4642" spans="8:10">
      <c r="H4642" s="156"/>
      <c r="I4642" s="156"/>
      <c r="J4642" s="156"/>
    </row>
    <row r="4643" spans="8:10">
      <c r="H4643" s="156"/>
      <c r="I4643" s="156"/>
      <c r="J4643" s="156"/>
    </row>
    <row r="4644" spans="8:10">
      <c r="H4644" s="156"/>
      <c r="I4644" s="156"/>
      <c r="J4644" s="156"/>
    </row>
    <row r="4645" spans="8:10">
      <c r="H4645" s="156"/>
      <c r="I4645" s="156"/>
      <c r="J4645" s="156"/>
    </row>
    <row r="4646" spans="8:10">
      <c r="H4646" s="156"/>
      <c r="I4646" s="156"/>
      <c r="J4646" s="156"/>
    </row>
    <row r="4647" spans="8:10">
      <c r="H4647" s="156"/>
      <c r="I4647" s="156"/>
      <c r="J4647" s="156"/>
    </row>
    <row r="4648" spans="8:10">
      <c r="H4648" s="156"/>
      <c r="I4648" s="156"/>
      <c r="J4648" s="156"/>
    </row>
    <row r="4649" spans="8:10">
      <c r="H4649" s="156"/>
      <c r="I4649" s="156"/>
      <c r="J4649" s="156"/>
    </row>
    <row r="4650" spans="8:10">
      <c r="H4650" s="156"/>
      <c r="I4650" s="156"/>
      <c r="J4650" s="156"/>
    </row>
    <row r="4651" spans="8:10">
      <c r="H4651" s="156"/>
      <c r="I4651" s="156"/>
      <c r="J4651" s="156"/>
    </row>
    <row r="4652" spans="8:10">
      <c r="H4652" s="156"/>
      <c r="I4652" s="156"/>
      <c r="J4652" s="156"/>
    </row>
    <row r="4653" spans="8:10">
      <c r="H4653" s="156"/>
      <c r="I4653" s="156"/>
      <c r="J4653" s="156"/>
    </row>
    <row r="4654" spans="8:10">
      <c r="H4654" s="156"/>
      <c r="I4654" s="156"/>
      <c r="J4654" s="156"/>
    </row>
    <row r="4655" spans="8:10">
      <c r="H4655" s="156"/>
      <c r="I4655" s="156"/>
      <c r="J4655" s="156"/>
    </row>
    <row r="4656" spans="8:10">
      <c r="H4656" s="156"/>
      <c r="I4656" s="156"/>
      <c r="J4656" s="156"/>
    </row>
    <row r="4657" spans="8:10">
      <c r="H4657" s="156"/>
      <c r="I4657" s="156"/>
      <c r="J4657" s="156"/>
    </row>
    <row r="4658" spans="8:10">
      <c r="H4658" s="156"/>
      <c r="I4658" s="156"/>
      <c r="J4658" s="156"/>
    </row>
    <row r="4659" spans="8:10">
      <c r="H4659" s="156"/>
      <c r="I4659" s="156"/>
      <c r="J4659" s="156"/>
    </row>
    <row r="4660" spans="8:10">
      <c r="H4660" s="156"/>
      <c r="I4660" s="156"/>
      <c r="J4660" s="156"/>
    </row>
    <row r="4661" spans="8:10">
      <c r="H4661" s="156"/>
      <c r="I4661" s="156"/>
      <c r="J4661" s="156"/>
    </row>
    <row r="4662" spans="8:10">
      <c r="H4662" s="156"/>
      <c r="I4662" s="156"/>
      <c r="J4662" s="156"/>
    </row>
    <row r="4663" spans="8:10">
      <c r="H4663" s="156"/>
      <c r="I4663" s="156"/>
      <c r="J4663" s="156"/>
    </row>
    <row r="4664" spans="8:10">
      <c r="H4664" s="156"/>
      <c r="I4664" s="156"/>
      <c r="J4664" s="156"/>
    </row>
    <row r="4665" spans="8:10">
      <c r="H4665" s="156"/>
      <c r="I4665" s="156"/>
      <c r="J4665" s="156"/>
    </row>
    <row r="4666" spans="8:10">
      <c r="H4666" s="156"/>
      <c r="I4666" s="156"/>
      <c r="J4666" s="156"/>
    </row>
    <row r="4667" spans="8:10">
      <c r="H4667" s="156"/>
      <c r="I4667" s="156"/>
      <c r="J4667" s="156"/>
    </row>
    <row r="4668" spans="8:10">
      <c r="H4668" s="156"/>
      <c r="I4668" s="156"/>
      <c r="J4668" s="156"/>
    </row>
    <row r="4669" spans="8:10">
      <c r="H4669" s="156"/>
      <c r="I4669" s="156"/>
      <c r="J4669" s="156"/>
    </row>
    <row r="4670" spans="8:10">
      <c r="H4670" s="156"/>
      <c r="I4670" s="156"/>
      <c r="J4670" s="156"/>
    </row>
    <row r="4671" spans="8:10">
      <c r="H4671" s="156"/>
      <c r="I4671" s="156"/>
      <c r="J4671" s="156"/>
    </row>
    <row r="4672" spans="8:10">
      <c r="H4672" s="156"/>
      <c r="I4672" s="156"/>
      <c r="J4672" s="156"/>
    </row>
    <row r="4673" spans="8:10">
      <c r="H4673" s="156"/>
      <c r="I4673" s="156"/>
      <c r="J4673" s="156"/>
    </row>
    <row r="4674" spans="8:10">
      <c r="H4674" s="156"/>
      <c r="I4674" s="156"/>
      <c r="J4674" s="156"/>
    </row>
    <row r="4675" spans="8:10">
      <c r="H4675" s="156"/>
      <c r="I4675" s="156"/>
      <c r="J4675" s="156"/>
    </row>
    <row r="4676" spans="8:10">
      <c r="H4676" s="156"/>
      <c r="I4676" s="156"/>
      <c r="J4676" s="156"/>
    </row>
    <row r="4677" spans="8:10">
      <c r="H4677" s="156"/>
      <c r="I4677" s="156"/>
      <c r="J4677" s="156"/>
    </row>
    <row r="4678" spans="8:10">
      <c r="H4678" s="156"/>
      <c r="I4678" s="156"/>
      <c r="J4678" s="156"/>
    </row>
    <row r="4679" spans="8:10">
      <c r="H4679" s="156"/>
      <c r="I4679" s="156"/>
      <c r="J4679" s="156"/>
    </row>
    <row r="4680" spans="8:10">
      <c r="H4680" s="156"/>
      <c r="I4680" s="156"/>
      <c r="J4680" s="156"/>
    </row>
    <row r="4681" spans="8:10">
      <c r="H4681" s="156"/>
      <c r="I4681" s="156"/>
      <c r="J4681" s="156"/>
    </row>
    <row r="4682" spans="8:10">
      <c r="H4682" s="156"/>
      <c r="I4682" s="156"/>
      <c r="J4682" s="156"/>
    </row>
    <row r="4683" spans="8:10">
      <c r="H4683" s="156"/>
      <c r="I4683" s="156"/>
      <c r="J4683" s="156"/>
    </row>
    <row r="4684" spans="8:10">
      <c r="H4684" s="156"/>
      <c r="I4684" s="156"/>
      <c r="J4684" s="156"/>
    </row>
    <row r="4685" spans="8:10">
      <c r="H4685" s="156"/>
      <c r="I4685" s="156"/>
      <c r="J4685" s="156"/>
    </row>
    <row r="4686" spans="8:10">
      <c r="H4686" s="156"/>
      <c r="I4686" s="156"/>
      <c r="J4686" s="156"/>
    </row>
    <row r="4687" spans="8:10">
      <c r="H4687" s="156"/>
      <c r="I4687" s="156"/>
      <c r="J4687" s="156"/>
    </row>
    <row r="4688" spans="8:10">
      <c r="H4688" s="156"/>
      <c r="I4688" s="156"/>
      <c r="J4688" s="156"/>
    </row>
    <row r="4689" spans="8:10">
      <c r="H4689" s="156"/>
      <c r="I4689" s="156"/>
      <c r="J4689" s="156"/>
    </row>
    <row r="4690" spans="8:10">
      <c r="H4690" s="156"/>
      <c r="I4690" s="156"/>
      <c r="J4690" s="156"/>
    </row>
    <row r="4691" spans="8:10">
      <c r="H4691" s="156"/>
      <c r="I4691" s="156"/>
      <c r="J4691" s="156"/>
    </row>
    <row r="4692" spans="8:10">
      <c r="H4692" s="156"/>
      <c r="I4692" s="156"/>
      <c r="J4692" s="156"/>
    </row>
    <row r="4693" spans="8:10">
      <c r="H4693" s="156"/>
      <c r="I4693" s="156"/>
      <c r="J4693" s="156"/>
    </row>
    <row r="4694" spans="8:10">
      <c r="H4694" s="156"/>
      <c r="I4694" s="156"/>
      <c r="J4694" s="156"/>
    </row>
    <row r="4695" spans="8:10">
      <c r="H4695" s="156"/>
      <c r="I4695" s="156"/>
      <c r="J4695" s="156"/>
    </row>
    <row r="4696" spans="8:10">
      <c r="H4696" s="156"/>
      <c r="I4696" s="156"/>
      <c r="J4696" s="156"/>
    </row>
    <row r="4697" spans="8:10">
      <c r="H4697" s="156"/>
      <c r="I4697" s="156"/>
      <c r="J4697" s="156"/>
    </row>
    <row r="4698" spans="8:10">
      <c r="H4698" s="156"/>
      <c r="I4698" s="156"/>
      <c r="J4698" s="156"/>
    </row>
    <row r="4699" spans="8:10">
      <c r="H4699" s="156"/>
      <c r="I4699" s="156"/>
      <c r="J4699" s="156"/>
    </row>
    <row r="4700" spans="8:10">
      <c r="H4700" s="156"/>
      <c r="I4700" s="156"/>
      <c r="J4700" s="156"/>
    </row>
    <row r="4701" spans="8:10">
      <c r="H4701" s="156"/>
      <c r="I4701" s="156"/>
      <c r="J4701" s="156"/>
    </row>
    <row r="4702" spans="8:10">
      <c r="H4702" s="156"/>
      <c r="I4702" s="156"/>
      <c r="J4702" s="156"/>
    </row>
    <row r="4703" spans="8:10">
      <c r="H4703" s="156"/>
      <c r="I4703" s="156"/>
      <c r="J4703" s="156"/>
    </row>
    <row r="4704" spans="8:10">
      <c r="H4704" s="156"/>
      <c r="I4704" s="156"/>
      <c r="J4704" s="156"/>
    </row>
    <row r="4705" spans="8:10">
      <c r="H4705" s="156"/>
      <c r="I4705" s="156"/>
      <c r="J4705" s="156"/>
    </row>
    <row r="4706" spans="8:10">
      <c r="H4706" s="156"/>
      <c r="I4706" s="156"/>
      <c r="J4706" s="156"/>
    </row>
    <row r="4707" spans="8:10">
      <c r="H4707" s="156"/>
      <c r="I4707" s="156"/>
      <c r="J4707" s="156"/>
    </row>
    <row r="4708" spans="8:10">
      <c r="H4708" s="156"/>
      <c r="I4708" s="156"/>
      <c r="J4708" s="156"/>
    </row>
    <row r="4709" spans="8:10">
      <c r="H4709" s="156"/>
      <c r="I4709" s="156"/>
      <c r="J4709" s="156"/>
    </row>
    <row r="4710" spans="8:10">
      <c r="H4710" s="156"/>
      <c r="I4710" s="156"/>
      <c r="J4710" s="156"/>
    </row>
    <row r="4711" spans="8:10">
      <c r="H4711" s="156"/>
      <c r="I4711" s="156"/>
      <c r="J4711" s="156"/>
    </row>
    <row r="4712" spans="8:10">
      <c r="H4712" s="156"/>
      <c r="I4712" s="156"/>
      <c r="J4712" s="156"/>
    </row>
    <row r="4713" spans="8:10">
      <c r="H4713" s="156"/>
      <c r="I4713" s="156"/>
      <c r="J4713" s="156"/>
    </row>
    <row r="4714" spans="8:10">
      <c r="H4714" s="156"/>
      <c r="I4714" s="156"/>
      <c r="J4714" s="156"/>
    </row>
    <row r="4715" spans="8:10">
      <c r="H4715" s="156"/>
      <c r="I4715" s="156"/>
      <c r="J4715" s="156"/>
    </row>
    <row r="4716" spans="8:10">
      <c r="H4716" s="156"/>
      <c r="I4716" s="156"/>
      <c r="J4716" s="156"/>
    </row>
    <row r="4717" spans="8:10">
      <c r="H4717" s="156"/>
      <c r="I4717" s="156"/>
      <c r="J4717" s="156"/>
    </row>
    <row r="4718" spans="8:10">
      <c r="H4718" s="156"/>
      <c r="I4718" s="156"/>
      <c r="J4718" s="156"/>
    </row>
    <row r="4719" spans="8:10">
      <c r="H4719" s="156"/>
      <c r="I4719" s="156"/>
      <c r="J4719" s="156"/>
    </row>
    <row r="4720" spans="8:10">
      <c r="H4720" s="156"/>
      <c r="I4720" s="156"/>
      <c r="J4720" s="156"/>
    </row>
    <row r="4721" spans="8:10">
      <c r="H4721" s="156"/>
      <c r="I4721" s="156"/>
      <c r="J4721" s="156"/>
    </row>
    <row r="4722" spans="8:10">
      <c r="H4722" s="156"/>
      <c r="I4722" s="156"/>
      <c r="J4722" s="156"/>
    </row>
    <row r="4723" spans="8:10">
      <c r="H4723" s="156"/>
      <c r="I4723" s="156"/>
      <c r="J4723" s="156"/>
    </row>
    <row r="4724" spans="8:10">
      <c r="H4724" s="156"/>
      <c r="I4724" s="156"/>
      <c r="J4724" s="156"/>
    </row>
    <row r="4725" spans="8:10">
      <c r="H4725" s="156"/>
      <c r="I4725" s="156"/>
      <c r="J4725" s="156"/>
    </row>
    <row r="4726" spans="8:10">
      <c r="H4726" s="156"/>
      <c r="I4726" s="156"/>
      <c r="J4726" s="156"/>
    </row>
    <row r="4727" spans="8:10">
      <c r="H4727" s="156"/>
      <c r="I4727" s="156"/>
      <c r="J4727" s="156"/>
    </row>
    <row r="4728" spans="8:10">
      <c r="H4728" s="156"/>
      <c r="I4728" s="156"/>
      <c r="J4728" s="156"/>
    </row>
    <row r="4729" spans="8:10">
      <c r="H4729" s="156"/>
      <c r="I4729" s="156"/>
      <c r="J4729" s="156"/>
    </row>
    <row r="4730" spans="8:10">
      <c r="H4730" s="156"/>
      <c r="I4730" s="156"/>
      <c r="J4730" s="156"/>
    </row>
    <row r="4731" spans="8:10">
      <c r="H4731" s="156"/>
      <c r="I4731" s="156"/>
      <c r="J4731" s="156"/>
    </row>
    <row r="4732" spans="8:10">
      <c r="H4732" s="156"/>
      <c r="I4732" s="156"/>
      <c r="J4732" s="156"/>
    </row>
    <row r="4733" spans="8:10">
      <c r="H4733" s="156"/>
      <c r="I4733" s="156"/>
      <c r="J4733" s="156"/>
    </row>
    <row r="4734" spans="8:10">
      <c r="H4734" s="156"/>
      <c r="I4734" s="156"/>
      <c r="J4734" s="156"/>
    </row>
    <row r="4735" spans="8:10">
      <c r="H4735" s="156"/>
      <c r="I4735" s="156"/>
      <c r="J4735" s="156"/>
    </row>
    <row r="4736" spans="8:10">
      <c r="H4736" s="156"/>
      <c r="I4736" s="156"/>
      <c r="J4736" s="156"/>
    </row>
    <row r="4737" spans="8:10">
      <c r="H4737" s="156"/>
      <c r="I4737" s="156"/>
      <c r="J4737" s="156"/>
    </row>
    <row r="4738" spans="8:10">
      <c r="H4738" s="156"/>
      <c r="I4738" s="156"/>
      <c r="J4738" s="156"/>
    </row>
    <row r="4739" spans="8:10">
      <c r="H4739" s="156"/>
      <c r="I4739" s="156"/>
      <c r="J4739" s="156"/>
    </row>
    <row r="4740" spans="8:10">
      <c r="H4740" s="156"/>
      <c r="I4740" s="156"/>
      <c r="J4740" s="156"/>
    </row>
    <row r="4741" spans="8:10">
      <c r="H4741" s="156"/>
      <c r="I4741" s="156"/>
      <c r="J4741" s="156"/>
    </row>
    <row r="4742" spans="8:10">
      <c r="H4742" s="156"/>
      <c r="I4742" s="156"/>
      <c r="J4742" s="156"/>
    </row>
    <row r="4743" spans="8:10">
      <c r="H4743" s="156"/>
      <c r="I4743" s="156"/>
      <c r="J4743" s="156"/>
    </row>
    <row r="4744" spans="8:10">
      <c r="H4744" s="156"/>
      <c r="I4744" s="156"/>
      <c r="J4744" s="156"/>
    </row>
    <row r="4745" spans="8:10">
      <c r="H4745" s="156"/>
      <c r="I4745" s="156"/>
      <c r="J4745" s="156"/>
    </row>
    <row r="4746" spans="8:10">
      <c r="H4746" s="156"/>
      <c r="I4746" s="156"/>
      <c r="J4746" s="156"/>
    </row>
    <row r="4747" spans="8:10">
      <c r="H4747" s="156"/>
      <c r="I4747" s="156"/>
      <c r="J4747" s="156"/>
    </row>
    <row r="4748" spans="8:10">
      <c r="H4748" s="156"/>
      <c r="I4748" s="156"/>
      <c r="J4748" s="156"/>
    </row>
    <row r="4749" spans="8:10">
      <c r="H4749" s="156"/>
      <c r="I4749" s="156"/>
      <c r="J4749" s="156"/>
    </row>
    <row r="4750" spans="8:10">
      <c r="H4750" s="156"/>
      <c r="I4750" s="156"/>
      <c r="J4750" s="156"/>
    </row>
    <row r="4751" spans="8:10">
      <c r="H4751" s="156"/>
      <c r="I4751" s="156"/>
      <c r="J4751" s="156"/>
    </row>
    <row r="4752" spans="8:10">
      <c r="H4752" s="156"/>
      <c r="I4752" s="156"/>
      <c r="J4752" s="156"/>
    </row>
    <row r="4753" spans="8:10">
      <c r="H4753" s="156"/>
      <c r="I4753" s="156"/>
      <c r="J4753" s="156"/>
    </row>
    <row r="4754" spans="8:10">
      <c r="H4754" s="156"/>
      <c r="I4754" s="156"/>
      <c r="J4754" s="156"/>
    </row>
    <row r="4755" spans="8:10">
      <c r="H4755" s="156"/>
      <c r="I4755" s="156"/>
      <c r="J4755" s="156"/>
    </row>
    <row r="4756" spans="8:10">
      <c r="H4756" s="156"/>
      <c r="I4756" s="156"/>
      <c r="J4756" s="156"/>
    </row>
    <row r="4757" spans="8:10">
      <c r="H4757" s="156"/>
      <c r="I4757" s="156"/>
      <c r="J4757" s="156"/>
    </row>
    <row r="4758" spans="8:10">
      <c r="H4758" s="156"/>
      <c r="I4758" s="156"/>
      <c r="J4758" s="156"/>
    </row>
    <row r="4759" spans="8:10">
      <c r="H4759" s="156"/>
      <c r="I4759" s="156"/>
      <c r="J4759" s="156"/>
    </row>
    <row r="4760" spans="8:10">
      <c r="H4760" s="156"/>
      <c r="I4760" s="156"/>
      <c r="J4760" s="156"/>
    </row>
    <row r="4761" spans="8:10">
      <c r="H4761" s="156"/>
      <c r="I4761" s="156"/>
      <c r="J4761" s="156"/>
    </row>
    <row r="4762" spans="8:10">
      <c r="H4762" s="156"/>
      <c r="I4762" s="156"/>
      <c r="J4762" s="156"/>
    </row>
    <row r="4763" spans="8:10">
      <c r="H4763" s="156"/>
      <c r="I4763" s="156"/>
      <c r="J4763" s="156"/>
    </row>
    <row r="4764" spans="8:10">
      <c r="H4764" s="156"/>
      <c r="I4764" s="156"/>
      <c r="J4764" s="156"/>
    </row>
    <row r="4765" spans="8:10">
      <c r="H4765" s="156"/>
      <c r="I4765" s="156"/>
      <c r="J4765" s="156"/>
    </row>
    <row r="4766" spans="8:10">
      <c r="H4766" s="156"/>
      <c r="I4766" s="156"/>
      <c r="J4766" s="156"/>
    </row>
    <row r="4767" spans="8:10">
      <c r="H4767" s="156"/>
      <c r="I4767" s="156"/>
      <c r="J4767" s="156"/>
    </row>
    <row r="4768" spans="8:10">
      <c r="H4768" s="156"/>
      <c r="I4768" s="156"/>
      <c r="J4768" s="156"/>
    </row>
    <row r="4769" spans="8:10">
      <c r="H4769" s="156"/>
      <c r="I4769" s="156"/>
      <c r="J4769" s="156"/>
    </row>
    <row r="4770" spans="8:10">
      <c r="H4770" s="156"/>
      <c r="I4770" s="156"/>
      <c r="J4770" s="156"/>
    </row>
    <row r="4771" spans="8:10">
      <c r="H4771" s="156"/>
      <c r="I4771" s="156"/>
      <c r="J4771" s="156"/>
    </row>
    <row r="4772" spans="8:10">
      <c r="H4772" s="156"/>
      <c r="I4772" s="156"/>
      <c r="J4772" s="156"/>
    </row>
    <row r="4773" spans="8:10">
      <c r="H4773" s="156"/>
      <c r="I4773" s="156"/>
      <c r="J4773" s="156"/>
    </row>
    <row r="4774" spans="8:10">
      <c r="H4774" s="156"/>
      <c r="I4774" s="156"/>
      <c r="J4774" s="156"/>
    </row>
    <row r="4775" spans="8:10">
      <c r="H4775" s="156"/>
      <c r="I4775" s="156"/>
      <c r="J4775" s="156"/>
    </row>
    <row r="4776" spans="8:10">
      <c r="H4776" s="156"/>
      <c r="I4776" s="156"/>
      <c r="J4776" s="156"/>
    </row>
    <row r="4777" spans="8:10">
      <c r="H4777" s="156"/>
      <c r="I4777" s="156"/>
      <c r="J4777" s="156"/>
    </row>
    <row r="4778" spans="8:10">
      <c r="H4778" s="156"/>
      <c r="I4778" s="156"/>
      <c r="J4778" s="156"/>
    </row>
    <row r="4779" spans="8:10">
      <c r="H4779" s="156"/>
      <c r="I4779" s="156"/>
      <c r="J4779" s="156"/>
    </row>
    <row r="4780" spans="8:10">
      <c r="H4780" s="156"/>
      <c r="I4780" s="156"/>
      <c r="J4780" s="156"/>
    </row>
    <row r="4781" spans="8:10">
      <c r="H4781" s="156"/>
      <c r="I4781" s="156"/>
      <c r="J4781" s="156"/>
    </row>
    <row r="4782" spans="8:10">
      <c r="H4782" s="156"/>
      <c r="I4782" s="156"/>
      <c r="J4782" s="156"/>
    </row>
    <row r="4783" spans="8:10">
      <c r="H4783" s="156"/>
      <c r="I4783" s="156"/>
      <c r="J4783" s="156"/>
    </row>
    <row r="4784" spans="8:10">
      <c r="H4784" s="156"/>
      <c r="I4784" s="156"/>
      <c r="J4784" s="156"/>
    </row>
    <row r="4785" spans="8:10">
      <c r="H4785" s="156"/>
      <c r="I4785" s="156"/>
      <c r="J4785" s="156"/>
    </row>
    <row r="4786" spans="8:10">
      <c r="H4786" s="156"/>
      <c r="I4786" s="156"/>
      <c r="J4786" s="156"/>
    </row>
    <row r="4787" spans="8:10">
      <c r="H4787" s="156"/>
      <c r="I4787" s="156"/>
      <c r="J4787" s="156"/>
    </row>
    <row r="4788" spans="8:10">
      <c r="H4788" s="156"/>
      <c r="I4788" s="156"/>
      <c r="J4788" s="156"/>
    </row>
    <row r="4789" spans="8:10">
      <c r="H4789" s="156"/>
      <c r="I4789" s="156"/>
      <c r="J4789" s="156"/>
    </row>
    <row r="4790" spans="8:10">
      <c r="H4790" s="156"/>
      <c r="I4790" s="156"/>
      <c r="J4790" s="156"/>
    </row>
    <row r="4791" spans="8:10">
      <c r="H4791" s="156"/>
      <c r="I4791" s="156"/>
      <c r="J4791" s="156"/>
    </row>
    <row r="4792" spans="8:10">
      <c r="H4792" s="156"/>
      <c r="I4792" s="156"/>
      <c r="J4792" s="156"/>
    </row>
    <row r="4793" spans="8:10">
      <c r="H4793" s="156"/>
      <c r="I4793" s="156"/>
      <c r="J4793" s="156"/>
    </row>
    <row r="4794" spans="8:10">
      <c r="H4794" s="156"/>
      <c r="I4794" s="156"/>
      <c r="J4794" s="156"/>
    </row>
    <row r="4795" spans="8:10">
      <c r="H4795" s="156"/>
      <c r="I4795" s="156"/>
      <c r="J4795" s="156"/>
    </row>
    <row r="4796" spans="8:10">
      <c r="H4796" s="156"/>
      <c r="I4796" s="156"/>
      <c r="J4796" s="156"/>
    </row>
    <row r="4797" spans="8:10">
      <c r="H4797" s="156"/>
      <c r="I4797" s="156"/>
      <c r="J4797" s="156"/>
    </row>
    <row r="4798" spans="8:10">
      <c r="H4798" s="156"/>
      <c r="I4798" s="156"/>
      <c r="J4798" s="156"/>
    </row>
    <row r="4799" spans="8:10">
      <c r="H4799" s="156"/>
      <c r="I4799" s="156"/>
      <c r="J4799" s="156"/>
    </row>
    <row r="4800" spans="8:10">
      <c r="H4800" s="156"/>
      <c r="I4800" s="156"/>
      <c r="J4800" s="156"/>
    </row>
    <row r="4801" spans="8:10">
      <c r="H4801" s="156"/>
      <c r="I4801" s="156"/>
      <c r="J4801" s="156"/>
    </row>
    <row r="4802" spans="8:10">
      <c r="H4802" s="156"/>
      <c r="I4802" s="156"/>
      <c r="J4802" s="156"/>
    </row>
    <row r="4803" spans="8:10">
      <c r="H4803" s="156"/>
      <c r="I4803" s="156"/>
      <c r="J4803" s="156"/>
    </row>
    <row r="4804" spans="8:10">
      <c r="H4804" s="156"/>
      <c r="I4804" s="156"/>
      <c r="J4804" s="156"/>
    </row>
    <row r="4805" spans="8:10">
      <c r="H4805" s="156"/>
      <c r="I4805" s="156"/>
      <c r="J4805" s="156"/>
    </row>
    <row r="4806" spans="8:10">
      <c r="H4806" s="156"/>
      <c r="I4806" s="156"/>
      <c r="J4806" s="156"/>
    </row>
    <row r="4807" spans="8:10">
      <c r="H4807" s="156"/>
      <c r="I4807" s="156"/>
      <c r="J4807" s="156"/>
    </row>
    <row r="4808" spans="8:10">
      <c r="H4808" s="156"/>
      <c r="I4808" s="156"/>
      <c r="J4808" s="156"/>
    </row>
    <row r="4809" spans="8:10">
      <c r="H4809" s="156"/>
      <c r="I4809" s="156"/>
      <c r="J4809" s="156"/>
    </row>
    <row r="4810" spans="8:10">
      <c r="H4810" s="156"/>
      <c r="I4810" s="156"/>
      <c r="J4810" s="156"/>
    </row>
    <row r="4811" spans="8:10">
      <c r="H4811" s="156"/>
      <c r="I4811" s="156"/>
      <c r="J4811" s="156"/>
    </row>
    <row r="4812" spans="8:10">
      <c r="H4812" s="156"/>
      <c r="I4812" s="156"/>
      <c r="J4812" s="156"/>
    </row>
    <row r="4813" spans="8:10">
      <c r="H4813" s="156"/>
      <c r="I4813" s="156"/>
      <c r="J4813" s="156"/>
    </row>
    <row r="4814" spans="8:10">
      <c r="H4814" s="156"/>
      <c r="I4814" s="156"/>
      <c r="J4814" s="156"/>
    </row>
    <row r="4815" spans="8:10">
      <c r="H4815" s="156"/>
      <c r="I4815" s="156"/>
      <c r="J4815" s="156"/>
    </row>
    <row r="4816" spans="8:10">
      <c r="H4816" s="156"/>
      <c r="I4816" s="156"/>
      <c r="J4816" s="156"/>
    </row>
    <row r="4817" spans="8:10">
      <c r="H4817" s="156"/>
      <c r="I4817" s="156"/>
      <c r="J4817" s="156"/>
    </row>
    <row r="4818" spans="8:10">
      <c r="H4818" s="156"/>
      <c r="I4818" s="156"/>
      <c r="J4818" s="156"/>
    </row>
    <row r="4819" spans="8:10">
      <c r="H4819" s="156"/>
      <c r="I4819" s="156"/>
      <c r="J4819" s="156"/>
    </row>
    <row r="4820" spans="8:10">
      <c r="H4820" s="156"/>
      <c r="I4820" s="156"/>
      <c r="J4820" s="156"/>
    </row>
    <row r="4821" spans="8:10">
      <c r="H4821" s="156"/>
      <c r="I4821" s="156"/>
      <c r="J4821" s="156"/>
    </row>
    <row r="4822" spans="8:10">
      <c r="H4822" s="156"/>
      <c r="I4822" s="156"/>
      <c r="J4822" s="156"/>
    </row>
    <row r="4823" spans="8:10">
      <c r="H4823" s="156"/>
      <c r="I4823" s="156"/>
      <c r="J4823" s="156"/>
    </row>
    <row r="4824" spans="8:10">
      <c r="H4824" s="156"/>
      <c r="I4824" s="156"/>
      <c r="J4824" s="156"/>
    </row>
    <row r="4825" spans="8:10">
      <c r="H4825" s="156"/>
      <c r="I4825" s="156"/>
      <c r="J4825" s="156"/>
    </row>
    <row r="4826" spans="8:10">
      <c r="H4826" s="156"/>
      <c r="I4826" s="156"/>
      <c r="J4826" s="156"/>
    </row>
    <row r="4827" spans="8:10">
      <c r="H4827" s="156"/>
      <c r="I4827" s="156"/>
      <c r="J4827" s="156"/>
    </row>
    <row r="4828" spans="8:10">
      <c r="H4828" s="156"/>
      <c r="I4828" s="156"/>
      <c r="J4828" s="156"/>
    </row>
    <row r="4829" spans="8:10">
      <c r="H4829" s="156"/>
      <c r="I4829" s="156"/>
      <c r="J4829" s="156"/>
    </row>
    <row r="4830" spans="8:10">
      <c r="H4830" s="156"/>
      <c r="I4830" s="156"/>
      <c r="J4830" s="156"/>
    </row>
    <row r="4831" spans="8:10">
      <c r="H4831" s="156"/>
      <c r="I4831" s="156"/>
      <c r="J4831" s="156"/>
    </row>
    <row r="4832" spans="8:10">
      <c r="H4832" s="156"/>
      <c r="I4832" s="156"/>
      <c r="J4832" s="156"/>
    </row>
    <row r="4833" spans="8:10">
      <c r="H4833" s="156"/>
      <c r="I4833" s="156"/>
      <c r="J4833" s="156"/>
    </row>
    <row r="4834" spans="8:10">
      <c r="H4834" s="156"/>
      <c r="I4834" s="156"/>
      <c r="J4834" s="156"/>
    </row>
    <row r="4835" spans="8:10">
      <c r="H4835" s="156"/>
      <c r="I4835" s="156"/>
      <c r="J4835" s="156"/>
    </row>
    <row r="4836" spans="8:10">
      <c r="H4836" s="156"/>
      <c r="I4836" s="156"/>
      <c r="J4836" s="156"/>
    </row>
    <row r="4837" spans="8:10">
      <c r="H4837" s="156"/>
      <c r="I4837" s="156"/>
      <c r="J4837" s="156"/>
    </row>
    <row r="4838" spans="8:10">
      <c r="H4838" s="156"/>
      <c r="I4838" s="156"/>
      <c r="J4838" s="156"/>
    </row>
    <row r="4839" spans="8:10">
      <c r="H4839" s="156"/>
      <c r="I4839" s="156"/>
      <c r="J4839" s="156"/>
    </row>
    <row r="4840" spans="8:10">
      <c r="H4840" s="156"/>
      <c r="I4840" s="156"/>
      <c r="J4840" s="156"/>
    </row>
    <row r="4841" spans="8:10">
      <c r="H4841" s="156"/>
      <c r="I4841" s="156"/>
      <c r="J4841" s="156"/>
    </row>
    <row r="4842" spans="8:10">
      <c r="H4842" s="156"/>
      <c r="I4842" s="156"/>
      <c r="J4842" s="156"/>
    </row>
    <row r="4843" spans="8:10">
      <c r="H4843" s="156"/>
      <c r="I4843" s="156"/>
      <c r="J4843" s="156"/>
    </row>
    <row r="4844" spans="8:10">
      <c r="H4844" s="156"/>
      <c r="I4844" s="156"/>
      <c r="J4844" s="156"/>
    </row>
    <row r="4845" spans="8:10">
      <c r="H4845" s="156"/>
      <c r="I4845" s="156"/>
      <c r="J4845" s="156"/>
    </row>
    <row r="4846" spans="8:10">
      <c r="H4846" s="156"/>
      <c r="I4846" s="156"/>
      <c r="J4846" s="156"/>
    </row>
    <row r="4847" spans="8:10">
      <c r="H4847" s="156"/>
      <c r="I4847" s="156"/>
      <c r="J4847" s="156"/>
    </row>
    <row r="4848" spans="8:10">
      <c r="H4848" s="156"/>
      <c r="I4848" s="156"/>
      <c r="J4848" s="156"/>
    </row>
    <row r="4849" spans="8:10">
      <c r="H4849" s="156"/>
      <c r="I4849" s="156"/>
      <c r="J4849" s="156"/>
    </row>
    <row r="4850" spans="8:10">
      <c r="H4850" s="156"/>
      <c r="I4850" s="156"/>
      <c r="J4850" s="156"/>
    </row>
    <row r="4851" spans="8:10">
      <c r="H4851" s="156"/>
      <c r="I4851" s="156"/>
      <c r="J4851" s="156"/>
    </row>
    <row r="4852" spans="8:10">
      <c r="H4852" s="156"/>
      <c r="I4852" s="156"/>
      <c r="J4852" s="156"/>
    </row>
    <row r="4853" spans="8:10">
      <c r="H4853" s="156"/>
      <c r="I4853" s="156"/>
      <c r="J4853" s="156"/>
    </row>
    <row r="4854" spans="8:10">
      <c r="H4854" s="156"/>
      <c r="I4854" s="156"/>
      <c r="J4854" s="156"/>
    </row>
    <row r="4855" spans="8:10">
      <c r="H4855" s="156"/>
      <c r="I4855" s="156"/>
      <c r="J4855" s="156"/>
    </row>
    <row r="4856" spans="8:10">
      <c r="H4856" s="156"/>
      <c r="I4856" s="156"/>
      <c r="J4856" s="156"/>
    </row>
    <row r="4857" spans="8:10">
      <c r="H4857" s="156"/>
      <c r="I4857" s="156"/>
      <c r="J4857" s="156"/>
    </row>
    <row r="4858" spans="8:10">
      <c r="H4858" s="156"/>
      <c r="I4858" s="156"/>
      <c r="J4858" s="156"/>
    </row>
    <row r="4859" spans="8:10">
      <c r="H4859" s="156"/>
      <c r="I4859" s="156"/>
      <c r="J4859" s="156"/>
    </row>
    <row r="4860" spans="8:10">
      <c r="H4860" s="156"/>
      <c r="I4860" s="156"/>
      <c r="J4860" s="156"/>
    </row>
    <row r="4861" spans="8:10">
      <c r="H4861" s="156"/>
      <c r="I4861" s="156"/>
      <c r="J4861" s="156"/>
    </row>
    <row r="4862" spans="8:10">
      <c r="H4862" s="156"/>
      <c r="I4862" s="156"/>
      <c r="J4862" s="156"/>
    </row>
    <row r="4863" spans="8:10">
      <c r="H4863" s="156"/>
      <c r="I4863" s="156"/>
      <c r="J4863" s="156"/>
    </row>
    <row r="4864" spans="8:10">
      <c r="H4864" s="156"/>
      <c r="I4864" s="156"/>
      <c r="J4864" s="156"/>
    </row>
    <row r="4865" spans="8:10">
      <c r="H4865" s="156"/>
      <c r="I4865" s="156"/>
      <c r="J4865" s="156"/>
    </row>
    <row r="4866" spans="8:10">
      <c r="H4866" s="156"/>
      <c r="I4866" s="156"/>
      <c r="J4866" s="156"/>
    </row>
    <row r="4867" spans="8:10">
      <c r="H4867" s="156"/>
      <c r="I4867" s="156"/>
      <c r="J4867" s="156"/>
    </row>
    <row r="4868" spans="8:10">
      <c r="H4868" s="156"/>
      <c r="I4868" s="156"/>
      <c r="J4868" s="156"/>
    </row>
    <row r="4869" spans="8:10">
      <c r="H4869" s="156"/>
      <c r="I4869" s="156"/>
      <c r="J4869" s="156"/>
    </row>
    <row r="4870" spans="8:10">
      <c r="H4870" s="156"/>
      <c r="I4870" s="156"/>
      <c r="J4870" s="156"/>
    </row>
    <row r="4871" spans="8:10">
      <c r="H4871" s="156"/>
      <c r="I4871" s="156"/>
      <c r="J4871" s="156"/>
    </row>
    <row r="4872" spans="8:10">
      <c r="H4872" s="156"/>
      <c r="I4872" s="156"/>
      <c r="J4872" s="156"/>
    </row>
    <row r="4873" spans="8:10">
      <c r="H4873" s="156"/>
      <c r="I4873" s="156"/>
      <c r="J4873" s="156"/>
    </row>
    <row r="4874" spans="8:10">
      <c r="H4874" s="156"/>
      <c r="I4874" s="156"/>
      <c r="J4874" s="156"/>
    </row>
    <row r="4875" spans="8:10">
      <c r="H4875" s="156"/>
      <c r="I4875" s="156"/>
      <c r="J4875" s="156"/>
    </row>
    <row r="4876" spans="8:10">
      <c r="H4876" s="156"/>
      <c r="I4876" s="156"/>
      <c r="J4876" s="156"/>
    </row>
    <row r="4877" spans="8:10">
      <c r="H4877" s="156"/>
      <c r="I4877" s="156"/>
      <c r="J4877" s="156"/>
    </row>
    <row r="4878" spans="8:10">
      <c r="H4878" s="156"/>
      <c r="I4878" s="156"/>
      <c r="J4878" s="156"/>
    </row>
    <row r="4879" spans="8:10">
      <c r="H4879" s="156"/>
      <c r="I4879" s="156"/>
      <c r="J4879" s="156"/>
    </row>
    <row r="4880" spans="8:10">
      <c r="H4880" s="156"/>
      <c r="I4880" s="156"/>
      <c r="J4880" s="156"/>
    </row>
    <row r="4881" spans="8:10">
      <c r="H4881" s="156"/>
      <c r="I4881" s="156"/>
      <c r="J4881" s="156"/>
    </row>
    <row r="4882" spans="8:10">
      <c r="H4882" s="156"/>
      <c r="I4882" s="156"/>
      <c r="J4882" s="156"/>
    </row>
    <row r="4883" spans="8:10">
      <c r="H4883" s="156"/>
      <c r="I4883" s="156"/>
      <c r="J4883" s="156"/>
    </row>
    <row r="4884" spans="8:10">
      <c r="H4884" s="156"/>
      <c r="I4884" s="156"/>
      <c r="J4884" s="156"/>
    </row>
    <row r="4885" spans="8:10">
      <c r="H4885" s="156"/>
      <c r="I4885" s="156"/>
      <c r="J4885" s="156"/>
    </row>
    <row r="4886" spans="8:10">
      <c r="H4886" s="156"/>
      <c r="I4886" s="156"/>
      <c r="J4886" s="156"/>
    </row>
    <row r="4887" spans="8:10">
      <c r="H4887" s="156"/>
      <c r="I4887" s="156"/>
      <c r="J4887" s="156"/>
    </row>
    <row r="4888" spans="8:10">
      <c r="H4888" s="156"/>
      <c r="I4888" s="156"/>
      <c r="J4888" s="156"/>
    </row>
    <row r="4889" spans="8:10">
      <c r="H4889" s="156"/>
      <c r="I4889" s="156"/>
      <c r="J4889" s="156"/>
    </row>
    <row r="4890" spans="8:10">
      <c r="H4890" s="156"/>
      <c r="I4890" s="156"/>
      <c r="J4890" s="156"/>
    </row>
    <row r="4891" spans="8:10">
      <c r="H4891" s="156"/>
      <c r="I4891" s="156"/>
      <c r="J4891" s="156"/>
    </row>
    <row r="4892" spans="8:10">
      <c r="H4892" s="156"/>
      <c r="I4892" s="156"/>
      <c r="J4892" s="156"/>
    </row>
    <row r="4893" spans="8:10">
      <c r="H4893" s="156"/>
      <c r="I4893" s="156"/>
      <c r="J4893" s="156"/>
    </row>
    <row r="4894" spans="8:10">
      <c r="H4894" s="156"/>
      <c r="I4894" s="156"/>
      <c r="J4894" s="156"/>
    </row>
    <row r="4895" spans="8:10">
      <c r="H4895" s="156"/>
      <c r="I4895" s="156"/>
      <c r="J4895" s="156"/>
    </row>
    <row r="4896" spans="8:10">
      <c r="H4896" s="156"/>
      <c r="I4896" s="156"/>
      <c r="J4896" s="156"/>
    </row>
    <row r="4897" spans="8:10">
      <c r="H4897" s="156"/>
      <c r="I4897" s="156"/>
      <c r="J4897" s="156"/>
    </row>
    <row r="4898" spans="8:10">
      <c r="H4898" s="156"/>
      <c r="I4898" s="156"/>
      <c r="J4898" s="156"/>
    </row>
    <row r="4899" spans="8:10">
      <c r="H4899" s="156"/>
      <c r="I4899" s="156"/>
      <c r="J4899" s="156"/>
    </row>
    <row r="4900" spans="8:10">
      <c r="H4900" s="156"/>
      <c r="I4900" s="156"/>
      <c r="J4900" s="156"/>
    </row>
    <row r="4901" spans="8:10">
      <c r="H4901" s="156"/>
      <c r="I4901" s="156"/>
      <c r="J4901" s="156"/>
    </row>
    <row r="4902" spans="8:10">
      <c r="H4902" s="156"/>
      <c r="I4902" s="156"/>
      <c r="J4902" s="156"/>
    </row>
    <row r="4903" spans="8:10">
      <c r="H4903" s="156"/>
      <c r="I4903" s="156"/>
      <c r="J4903" s="156"/>
    </row>
    <row r="4904" spans="8:10">
      <c r="H4904" s="156"/>
      <c r="I4904" s="156"/>
      <c r="J4904" s="156"/>
    </row>
    <row r="4905" spans="8:10">
      <c r="H4905" s="156"/>
      <c r="I4905" s="156"/>
      <c r="J4905" s="156"/>
    </row>
    <row r="4906" spans="8:10">
      <c r="H4906" s="156"/>
      <c r="I4906" s="156"/>
      <c r="J4906" s="156"/>
    </row>
    <row r="4907" spans="8:10">
      <c r="H4907" s="156"/>
      <c r="I4907" s="156"/>
      <c r="J4907" s="156"/>
    </row>
    <row r="4908" spans="8:10">
      <c r="H4908" s="156"/>
      <c r="I4908" s="156"/>
      <c r="J4908" s="156"/>
    </row>
    <row r="4909" spans="8:10">
      <c r="H4909" s="156"/>
      <c r="I4909" s="156"/>
      <c r="J4909" s="156"/>
    </row>
    <row r="4910" spans="8:10">
      <c r="H4910" s="156"/>
      <c r="I4910" s="156"/>
      <c r="J4910" s="156"/>
    </row>
    <row r="4911" spans="8:10">
      <c r="H4911" s="156"/>
      <c r="I4911" s="156"/>
      <c r="J4911" s="156"/>
    </row>
    <row r="4912" spans="8:10">
      <c r="H4912" s="156"/>
      <c r="I4912" s="156"/>
      <c r="J4912" s="156"/>
    </row>
    <row r="4913" spans="8:10">
      <c r="H4913" s="156"/>
      <c r="I4913" s="156"/>
      <c r="J4913" s="156"/>
    </row>
    <row r="4914" spans="8:10">
      <c r="H4914" s="156"/>
      <c r="I4914" s="156"/>
      <c r="J4914" s="156"/>
    </row>
    <row r="4915" spans="8:10">
      <c r="H4915" s="156"/>
      <c r="I4915" s="156"/>
      <c r="J4915" s="156"/>
    </row>
    <row r="4916" spans="8:10">
      <c r="H4916" s="156"/>
      <c r="I4916" s="156"/>
      <c r="J4916" s="156"/>
    </row>
    <row r="4917" spans="8:10">
      <c r="H4917" s="156"/>
      <c r="I4917" s="156"/>
      <c r="J4917" s="156"/>
    </row>
    <row r="4918" spans="8:10">
      <c r="H4918" s="156"/>
      <c r="I4918" s="156"/>
      <c r="J4918" s="156"/>
    </row>
    <row r="4919" spans="8:10">
      <c r="H4919" s="156"/>
      <c r="I4919" s="156"/>
      <c r="J4919" s="156"/>
    </row>
    <row r="4920" spans="8:10">
      <c r="H4920" s="156"/>
      <c r="I4920" s="156"/>
      <c r="J4920" s="156"/>
    </row>
    <row r="4921" spans="8:10">
      <c r="H4921" s="156"/>
      <c r="I4921" s="156"/>
      <c r="J4921" s="156"/>
    </row>
    <row r="4922" spans="8:10">
      <c r="H4922" s="156"/>
      <c r="I4922" s="156"/>
      <c r="J4922" s="156"/>
    </row>
    <row r="4923" spans="8:10">
      <c r="H4923" s="156"/>
      <c r="I4923" s="156"/>
      <c r="J4923" s="156"/>
    </row>
    <row r="4924" spans="8:10">
      <c r="H4924" s="156"/>
      <c r="I4924" s="156"/>
      <c r="J4924" s="156"/>
    </row>
    <row r="4925" spans="8:10">
      <c r="H4925" s="156"/>
      <c r="I4925" s="156"/>
      <c r="J4925" s="156"/>
    </row>
    <row r="4926" spans="8:10">
      <c r="H4926" s="156"/>
      <c r="I4926" s="156"/>
      <c r="J4926" s="156"/>
    </row>
    <row r="4927" spans="8:10">
      <c r="H4927" s="156"/>
      <c r="I4927" s="156"/>
      <c r="J4927" s="156"/>
    </row>
    <row r="4928" spans="8:10">
      <c r="H4928" s="156"/>
      <c r="I4928" s="156"/>
      <c r="J4928" s="156"/>
    </row>
    <row r="4929" spans="8:10">
      <c r="H4929" s="156"/>
      <c r="I4929" s="156"/>
      <c r="J4929" s="156"/>
    </row>
    <row r="4930" spans="8:10">
      <c r="H4930" s="156"/>
      <c r="I4930" s="156"/>
      <c r="J4930" s="156"/>
    </row>
    <row r="4931" spans="8:10">
      <c r="H4931" s="156"/>
      <c r="I4931" s="156"/>
      <c r="J4931" s="156"/>
    </row>
    <row r="4932" spans="8:10">
      <c r="H4932" s="156"/>
      <c r="I4932" s="156"/>
      <c r="J4932" s="156"/>
    </row>
    <row r="4933" spans="8:10">
      <c r="H4933" s="156"/>
      <c r="I4933" s="156"/>
      <c r="J4933" s="156"/>
    </row>
    <row r="4934" spans="8:10">
      <c r="H4934" s="156"/>
      <c r="I4934" s="156"/>
      <c r="J4934" s="156"/>
    </row>
    <row r="4935" spans="8:10">
      <c r="H4935" s="156"/>
      <c r="I4935" s="156"/>
      <c r="J4935" s="156"/>
    </row>
    <row r="4936" spans="8:10">
      <c r="H4936" s="156"/>
      <c r="I4936" s="156"/>
      <c r="J4936" s="156"/>
    </row>
    <row r="4937" spans="8:10">
      <c r="H4937" s="156"/>
      <c r="I4937" s="156"/>
      <c r="J4937" s="156"/>
    </row>
    <row r="4938" spans="8:10">
      <c r="H4938" s="156"/>
      <c r="I4938" s="156"/>
      <c r="J4938" s="156"/>
    </row>
    <row r="4939" spans="8:10">
      <c r="H4939" s="156"/>
      <c r="I4939" s="156"/>
      <c r="J4939" s="156"/>
    </row>
    <row r="4940" spans="8:10">
      <c r="H4940" s="156"/>
      <c r="I4940" s="156"/>
      <c r="J4940" s="156"/>
    </row>
    <row r="4941" spans="8:10">
      <c r="H4941" s="156"/>
      <c r="I4941" s="156"/>
      <c r="J4941" s="156"/>
    </row>
    <row r="4942" spans="8:10">
      <c r="H4942" s="156"/>
      <c r="I4942" s="156"/>
      <c r="J4942" s="156"/>
    </row>
    <row r="4943" spans="8:10">
      <c r="H4943" s="156"/>
      <c r="I4943" s="156"/>
      <c r="J4943" s="156"/>
    </row>
    <row r="4944" spans="8:10">
      <c r="H4944" s="156"/>
      <c r="I4944" s="156"/>
      <c r="J4944" s="156"/>
    </row>
    <row r="4945" spans="8:10">
      <c r="H4945" s="156"/>
      <c r="I4945" s="156"/>
      <c r="J4945" s="156"/>
    </row>
    <row r="4946" spans="8:10">
      <c r="H4946" s="156"/>
      <c r="I4946" s="156"/>
      <c r="J4946" s="156"/>
    </row>
    <row r="4947" spans="8:10">
      <c r="H4947" s="156"/>
      <c r="I4947" s="156"/>
      <c r="J4947" s="156"/>
    </row>
    <row r="4948" spans="8:10">
      <c r="H4948" s="156"/>
      <c r="I4948" s="156"/>
      <c r="J4948" s="156"/>
    </row>
    <row r="4949" spans="8:10">
      <c r="H4949" s="156"/>
      <c r="I4949" s="156"/>
      <c r="J4949" s="156"/>
    </row>
    <row r="4950" spans="8:10">
      <c r="H4950" s="156"/>
      <c r="I4950" s="156"/>
      <c r="J4950" s="156"/>
    </row>
    <row r="4951" spans="8:10">
      <c r="H4951" s="156"/>
      <c r="I4951" s="156"/>
      <c r="J4951" s="156"/>
    </row>
    <row r="4952" spans="8:10">
      <c r="H4952" s="156"/>
      <c r="I4952" s="156"/>
      <c r="J4952" s="156"/>
    </row>
    <row r="4953" spans="8:10">
      <c r="H4953" s="156"/>
      <c r="I4953" s="156"/>
      <c r="J4953" s="156"/>
    </row>
    <row r="4954" spans="8:10">
      <c r="H4954" s="156"/>
      <c r="I4954" s="156"/>
      <c r="J4954" s="156"/>
    </row>
    <row r="4955" spans="8:10">
      <c r="H4955" s="156"/>
      <c r="I4955" s="156"/>
      <c r="J4955" s="156"/>
    </row>
    <row r="4956" spans="8:10">
      <c r="H4956" s="156"/>
      <c r="I4956" s="156"/>
      <c r="J4956" s="156"/>
    </row>
    <row r="4957" spans="8:10">
      <c r="H4957" s="156"/>
      <c r="I4957" s="156"/>
      <c r="J4957" s="156"/>
    </row>
    <row r="4958" spans="8:10">
      <c r="H4958" s="156"/>
      <c r="I4958" s="156"/>
      <c r="J4958" s="156"/>
    </row>
    <row r="4959" spans="8:10">
      <c r="H4959" s="156"/>
      <c r="I4959" s="156"/>
      <c r="J4959" s="156"/>
    </row>
    <row r="4960" spans="8:10">
      <c r="H4960" s="156"/>
      <c r="I4960" s="156"/>
      <c r="J4960" s="156"/>
    </row>
    <row r="4961" spans="8:10">
      <c r="H4961" s="156"/>
      <c r="I4961" s="156"/>
      <c r="J4961" s="156"/>
    </row>
    <row r="4962" spans="8:10">
      <c r="H4962" s="156"/>
      <c r="I4962" s="156"/>
      <c r="J4962" s="156"/>
    </row>
    <row r="4963" spans="8:10">
      <c r="H4963" s="156"/>
      <c r="I4963" s="156"/>
      <c r="J4963" s="156"/>
    </row>
    <row r="4964" spans="8:10">
      <c r="H4964" s="156"/>
      <c r="I4964" s="156"/>
      <c r="J4964" s="156"/>
    </row>
    <row r="4965" spans="8:10">
      <c r="H4965" s="156"/>
      <c r="I4965" s="156"/>
      <c r="J4965" s="156"/>
    </row>
    <row r="4966" spans="8:10">
      <c r="H4966" s="156"/>
      <c r="I4966" s="156"/>
      <c r="J4966" s="156"/>
    </row>
    <row r="4967" spans="8:10">
      <c r="H4967" s="156"/>
      <c r="I4967" s="156"/>
      <c r="J4967" s="156"/>
    </row>
    <row r="4968" spans="8:10">
      <c r="H4968" s="156"/>
      <c r="I4968" s="156"/>
      <c r="J4968" s="156"/>
    </row>
    <row r="4969" spans="8:10">
      <c r="H4969" s="156"/>
      <c r="I4969" s="156"/>
      <c r="J4969" s="156"/>
    </row>
    <row r="4970" spans="8:10">
      <c r="H4970" s="156"/>
      <c r="I4970" s="156"/>
      <c r="J4970" s="156"/>
    </row>
    <row r="4971" spans="8:10">
      <c r="H4971" s="156"/>
      <c r="I4971" s="156"/>
      <c r="J4971" s="156"/>
    </row>
    <row r="4972" spans="8:10">
      <c r="H4972" s="156"/>
      <c r="I4972" s="156"/>
      <c r="J4972" s="156"/>
    </row>
    <row r="4973" spans="8:10">
      <c r="H4973" s="156"/>
      <c r="I4973" s="156"/>
      <c r="J4973" s="156"/>
    </row>
    <row r="4974" spans="8:10">
      <c r="H4974" s="156"/>
      <c r="I4974" s="156"/>
      <c r="J4974" s="156"/>
    </row>
    <row r="4975" spans="8:10">
      <c r="H4975" s="156"/>
      <c r="I4975" s="156"/>
      <c r="J4975" s="156"/>
    </row>
    <row r="4976" spans="8:10">
      <c r="H4976" s="156"/>
      <c r="I4976" s="156"/>
      <c r="J4976" s="156"/>
    </row>
    <row r="4977" spans="8:10">
      <c r="H4977" s="156"/>
      <c r="I4977" s="156"/>
      <c r="J4977" s="156"/>
    </row>
    <row r="4978" spans="8:10">
      <c r="H4978" s="156"/>
      <c r="I4978" s="156"/>
      <c r="J4978" s="156"/>
    </row>
    <row r="4979" spans="8:10">
      <c r="H4979" s="156"/>
      <c r="I4979" s="156"/>
      <c r="J4979" s="156"/>
    </row>
    <row r="4980" spans="8:10">
      <c r="H4980" s="156"/>
      <c r="I4980" s="156"/>
      <c r="J4980" s="156"/>
    </row>
    <row r="4981" spans="8:10">
      <c r="H4981" s="156"/>
      <c r="I4981" s="156"/>
      <c r="J4981" s="156"/>
    </row>
    <row r="4982" spans="8:10">
      <c r="H4982" s="156"/>
      <c r="I4982" s="156"/>
      <c r="J4982" s="156"/>
    </row>
    <row r="4983" spans="8:10">
      <c r="H4983" s="156"/>
      <c r="I4983" s="156"/>
      <c r="J4983" s="156"/>
    </row>
    <row r="4984" spans="8:10">
      <c r="H4984" s="156"/>
      <c r="I4984" s="156"/>
      <c r="J4984" s="156"/>
    </row>
    <row r="4985" spans="8:10">
      <c r="H4985" s="156"/>
      <c r="I4985" s="156"/>
      <c r="J4985" s="156"/>
    </row>
    <row r="4986" spans="8:10">
      <c r="H4986" s="156"/>
      <c r="I4986" s="156"/>
      <c r="J4986" s="156"/>
    </row>
    <row r="4987" spans="8:10">
      <c r="H4987" s="156"/>
      <c r="I4987" s="156"/>
      <c r="J4987" s="156"/>
    </row>
    <row r="4988" spans="8:10">
      <c r="H4988" s="156"/>
      <c r="I4988" s="156"/>
      <c r="J4988" s="156"/>
    </row>
    <row r="4989" spans="8:10">
      <c r="H4989" s="156"/>
      <c r="I4989" s="156"/>
      <c r="J4989" s="156"/>
    </row>
    <row r="4990" spans="8:10">
      <c r="H4990" s="156"/>
      <c r="I4990" s="156"/>
      <c r="J4990" s="156"/>
    </row>
    <row r="4991" spans="8:10">
      <c r="H4991" s="156"/>
      <c r="I4991" s="156"/>
      <c r="J4991" s="156"/>
    </row>
    <row r="4992" spans="8:10">
      <c r="H4992" s="156"/>
      <c r="I4992" s="156"/>
      <c r="J4992" s="156"/>
    </row>
    <row r="4993" spans="8:10">
      <c r="H4993" s="156"/>
      <c r="I4993" s="156"/>
      <c r="J4993" s="156"/>
    </row>
    <row r="4994" spans="8:10">
      <c r="H4994" s="156"/>
      <c r="I4994" s="156"/>
      <c r="J4994" s="156"/>
    </row>
    <row r="4995" spans="8:10">
      <c r="H4995" s="156"/>
      <c r="I4995" s="156"/>
      <c r="J4995" s="156"/>
    </row>
    <row r="4996" spans="8:10">
      <c r="H4996" s="156"/>
      <c r="I4996" s="156"/>
      <c r="J4996" s="156"/>
    </row>
    <row r="4997" spans="8:10">
      <c r="H4997" s="156"/>
      <c r="I4997" s="156"/>
      <c r="J4997" s="156"/>
    </row>
    <row r="4998" spans="8:10">
      <c r="H4998" s="156"/>
      <c r="I4998" s="156"/>
      <c r="J4998" s="156"/>
    </row>
    <row r="4999" spans="8:10">
      <c r="H4999" s="156"/>
      <c r="I4999" s="156"/>
      <c r="J4999" s="156"/>
    </row>
    <row r="5000" spans="8:10">
      <c r="H5000" s="156"/>
      <c r="I5000" s="156"/>
      <c r="J5000" s="156"/>
    </row>
    <row r="5001" spans="8:10">
      <c r="H5001" s="156"/>
      <c r="I5001" s="156"/>
      <c r="J5001" s="156"/>
    </row>
    <row r="5002" spans="8:10">
      <c r="H5002" s="156"/>
      <c r="I5002" s="156"/>
      <c r="J5002" s="156"/>
    </row>
    <row r="5003" spans="8:10">
      <c r="H5003" s="156"/>
      <c r="I5003" s="156"/>
      <c r="J5003" s="156"/>
    </row>
    <row r="5004" spans="8:10">
      <c r="H5004" s="156"/>
      <c r="I5004" s="156"/>
      <c r="J5004" s="156"/>
    </row>
    <row r="5005" spans="8:10">
      <c r="H5005" s="156"/>
      <c r="I5005" s="156"/>
      <c r="J5005" s="156"/>
    </row>
    <row r="5006" spans="8:10">
      <c r="H5006" s="156"/>
      <c r="I5006" s="156"/>
      <c r="J5006" s="156"/>
    </row>
    <row r="5007" spans="8:10">
      <c r="H5007" s="156"/>
      <c r="I5007" s="156"/>
      <c r="J5007" s="156"/>
    </row>
    <row r="5008" spans="8:10">
      <c r="H5008" s="156"/>
      <c r="I5008" s="156"/>
      <c r="J5008" s="156"/>
    </row>
    <row r="5009" spans="8:10">
      <c r="H5009" s="156"/>
      <c r="I5009" s="156"/>
      <c r="J5009" s="156"/>
    </row>
    <row r="5010" spans="8:10">
      <c r="H5010" s="156"/>
      <c r="I5010" s="156"/>
      <c r="J5010" s="156"/>
    </row>
    <row r="5011" spans="8:10">
      <c r="H5011" s="156"/>
      <c r="I5011" s="156"/>
      <c r="J5011" s="156"/>
    </row>
    <row r="5012" spans="8:10">
      <c r="H5012" s="156"/>
      <c r="I5012" s="156"/>
      <c r="J5012" s="156"/>
    </row>
    <row r="5013" spans="8:10">
      <c r="H5013" s="156"/>
      <c r="I5013" s="156"/>
      <c r="J5013" s="156"/>
    </row>
    <row r="5014" spans="8:10">
      <c r="H5014" s="156"/>
      <c r="I5014" s="156"/>
      <c r="J5014" s="156"/>
    </row>
    <row r="5015" spans="8:10">
      <c r="H5015" s="156"/>
      <c r="I5015" s="156"/>
      <c r="J5015" s="156"/>
    </row>
    <row r="5016" spans="8:10">
      <c r="H5016" s="156"/>
      <c r="I5016" s="156"/>
      <c r="J5016" s="156"/>
    </row>
    <row r="5017" spans="8:10">
      <c r="H5017" s="156"/>
      <c r="I5017" s="156"/>
      <c r="J5017" s="156"/>
    </row>
    <row r="5018" spans="8:10">
      <c r="H5018" s="156"/>
      <c r="I5018" s="156"/>
      <c r="J5018" s="156"/>
    </row>
    <row r="5019" spans="8:10">
      <c r="H5019" s="156"/>
      <c r="I5019" s="156"/>
      <c r="J5019" s="156"/>
    </row>
    <row r="5020" spans="8:10">
      <c r="H5020" s="156"/>
      <c r="I5020" s="156"/>
      <c r="J5020" s="156"/>
    </row>
    <row r="5021" spans="8:10">
      <c r="H5021" s="156"/>
      <c r="I5021" s="156"/>
      <c r="J5021" s="156"/>
    </row>
    <row r="5022" spans="8:10">
      <c r="H5022" s="156"/>
      <c r="I5022" s="156"/>
      <c r="J5022" s="156"/>
    </row>
    <row r="5023" spans="8:10">
      <c r="H5023" s="156"/>
      <c r="I5023" s="156"/>
      <c r="J5023" s="156"/>
    </row>
    <row r="5024" spans="8:10">
      <c r="H5024" s="156"/>
      <c r="I5024" s="156"/>
      <c r="J5024" s="156"/>
    </row>
    <row r="5025" spans="8:10">
      <c r="H5025" s="156"/>
      <c r="I5025" s="156"/>
      <c r="J5025" s="156"/>
    </row>
    <row r="5026" spans="8:10">
      <c r="H5026" s="156"/>
      <c r="I5026" s="156"/>
      <c r="J5026" s="156"/>
    </row>
    <row r="5027" spans="8:10">
      <c r="H5027" s="156"/>
      <c r="I5027" s="156"/>
      <c r="J5027" s="156"/>
    </row>
    <row r="5028" spans="8:10">
      <c r="H5028" s="156"/>
      <c r="I5028" s="156"/>
      <c r="J5028" s="156"/>
    </row>
    <row r="5029" spans="8:10">
      <c r="H5029" s="156"/>
      <c r="I5029" s="156"/>
      <c r="J5029" s="156"/>
    </row>
    <row r="5030" spans="8:10">
      <c r="H5030" s="156"/>
      <c r="I5030" s="156"/>
      <c r="J5030" s="156"/>
    </row>
    <row r="5031" spans="8:10">
      <c r="H5031" s="156"/>
      <c r="I5031" s="156"/>
      <c r="J5031" s="156"/>
    </row>
    <row r="5032" spans="8:10">
      <c r="H5032" s="156"/>
      <c r="I5032" s="156"/>
      <c r="J5032" s="156"/>
    </row>
    <row r="5033" spans="8:10">
      <c r="H5033" s="156"/>
      <c r="I5033" s="156"/>
      <c r="J5033" s="156"/>
    </row>
    <row r="5034" spans="8:10">
      <c r="H5034" s="156"/>
      <c r="I5034" s="156"/>
      <c r="J5034" s="156"/>
    </row>
    <row r="5035" spans="8:10">
      <c r="H5035" s="156"/>
      <c r="I5035" s="156"/>
      <c r="J5035" s="156"/>
    </row>
    <row r="5036" spans="8:10">
      <c r="H5036" s="156"/>
      <c r="I5036" s="156"/>
      <c r="J5036" s="156"/>
    </row>
    <row r="5037" spans="8:10">
      <c r="H5037" s="156"/>
      <c r="I5037" s="156"/>
      <c r="J5037" s="156"/>
    </row>
    <row r="5038" spans="8:10">
      <c r="H5038" s="156"/>
      <c r="I5038" s="156"/>
      <c r="J5038" s="156"/>
    </row>
    <row r="5039" spans="8:10">
      <c r="H5039" s="156"/>
      <c r="I5039" s="156"/>
      <c r="J5039" s="156"/>
    </row>
    <row r="5040" spans="8:10">
      <c r="H5040" s="156"/>
      <c r="I5040" s="156"/>
      <c r="J5040" s="156"/>
    </row>
    <row r="5041" spans="8:10">
      <c r="H5041" s="156"/>
      <c r="I5041" s="156"/>
      <c r="J5041" s="156"/>
    </row>
    <row r="5042" spans="8:10">
      <c r="H5042" s="156"/>
      <c r="I5042" s="156"/>
      <c r="J5042" s="156"/>
    </row>
    <row r="5043" spans="8:10">
      <c r="H5043" s="156"/>
      <c r="I5043" s="156"/>
      <c r="J5043" s="156"/>
    </row>
    <row r="5044" spans="8:10">
      <c r="H5044" s="156"/>
      <c r="I5044" s="156"/>
      <c r="J5044" s="156"/>
    </row>
    <row r="5045" spans="8:10">
      <c r="H5045" s="156"/>
      <c r="I5045" s="156"/>
      <c r="J5045" s="156"/>
    </row>
    <row r="5046" spans="8:10">
      <c r="H5046" s="156"/>
      <c r="I5046" s="156"/>
      <c r="J5046" s="156"/>
    </row>
    <row r="5047" spans="8:10">
      <c r="H5047" s="156"/>
      <c r="I5047" s="156"/>
      <c r="J5047" s="156"/>
    </row>
    <row r="5048" spans="8:10">
      <c r="H5048" s="156"/>
      <c r="I5048" s="156"/>
      <c r="J5048" s="156"/>
    </row>
    <row r="5049" spans="8:10">
      <c r="H5049" s="156"/>
      <c r="I5049" s="156"/>
      <c r="J5049" s="156"/>
    </row>
    <row r="5050" spans="8:10">
      <c r="H5050" s="156"/>
      <c r="I5050" s="156"/>
      <c r="J5050" s="156"/>
    </row>
    <row r="5051" spans="8:10">
      <c r="H5051" s="156"/>
      <c r="I5051" s="156"/>
      <c r="J5051" s="156"/>
    </row>
    <row r="5052" spans="8:10">
      <c r="H5052" s="156"/>
      <c r="I5052" s="156"/>
      <c r="J5052" s="156"/>
    </row>
    <row r="5053" spans="8:10">
      <c r="H5053" s="156"/>
      <c r="I5053" s="156"/>
      <c r="J5053" s="156"/>
    </row>
    <row r="5054" spans="8:10">
      <c r="H5054" s="156"/>
      <c r="I5054" s="156"/>
      <c r="J5054" s="156"/>
    </row>
    <row r="5055" spans="8:10">
      <c r="H5055" s="156"/>
      <c r="I5055" s="156"/>
      <c r="J5055" s="156"/>
    </row>
    <row r="5056" spans="8:10">
      <c r="H5056" s="156"/>
      <c r="I5056" s="156"/>
      <c r="J5056" s="156"/>
    </row>
    <row r="5057" spans="8:10">
      <c r="H5057" s="156"/>
      <c r="I5057" s="156"/>
      <c r="J5057" s="156"/>
    </row>
    <row r="5058" spans="8:10">
      <c r="H5058" s="156"/>
      <c r="I5058" s="156"/>
      <c r="J5058" s="156"/>
    </row>
    <row r="5059" spans="8:10">
      <c r="H5059" s="156"/>
      <c r="I5059" s="156"/>
      <c r="J5059" s="156"/>
    </row>
    <row r="5060" spans="8:10">
      <c r="H5060" s="156"/>
      <c r="I5060" s="156"/>
      <c r="J5060" s="156"/>
    </row>
    <row r="5061" spans="8:10">
      <c r="H5061" s="156"/>
      <c r="I5061" s="156"/>
      <c r="J5061" s="156"/>
    </row>
    <row r="5062" spans="8:10">
      <c r="H5062" s="156"/>
      <c r="I5062" s="156"/>
      <c r="J5062" s="156"/>
    </row>
    <row r="5063" spans="8:10">
      <c r="H5063" s="156"/>
      <c r="I5063" s="156"/>
      <c r="J5063" s="156"/>
    </row>
    <row r="5064" spans="8:10">
      <c r="H5064" s="156"/>
      <c r="I5064" s="156"/>
      <c r="J5064" s="156"/>
    </row>
    <row r="5065" spans="8:10">
      <c r="H5065" s="156"/>
      <c r="I5065" s="156"/>
      <c r="J5065" s="156"/>
    </row>
    <row r="5066" spans="8:10">
      <c r="H5066" s="156"/>
      <c r="I5066" s="156"/>
      <c r="J5066" s="156"/>
    </row>
    <row r="5067" spans="8:10">
      <c r="H5067" s="156"/>
      <c r="I5067" s="156"/>
      <c r="J5067" s="156"/>
    </row>
    <row r="5068" spans="8:10">
      <c r="H5068" s="156"/>
      <c r="I5068" s="156"/>
      <c r="J5068" s="156"/>
    </row>
    <row r="5069" spans="8:10">
      <c r="H5069" s="156"/>
      <c r="I5069" s="156"/>
      <c r="J5069" s="156"/>
    </row>
    <row r="5070" spans="8:10">
      <c r="H5070" s="156"/>
      <c r="I5070" s="156"/>
      <c r="J5070" s="156"/>
    </row>
    <row r="5071" spans="8:10">
      <c r="H5071" s="156"/>
      <c r="I5071" s="156"/>
      <c r="J5071" s="156"/>
    </row>
    <row r="5072" spans="8:10">
      <c r="H5072" s="156"/>
      <c r="I5072" s="156"/>
      <c r="J5072" s="156"/>
    </row>
    <row r="5073" spans="8:10">
      <c r="H5073" s="156"/>
      <c r="I5073" s="156"/>
      <c r="J5073" s="156"/>
    </row>
    <row r="5074" spans="8:10">
      <c r="H5074" s="156"/>
      <c r="I5074" s="156"/>
      <c r="J5074" s="156"/>
    </row>
    <row r="5075" spans="8:10">
      <c r="H5075" s="156"/>
      <c r="I5075" s="156"/>
      <c r="J5075" s="156"/>
    </row>
    <row r="5076" spans="8:10">
      <c r="H5076" s="156"/>
      <c r="I5076" s="156"/>
      <c r="J5076" s="156"/>
    </row>
    <row r="5077" spans="8:10">
      <c r="H5077" s="156"/>
      <c r="I5077" s="156"/>
      <c r="J5077" s="156"/>
    </row>
    <row r="5078" spans="8:10">
      <c r="H5078" s="156"/>
      <c r="I5078" s="156"/>
      <c r="J5078" s="156"/>
    </row>
    <row r="5079" spans="8:10">
      <c r="H5079" s="156"/>
      <c r="I5079" s="156"/>
      <c r="J5079" s="156"/>
    </row>
    <row r="5080" spans="8:10">
      <c r="H5080" s="156"/>
      <c r="I5080" s="156"/>
      <c r="J5080" s="156"/>
    </row>
    <row r="5081" spans="8:10">
      <c r="H5081" s="156"/>
      <c r="I5081" s="156"/>
      <c r="J5081" s="156"/>
    </row>
    <row r="5082" spans="8:10">
      <c r="H5082" s="156"/>
      <c r="I5082" s="156"/>
      <c r="J5082" s="156"/>
    </row>
    <row r="5083" spans="8:10">
      <c r="H5083" s="156"/>
      <c r="I5083" s="156"/>
      <c r="J5083" s="156"/>
    </row>
    <row r="5084" spans="8:10">
      <c r="H5084" s="156"/>
      <c r="I5084" s="156"/>
      <c r="J5084" s="156"/>
    </row>
    <row r="5085" spans="8:10">
      <c r="H5085" s="156"/>
      <c r="I5085" s="156"/>
      <c r="J5085" s="156"/>
    </row>
    <row r="5086" spans="8:10">
      <c r="H5086" s="156"/>
      <c r="I5086" s="156"/>
      <c r="J5086" s="156"/>
    </row>
    <row r="5087" spans="8:10">
      <c r="H5087" s="156"/>
      <c r="I5087" s="156"/>
      <c r="J5087" s="156"/>
    </row>
    <row r="5088" spans="8:10">
      <c r="H5088" s="156"/>
      <c r="I5088" s="156"/>
      <c r="J5088" s="156"/>
    </row>
    <row r="5089" spans="8:10">
      <c r="H5089" s="156"/>
      <c r="I5089" s="156"/>
      <c r="J5089" s="156"/>
    </row>
    <row r="5090" spans="8:10">
      <c r="H5090" s="156"/>
      <c r="I5090" s="156"/>
      <c r="J5090" s="156"/>
    </row>
    <row r="5091" spans="8:10">
      <c r="H5091" s="156"/>
      <c r="I5091" s="156"/>
      <c r="J5091" s="156"/>
    </row>
    <row r="5092" spans="8:10">
      <c r="H5092" s="156"/>
      <c r="I5092" s="156"/>
      <c r="J5092" s="156"/>
    </row>
    <row r="5093" spans="8:10">
      <c r="H5093" s="156"/>
      <c r="I5093" s="156"/>
      <c r="J5093" s="156"/>
    </row>
    <row r="5094" spans="8:10">
      <c r="H5094" s="156"/>
      <c r="I5094" s="156"/>
      <c r="J5094" s="156"/>
    </row>
    <row r="5095" spans="8:10">
      <c r="H5095" s="156"/>
      <c r="I5095" s="156"/>
      <c r="J5095" s="156"/>
    </row>
    <row r="5096" spans="8:10">
      <c r="H5096" s="156"/>
      <c r="I5096" s="156"/>
      <c r="J5096" s="156"/>
    </row>
    <row r="5097" spans="8:10">
      <c r="H5097" s="156"/>
      <c r="I5097" s="156"/>
      <c r="J5097" s="156"/>
    </row>
    <row r="5098" spans="8:10">
      <c r="H5098" s="156"/>
      <c r="I5098" s="156"/>
      <c r="J5098" s="156"/>
    </row>
    <row r="5099" spans="8:10">
      <c r="H5099" s="156"/>
      <c r="I5099" s="156"/>
      <c r="J5099" s="156"/>
    </row>
    <row r="5100" spans="8:10">
      <c r="H5100" s="156"/>
      <c r="I5100" s="156"/>
      <c r="J5100" s="156"/>
    </row>
    <row r="5101" spans="8:10">
      <c r="H5101" s="156"/>
      <c r="I5101" s="156"/>
      <c r="J5101" s="156"/>
    </row>
    <row r="5102" spans="8:10">
      <c r="H5102" s="156"/>
      <c r="I5102" s="156"/>
      <c r="J5102" s="156"/>
    </row>
    <row r="5103" spans="8:10">
      <c r="H5103" s="156"/>
      <c r="I5103" s="156"/>
      <c r="J5103" s="156"/>
    </row>
    <row r="5104" spans="8:10">
      <c r="H5104" s="156"/>
      <c r="I5104" s="156"/>
      <c r="J5104" s="156"/>
    </row>
    <row r="5105" spans="8:10">
      <c r="H5105" s="156"/>
      <c r="I5105" s="156"/>
      <c r="J5105" s="156"/>
    </row>
    <row r="5106" spans="8:10">
      <c r="H5106" s="156"/>
      <c r="I5106" s="156"/>
      <c r="J5106" s="156"/>
    </row>
    <row r="5107" spans="8:10">
      <c r="H5107" s="156"/>
      <c r="I5107" s="156"/>
      <c r="J5107" s="156"/>
    </row>
    <row r="5108" spans="8:10">
      <c r="H5108" s="156"/>
      <c r="I5108" s="156"/>
      <c r="J5108" s="156"/>
    </row>
    <row r="5109" spans="8:10">
      <c r="H5109" s="156"/>
      <c r="I5109" s="156"/>
      <c r="J5109" s="156"/>
    </row>
    <row r="5110" spans="8:10">
      <c r="H5110" s="156"/>
      <c r="I5110" s="156"/>
      <c r="J5110" s="156"/>
    </row>
    <row r="5111" spans="8:10">
      <c r="H5111" s="156"/>
      <c r="I5111" s="156"/>
      <c r="J5111" s="156"/>
    </row>
    <row r="5112" spans="8:10">
      <c r="H5112" s="156"/>
      <c r="I5112" s="156"/>
      <c r="J5112" s="156"/>
    </row>
    <row r="5113" spans="8:10">
      <c r="H5113" s="156"/>
      <c r="I5113" s="156"/>
      <c r="J5113" s="156"/>
    </row>
    <row r="5114" spans="8:10">
      <c r="H5114" s="156"/>
      <c r="I5114" s="156"/>
      <c r="J5114" s="156"/>
    </row>
    <row r="5115" spans="8:10">
      <c r="H5115" s="156"/>
      <c r="I5115" s="156"/>
      <c r="J5115" s="156"/>
    </row>
    <row r="5116" spans="8:10">
      <c r="H5116" s="156"/>
      <c r="I5116" s="156"/>
      <c r="J5116" s="156"/>
    </row>
    <row r="5117" spans="8:10">
      <c r="H5117" s="156"/>
      <c r="I5117" s="156"/>
      <c r="J5117" s="156"/>
    </row>
    <row r="5118" spans="8:10">
      <c r="H5118" s="156"/>
      <c r="I5118" s="156"/>
      <c r="J5118" s="156"/>
    </row>
    <row r="5119" spans="8:10">
      <c r="H5119" s="156"/>
      <c r="I5119" s="156"/>
      <c r="J5119" s="156"/>
    </row>
    <row r="5120" spans="8:10">
      <c r="H5120" s="156"/>
      <c r="I5120" s="156"/>
      <c r="J5120" s="156"/>
    </row>
    <row r="5121" spans="8:10">
      <c r="H5121" s="156"/>
      <c r="I5121" s="156"/>
      <c r="J5121" s="156"/>
    </row>
    <row r="5122" spans="8:10">
      <c r="H5122" s="156"/>
      <c r="I5122" s="156"/>
      <c r="J5122" s="156"/>
    </row>
    <row r="5123" spans="8:10">
      <c r="H5123" s="156"/>
      <c r="I5123" s="156"/>
      <c r="J5123" s="156"/>
    </row>
    <row r="5124" spans="8:10">
      <c r="H5124" s="156"/>
      <c r="I5124" s="156"/>
      <c r="J5124" s="156"/>
    </row>
    <row r="5125" spans="8:10">
      <c r="H5125" s="156"/>
      <c r="I5125" s="156"/>
      <c r="J5125" s="156"/>
    </row>
    <row r="5126" spans="8:10">
      <c r="H5126" s="156"/>
      <c r="I5126" s="156"/>
      <c r="J5126" s="156"/>
    </row>
    <row r="5127" spans="8:10">
      <c r="H5127" s="156"/>
      <c r="I5127" s="156"/>
      <c r="J5127" s="156"/>
    </row>
    <row r="5128" spans="8:10">
      <c r="H5128" s="156"/>
      <c r="I5128" s="156"/>
      <c r="J5128" s="156"/>
    </row>
    <row r="5129" spans="8:10">
      <c r="H5129" s="156"/>
      <c r="I5129" s="156"/>
      <c r="J5129" s="156"/>
    </row>
    <row r="5130" spans="8:10">
      <c r="H5130" s="156"/>
      <c r="I5130" s="156"/>
      <c r="J5130" s="156"/>
    </row>
    <row r="5131" spans="8:10">
      <c r="H5131" s="156"/>
      <c r="I5131" s="156"/>
      <c r="J5131" s="156"/>
    </row>
    <row r="5132" spans="8:10">
      <c r="H5132" s="156"/>
      <c r="I5132" s="156"/>
      <c r="J5132" s="156"/>
    </row>
    <row r="5133" spans="8:10">
      <c r="H5133" s="156"/>
      <c r="I5133" s="156"/>
      <c r="J5133" s="156"/>
    </row>
    <row r="5134" spans="8:10">
      <c r="H5134" s="156"/>
      <c r="I5134" s="156"/>
      <c r="J5134" s="156"/>
    </row>
    <row r="5135" spans="8:10">
      <c r="H5135" s="156"/>
      <c r="I5135" s="156"/>
      <c r="J5135" s="156"/>
    </row>
    <row r="5136" spans="8:10">
      <c r="H5136" s="156"/>
      <c r="I5136" s="156"/>
      <c r="J5136" s="156"/>
    </row>
    <row r="5137" spans="8:10">
      <c r="H5137" s="156"/>
      <c r="I5137" s="156"/>
      <c r="J5137" s="156"/>
    </row>
    <row r="5138" spans="8:10">
      <c r="H5138" s="156"/>
      <c r="I5138" s="156"/>
      <c r="J5138" s="156"/>
    </row>
    <row r="5139" spans="8:10">
      <c r="H5139" s="156"/>
      <c r="I5139" s="156"/>
      <c r="J5139" s="156"/>
    </row>
    <row r="5140" spans="8:10">
      <c r="H5140" s="156"/>
      <c r="I5140" s="156"/>
      <c r="J5140" s="156"/>
    </row>
    <row r="5141" spans="8:10">
      <c r="H5141" s="156"/>
      <c r="I5141" s="156"/>
      <c r="J5141" s="156"/>
    </row>
    <row r="5142" spans="8:10">
      <c r="H5142" s="156"/>
      <c r="I5142" s="156"/>
      <c r="J5142" s="156"/>
    </row>
    <row r="5143" spans="8:10">
      <c r="H5143" s="156"/>
      <c r="I5143" s="156"/>
      <c r="J5143" s="156"/>
    </row>
    <row r="5144" spans="8:10">
      <c r="H5144" s="156"/>
      <c r="I5144" s="156"/>
      <c r="J5144" s="156"/>
    </row>
    <row r="5145" spans="8:10">
      <c r="H5145" s="156"/>
      <c r="I5145" s="156"/>
      <c r="J5145" s="156"/>
    </row>
    <row r="5146" spans="8:10">
      <c r="H5146" s="156"/>
      <c r="I5146" s="156"/>
      <c r="J5146" s="156"/>
    </row>
    <row r="5147" spans="8:10">
      <c r="H5147" s="156"/>
      <c r="I5147" s="156"/>
      <c r="J5147" s="156"/>
    </row>
    <row r="5148" spans="8:10">
      <c r="H5148" s="156"/>
      <c r="I5148" s="156"/>
      <c r="J5148" s="156"/>
    </row>
    <row r="5149" spans="8:10">
      <c r="H5149" s="156"/>
      <c r="I5149" s="156"/>
      <c r="J5149" s="156"/>
    </row>
    <row r="5150" spans="8:10">
      <c r="H5150" s="156"/>
      <c r="I5150" s="156"/>
      <c r="J5150" s="156"/>
    </row>
    <row r="5151" spans="8:10">
      <c r="H5151" s="156"/>
      <c r="I5151" s="156"/>
      <c r="J5151" s="156"/>
    </row>
    <row r="5152" spans="8:10">
      <c r="H5152" s="156"/>
      <c r="I5152" s="156"/>
      <c r="J5152" s="156"/>
    </row>
    <row r="5153" spans="8:10">
      <c r="H5153" s="156"/>
      <c r="I5153" s="156"/>
      <c r="J5153" s="156"/>
    </row>
    <row r="5154" spans="8:10">
      <c r="H5154" s="156"/>
      <c r="I5154" s="156"/>
      <c r="J5154" s="156"/>
    </row>
    <row r="5155" spans="8:10">
      <c r="H5155" s="156"/>
      <c r="I5155" s="156"/>
      <c r="J5155" s="156"/>
    </row>
    <row r="5156" spans="8:10">
      <c r="H5156" s="156"/>
      <c r="I5156" s="156"/>
      <c r="J5156" s="156"/>
    </row>
    <row r="5157" spans="8:10">
      <c r="H5157" s="156"/>
      <c r="I5157" s="156"/>
      <c r="J5157" s="156"/>
    </row>
    <row r="5158" spans="8:10">
      <c r="H5158" s="156"/>
      <c r="I5158" s="156"/>
      <c r="J5158" s="156"/>
    </row>
    <row r="5159" spans="8:10">
      <c r="H5159" s="156"/>
      <c r="I5159" s="156"/>
      <c r="J5159" s="156"/>
    </row>
    <row r="5160" spans="8:10">
      <c r="H5160" s="156"/>
      <c r="I5160" s="156"/>
      <c r="J5160" s="156"/>
    </row>
    <row r="5161" spans="8:10">
      <c r="H5161" s="156"/>
      <c r="I5161" s="156"/>
      <c r="J5161" s="156"/>
    </row>
    <row r="5162" spans="8:10">
      <c r="H5162" s="156"/>
      <c r="I5162" s="156"/>
      <c r="J5162" s="156"/>
    </row>
    <row r="5163" spans="8:10">
      <c r="H5163" s="156"/>
      <c r="I5163" s="156"/>
      <c r="J5163" s="156"/>
    </row>
    <row r="5164" spans="8:10">
      <c r="H5164" s="156"/>
      <c r="I5164" s="156"/>
      <c r="J5164" s="156"/>
    </row>
    <row r="5165" spans="8:10">
      <c r="H5165" s="156"/>
      <c r="I5165" s="156"/>
      <c r="J5165" s="156"/>
    </row>
    <row r="5166" spans="8:10">
      <c r="H5166" s="156"/>
      <c r="I5166" s="156"/>
      <c r="J5166" s="156"/>
    </row>
    <row r="5167" spans="8:10">
      <c r="H5167" s="156"/>
      <c r="I5167" s="156"/>
      <c r="J5167" s="156"/>
    </row>
    <row r="5168" spans="8:10">
      <c r="H5168" s="156"/>
      <c r="I5168" s="156"/>
      <c r="J5168" s="156"/>
    </row>
    <row r="5169" spans="8:10">
      <c r="H5169" s="156"/>
      <c r="I5169" s="156"/>
      <c r="J5169" s="156"/>
    </row>
    <row r="5170" spans="8:10">
      <c r="H5170" s="156"/>
      <c r="I5170" s="156"/>
      <c r="J5170" s="156"/>
    </row>
    <row r="5171" spans="8:10">
      <c r="H5171" s="156"/>
      <c r="I5171" s="156"/>
      <c r="J5171" s="156"/>
    </row>
    <row r="5172" spans="8:10">
      <c r="H5172" s="156"/>
      <c r="I5172" s="156"/>
      <c r="J5172" s="156"/>
    </row>
    <row r="5173" spans="8:10">
      <c r="H5173" s="156"/>
      <c r="I5173" s="156"/>
      <c r="J5173" s="156"/>
    </row>
    <row r="5174" spans="8:10">
      <c r="H5174" s="156"/>
      <c r="I5174" s="156"/>
      <c r="J5174" s="156"/>
    </row>
    <row r="5175" spans="8:10">
      <c r="H5175" s="156"/>
      <c r="I5175" s="156"/>
      <c r="J5175" s="156"/>
    </row>
    <row r="5176" spans="8:10">
      <c r="H5176" s="156"/>
      <c r="I5176" s="156"/>
      <c r="J5176" s="156"/>
    </row>
    <row r="5177" spans="8:10">
      <c r="H5177" s="156"/>
      <c r="I5177" s="156"/>
      <c r="J5177" s="156"/>
    </row>
    <row r="5178" spans="8:10">
      <c r="H5178" s="156"/>
      <c r="I5178" s="156"/>
      <c r="J5178" s="156"/>
    </row>
    <row r="5179" spans="8:10">
      <c r="H5179" s="156"/>
      <c r="I5179" s="156"/>
      <c r="J5179" s="156"/>
    </row>
    <row r="5180" spans="8:10">
      <c r="H5180" s="156"/>
      <c r="I5180" s="156"/>
      <c r="J5180" s="156"/>
    </row>
    <row r="5181" spans="8:10">
      <c r="H5181" s="156"/>
      <c r="I5181" s="156"/>
      <c r="J5181" s="156"/>
    </row>
    <row r="5182" spans="8:10">
      <c r="H5182" s="156"/>
      <c r="I5182" s="156"/>
      <c r="J5182" s="156"/>
    </row>
    <row r="5183" spans="8:10">
      <c r="H5183" s="156"/>
      <c r="I5183" s="156"/>
      <c r="J5183" s="156"/>
    </row>
    <row r="5184" spans="8:10">
      <c r="H5184" s="156"/>
      <c r="I5184" s="156"/>
      <c r="J5184" s="156"/>
    </row>
    <row r="5185" spans="8:10">
      <c r="H5185" s="156"/>
      <c r="I5185" s="156"/>
      <c r="J5185" s="156"/>
    </row>
    <row r="5186" spans="8:10">
      <c r="H5186" s="156"/>
      <c r="I5186" s="156"/>
      <c r="J5186" s="156"/>
    </row>
    <row r="5187" spans="8:10">
      <c r="H5187" s="156"/>
      <c r="I5187" s="156"/>
      <c r="J5187" s="156"/>
    </row>
    <row r="5188" spans="8:10">
      <c r="H5188" s="156"/>
      <c r="I5188" s="156"/>
      <c r="J5188" s="156"/>
    </row>
    <row r="5189" spans="8:10">
      <c r="H5189" s="156"/>
      <c r="I5189" s="156"/>
      <c r="J5189" s="156"/>
    </row>
    <row r="5190" spans="8:10">
      <c r="H5190" s="156"/>
      <c r="I5190" s="156"/>
      <c r="J5190" s="156"/>
    </row>
    <row r="5191" spans="8:10">
      <c r="H5191" s="156"/>
      <c r="I5191" s="156"/>
      <c r="J5191" s="156"/>
    </row>
    <row r="5192" spans="8:10">
      <c r="H5192" s="156"/>
      <c r="I5192" s="156"/>
      <c r="J5192" s="156"/>
    </row>
    <row r="5193" spans="8:10">
      <c r="H5193" s="156"/>
      <c r="I5193" s="156"/>
      <c r="J5193" s="156"/>
    </row>
    <row r="5194" spans="8:10">
      <c r="H5194" s="156"/>
      <c r="I5194" s="156"/>
      <c r="J5194" s="156"/>
    </row>
    <row r="5195" spans="8:10">
      <c r="H5195" s="156"/>
      <c r="I5195" s="156"/>
      <c r="J5195" s="156"/>
    </row>
    <row r="5196" spans="8:10">
      <c r="H5196" s="156"/>
      <c r="I5196" s="156"/>
      <c r="J5196" s="156"/>
    </row>
    <row r="5197" spans="8:10">
      <c r="H5197" s="156"/>
      <c r="I5197" s="156"/>
      <c r="J5197" s="156"/>
    </row>
    <row r="5198" spans="8:10">
      <c r="H5198" s="156"/>
      <c r="I5198" s="156"/>
      <c r="J5198" s="156"/>
    </row>
    <row r="5199" spans="8:10">
      <c r="H5199" s="156"/>
      <c r="I5199" s="156"/>
      <c r="J5199" s="156"/>
    </row>
    <row r="5200" spans="8:10">
      <c r="H5200" s="156"/>
      <c r="I5200" s="156"/>
      <c r="J5200" s="156"/>
    </row>
    <row r="5201" spans="8:10">
      <c r="H5201" s="156"/>
      <c r="I5201" s="156"/>
      <c r="J5201" s="156"/>
    </row>
    <row r="5202" spans="8:10">
      <c r="H5202" s="156"/>
      <c r="I5202" s="156"/>
      <c r="J5202" s="156"/>
    </row>
    <row r="5203" spans="8:10">
      <c r="H5203" s="156"/>
      <c r="I5203" s="156"/>
      <c r="J5203" s="156"/>
    </row>
    <row r="5204" spans="8:10">
      <c r="H5204" s="156"/>
      <c r="I5204" s="156"/>
      <c r="J5204" s="156"/>
    </row>
    <row r="5205" spans="8:10">
      <c r="H5205" s="156"/>
      <c r="I5205" s="156"/>
      <c r="J5205" s="156"/>
    </row>
    <row r="5206" spans="8:10">
      <c r="H5206" s="156"/>
      <c r="I5206" s="156"/>
      <c r="J5206" s="156"/>
    </row>
    <row r="5207" spans="8:10">
      <c r="H5207" s="156"/>
      <c r="I5207" s="156"/>
      <c r="J5207" s="156"/>
    </row>
    <row r="5208" spans="8:10">
      <c r="H5208" s="156"/>
      <c r="I5208" s="156"/>
      <c r="J5208" s="156"/>
    </row>
    <row r="5209" spans="8:10">
      <c r="H5209" s="156"/>
      <c r="I5209" s="156"/>
      <c r="J5209" s="156"/>
    </row>
    <row r="5210" spans="8:10">
      <c r="H5210" s="156"/>
      <c r="I5210" s="156"/>
      <c r="J5210" s="156"/>
    </row>
    <row r="5211" spans="8:10">
      <c r="H5211" s="156"/>
      <c r="I5211" s="156"/>
      <c r="J5211" s="156"/>
    </row>
    <row r="5212" spans="8:10">
      <c r="H5212" s="156"/>
      <c r="I5212" s="156"/>
      <c r="J5212" s="156"/>
    </row>
    <row r="5213" spans="8:10">
      <c r="H5213" s="156"/>
      <c r="I5213" s="156"/>
      <c r="J5213" s="156"/>
    </row>
    <row r="5214" spans="8:10">
      <c r="H5214" s="156"/>
      <c r="I5214" s="156"/>
      <c r="J5214" s="156"/>
    </row>
    <row r="5215" spans="8:10">
      <c r="H5215" s="156"/>
      <c r="I5215" s="156"/>
      <c r="J5215" s="156"/>
    </row>
    <row r="5216" spans="8:10">
      <c r="H5216" s="156"/>
      <c r="I5216" s="156"/>
      <c r="J5216" s="156"/>
    </row>
    <row r="5217" spans="8:10">
      <c r="H5217" s="156"/>
      <c r="I5217" s="156"/>
      <c r="J5217" s="156"/>
    </row>
    <row r="5218" spans="8:10">
      <c r="H5218" s="156"/>
      <c r="I5218" s="156"/>
      <c r="J5218" s="156"/>
    </row>
    <row r="5219" spans="8:10">
      <c r="H5219" s="156"/>
      <c r="I5219" s="156"/>
      <c r="J5219" s="156"/>
    </row>
    <row r="5220" spans="8:10">
      <c r="H5220" s="156"/>
      <c r="I5220" s="156"/>
      <c r="J5220" s="156"/>
    </row>
    <row r="5221" spans="8:10">
      <c r="H5221" s="156"/>
      <c r="I5221" s="156"/>
      <c r="J5221" s="156"/>
    </row>
    <row r="5222" spans="8:10">
      <c r="H5222" s="156"/>
      <c r="I5222" s="156"/>
      <c r="J5222" s="156"/>
    </row>
    <row r="5223" spans="8:10">
      <c r="H5223" s="156"/>
      <c r="I5223" s="156"/>
      <c r="J5223" s="156"/>
    </row>
    <row r="5224" spans="8:10">
      <c r="H5224" s="156"/>
      <c r="I5224" s="156"/>
      <c r="J5224" s="156"/>
    </row>
    <row r="5225" spans="8:10">
      <c r="H5225" s="156"/>
      <c r="I5225" s="156"/>
      <c r="J5225" s="156"/>
    </row>
    <row r="5226" spans="8:10">
      <c r="H5226" s="156"/>
      <c r="I5226" s="156"/>
      <c r="J5226" s="156"/>
    </row>
    <row r="5227" spans="8:10">
      <c r="H5227" s="156"/>
      <c r="I5227" s="156"/>
      <c r="J5227" s="156"/>
    </row>
    <row r="5228" spans="8:10">
      <c r="H5228" s="156"/>
      <c r="I5228" s="156"/>
      <c r="J5228" s="156"/>
    </row>
    <row r="5229" spans="8:10">
      <c r="H5229" s="156"/>
      <c r="I5229" s="156"/>
      <c r="J5229" s="156"/>
    </row>
    <row r="5230" spans="8:10">
      <c r="H5230" s="156"/>
      <c r="I5230" s="156"/>
      <c r="J5230" s="156"/>
    </row>
    <row r="5231" spans="8:10">
      <c r="H5231" s="156"/>
      <c r="I5231" s="156"/>
      <c r="J5231" s="156"/>
    </row>
    <row r="5232" spans="8:10">
      <c r="H5232" s="156"/>
      <c r="I5232" s="156"/>
      <c r="J5232" s="156"/>
    </row>
    <row r="5233" spans="8:10">
      <c r="H5233" s="156"/>
      <c r="I5233" s="156"/>
      <c r="J5233" s="156"/>
    </row>
    <row r="5234" spans="8:10">
      <c r="H5234" s="156"/>
      <c r="I5234" s="156"/>
      <c r="J5234" s="156"/>
    </row>
    <row r="5235" spans="8:10">
      <c r="H5235" s="156"/>
      <c r="I5235" s="156"/>
      <c r="J5235" s="156"/>
    </row>
    <row r="5236" spans="8:10">
      <c r="H5236" s="156"/>
      <c r="I5236" s="156"/>
      <c r="J5236" s="156"/>
    </row>
    <row r="5237" spans="8:10">
      <c r="H5237" s="156"/>
      <c r="I5237" s="156"/>
      <c r="J5237" s="156"/>
    </row>
    <row r="5238" spans="8:10">
      <c r="H5238" s="156"/>
      <c r="I5238" s="156"/>
      <c r="J5238" s="156"/>
    </row>
    <row r="5239" spans="8:10">
      <c r="H5239" s="156"/>
      <c r="I5239" s="156"/>
      <c r="J5239" s="156"/>
    </row>
    <row r="5240" spans="8:10">
      <c r="H5240" s="156"/>
      <c r="I5240" s="156"/>
      <c r="J5240" s="156"/>
    </row>
    <row r="5241" spans="8:10">
      <c r="H5241" s="156"/>
      <c r="I5241" s="156"/>
      <c r="J5241" s="156"/>
    </row>
    <row r="5242" spans="8:10">
      <c r="H5242" s="156"/>
      <c r="I5242" s="156"/>
      <c r="J5242" s="156"/>
    </row>
    <row r="5243" spans="8:10">
      <c r="H5243" s="156"/>
      <c r="I5243" s="156"/>
      <c r="J5243" s="156"/>
    </row>
    <row r="5244" spans="8:10">
      <c r="H5244" s="156"/>
      <c r="I5244" s="156"/>
      <c r="J5244" s="156"/>
    </row>
    <row r="5245" spans="8:10">
      <c r="H5245" s="156"/>
      <c r="I5245" s="156"/>
      <c r="J5245" s="156"/>
    </row>
    <row r="5246" spans="8:10">
      <c r="H5246" s="156"/>
      <c r="I5246" s="156"/>
      <c r="J5246" s="156"/>
    </row>
    <row r="5247" spans="8:10">
      <c r="H5247" s="156"/>
      <c r="I5247" s="156"/>
      <c r="J5247" s="156"/>
    </row>
    <row r="5248" spans="8:10">
      <c r="H5248" s="156"/>
      <c r="I5248" s="156"/>
      <c r="J5248" s="156"/>
    </row>
    <row r="5249" spans="8:10">
      <c r="H5249" s="156"/>
      <c r="I5249" s="156"/>
      <c r="J5249" s="156"/>
    </row>
    <row r="5250" spans="8:10">
      <c r="H5250" s="156"/>
      <c r="I5250" s="156"/>
      <c r="J5250" s="156"/>
    </row>
    <row r="5251" spans="8:10">
      <c r="H5251" s="156"/>
      <c r="I5251" s="156"/>
      <c r="J5251" s="156"/>
    </row>
    <row r="5252" spans="8:10">
      <c r="H5252" s="156"/>
      <c r="I5252" s="156"/>
      <c r="J5252" s="156"/>
    </row>
    <row r="5253" spans="8:10">
      <c r="H5253" s="156"/>
      <c r="I5253" s="156"/>
      <c r="J5253" s="156"/>
    </row>
    <row r="5254" spans="8:10">
      <c r="H5254" s="156"/>
      <c r="I5254" s="156"/>
      <c r="J5254" s="156"/>
    </row>
    <row r="5255" spans="8:10">
      <c r="H5255" s="156"/>
      <c r="I5255" s="156"/>
      <c r="J5255" s="156"/>
    </row>
    <row r="5256" spans="8:10">
      <c r="H5256" s="156"/>
      <c r="I5256" s="156"/>
      <c r="J5256" s="156"/>
    </row>
    <row r="5257" spans="8:10">
      <c r="H5257" s="156"/>
      <c r="I5257" s="156"/>
      <c r="J5257" s="156"/>
    </row>
    <row r="5258" spans="8:10">
      <c r="H5258" s="156"/>
      <c r="I5258" s="156"/>
      <c r="J5258" s="156"/>
    </row>
    <row r="5259" spans="8:10">
      <c r="H5259" s="156"/>
      <c r="I5259" s="156"/>
      <c r="J5259" s="156"/>
    </row>
    <row r="5260" spans="8:10">
      <c r="H5260" s="156"/>
      <c r="I5260" s="156"/>
      <c r="J5260" s="156"/>
    </row>
    <row r="5261" spans="8:10">
      <c r="H5261" s="156"/>
      <c r="I5261" s="156"/>
      <c r="J5261" s="156"/>
    </row>
    <row r="5262" spans="8:10">
      <c r="H5262" s="156"/>
      <c r="I5262" s="156"/>
      <c r="J5262" s="156"/>
    </row>
    <row r="5263" spans="8:10">
      <c r="H5263" s="156"/>
      <c r="I5263" s="156"/>
      <c r="J5263" s="156"/>
    </row>
    <row r="5264" spans="8:10">
      <c r="H5264" s="156"/>
      <c r="I5264" s="156"/>
      <c r="J5264" s="156"/>
    </row>
    <row r="5265" spans="8:10">
      <c r="H5265" s="156"/>
      <c r="I5265" s="156"/>
      <c r="J5265" s="156"/>
    </row>
    <row r="5266" spans="8:10">
      <c r="H5266" s="156"/>
      <c r="I5266" s="156"/>
      <c r="J5266" s="156"/>
    </row>
    <row r="5267" spans="8:10">
      <c r="H5267" s="156"/>
      <c r="I5267" s="156"/>
      <c r="J5267" s="156"/>
    </row>
    <row r="5268" spans="8:10">
      <c r="H5268" s="156"/>
      <c r="I5268" s="156"/>
      <c r="J5268" s="156"/>
    </row>
    <row r="5269" spans="8:10">
      <c r="H5269" s="156"/>
      <c r="I5269" s="156"/>
      <c r="J5269" s="156"/>
    </row>
    <row r="5270" spans="8:10">
      <c r="H5270" s="156"/>
      <c r="I5270" s="156"/>
      <c r="J5270" s="156"/>
    </row>
    <row r="5271" spans="8:10">
      <c r="H5271" s="156"/>
      <c r="I5271" s="156"/>
      <c r="J5271" s="156"/>
    </row>
    <row r="5272" spans="8:10">
      <c r="H5272" s="156"/>
      <c r="I5272" s="156"/>
      <c r="J5272" s="156"/>
    </row>
    <row r="5273" spans="8:10">
      <c r="H5273" s="156"/>
      <c r="I5273" s="156"/>
      <c r="J5273" s="156"/>
    </row>
    <row r="5274" spans="8:10">
      <c r="H5274" s="156"/>
      <c r="I5274" s="156"/>
      <c r="J5274" s="156"/>
    </row>
    <row r="5275" spans="8:10">
      <c r="H5275" s="156"/>
      <c r="I5275" s="156"/>
      <c r="J5275" s="156"/>
    </row>
    <row r="5276" spans="8:10">
      <c r="H5276" s="156"/>
      <c r="I5276" s="156"/>
      <c r="J5276" s="156"/>
    </row>
    <row r="5277" spans="8:10">
      <c r="H5277" s="156"/>
      <c r="I5277" s="156"/>
      <c r="J5277" s="156"/>
    </row>
    <row r="5278" spans="8:10">
      <c r="H5278" s="156"/>
      <c r="I5278" s="156"/>
      <c r="J5278" s="156"/>
    </row>
    <row r="5279" spans="8:10">
      <c r="H5279" s="156"/>
      <c r="I5279" s="156"/>
      <c r="J5279" s="156"/>
    </row>
    <row r="5280" spans="8:10">
      <c r="H5280" s="156"/>
      <c r="I5280" s="156"/>
      <c r="J5280" s="156"/>
    </row>
    <row r="5281" spans="8:10">
      <c r="H5281" s="156"/>
      <c r="I5281" s="156"/>
      <c r="J5281" s="156"/>
    </row>
    <row r="5282" spans="8:10">
      <c r="H5282" s="156"/>
      <c r="I5282" s="156"/>
      <c r="J5282" s="156"/>
    </row>
    <row r="5283" spans="8:10">
      <c r="H5283" s="156"/>
      <c r="I5283" s="156"/>
      <c r="J5283" s="156"/>
    </row>
    <row r="5284" spans="8:10">
      <c r="H5284" s="156"/>
      <c r="I5284" s="156"/>
      <c r="J5284" s="156"/>
    </row>
    <row r="5285" spans="8:10">
      <c r="H5285" s="156"/>
      <c r="I5285" s="156"/>
      <c r="J5285" s="156"/>
    </row>
    <row r="5286" spans="8:10">
      <c r="H5286" s="156"/>
      <c r="I5286" s="156"/>
      <c r="J5286" s="156"/>
    </row>
    <row r="5287" spans="8:10">
      <c r="H5287" s="156"/>
      <c r="I5287" s="156"/>
      <c r="J5287" s="156"/>
    </row>
    <row r="5288" spans="8:10">
      <c r="H5288" s="156"/>
      <c r="I5288" s="156"/>
      <c r="J5288" s="156"/>
    </row>
    <row r="5289" spans="8:10">
      <c r="H5289" s="156"/>
      <c r="I5289" s="156"/>
      <c r="J5289" s="156"/>
    </row>
    <row r="5290" spans="8:10">
      <c r="H5290" s="156"/>
      <c r="I5290" s="156"/>
      <c r="J5290" s="156"/>
    </row>
    <row r="5291" spans="8:10">
      <c r="H5291" s="156"/>
      <c r="I5291" s="156"/>
      <c r="J5291" s="156"/>
    </row>
    <row r="5292" spans="8:10">
      <c r="H5292" s="156"/>
      <c r="I5292" s="156"/>
      <c r="J5292" s="156"/>
    </row>
    <row r="5293" spans="8:10">
      <c r="H5293" s="156"/>
      <c r="I5293" s="156"/>
      <c r="J5293" s="156"/>
    </row>
    <row r="5294" spans="8:10">
      <c r="H5294" s="156"/>
      <c r="I5294" s="156"/>
      <c r="J5294" s="156"/>
    </row>
    <row r="5295" spans="8:10">
      <c r="H5295" s="156"/>
      <c r="I5295" s="156"/>
      <c r="J5295" s="156"/>
    </row>
    <row r="5296" spans="8:10">
      <c r="H5296" s="156"/>
      <c r="I5296" s="156"/>
      <c r="J5296" s="156"/>
    </row>
    <row r="5297" spans="8:10">
      <c r="H5297" s="156"/>
      <c r="I5297" s="156"/>
      <c r="J5297" s="156"/>
    </row>
    <row r="5298" spans="8:10">
      <c r="H5298" s="156"/>
      <c r="I5298" s="156"/>
      <c r="J5298" s="156"/>
    </row>
    <row r="5299" spans="8:10">
      <c r="H5299" s="156"/>
      <c r="I5299" s="156"/>
      <c r="J5299" s="156"/>
    </row>
    <row r="5300" spans="8:10">
      <c r="H5300" s="156"/>
      <c r="I5300" s="156"/>
      <c r="J5300" s="156"/>
    </row>
    <row r="5301" spans="8:10">
      <c r="H5301" s="156"/>
      <c r="I5301" s="156"/>
      <c r="J5301" s="156"/>
    </row>
    <row r="5302" spans="8:10">
      <c r="H5302" s="156"/>
      <c r="I5302" s="156"/>
      <c r="J5302" s="156"/>
    </row>
    <row r="5303" spans="8:10">
      <c r="H5303" s="156"/>
      <c r="I5303" s="156"/>
      <c r="J5303" s="156"/>
    </row>
    <row r="5304" spans="8:10">
      <c r="H5304" s="156"/>
      <c r="I5304" s="156"/>
      <c r="J5304" s="156"/>
    </row>
    <row r="5305" spans="8:10">
      <c r="H5305" s="156"/>
      <c r="I5305" s="156"/>
      <c r="J5305" s="156"/>
    </row>
    <row r="5306" spans="8:10">
      <c r="H5306" s="156"/>
      <c r="I5306" s="156"/>
      <c r="J5306" s="156"/>
    </row>
    <row r="5307" spans="8:10">
      <c r="H5307" s="156"/>
      <c r="I5307" s="156"/>
      <c r="J5307" s="156"/>
    </row>
    <row r="5308" spans="8:10">
      <c r="H5308" s="156"/>
      <c r="I5308" s="156"/>
      <c r="J5308" s="156"/>
    </row>
    <row r="5309" spans="8:10">
      <c r="H5309" s="156"/>
      <c r="I5309" s="156"/>
      <c r="J5309" s="156"/>
    </row>
    <row r="5310" spans="8:10">
      <c r="H5310" s="156"/>
      <c r="I5310" s="156"/>
      <c r="J5310" s="156"/>
    </row>
    <row r="5311" spans="8:10">
      <c r="H5311" s="156"/>
      <c r="I5311" s="156"/>
      <c r="J5311" s="156"/>
    </row>
    <row r="5312" spans="8:10">
      <c r="H5312" s="156"/>
      <c r="I5312" s="156"/>
      <c r="J5312" s="156"/>
    </row>
    <row r="5313" spans="8:10">
      <c r="H5313" s="156"/>
      <c r="I5313" s="156"/>
      <c r="J5313" s="156"/>
    </row>
    <row r="5314" spans="8:10">
      <c r="H5314" s="156"/>
      <c r="I5314" s="156"/>
      <c r="J5314" s="156"/>
    </row>
    <row r="5315" spans="8:10">
      <c r="H5315" s="156"/>
      <c r="I5315" s="156"/>
      <c r="J5315" s="156"/>
    </row>
    <row r="5316" spans="8:10">
      <c r="H5316" s="156"/>
      <c r="I5316" s="156"/>
      <c r="J5316" s="156"/>
    </row>
    <row r="5317" spans="8:10">
      <c r="H5317" s="156"/>
      <c r="I5317" s="156"/>
      <c r="J5317" s="156"/>
    </row>
    <row r="5318" spans="8:10">
      <c r="H5318" s="156"/>
      <c r="I5318" s="156"/>
      <c r="J5318" s="156"/>
    </row>
    <row r="5319" spans="8:10">
      <c r="H5319" s="156"/>
      <c r="I5319" s="156"/>
      <c r="J5319" s="156"/>
    </row>
    <row r="5320" spans="8:10">
      <c r="H5320" s="156"/>
      <c r="I5320" s="156"/>
      <c r="J5320" s="156"/>
    </row>
    <row r="5321" spans="8:10">
      <c r="H5321" s="156"/>
      <c r="I5321" s="156"/>
      <c r="J5321" s="156"/>
    </row>
    <row r="5322" spans="8:10">
      <c r="H5322" s="156"/>
      <c r="I5322" s="156"/>
      <c r="J5322" s="156"/>
    </row>
    <row r="5323" spans="8:10">
      <c r="H5323" s="156"/>
      <c r="I5323" s="156"/>
      <c r="J5323" s="156"/>
    </row>
    <row r="5324" spans="8:10">
      <c r="H5324" s="156"/>
      <c r="I5324" s="156"/>
      <c r="J5324" s="156"/>
    </row>
    <row r="5325" spans="8:10">
      <c r="H5325" s="156"/>
      <c r="I5325" s="156"/>
      <c r="J5325" s="156"/>
    </row>
    <row r="5326" spans="8:10">
      <c r="H5326" s="156"/>
      <c r="I5326" s="156"/>
      <c r="J5326" s="156"/>
    </row>
    <row r="5327" spans="8:10">
      <c r="H5327" s="156"/>
      <c r="I5327" s="156"/>
      <c r="J5327" s="156"/>
    </row>
    <row r="5328" spans="8:10">
      <c r="H5328" s="156"/>
      <c r="I5328" s="156"/>
      <c r="J5328" s="156"/>
    </row>
    <row r="5329" spans="8:10">
      <c r="H5329" s="156"/>
      <c r="I5329" s="156"/>
      <c r="J5329" s="156"/>
    </row>
    <row r="5330" spans="8:10">
      <c r="H5330" s="156"/>
      <c r="I5330" s="156"/>
      <c r="J5330" s="156"/>
    </row>
    <row r="5331" spans="8:10">
      <c r="H5331" s="156"/>
      <c r="I5331" s="156"/>
      <c r="J5331" s="156"/>
    </row>
    <row r="5332" spans="8:10">
      <c r="H5332" s="156"/>
      <c r="I5332" s="156"/>
      <c r="J5332" s="156"/>
    </row>
    <row r="5333" spans="8:10">
      <c r="H5333" s="156"/>
      <c r="I5333" s="156"/>
      <c r="J5333" s="156"/>
    </row>
    <row r="5334" spans="8:10">
      <c r="H5334" s="156"/>
      <c r="I5334" s="156"/>
      <c r="J5334" s="156"/>
    </row>
    <row r="5335" spans="8:10">
      <c r="H5335" s="156"/>
      <c r="I5335" s="156"/>
      <c r="J5335" s="156"/>
    </row>
    <row r="5336" spans="8:10">
      <c r="H5336" s="156"/>
      <c r="I5336" s="156"/>
      <c r="J5336" s="156"/>
    </row>
    <row r="5337" spans="8:10">
      <c r="H5337" s="156"/>
      <c r="I5337" s="156"/>
      <c r="J5337" s="156"/>
    </row>
    <row r="5338" spans="8:10">
      <c r="H5338" s="156"/>
      <c r="I5338" s="156"/>
      <c r="J5338" s="156"/>
    </row>
    <row r="5339" spans="8:10">
      <c r="H5339" s="156"/>
      <c r="I5339" s="156"/>
      <c r="J5339" s="156"/>
    </row>
    <row r="5340" spans="8:10">
      <c r="H5340" s="156"/>
      <c r="I5340" s="156"/>
      <c r="J5340" s="156"/>
    </row>
    <row r="5341" spans="8:10">
      <c r="H5341" s="156"/>
      <c r="I5341" s="156"/>
      <c r="J5341" s="156"/>
    </row>
    <row r="5342" spans="8:10">
      <c r="H5342" s="156"/>
      <c r="I5342" s="156"/>
      <c r="J5342" s="156"/>
    </row>
    <row r="5343" spans="8:10">
      <c r="H5343" s="156"/>
      <c r="I5343" s="156"/>
      <c r="J5343" s="156"/>
    </row>
    <row r="5344" spans="8:10">
      <c r="H5344" s="156"/>
      <c r="I5344" s="156"/>
      <c r="J5344" s="156"/>
    </row>
    <row r="5345" spans="8:10">
      <c r="H5345" s="156"/>
      <c r="I5345" s="156"/>
      <c r="J5345" s="156"/>
    </row>
    <row r="5346" spans="8:10">
      <c r="H5346" s="156"/>
      <c r="I5346" s="156"/>
      <c r="J5346" s="156"/>
    </row>
    <row r="5347" spans="8:10">
      <c r="H5347" s="156"/>
      <c r="I5347" s="156"/>
      <c r="J5347" s="156"/>
    </row>
    <row r="5348" spans="8:10">
      <c r="H5348" s="156"/>
      <c r="I5348" s="156"/>
      <c r="J5348" s="156"/>
    </row>
    <row r="5349" spans="8:10">
      <c r="H5349" s="156"/>
      <c r="I5349" s="156"/>
      <c r="J5349" s="156"/>
    </row>
    <row r="5350" spans="8:10">
      <c r="H5350" s="156"/>
      <c r="I5350" s="156"/>
      <c r="J5350" s="156"/>
    </row>
    <row r="5351" spans="8:10">
      <c r="H5351" s="156"/>
      <c r="I5351" s="156"/>
      <c r="J5351" s="156"/>
    </row>
    <row r="5352" spans="8:10">
      <c r="H5352" s="156"/>
      <c r="I5352" s="156"/>
      <c r="J5352" s="156"/>
    </row>
    <row r="5353" spans="8:10">
      <c r="H5353" s="156"/>
      <c r="I5353" s="156"/>
      <c r="J5353" s="156"/>
    </row>
    <row r="5354" spans="8:10">
      <c r="H5354" s="156"/>
      <c r="I5354" s="156"/>
      <c r="J5354" s="156"/>
    </row>
    <row r="5355" spans="8:10">
      <c r="H5355" s="156"/>
      <c r="I5355" s="156"/>
      <c r="J5355" s="156"/>
    </row>
    <row r="5356" spans="8:10">
      <c r="H5356" s="156"/>
      <c r="I5356" s="156"/>
      <c r="J5356" s="156"/>
    </row>
    <row r="5357" spans="8:10">
      <c r="H5357" s="156"/>
      <c r="I5357" s="156"/>
      <c r="J5357" s="156"/>
    </row>
    <row r="5358" spans="8:10">
      <c r="H5358" s="156"/>
      <c r="I5358" s="156"/>
      <c r="J5358" s="156"/>
    </row>
    <row r="5359" spans="8:10">
      <c r="H5359" s="156"/>
      <c r="I5359" s="156"/>
      <c r="J5359" s="156"/>
    </row>
    <row r="5360" spans="8:10">
      <c r="H5360" s="156"/>
      <c r="I5360" s="156"/>
      <c r="J5360" s="156"/>
    </row>
    <row r="5361" spans="8:10">
      <c r="H5361" s="156"/>
      <c r="I5361" s="156"/>
      <c r="J5361" s="156"/>
    </row>
    <row r="5362" spans="8:10">
      <c r="H5362" s="156"/>
      <c r="I5362" s="156"/>
      <c r="J5362" s="156"/>
    </row>
    <row r="5363" spans="8:10">
      <c r="H5363" s="156"/>
      <c r="I5363" s="156"/>
      <c r="J5363" s="156"/>
    </row>
    <row r="5364" spans="8:10">
      <c r="H5364" s="156"/>
      <c r="I5364" s="156"/>
      <c r="J5364" s="156"/>
    </row>
    <row r="5365" spans="8:10">
      <c r="H5365" s="156"/>
      <c r="I5365" s="156"/>
      <c r="J5365" s="156"/>
    </row>
    <row r="5366" spans="8:10">
      <c r="H5366" s="156"/>
      <c r="I5366" s="156"/>
      <c r="J5366" s="156"/>
    </row>
    <row r="5367" spans="8:10">
      <c r="H5367" s="156"/>
      <c r="I5367" s="156"/>
      <c r="J5367" s="156"/>
    </row>
    <row r="5368" spans="8:10">
      <c r="H5368" s="156"/>
      <c r="I5368" s="156"/>
      <c r="J5368" s="156"/>
    </row>
    <row r="5369" spans="8:10">
      <c r="H5369" s="156"/>
      <c r="I5369" s="156"/>
      <c r="J5369" s="156"/>
    </row>
    <row r="5370" spans="8:10">
      <c r="H5370" s="156"/>
      <c r="I5370" s="156"/>
      <c r="J5370" s="156"/>
    </row>
    <row r="5371" spans="8:10">
      <c r="H5371" s="156"/>
      <c r="I5371" s="156"/>
      <c r="J5371" s="156"/>
    </row>
    <row r="5372" spans="8:10">
      <c r="H5372" s="156"/>
      <c r="I5372" s="156"/>
      <c r="J5372" s="156"/>
    </row>
    <row r="5373" spans="8:10">
      <c r="H5373" s="156"/>
      <c r="I5373" s="156"/>
      <c r="J5373" s="156"/>
    </row>
    <row r="5374" spans="8:10">
      <c r="H5374" s="156"/>
      <c r="I5374" s="156"/>
      <c r="J5374" s="156"/>
    </row>
    <row r="5375" spans="8:10">
      <c r="H5375" s="156"/>
      <c r="I5375" s="156"/>
      <c r="J5375" s="156"/>
    </row>
    <row r="5376" spans="8:10">
      <c r="H5376" s="156"/>
      <c r="I5376" s="156"/>
      <c r="J5376" s="156"/>
    </row>
    <row r="5377" spans="8:10">
      <c r="H5377" s="156"/>
      <c r="I5377" s="156"/>
      <c r="J5377" s="156"/>
    </row>
    <row r="5378" spans="8:10">
      <c r="H5378" s="156"/>
      <c r="I5378" s="156"/>
      <c r="J5378" s="156"/>
    </row>
    <row r="5379" spans="8:10">
      <c r="H5379" s="156"/>
      <c r="I5379" s="156"/>
      <c r="J5379" s="156"/>
    </row>
    <row r="5380" spans="8:10">
      <c r="H5380" s="156"/>
      <c r="I5380" s="156"/>
      <c r="J5380" s="156"/>
    </row>
    <row r="5381" spans="8:10">
      <c r="H5381" s="156"/>
      <c r="I5381" s="156"/>
      <c r="J5381" s="156"/>
    </row>
    <row r="5382" spans="8:10">
      <c r="H5382" s="156"/>
      <c r="I5382" s="156"/>
      <c r="J5382" s="156"/>
    </row>
    <row r="5383" spans="8:10">
      <c r="H5383" s="156"/>
      <c r="I5383" s="156"/>
      <c r="J5383" s="156"/>
    </row>
    <row r="5384" spans="8:10">
      <c r="H5384" s="156"/>
      <c r="I5384" s="156"/>
      <c r="J5384" s="156"/>
    </row>
    <row r="5385" spans="8:10">
      <c r="H5385" s="156"/>
      <c r="I5385" s="156"/>
      <c r="J5385" s="156"/>
    </row>
    <row r="5386" spans="8:10">
      <c r="H5386" s="156"/>
      <c r="I5386" s="156"/>
      <c r="J5386" s="156"/>
    </row>
    <row r="5387" spans="8:10">
      <c r="H5387" s="156"/>
      <c r="I5387" s="156"/>
      <c r="J5387" s="156"/>
    </row>
    <row r="5388" spans="8:10">
      <c r="H5388" s="156"/>
      <c r="I5388" s="156"/>
      <c r="J5388" s="156"/>
    </row>
    <row r="5389" spans="8:10">
      <c r="H5389" s="156"/>
      <c r="I5389" s="156"/>
      <c r="J5389" s="156"/>
    </row>
    <row r="5390" spans="8:10">
      <c r="H5390" s="156"/>
      <c r="I5390" s="156"/>
      <c r="J5390" s="156"/>
    </row>
    <row r="5391" spans="8:10">
      <c r="H5391" s="156"/>
      <c r="I5391" s="156"/>
      <c r="J5391" s="156"/>
    </row>
    <row r="5392" spans="8:10">
      <c r="H5392" s="156"/>
      <c r="I5392" s="156"/>
      <c r="J5392" s="156"/>
    </row>
    <row r="5393" spans="8:10">
      <c r="H5393" s="156"/>
      <c r="I5393" s="156"/>
      <c r="J5393" s="156"/>
    </row>
    <row r="5394" spans="8:10">
      <c r="H5394" s="156"/>
      <c r="I5394" s="156"/>
      <c r="J5394" s="156"/>
    </row>
    <row r="5395" spans="8:10">
      <c r="H5395" s="156"/>
      <c r="I5395" s="156"/>
      <c r="J5395" s="156"/>
    </row>
    <row r="5396" spans="8:10">
      <c r="H5396" s="156"/>
      <c r="I5396" s="156"/>
      <c r="J5396" s="156"/>
    </row>
    <row r="5397" spans="8:10">
      <c r="H5397" s="156"/>
      <c r="I5397" s="156"/>
      <c r="J5397" s="156"/>
    </row>
    <row r="5398" spans="8:10">
      <c r="H5398" s="156"/>
      <c r="I5398" s="156"/>
      <c r="J5398" s="156"/>
    </row>
    <row r="5399" spans="8:10">
      <c r="H5399" s="156"/>
      <c r="I5399" s="156"/>
      <c r="J5399" s="156"/>
    </row>
    <row r="5400" spans="8:10">
      <c r="H5400" s="156"/>
      <c r="I5400" s="156"/>
      <c r="J5400" s="156"/>
    </row>
    <row r="5401" spans="8:10">
      <c r="H5401" s="156"/>
      <c r="I5401" s="156"/>
      <c r="J5401" s="156"/>
    </row>
    <row r="5402" spans="8:10">
      <c r="H5402" s="156"/>
      <c r="I5402" s="156"/>
      <c r="J5402" s="156"/>
    </row>
    <row r="5403" spans="8:10">
      <c r="H5403" s="156"/>
      <c r="I5403" s="156"/>
      <c r="J5403" s="156"/>
    </row>
    <row r="5404" spans="8:10">
      <c r="H5404" s="156"/>
      <c r="I5404" s="156"/>
      <c r="J5404" s="156"/>
    </row>
    <row r="5405" spans="8:10">
      <c r="H5405" s="156"/>
      <c r="I5405" s="156"/>
      <c r="J5405" s="156"/>
    </row>
    <row r="5406" spans="8:10">
      <c r="H5406" s="156"/>
      <c r="I5406" s="156"/>
      <c r="J5406" s="156"/>
    </row>
    <row r="5407" spans="8:10">
      <c r="H5407" s="156"/>
      <c r="I5407" s="156"/>
      <c r="J5407" s="156"/>
    </row>
    <row r="5408" spans="8:10">
      <c r="H5408" s="156"/>
      <c r="I5408" s="156"/>
      <c r="J5408" s="156"/>
    </row>
    <row r="5409" spans="8:10">
      <c r="H5409" s="156"/>
      <c r="I5409" s="156"/>
      <c r="J5409" s="156"/>
    </row>
    <row r="5410" spans="8:10">
      <c r="H5410" s="156"/>
      <c r="I5410" s="156"/>
      <c r="J5410" s="156"/>
    </row>
    <row r="5411" spans="8:10">
      <c r="H5411" s="156"/>
      <c r="I5411" s="156"/>
      <c r="J5411" s="156"/>
    </row>
    <row r="5412" spans="8:10">
      <c r="H5412" s="156"/>
      <c r="I5412" s="156"/>
      <c r="J5412" s="156"/>
    </row>
    <row r="5413" spans="8:10">
      <c r="H5413" s="156"/>
      <c r="I5413" s="156"/>
      <c r="J5413" s="156"/>
    </row>
    <row r="5414" spans="8:10">
      <c r="H5414" s="156"/>
      <c r="I5414" s="156"/>
      <c r="J5414" s="156"/>
    </row>
    <row r="5415" spans="8:10">
      <c r="H5415" s="156"/>
      <c r="I5415" s="156"/>
      <c r="J5415" s="156"/>
    </row>
    <row r="5416" spans="8:10">
      <c r="H5416" s="156"/>
      <c r="I5416" s="156"/>
      <c r="J5416" s="156"/>
    </row>
    <row r="5417" spans="8:10">
      <c r="H5417" s="156"/>
      <c r="I5417" s="156"/>
      <c r="J5417" s="156"/>
    </row>
    <row r="5418" spans="8:10">
      <c r="H5418" s="156"/>
      <c r="I5418" s="156"/>
      <c r="J5418" s="156"/>
    </row>
    <row r="5419" spans="8:10">
      <c r="H5419" s="156"/>
      <c r="I5419" s="156"/>
      <c r="J5419" s="156"/>
    </row>
    <row r="5420" spans="8:10">
      <c r="H5420" s="156"/>
      <c r="I5420" s="156"/>
      <c r="J5420" s="156"/>
    </row>
    <row r="5421" spans="8:10">
      <c r="H5421" s="156"/>
      <c r="I5421" s="156"/>
      <c r="J5421" s="156"/>
    </row>
    <row r="5422" spans="8:10">
      <c r="H5422" s="156"/>
      <c r="I5422" s="156"/>
      <c r="J5422" s="156"/>
    </row>
    <row r="5423" spans="8:10">
      <c r="H5423" s="156"/>
      <c r="I5423" s="156"/>
      <c r="J5423" s="156"/>
    </row>
    <row r="5424" spans="8:10">
      <c r="H5424" s="156"/>
      <c r="I5424" s="156"/>
      <c r="J5424" s="156"/>
    </row>
    <row r="5425" spans="8:10">
      <c r="H5425" s="156"/>
      <c r="I5425" s="156"/>
      <c r="J5425" s="156"/>
    </row>
    <row r="5426" spans="8:10">
      <c r="H5426" s="156"/>
      <c r="I5426" s="156"/>
      <c r="J5426" s="156"/>
    </row>
    <row r="5427" spans="8:10">
      <c r="H5427" s="156"/>
      <c r="I5427" s="156"/>
      <c r="J5427" s="156"/>
    </row>
    <row r="5428" spans="8:10">
      <c r="H5428" s="156"/>
      <c r="I5428" s="156"/>
      <c r="J5428" s="156"/>
    </row>
    <row r="5429" spans="8:10">
      <c r="H5429" s="156"/>
      <c r="I5429" s="156"/>
      <c r="J5429" s="156"/>
    </row>
    <row r="5430" spans="8:10">
      <c r="H5430" s="156"/>
      <c r="I5430" s="156"/>
      <c r="J5430" s="156"/>
    </row>
    <row r="5431" spans="8:10">
      <c r="H5431" s="156"/>
      <c r="I5431" s="156"/>
      <c r="J5431" s="156"/>
    </row>
    <row r="5432" spans="8:10">
      <c r="H5432" s="156"/>
      <c r="I5432" s="156"/>
      <c r="J5432" s="156"/>
    </row>
    <row r="5433" spans="8:10">
      <c r="H5433" s="156"/>
      <c r="I5433" s="156"/>
      <c r="J5433" s="156"/>
    </row>
    <row r="5434" spans="8:10">
      <c r="H5434" s="156"/>
      <c r="I5434" s="156"/>
      <c r="J5434" s="156"/>
    </row>
    <row r="5435" spans="8:10">
      <c r="H5435" s="156"/>
      <c r="I5435" s="156"/>
      <c r="J5435" s="156"/>
    </row>
    <row r="5436" spans="8:10">
      <c r="H5436" s="156"/>
      <c r="I5436" s="156"/>
      <c r="J5436" s="156"/>
    </row>
    <row r="5437" spans="8:10">
      <c r="H5437" s="156"/>
      <c r="I5437" s="156"/>
      <c r="J5437" s="156"/>
    </row>
    <row r="5438" spans="8:10">
      <c r="H5438" s="156"/>
      <c r="I5438" s="156"/>
      <c r="J5438" s="156"/>
    </row>
    <row r="5439" spans="8:10">
      <c r="H5439" s="156"/>
      <c r="I5439" s="156"/>
      <c r="J5439" s="156"/>
    </row>
    <row r="5440" spans="8:10">
      <c r="H5440" s="156"/>
      <c r="I5440" s="156"/>
      <c r="J5440" s="156"/>
    </row>
    <row r="5441" spans="8:10">
      <c r="H5441" s="156"/>
      <c r="I5441" s="156"/>
      <c r="J5441" s="156"/>
    </row>
    <row r="5442" spans="8:10">
      <c r="H5442" s="156"/>
      <c r="I5442" s="156"/>
      <c r="J5442" s="156"/>
    </row>
    <row r="5443" spans="8:10">
      <c r="H5443" s="156"/>
      <c r="I5443" s="156"/>
      <c r="J5443" s="156"/>
    </row>
    <row r="5444" spans="8:10">
      <c r="H5444" s="156"/>
      <c r="I5444" s="156"/>
      <c r="J5444" s="156"/>
    </row>
    <row r="5445" spans="8:10">
      <c r="H5445" s="156"/>
      <c r="I5445" s="156"/>
      <c r="J5445" s="156"/>
    </row>
    <row r="5446" spans="8:10">
      <c r="H5446" s="156"/>
      <c r="I5446" s="156"/>
      <c r="J5446" s="156"/>
    </row>
    <row r="5447" spans="8:10">
      <c r="H5447" s="156"/>
      <c r="I5447" s="156"/>
      <c r="J5447" s="156"/>
    </row>
    <row r="5448" spans="8:10">
      <c r="H5448" s="156"/>
      <c r="I5448" s="156"/>
      <c r="J5448" s="156"/>
    </row>
    <row r="5449" spans="8:10">
      <c r="H5449" s="156"/>
      <c r="I5449" s="156"/>
      <c r="J5449" s="156"/>
    </row>
    <row r="5450" spans="8:10">
      <c r="H5450" s="156"/>
      <c r="I5450" s="156"/>
      <c r="J5450" s="156"/>
    </row>
    <row r="5451" spans="8:10">
      <c r="H5451" s="156"/>
      <c r="I5451" s="156"/>
      <c r="J5451" s="156"/>
    </row>
    <row r="5452" spans="8:10">
      <c r="H5452" s="156"/>
      <c r="I5452" s="156"/>
      <c r="J5452" s="156"/>
    </row>
    <row r="5453" spans="8:10">
      <c r="H5453" s="156"/>
      <c r="I5453" s="156"/>
      <c r="J5453" s="156"/>
    </row>
    <row r="5454" spans="8:10">
      <c r="H5454" s="156"/>
      <c r="I5454" s="156"/>
      <c r="J5454" s="156"/>
    </row>
    <row r="5455" spans="8:10">
      <c r="H5455" s="156"/>
      <c r="I5455" s="156"/>
      <c r="J5455" s="156"/>
    </row>
    <row r="5456" spans="8:10">
      <c r="H5456" s="156"/>
      <c r="I5456" s="156"/>
      <c r="J5456" s="156"/>
    </row>
    <row r="5457" spans="8:10">
      <c r="H5457" s="156"/>
      <c r="I5457" s="156"/>
      <c r="J5457" s="156"/>
    </row>
    <row r="5458" spans="8:10">
      <c r="H5458" s="156"/>
      <c r="I5458" s="156"/>
      <c r="J5458" s="156"/>
    </row>
    <row r="5459" spans="8:10">
      <c r="H5459" s="156"/>
      <c r="I5459" s="156"/>
      <c r="J5459" s="156"/>
    </row>
    <row r="5460" spans="8:10">
      <c r="H5460" s="156"/>
      <c r="I5460" s="156"/>
      <c r="J5460" s="156"/>
    </row>
    <row r="5461" spans="8:10">
      <c r="H5461" s="156"/>
      <c r="I5461" s="156"/>
      <c r="J5461" s="156"/>
    </row>
    <row r="5462" spans="8:10">
      <c r="H5462" s="156"/>
      <c r="I5462" s="156"/>
      <c r="J5462" s="156"/>
    </row>
    <row r="5463" spans="8:10">
      <c r="H5463" s="156"/>
      <c r="I5463" s="156"/>
      <c r="J5463" s="156"/>
    </row>
    <row r="5464" spans="8:10">
      <c r="H5464" s="156"/>
      <c r="I5464" s="156"/>
      <c r="J5464" s="156"/>
    </row>
    <row r="5465" spans="8:10">
      <c r="H5465" s="156"/>
      <c r="I5465" s="156"/>
      <c r="J5465" s="156"/>
    </row>
    <row r="5466" spans="8:10">
      <c r="H5466" s="156"/>
      <c r="I5466" s="156"/>
      <c r="J5466" s="156"/>
    </row>
    <row r="5467" spans="8:10">
      <c r="H5467" s="156"/>
      <c r="I5467" s="156"/>
      <c r="J5467" s="156"/>
    </row>
    <row r="5468" spans="8:10">
      <c r="H5468" s="156"/>
      <c r="I5468" s="156"/>
      <c r="J5468" s="156"/>
    </row>
    <row r="5469" spans="8:10">
      <c r="H5469" s="156"/>
      <c r="I5469" s="156"/>
      <c r="J5469" s="156"/>
    </row>
    <row r="5470" spans="8:10">
      <c r="H5470" s="156"/>
      <c r="I5470" s="156"/>
      <c r="J5470" s="156"/>
    </row>
    <row r="5471" spans="8:10">
      <c r="H5471" s="156"/>
      <c r="I5471" s="156"/>
      <c r="J5471" s="156"/>
    </row>
    <row r="5472" spans="8:10">
      <c r="H5472" s="156"/>
      <c r="I5472" s="156"/>
      <c r="J5472" s="156"/>
    </row>
    <row r="5473" spans="8:10">
      <c r="H5473" s="156"/>
      <c r="I5473" s="156"/>
      <c r="J5473" s="156"/>
    </row>
    <row r="5474" spans="8:10">
      <c r="H5474" s="156"/>
      <c r="I5474" s="156"/>
      <c r="J5474" s="156"/>
    </row>
    <row r="5475" spans="8:10">
      <c r="H5475" s="156"/>
      <c r="I5475" s="156"/>
      <c r="J5475" s="156"/>
    </row>
    <row r="5476" spans="8:10">
      <c r="H5476" s="156"/>
      <c r="I5476" s="156"/>
      <c r="J5476" s="156"/>
    </row>
    <row r="5477" spans="8:10">
      <c r="H5477" s="156"/>
      <c r="I5477" s="156"/>
      <c r="J5477" s="156"/>
    </row>
    <row r="5478" spans="8:10">
      <c r="H5478" s="156"/>
      <c r="I5478" s="156"/>
      <c r="J5478" s="156"/>
    </row>
    <row r="5479" spans="8:10">
      <c r="H5479" s="156"/>
      <c r="I5479" s="156"/>
      <c r="J5479" s="156"/>
    </row>
    <row r="5480" spans="8:10">
      <c r="H5480" s="156"/>
      <c r="I5480" s="156"/>
      <c r="J5480" s="156"/>
    </row>
    <row r="5481" spans="8:10">
      <c r="H5481" s="156"/>
      <c r="I5481" s="156"/>
      <c r="J5481" s="156"/>
    </row>
    <row r="5482" spans="8:10">
      <c r="H5482" s="156"/>
      <c r="I5482" s="156"/>
      <c r="J5482" s="156"/>
    </row>
    <row r="5483" spans="8:10">
      <c r="H5483" s="156"/>
      <c r="I5483" s="156"/>
      <c r="J5483" s="156"/>
    </row>
    <row r="5484" spans="8:10">
      <c r="H5484" s="156"/>
      <c r="I5484" s="156"/>
      <c r="J5484" s="156"/>
    </row>
    <row r="5485" spans="8:10">
      <c r="H5485" s="156"/>
      <c r="I5485" s="156"/>
      <c r="J5485" s="156"/>
    </row>
    <row r="5486" spans="8:10">
      <c r="H5486" s="156"/>
      <c r="I5486" s="156"/>
      <c r="J5486" s="156"/>
    </row>
    <row r="5487" spans="8:10">
      <c r="H5487" s="156"/>
      <c r="I5487" s="156"/>
      <c r="J5487" s="156"/>
    </row>
    <row r="5488" spans="8:10">
      <c r="H5488" s="156"/>
      <c r="I5488" s="156"/>
      <c r="J5488" s="156"/>
    </row>
    <row r="5489" spans="8:10">
      <c r="H5489" s="156"/>
      <c r="I5489" s="156"/>
      <c r="J5489" s="156"/>
    </row>
    <row r="5490" spans="8:10">
      <c r="H5490" s="156"/>
      <c r="I5490" s="156"/>
      <c r="J5490" s="156"/>
    </row>
    <row r="5491" spans="8:10">
      <c r="H5491" s="156"/>
      <c r="I5491" s="156"/>
      <c r="J5491" s="156"/>
    </row>
    <row r="5492" spans="8:10">
      <c r="H5492" s="156"/>
      <c r="I5492" s="156"/>
      <c r="J5492" s="156"/>
    </row>
    <row r="5493" spans="8:10">
      <c r="H5493" s="156"/>
      <c r="I5493" s="156"/>
      <c r="J5493" s="156"/>
    </row>
    <row r="5494" spans="8:10">
      <c r="H5494" s="156"/>
      <c r="I5494" s="156"/>
      <c r="J5494" s="156"/>
    </row>
    <row r="5495" spans="8:10">
      <c r="H5495" s="156"/>
      <c r="I5495" s="156"/>
      <c r="J5495" s="156"/>
    </row>
    <row r="5496" spans="8:10">
      <c r="H5496" s="156"/>
      <c r="I5496" s="156"/>
      <c r="J5496" s="156"/>
    </row>
    <row r="5497" spans="8:10">
      <c r="H5497" s="156"/>
      <c r="I5497" s="156"/>
      <c r="J5497" s="156"/>
    </row>
    <row r="5498" spans="8:10">
      <c r="H5498" s="156"/>
      <c r="I5498" s="156"/>
      <c r="J5498" s="156"/>
    </row>
    <row r="5499" spans="8:10">
      <c r="H5499" s="156"/>
      <c r="I5499" s="156"/>
      <c r="J5499" s="156"/>
    </row>
    <row r="5500" spans="8:10">
      <c r="H5500" s="156"/>
      <c r="I5500" s="156"/>
      <c r="J5500" s="156"/>
    </row>
    <row r="5501" spans="8:10">
      <c r="H5501" s="156"/>
      <c r="I5501" s="156"/>
      <c r="J5501" s="156"/>
    </row>
    <row r="5502" spans="8:10">
      <c r="H5502" s="156"/>
      <c r="I5502" s="156"/>
      <c r="J5502" s="156"/>
    </row>
    <row r="5503" spans="8:10">
      <c r="H5503" s="156"/>
      <c r="I5503" s="156"/>
      <c r="J5503" s="156"/>
    </row>
    <row r="5504" spans="8:10">
      <c r="H5504" s="156"/>
      <c r="I5504" s="156"/>
      <c r="J5504" s="156"/>
    </row>
    <row r="5505" spans="8:10">
      <c r="H5505" s="156"/>
      <c r="I5505" s="156"/>
      <c r="J5505" s="156"/>
    </row>
    <row r="5506" spans="8:10">
      <c r="H5506" s="156"/>
      <c r="I5506" s="156"/>
      <c r="J5506" s="156"/>
    </row>
    <row r="5507" spans="8:10">
      <c r="H5507" s="156"/>
      <c r="I5507" s="156"/>
      <c r="J5507" s="156"/>
    </row>
    <row r="5508" spans="8:10">
      <c r="H5508" s="156"/>
      <c r="I5508" s="156"/>
      <c r="J5508" s="156"/>
    </row>
    <row r="5509" spans="8:10">
      <c r="H5509" s="156"/>
      <c r="I5509" s="156"/>
      <c r="J5509" s="156"/>
    </row>
    <row r="5510" spans="8:10">
      <c r="H5510" s="156"/>
      <c r="I5510" s="156"/>
      <c r="J5510" s="156"/>
    </row>
    <row r="5511" spans="8:10">
      <c r="H5511" s="156"/>
      <c r="I5511" s="156"/>
      <c r="J5511" s="156"/>
    </row>
    <row r="5512" spans="8:10">
      <c r="H5512" s="156"/>
      <c r="I5512" s="156"/>
      <c r="J5512" s="156"/>
    </row>
    <row r="5513" spans="8:10">
      <c r="H5513" s="156"/>
      <c r="I5513" s="156"/>
      <c r="J5513" s="156"/>
    </row>
    <row r="5514" spans="8:10">
      <c r="H5514" s="156"/>
      <c r="I5514" s="156"/>
      <c r="J5514" s="156"/>
    </row>
    <row r="5515" spans="8:10">
      <c r="H5515" s="156"/>
      <c r="I5515" s="156"/>
      <c r="J5515" s="156"/>
    </row>
    <row r="5516" spans="8:10">
      <c r="H5516" s="156"/>
      <c r="I5516" s="156"/>
      <c r="J5516" s="156"/>
    </row>
    <row r="5517" spans="8:10">
      <c r="H5517" s="156"/>
      <c r="I5517" s="156"/>
      <c r="J5517" s="156"/>
    </row>
    <row r="5518" spans="8:10">
      <c r="H5518" s="156"/>
      <c r="I5518" s="156"/>
      <c r="J5518" s="156"/>
    </row>
    <row r="5519" spans="8:10">
      <c r="H5519" s="156"/>
      <c r="I5519" s="156"/>
      <c r="J5519" s="156"/>
    </row>
    <row r="5520" spans="8:10">
      <c r="H5520" s="156"/>
      <c r="I5520" s="156"/>
      <c r="J5520" s="156"/>
    </row>
    <row r="5521" spans="8:10">
      <c r="H5521" s="156"/>
      <c r="I5521" s="156"/>
      <c r="J5521" s="156"/>
    </row>
    <row r="5522" spans="8:10">
      <c r="H5522" s="156"/>
      <c r="I5522" s="156"/>
      <c r="J5522" s="156"/>
    </row>
    <row r="5523" spans="8:10">
      <c r="H5523" s="156"/>
      <c r="I5523" s="156"/>
      <c r="J5523" s="156"/>
    </row>
    <row r="5524" spans="8:10">
      <c r="H5524" s="156"/>
      <c r="I5524" s="156"/>
      <c r="J5524" s="156"/>
    </row>
    <row r="5525" spans="8:10">
      <c r="H5525" s="156"/>
      <c r="I5525" s="156"/>
      <c r="J5525" s="156"/>
    </row>
    <row r="5526" spans="8:10">
      <c r="H5526" s="156"/>
      <c r="I5526" s="156"/>
      <c r="J5526" s="156"/>
    </row>
    <row r="5527" spans="8:10">
      <c r="H5527" s="156"/>
      <c r="I5527" s="156"/>
      <c r="J5527" s="156"/>
    </row>
    <row r="5528" spans="8:10">
      <c r="H5528" s="156"/>
      <c r="I5528" s="156"/>
      <c r="J5528" s="156"/>
    </row>
    <row r="5529" spans="8:10">
      <c r="H5529" s="156"/>
      <c r="I5529" s="156"/>
      <c r="J5529" s="156"/>
    </row>
    <row r="5530" spans="8:10">
      <c r="H5530" s="156"/>
      <c r="I5530" s="156"/>
      <c r="J5530" s="156"/>
    </row>
    <row r="5531" spans="8:10">
      <c r="H5531" s="156"/>
      <c r="I5531" s="156"/>
      <c r="J5531" s="156"/>
    </row>
    <row r="5532" spans="8:10">
      <c r="H5532" s="156"/>
      <c r="I5532" s="156"/>
      <c r="J5532" s="156"/>
    </row>
    <row r="5533" spans="8:10">
      <c r="H5533" s="156"/>
      <c r="I5533" s="156"/>
      <c r="J5533" s="156"/>
    </row>
    <row r="5534" spans="8:10">
      <c r="H5534" s="156"/>
      <c r="I5534" s="156"/>
      <c r="J5534" s="156"/>
    </row>
    <row r="5535" spans="8:10">
      <c r="H5535" s="156"/>
      <c r="I5535" s="156"/>
      <c r="J5535" s="156"/>
    </row>
    <row r="5536" spans="8:10">
      <c r="H5536" s="156"/>
      <c r="I5536" s="156"/>
      <c r="J5536" s="156"/>
    </row>
    <row r="5537" spans="8:10">
      <c r="H5537" s="156"/>
      <c r="I5537" s="156"/>
      <c r="J5537" s="156"/>
    </row>
    <row r="5538" spans="8:10">
      <c r="H5538" s="156"/>
      <c r="I5538" s="156"/>
      <c r="J5538" s="156"/>
    </row>
    <row r="5539" spans="8:10">
      <c r="H5539" s="156"/>
      <c r="I5539" s="156"/>
      <c r="J5539" s="156"/>
    </row>
    <row r="5540" spans="8:10">
      <c r="H5540" s="156"/>
      <c r="I5540" s="156"/>
      <c r="J5540" s="156"/>
    </row>
    <row r="5541" spans="8:10">
      <c r="H5541" s="156"/>
      <c r="I5541" s="156"/>
      <c r="J5541" s="156"/>
    </row>
    <row r="5542" spans="8:10">
      <c r="H5542" s="156"/>
      <c r="I5542" s="156"/>
      <c r="J5542" s="156"/>
    </row>
    <row r="5543" spans="8:10">
      <c r="H5543" s="156"/>
      <c r="I5543" s="156"/>
      <c r="J5543" s="156"/>
    </row>
    <row r="5544" spans="8:10">
      <c r="H5544" s="156"/>
      <c r="I5544" s="156"/>
      <c r="J5544" s="156"/>
    </row>
    <row r="5545" spans="8:10">
      <c r="H5545" s="156"/>
      <c r="I5545" s="156"/>
      <c r="J5545" s="156"/>
    </row>
    <row r="5546" spans="8:10">
      <c r="H5546" s="156"/>
      <c r="I5546" s="156"/>
      <c r="J5546" s="156"/>
    </row>
    <row r="5547" spans="8:10">
      <c r="H5547" s="156"/>
      <c r="I5547" s="156"/>
      <c r="J5547" s="156"/>
    </row>
    <row r="5548" spans="8:10">
      <c r="H5548" s="156"/>
      <c r="I5548" s="156"/>
      <c r="J5548" s="156"/>
    </row>
    <row r="5549" spans="8:10">
      <c r="H5549" s="156"/>
      <c r="I5549" s="156"/>
      <c r="J5549" s="156"/>
    </row>
    <row r="5550" spans="8:10">
      <c r="H5550" s="156"/>
      <c r="I5550" s="156"/>
      <c r="J5550" s="156"/>
    </row>
    <row r="5551" spans="8:10">
      <c r="H5551" s="156"/>
      <c r="I5551" s="156"/>
      <c r="J5551" s="156"/>
    </row>
    <row r="5552" spans="8:10">
      <c r="H5552" s="156"/>
      <c r="I5552" s="156"/>
      <c r="J5552" s="156"/>
    </row>
    <row r="5553" spans="8:10">
      <c r="H5553" s="156"/>
      <c r="I5553" s="156"/>
      <c r="J5553" s="156"/>
    </row>
    <row r="5554" spans="8:10">
      <c r="H5554" s="156"/>
      <c r="I5554" s="156"/>
      <c r="J5554" s="156"/>
    </row>
    <row r="5555" spans="8:10">
      <c r="H5555" s="156"/>
      <c r="I5555" s="156"/>
      <c r="J5555" s="156"/>
    </row>
    <row r="5556" spans="8:10">
      <c r="H5556" s="156"/>
      <c r="I5556" s="156"/>
      <c r="J5556" s="156"/>
    </row>
    <row r="5557" spans="8:10">
      <c r="H5557" s="156"/>
      <c r="I5557" s="156"/>
      <c r="J5557" s="156"/>
    </row>
    <row r="5558" spans="8:10">
      <c r="H5558" s="156"/>
      <c r="I5558" s="156"/>
      <c r="J5558" s="156"/>
    </row>
    <row r="5559" spans="8:10">
      <c r="H5559" s="156"/>
      <c r="I5559" s="156"/>
      <c r="J5559" s="156"/>
    </row>
    <row r="5560" spans="8:10">
      <c r="H5560" s="156"/>
      <c r="I5560" s="156"/>
      <c r="J5560" s="156"/>
    </row>
    <row r="5561" spans="8:10">
      <c r="H5561" s="156"/>
      <c r="I5561" s="156"/>
      <c r="J5561" s="156"/>
    </row>
    <row r="5562" spans="8:10">
      <c r="H5562" s="156"/>
      <c r="I5562" s="156"/>
      <c r="J5562" s="156"/>
    </row>
    <row r="5563" spans="8:10">
      <c r="H5563" s="156"/>
      <c r="I5563" s="156"/>
      <c r="J5563" s="156"/>
    </row>
    <row r="5564" spans="8:10">
      <c r="H5564" s="156"/>
      <c r="I5564" s="156"/>
      <c r="J5564" s="156"/>
    </row>
    <row r="5565" spans="8:10">
      <c r="H5565" s="156"/>
      <c r="I5565" s="156"/>
      <c r="J5565" s="156"/>
    </row>
    <row r="5566" spans="8:10">
      <c r="H5566" s="156"/>
      <c r="I5566" s="156"/>
      <c r="J5566" s="156"/>
    </row>
    <row r="5567" spans="8:10">
      <c r="H5567" s="156"/>
      <c r="I5567" s="156"/>
      <c r="J5567" s="156"/>
    </row>
    <row r="5568" spans="8:10">
      <c r="H5568" s="156"/>
      <c r="I5568" s="156"/>
      <c r="J5568" s="156"/>
    </row>
    <row r="5569" spans="8:10">
      <c r="H5569" s="156"/>
      <c r="I5569" s="156"/>
      <c r="J5569" s="156"/>
    </row>
    <row r="5570" spans="8:10">
      <c r="H5570" s="156"/>
      <c r="I5570" s="156"/>
      <c r="J5570" s="156"/>
    </row>
    <row r="5571" spans="8:10">
      <c r="H5571" s="156"/>
      <c r="I5571" s="156"/>
      <c r="J5571" s="156"/>
    </row>
    <row r="5572" spans="8:10">
      <c r="H5572" s="156"/>
      <c r="I5572" s="156"/>
      <c r="J5572" s="156"/>
    </row>
    <row r="5573" spans="8:10">
      <c r="H5573" s="156"/>
      <c r="I5573" s="156"/>
      <c r="J5573" s="156"/>
    </row>
    <row r="5574" spans="8:10">
      <c r="H5574" s="156"/>
      <c r="I5574" s="156"/>
      <c r="J5574" s="156"/>
    </row>
    <row r="5575" spans="8:10">
      <c r="H5575" s="156"/>
      <c r="I5575" s="156"/>
      <c r="J5575" s="156"/>
    </row>
    <row r="5576" spans="8:10">
      <c r="H5576" s="156"/>
      <c r="I5576" s="156"/>
      <c r="J5576" s="156"/>
    </row>
    <row r="5577" spans="8:10">
      <c r="H5577" s="156"/>
      <c r="I5577" s="156"/>
      <c r="J5577" s="156"/>
    </row>
    <row r="5578" spans="8:10">
      <c r="H5578" s="156"/>
      <c r="I5578" s="156"/>
      <c r="J5578" s="156"/>
    </row>
    <row r="5579" spans="8:10">
      <c r="H5579" s="156"/>
      <c r="I5579" s="156"/>
      <c r="J5579" s="156"/>
    </row>
    <row r="5580" spans="8:10">
      <c r="H5580" s="156"/>
      <c r="I5580" s="156"/>
      <c r="J5580" s="156"/>
    </row>
    <row r="5581" spans="8:10">
      <c r="H5581" s="156"/>
      <c r="I5581" s="156"/>
      <c r="J5581" s="156"/>
    </row>
    <row r="5582" spans="8:10">
      <c r="H5582" s="156"/>
      <c r="I5582" s="156"/>
      <c r="J5582" s="156"/>
    </row>
    <row r="5583" spans="8:10">
      <c r="H5583" s="156"/>
      <c r="I5583" s="156"/>
      <c r="J5583" s="156"/>
    </row>
    <row r="5584" spans="8:10">
      <c r="H5584" s="156"/>
      <c r="I5584" s="156"/>
      <c r="J5584" s="156"/>
    </row>
    <row r="5585" spans="8:10">
      <c r="H5585" s="156"/>
      <c r="I5585" s="156"/>
      <c r="J5585" s="156"/>
    </row>
    <row r="5586" spans="8:10">
      <c r="H5586" s="156"/>
      <c r="I5586" s="156"/>
      <c r="J5586" s="156"/>
    </row>
    <row r="5587" spans="8:10">
      <c r="H5587" s="156"/>
      <c r="I5587" s="156"/>
      <c r="J5587" s="156"/>
    </row>
    <row r="5588" spans="8:10">
      <c r="H5588" s="156"/>
      <c r="I5588" s="156"/>
      <c r="J5588" s="156"/>
    </row>
    <row r="5589" spans="8:10">
      <c r="H5589" s="156"/>
      <c r="I5589" s="156"/>
      <c r="J5589" s="156"/>
    </row>
    <row r="5590" spans="8:10">
      <c r="H5590" s="156"/>
      <c r="I5590" s="156"/>
      <c r="J5590" s="156"/>
    </row>
    <row r="5591" spans="8:10">
      <c r="H5591" s="156"/>
      <c r="I5591" s="156"/>
      <c r="J5591" s="156"/>
    </row>
    <row r="5592" spans="8:10">
      <c r="H5592" s="156"/>
      <c r="I5592" s="156"/>
      <c r="J5592" s="156"/>
    </row>
    <row r="5593" spans="8:10">
      <c r="H5593" s="156"/>
      <c r="I5593" s="156"/>
      <c r="J5593" s="156"/>
    </row>
    <row r="5594" spans="8:10">
      <c r="H5594" s="156"/>
      <c r="I5594" s="156"/>
      <c r="J5594" s="156"/>
    </row>
    <row r="5595" spans="8:10">
      <c r="H5595" s="156"/>
      <c r="I5595" s="156"/>
      <c r="J5595" s="156"/>
    </row>
    <row r="5596" spans="8:10">
      <c r="H5596" s="156"/>
      <c r="I5596" s="156"/>
      <c r="J5596" s="156"/>
    </row>
    <row r="5597" spans="8:10">
      <c r="H5597" s="156"/>
      <c r="I5597" s="156"/>
      <c r="J5597" s="156"/>
    </row>
    <row r="5598" spans="8:10">
      <c r="H5598" s="156"/>
      <c r="I5598" s="156"/>
      <c r="J5598" s="156"/>
    </row>
    <row r="5599" spans="8:10">
      <c r="H5599" s="156"/>
      <c r="I5599" s="156"/>
      <c r="J5599" s="156"/>
    </row>
    <row r="5600" spans="8:10">
      <c r="H5600" s="156"/>
      <c r="I5600" s="156"/>
      <c r="J5600" s="156"/>
    </row>
    <row r="5601" spans="8:10">
      <c r="H5601" s="156"/>
      <c r="I5601" s="156"/>
      <c r="J5601" s="156"/>
    </row>
    <row r="5602" spans="8:10">
      <c r="H5602" s="156"/>
      <c r="I5602" s="156"/>
      <c r="J5602" s="156"/>
    </row>
    <row r="5603" spans="8:10">
      <c r="H5603" s="156"/>
      <c r="I5603" s="156"/>
      <c r="J5603" s="156"/>
    </row>
    <row r="5604" spans="8:10">
      <c r="H5604" s="156"/>
      <c r="I5604" s="156"/>
      <c r="J5604" s="156"/>
    </row>
    <row r="5605" spans="8:10">
      <c r="H5605" s="156"/>
      <c r="I5605" s="156"/>
      <c r="J5605" s="156"/>
    </row>
    <row r="5606" spans="8:10">
      <c r="H5606" s="156"/>
      <c r="I5606" s="156"/>
      <c r="J5606" s="156"/>
    </row>
    <row r="5607" spans="8:10">
      <c r="H5607" s="156"/>
      <c r="I5607" s="156"/>
      <c r="J5607" s="156"/>
    </row>
    <row r="5608" spans="8:10">
      <c r="H5608" s="156"/>
      <c r="I5608" s="156"/>
      <c r="J5608" s="156"/>
    </row>
    <row r="5609" spans="8:10">
      <c r="H5609" s="156"/>
      <c r="I5609" s="156"/>
      <c r="J5609" s="156"/>
    </row>
    <row r="5610" spans="8:10">
      <c r="H5610" s="156"/>
      <c r="I5610" s="156"/>
      <c r="J5610" s="156"/>
    </row>
    <row r="5611" spans="8:10">
      <c r="H5611" s="156"/>
      <c r="I5611" s="156"/>
      <c r="J5611" s="156"/>
    </row>
    <row r="5612" spans="8:10">
      <c r="H5612" s="156"/>
      <c r="I5612" s="156"/>
      <c r="J5612" s="156"/>
    </row>
    <row r="5613" spans="8:10">
      <c r="H5613" s="156"/>
      <c r="I5613" s="156"/>
      <c r="J5613" s="156"/>
    </row>
    <row r="5614" spans="8:10">
      <c r="H5614" s="156"/>
      <c r="I5614" s="156"/>
      <c r="J5614" s="156"/>
    </row>
    <row r="5615" spans="8:10">
      <c r="H5615" s="156"/>
      <c r="I5615" s="156"/>
      <c r="J5615" s="156"/>
    </row>
    <row r="5616" spans="8:10">
      <c r="H5616" s="156"/>
      <c r="I5616" s="156"/>
      <c r="J5616" s="156"/>
    </row>
    <row r="5617" spans="8:10">
      <c r="H5617" s="156"/>
      <c r="I5617" s="156"/>
      <c r="J5617" s="156"/>
    </row>
    <row r="5618" spans="8:10">
      <c r="H5618" s="156"/>
      <c r="I5618" s="156"/>
      <c r="J5618" s="156"/>
    </row>
    <row r="5619" spans="8:10">
      <c r="H5619" s="156"/>
      <c r="I5619" s="156"/>
      <c r="J5619" s="156"/>
    </row>
    <row r="5620" spans="8:10">
      <c r="H5620" s="156"/>
      <c r="I5620" s="156"/>
      <c r="J5620" s="156"/>
    </row>
    <row r="5621" spans="8:10">
      <c r="H5621" s="156"/>
      <c r="I5621" s="156"/>
      <c r="J5621" s="156"/>
    </row>
    <row r="5622" spans="8:10">
      <c r="H5622" s="156"/>
      <c r="I5622" s="156"/>
      <c r="J5622" s="156"/>
    </row>
    <row r="5623" spans="8:10">
      <c r="H5623" s="156"/>
      <c r="I5623" s="156"/>
      <c r="J5623" s="156"/>
    </row>
    <row r="5624" spans="8:10">
      <c r="H5624" s="156"/>
      <c r="I5624" s="156"/>
      <c r="J5624" s="156"/>
    </row>
    <row r="5625" spans="8:10">
      <c r="H5625" s="156"/>
      <c r="I5625" s="156"/>
      <c r="J5625" s="156"/>
    </row>
    <row r="5626" spans="8:10">
      <c r="H5626" s="156"/>
      <c r="I5626" s="156"/>
      <c r="J5626" s="156"/>
    </row>
    <row r="5627" spans="8:10">
      <c r="H5627" s="156"/>
      <c r="I5627" s="156"/>
      <c r="J5627" s="156"/>
    </row>
    <row r="5628" spans="8:10">
      <c r="H5628" s="156"/>
      <c r="I5628" s="156"/>
      <c r="J5628" s="156"/>
    </row>
    <row r="5629" spans="8:10">
      <c r="H5629" s="156"/>
      <c r="I5629" s="156"/>
      <c r="J5629" s="156"/>
    </row>
    <row r="5630" spans="8:10">
      <c r="H5630" s="156"/>
      <c r="I5630" s="156"/>
      <c r="J5630" s="156"/>
    </row>
    <row r="5631" spans="8:10">
      <c r="H5631" s="156"/>
      <c r="I5631" s="156"/>
      <c r="J5631" s="156"/>
    </row>
    <row r="5632" spans="8:10">
      <c r="H5632" s="156"/>
      <c r="I5632" s="156"/>
      <c r="J5632" s="156"/>
    </row>
    <row r="5633" spans="8:10">
      <c r="H5633" s="156"/>
      <c r="I5633" s="156"/>
      <c r="J5633" s="156"/>
    </row>
    <row r="5634" spans="8:10">
      <c r="H5634" s="156"/>
      <c r="I5634" s="156"/>
      <c r="J5634" s="156"/>
    </row>
    <row r="5635" spans="8:10">
      <c r="H5635" s="156"/>
      <c r="I5635" s="156"/>
      <c r="J5635" s="156"/>
    </row>
    <row r="5636" spans="8:10">
      <c r="H5636" s="156"/>
      <c r="I5636" s="156"/>
      <c r="J5636" s="156"/>
    </row>
    <row r="5637" spans="8:10">
      <c r="H5637" s="156"/>
      <c r="I5637" s="156"/>
      <c r="J5637" s="156"/>
    </row>
    <row r="5638" spans="8:10">
      <c r="H5638" s="156"/>
      <c r="I5638" s="156"/>
      <c r="J5638" s="156"/>
    </row>
    <row r="5639" spans="8:10">
      <c r="H5639" s="156"/>
      <c r="I5639" s="156"/>
      <c r="J5639" s="156"/>
    </row>
    <row r="5640" spans="8:10">
      <c r="H5640" s="156"/>
      <c r="I5640" s="156"/>
      <c r="J5640" s="156"/>
    </row>
    <row r="5641" spans="8:10">
      <c r="H5641" s="156"/>
      <c r="I5641" s="156"/>
      <c r="J5641" s="156"/>
    </row>
    <row r="5642" spans="8:10">
      <c r="H5642" s="156"/>
      <c r="I5642" s="156"/>
      <c r="J5642" s="156"/>
    </row>
    <row r="5643" spans="8:10">
      <c r="H5643" s="156"/>
      <c r="I5643" s="156"/>
      <c r="J5643" s="156"/>
    </row>
    <row r="5644" spans="8:10">
      <c r="H5644" s="156"/>
      <c r="I5644" s="156"/>
      <c r="J5644" s="156"/>
    </row>
    <row r="5645" spans="8:10">
      <c r="H5645" s="156"/>
      <c r="I5645" s="156"/>
      <c r="J5645" s="156"/>
    </row>
    <row r="5646" spans="8:10">
      <c r="H5646" s="156"/>
      <c r="I5646" s="156"/>
      <c r="J5646" s="156"/>
    </row>
    <row r="5647" spans="8:10">
      <c r="H5647" s="156"/>
      <c r="I5647" s="156"/>
      <c r="J5647" s="156"/>
    </row>
    <row r="5648" spans="8:10">
      <c r="H5648" s="156"/>
      <c r="I5648" s="156"/>
      <c r="J5648" s="156"/>
    </row>
    <row r="5649" spans="8:10">
      <c r="H5649" s="156"/>
      <c r="I5649" s="156"/>
      <c r="J5649" s="156"/>
    </row>
    <row r="5650" spans="8:10">
      <c r="H5650" s="156"/>
      <c r="I5650" s="156"/>
      <c r="J5650" s="156"/>
    </row>
    <row r="5651" spans="8:10">
      <c r="H5651" s="156"/>
      <c r="I5651" s="156"/>
      <c r="J5651" s="156"/>
    </row>
    <row r="5652" spans="8:10">
      <c r="H5652" s="156"/>
      <c r="I5652" s="156"/>
      <c r="J5652" s="156"/>
    </row>
    <row r="5653" spans="8:10">
      <c r="H5653" s="156"/>
      <c r="I5653" s="156"/>
      <c r="J5653" s="156"/>
    </row>
    <row r="5654" spans="8:10">
      <c r="H5654" s="156"/>
      <c r="I5654" s="156"/>
      <c r="J5654" s="156"/>
    </row>
    <row r="5655" spans="8:10">
      <c r="H5655" s="156"/>
      <c r="I5655" s="156"/>
      <c r="J5655" s="156"/>
    </row>
    <row r="5656" spans="8:10">
      <c r="H5656" s="156"/>
      <c r="I5656" s="156"/>
      <c r="J5656" s="156"/>
    </row>
    <row r="5657" spans="8:10">
      <c r="H5657" s="156"/>
      <c r="I5657" s="156"/>
      <c r="J5657" s="156"/>
    </row>
    <row r="5658" spans="8:10">
      <c r="H5658" s="156"/>
      <c r="I5658" s="156"/>
      <c r="J5658" s="156"/>
    </row>
    <row r="5659" spans="8:10">
      <c r="H5659" s="156"/>
      <c r="I5659" s="156"/>
      <c r="J5659" s="156"/>
    </row>
    <row r="5660" spans="8:10">
      <c r="H5660" s="156"/>
      <c r="I5660" s="156"/>
      <c r="J5660" s="156"/>
    </row>
    <row r="5661" spans="8:10">
      <c r="H5661" s="156"/>
      <c r="I5661" s="156"/>
      <c r="J5661" s="156"/>
    </row>
    <row r="5662" spans="8:10">
      <c r="H5662" s="156"/>
      <c r="I5662" s="156"/>
      <c r="J5662" s="156"/>
    </row>
    <row r="5663" spans="8:10">
      <c r="H5663" s="156"/>
      <c r="I5663" s="156"/>
      <c r="J5663" s="156"/>
    </row>
    <row r="5664" spans="8:10">
      <c r="H5664" s="156"/>
      <c r="I5664" s="156"/>
      <c r="J5664" s="156"/>
    </row>
    <row r="5665" spans="8:10">
      <c r="H5665" s="156"/>
      <c r="I5665" s="156"/>
      <c r="J5665" s="156"/>
    </row>
    <row r="5666" spans="8:10">
      <c r="H5666" s="156"/>
      <c r="I5666" s="156"/>
      <c r="J5666" s="156"/>
    </row>
    <row r="5667" spans="8:10">
      <c r="H5667" s="156"/>
      <c r="I5667" s="156"/>
      <c r="J5667" s="156"/>
    </row>
    <row r="5668" spans="8:10">
      <c r="H5668" s="156"/>
      <c r="I5668" s="156"/>
      <c r="J5668" s="156"/>
    </row>
    <row r="5669" spans="8:10">
      <c r="H5669" s="156"/>
      <c r="I5669" s="156"/>
      <c r="J5669" s="156"/>
    </row>
    <row r="5670" spans="8:10">
      <c r="H5670" s="156"/>
      <c r="I5670" s="156"/>
      <c r="J5670" s="156"/>
    </row>
    <row r="5671" spans="8:10">
      <c r="H5671" s="156"/>
      <c r="I5671" s="156"/>
      <c r="J5671" s="156"/>
    </row>
    <row r="5672" spans="8:10">
      <c r="H5672" s="156"/>
      <c r="I5672" s="156"/>
      <c r="J5672" s="156"/>
    </row>
    <row r="5673" spans="8:10">
      <c r="H5673" s="156"/>
      <c r="I5673" s="156"/>
      <c r="J5673" s="156"/>
    </row>
    <row r="5674" spans="8:10">
      <c r="H5674" s="156"/>
      <c r="I5674" s="156"/>
      <c r="J5674" s="156"/>
    </row>
    <row r="5675" spans="8:10">
      <c r="H5675" s="156"/>
      <c r="I5675" s="156"/>
      <c r="J5675" s="156"/>
    </row>
    <row r="5676" spans="8:10">
      <c r="H5676" s="156"/>
      <c r="I5676" s="156"/>
      <c r="J5676" s="156"/>
    </row>
    <row r="5677" spans="8:10">
      <c r="H5677" s="156"/>
      <c r="I5677" s="156"/>
      <c r="J5677" s="156"/>
    </row>
    <row r="5678" spans="8:10">
      <c r="H5678" s="156"/>
      <c r="I5678" s="156"/>
      <c r="J5678" s="156"/>
    </row>
    <row r="5679" spans="8:10">
      <c r="H5679" s="156"/>
      <c r="I5679" s="156"/>
      <c r="J5679" s="156"/>
    </row>
    <row r="5680" spans="8:10">
      <c r="H5680" s="156"/>
      <c r="I5680" s="156"/>
      <c r="J5680" s="156"/>
    </row>
    <row r="5681" spans="8:10">
      <c r="H5681" s="156"/>
      <c r="I5681" s="156"/>
      <c r="J5681" s="156"/>
    </row>
    <row r="5682" spans="8:10">
      <c r="H5682" s="156"/>
      <c r="I5682" s="156"/>
      <c r="J5682" s="156"/>
    </row>
    <row r="5683" spans="8:10">
      <c r="H5683" s="156"/>
      <c r="I5683" s="156"/>
      <c r="J5683" s="156"/>
    </row>
    <row r="5684" spans="8:10">
      <c r="H5684" s="156"/>
      <c r="I5684" s="156"/>
      <c r="J5684" s="156"/>
    </row>
    <row r="5685" spans="8:10">
      <c r="H5685" s="156"/>
      <c r="I5685" s="156"/>
      <c r="J5685" s="156"/>
    </row>
    <row r="5686" spans="8:10">
      <c r="H5686" s="156"/>
      <c r="I5686" s="156"/>
      <c r="J5686" s="156"/>
    </row>
    <row r="5687" spans="8:10">
      <c r="H5687" s="156"/>
      <c r="I5687" s="156"/>
      <c r="J5687" s="156"/>
    </row>
    <row r="5688" spans="8:10">
      <c r="H5688" s="156"/>
      <c r="I5688" s="156"/>
      <c r="J5688" s="156"/>
    </row>
    <row r="5689" spans="8:10">
      <c r="H5689" s="156"/>
      <c r="I5689" s="156"/>
      <c r="J5689" s="156"/>
    </row>
    <row r="5690" spans="8:10">
      <c r="H5690" s="156"/>
      <c r="I5690" s="156"/>
      <c r="J5690" s="156"/>
    </row>
    <row r="5691" spans="8:10">
      <c r="H5691" s="156"/>
      <c r="I5691" s="156"/>
      <c r="J5691" s="156"/>
    </row>
    <row r="5692" spans="8:10">
      <c r="H5692" s="156"/>
      <c r="I5692" s="156"/>
      <c r="J5692" s="156"/>
    </row>
    <row r="5693" spans="8:10">
      <c r="H5693" s="156"/>
      <c r="I5693" s="156"/>
      <c r="J5693" s="156"/>
    </row>
    <row r="5694" spans="8:10">
      <c r="H5694" s="156"/>
      <c r="I5694" s="156"/>
      <c r="J5694" s="156"/>
    </row>
    <row r="5695" spans="8:10">
      <c r="H5695" s="156"/>
      <c r="I5695" s="156"/>
      <c r="J5695" s="156"/>
    </row>
    <row r="5696" spans="8:10">
      <c r="H5696" s="156"/>
      <c r="I5696" s="156"/>
      <c r="J5696" s="156"/>
    </row>
    <row r="5697" spans="8:10">
      <c r="H5697" s="156"/>
      <c r="I5697" s="156"/>
      <c r="J5697" s="156"/>
    </row>
    <row r="5698" spans="8:10">
      <c r="H5698" s="156"/>
      <c r="I5698" s="156"/>
      <c r="J5698" s="156"/>
    </row>
    <row r="5699" spans="8:10">
      <c r="H5699" s="156"/>
      <c r="I5699" s="156"/>
      <c r="J5699" s="156"/>
    </row>
    <row r="5700" spans="8:10">
      <c r="H5700" s="156"/>
      <c r="I5700" s="156"/>
      <c r="J5700" s="156"/>
    </row>
    <row r="5701" spans="8:10">
      <c r="H5701" s="156"/>
      <c r="I5701" s="156"/>
      <c r="J5701" s="156"/>
    </row>
    <row r="5702" spans="8:10">
      <c r="H5702" s="156"/>
      <c r="I5702" s="156"/>
      <c r="J5702" s="156"/>
    </row>
    <row r="5703" spans="8:10">
      <c r="H5703" s="156"/>
      <c r="I5703" s="156"/>
      <c r="J5703" s="156"/>
    </row>
    <row r="5704" spans="8:10">
      <c r="H5704" s="156"/>
      <c r="I5704" s="156"/>
      <c r="J5704" s="156"/>
    </row>
    <row r="5705" spans="8:10">
      <c r="H5705" s="156"/>
      <c r="I5705" s="156"/>
      <c r="J5705" s="156"/>
    </row>
    <row r="5706" spans="8:10">
      <c r="H5706" s="156"/>
      <c r="I5706" s="156"/>
      <c r="J5706" s="156"/>
    </row>
    <row r="5707" spans="8:10">
      <c r="H5707" s="156"/>
      <c r="I5707" s="156"/>
      <c r="J5707" s="156"/>
    </row>
    <row r="5708" spans="8:10">
      <c r="H5708" s="156"/>
      <c r="I5708" s="156"/>
      <c r="J5708" s="156"/>
    </row>
    <row r="5709" spans="8:10">
      <c r="H5709" s="156"/>
      <c r="I5709" s="156"/>
      <c r="J5709" s="156"/>
    </row>
    <row r="5710" spans="8:10">
      <c r="H5710" s="156"/>
      <c r="I5710" s="156"/>
      <c r="J5710" s="156"/>
    </row>
    <row r="5711" spans="8:10">
      <c r="H5711" s="156"/>
      <c r="I5711" s="156"/>
      <c r="J5711" s="156"/>
    </row>
    <row r="5712" spans="8:10">
      <c r="H5712" s="156"/>
      <c r="I5712" s="156"/>
      <c r="J5712" s="156"/>
    </row>
    <row r="5713" spans="8:10">
      <c r="H5713" s="156"/>
      <c r="I5713" s="156"/>
      <c r="J5713" s="156"/>
    </row>
    <row r="5714" spans="8:10">
      <c r="H5714" s="156"/>
      <c r="I5714" s="156"/>
      <c r="J5714" s="156"/>
    </row>
    <row r="5715" spans="8:10">
      <c r="H5715" s="156"/>
      <c r="I5715" s="156"/>
      <c r="J5715" s="156"/>
    </row>
    <row r="5716" spans="8:10">
      <c r="H5716" s="156"/>
      <c r="I5716" s="156"/>
      <c r="J5716" s="156"/>
    </row>
    <row r="5717" spans="8:10">
      <c r="H5717" s="156"/>
      <c r="I5717" s="156"/>
      <c r="J5717" s="156"/>
    </row>
    <row r="5718" spans="8:10">
      <c r="H5718" s="156"/>
      <c r="I5718" s="156"/>
      <c r="J5718" s="156"/>
    </row>
    <row r="5719" spans="8:10">
      <c r="H5719" s="156"/>
      <c r="I5719" s="156"/>
      <c r="J5719" s="156"/>
    </row>
    <row r="5720" spans="8:10">
      <c r="H5720" s="156"/>
      <c r="I5720" s="156"/>
      <c r="J5720" s="156"/>
    </row>
    <row r="5721" spans="8:10">
      <c r="H5721" s="156"/>
      <c r="I5721" s="156"/>
      <c r="J5721" s="156"/>
    </row>
    <row r="5722" spans="8:10">
      <c r="H5722" s="156"/>
      <c r="I5722" s="156"/>
      <c r="J5722" s="156"/>
    </row>
    <row r="5723" spans="8:10">
      <c r="H5723" s="156"/>
      <c r="I5723" s="156"/>
      <c r="J5723" s="156"/>
    </row>
    <row r="5724" spans="8:10">
      <c r="H5724" s="156"/>
      <c r="I5724" s="156"/>
      <c r="J5724" s="156"/>
    </row>
    <row r="5725" spans="8:10">
      <c r="H5725" s="156"/>
      <c r="I5725" s="156"/>
      <c r="J5725" s="156"/>
    </row>
    <row r="5726" spans="8:10">
      <c r="H5726" s="156"/>
      <c r="I5726" s="156"/>
      <c r="J5726" s="156"/>
    </row>
    <row r="5727" spans="8:10">
      <c r="H5727" s="156"/>
      <c r="I5727" s="156"/>
      <c r="J5727" s="156"/>
    </row>
    <row r="5728" spans="8:10">
      <c r="H5728" s="156"/>
      <c r="I5728" s="156"/>
      <c r="J5728" s="156"/>
    </row>
    <row r="5729" spans="8:10">
      <c r="H5729" s="156"/>
      <c r="I5729" s="156"/>
      <c r="J5729" s="156"/>
    </row>
    <row r="5730" spans="8:10">
      <c r="H5730" s="156"/>
      <c r="I5730" s="156"/>
      <c r="J5730" s="156"/>
    </row>
    <row r="5731" spans="8:10">
      <c r="H5731" s="156"/>
      <c r="I5731" s="156"/>
      <c r="J5731" s="156"/>
    </row>
    <row r="5732" spans="8:10">
      <c r="H5732" s="156"/>
      <c r="I5732" s="156"/>
      <c r="J5732" s="156"/>
    </row>
    <row r="5733" spans="8:10">
      <c r="H5733" s="156"/>
      <c r="I5733" s="156"/>
      <c r="J5733" s="156"/>
    </row>
    <row r="5734" spans="8:10">
      <c r="H5734" s="156"/>
      <c r="I5734" s="156"/>
      <c r="J5734" s="156"/>
    </row>
    <row r="5735" spans="8:10">
      <c r="H5735" s="156"/>
      <c r="I5735" s="156"/>
      <c r="J5735" s="156"/>
    </row>
    <row r="5736" spans="8:10">
      <c r="H5736" s="156"/>
      <c r="I5736" s="156"/>
      <c r="J5736" s="156"/>
    </row>
    <row r="5737" spans="8:10">
      <c r="H5737" s="156"/>
      <c r="I5737" s="156"/>
      <c r="J5737" s="156"/>
    </row>
    <row r="5738" spans="8:10">
      <c r="H5738" s="156"/>
      <c r="I5738" s="156"/>
      <c r="J5738" s="156"/>
    </row>
    <row r="5739" spans="8:10">
      <c r="H5739" s="156"/>
      <c r="I5739" s="156"/>
      <c r="J5739" s="156"/>
    </row>
    <row r="5740" spans="8:10">
      <c r="H5740" s="156"/>
      <c r="I5740" s="156"/>
      <c r="J5740" s="156"/>
    </row>
    <row r="5741" spans="8:10">
      <c r="H5741" s="156"/>
      <c r="I5741" s="156"/>
      <c r="J5741" s="156"/>
    </row>
    <row r="5742" spans="8:10">
      <c r="H5742" s="156"/>
      <c r="I5742" s="156"/>
      <c r="J5742" s="156"/>
    </row>
    <row r="5743" spans="8:10">
      <c r="H5743" s="156"/>
      <c r="I5743" s="156"/>
      <c r="J5743" s="156"/>
    </row>
    <row r="5744" spans="8:10">
      <c r="H5744" s="156"/>
      <c r="I5744" s="156"/>
      <c r="J5744" s="156"/>
    </row>
    <row r="5745" spans="8:10">
      <c r="H5745" s="156"/>
      <c r="I5745" s="156"/>
      <c r="J5745" s="156"/>
    </row>
    <row r="5746" spans="8:10">
      <c r="H5746" s="156"/>
      <c r="I5746" s="156"/>
      <c r="J5746" s="156"/>
    </row>
    <row r="5747" spans="8:10">
      <c r="H5747" s="156"/>
      <c r="I5747" s="156"/>
      <c r="J5747" s="156"/>
    </row>
    <row r="5748" spans="8:10">
      <c r="H5748" s="156"/>
      <c r="I5748" s="156"/>
      <c r="J5748" s="156"/>
    </row>
    <row r="5749" spans="8:10">
      <c r="H5749" s="156"/>
      <c r="I5749" s="156"/>
      <c r="J5749" s="156"/>
    </row>
    <row r="5750" spans="8:10">
      <c r="H5750" s="156"/>
      <c r="I5750" s="156"/>
      <c r="J5750" s="156"/>
    </row>
    <row r="5751" spans="8:10">
      <c r="H5751" s="156"/>
      <c r="I5751" s="156"/>
      <c r="J5751" s="156"/>
    </row>
    <row r="5752" spans="8:10">
      <c r="H5752" s="156"/>
      <c r="I5752" s="156"/>
      <c r="J5752" s="156"/>
    </row>
    <row r="5753" spans="8:10">
      <c r="H5753" s="156"/>
      <c r="I5753" s="156"/>
      <c r="J5753" s="156"/>
    </row>
    <row r="5754" spans="8:10">
      <c r="H5754" s="156"/>
      <c r="I5754" s="156"/>
      <c r="J5754" s="156"/>
    </row>
    <row r="5755" spans="8:10">
      <c r="H5755" s="156"/>
      <c r="I5755" s="156"/>
      <c r="J5755" s="156"/>
    </row>
    <row r="5756" spans="8:10">
      <c r="H5756" s="156"/>
      <c r="I5756" s="156"/>
      <c r="J5756" s="156"/>
    </row>
    <row r="5757" spans="8:10">
      <c r="H5757" s="156"/>
      <c r="I5757" s="156"/>
      <c r="J5757" s="156"/>
    </row>
    <row r="5758" spans="8:10">
      <c r="H5758" s="156"/>
      <c r="I5758" s="156"/>
      <c r="J5758" s="156"/>
    </row>
    <row r="5759" spans="8:10">
      <c r="H5759" s="156"/>
      <c r="I5759" s="156"/>
      <c r="J5759" s="156"/>
    </row>
    <row r="5760" spans="8:10">
      <c r="H5760" s="156"/>
      <c r="I5760" s="156"/>
      <c r="J5760" s="156"/>
    </row>
    <row r="5761" spans="8:10">
      <c r="H5761" s="156"/>
      <c r="I5761" s="156"/>
      <c r="J5761" s="156"/>
    </row>
    <row r="5762" spans="8:10">
      <c r="H5762" s="156"/>
      <c r="I5762" s="156"/>
      <c r="J5762" s="156"/>
    </row>
    <row r="5763" spans="8:10">
      <c r="H5763" s="156"/>
      <c r="I5763" s="156"/>
      <c r="J5763" s="156"/>
    </row>
    <row r="5764" spans="8:10">
      <c r="H5764" s="156"/>
      <c r="I5764" s="156"/>
      <c r="J5764" s="156"/>
    </row>
    <row r="5765" spans="8:10">
      <c r="H5765" s="156"/>
      <c r="I5765" s="156"/>
      <c r="J5765" s="156"/>
    </row>
    <row r="5766" spans="8:10">
      <c r="H5766" s="156"/>
      <c r="I5766" s="156"/>
      <c r="J5766" s="156"/>
    </row>
    <row r="5767" spans="8:10">
      <c r="H5767" s="156"/>
      <c r="I5767" s="156"/>
      <c r="J5767" s="156"/>
    </row>
    <row r="5768" spans="8:10">
      <c r="H5768" s="156"/>
      <c r="I5768" s="156"/>
      <c r="J5768" s="156"/>
    </row>
    <row r="5769" spans="8:10">
      <c r="H5769" s="156"/>
      <c r="I5769" s="156"/>
      <c r="J5769" s="156"/>
    </row>
    <row r="5770" spans="8:10">
      <c r="H5770" s="156"/>
      <c r="I5770" s="156"/>
      <c r="J5770" s="156"/>
    </row>
    <row r="5771" spans="8:10">
      <c r="H5771" s="156"/>
      <c r="I5771" s="156"/>
      <c r="J5771" s="156"/>
    </row>
    <row r="5772" spans="8:10">
      <c r="H5772" s="156"/>
      <c r="I5772" s="156"/>
      <c r="J5772" s="156"/>
    </row>
    <row r="5773" spans="8:10">
      <c r="H5773" s="156"/>
      <c r="I5773" s="156"/>
      <c r="J5773" s="156"/>
    </row>
    <row r="5774" spans="8:10">
      <c r="H5774" s="156"/>
      <c r="I5774" s="156"/>
      <c r="J5774" s="156"/>
    </row>
    <row r="5775" spans="8:10">
      <c r="H5775" s="156"/>
      <c r="I5775" s="156"/>
      <c r="J5775" s="156"/>
    </row>
    <row r="5776" spans="8:10">
      <c r="H5776" s="156"/>
      <c r="I5776" s="156"/>
      <c r="J5776" s="156"/>
    </row>
    <row r="5777" spans="8:10">
      <c r="H5777" s="156"/>
      <c r="I5777" s="156"/>
      <c r="J5777" s="156"/>
    </row>
    <row r="5778" spans="8:10">
      <c r="H5778" s="156"/>
      <c r="I5778" s="156"/>
      <c r="J5778" s="156"/>
    </row>
    <row r="5779" spans="8:10">
      <c r="H5779" s="156"/>
      <c r="I5779" s="156"/>
      <c r="J5779" s="156"/>
    </row>
    <row r="5780" spans="8:10">
      <c r="H5780" s="156"/>
      <c r="I5780" s="156"/>
      <c r="J5780" s="156"/>
    </row>
    <row r="5781" spans="8:10">
      <c r="H5781" s="156"/>
      <c r="I5781" s="156"/>
      <c r="J5781" s="156"/>
    </row>
    <row r="5782" spans="8:10">
      <c r="H5782" s="156"/>
      <c r="I5782" s="156"/>
      <c r="J5782" s="156"/>
    </row>
    <row r="5783" spans="8:10">
      <c r="H5783" s="156"/>
      <c r="I5783" s="156"/>
      <c r="J5783" s="156"/>
    </row>
    <row r="5784" spans="8:10">
      <c r="H5784" s="156"/>
      <c r="I5784" s="156"/>
      <c r="J5784" s="156"/>
    </row>
    <row r="5785" spans="8:10">
      <c r="H5785" s="156"/>
      <c r="I5785" s="156"/>
      <c r="J5785" s="156"/>
    </row>
    <row r="5786" spans="8:10">
      <c r="H5786" s="156"/>
      <c r="I5786" s="156"/>
      <c r="J5786" s="156"/>
    </row>
    <row r="5787" spans="8:10">
      <c r="H5787" s="156"/>
      <c r="I5787" s="156"/>
      <c r="J5787" s="156"/>
    </row>
    <row r="5788" spans="8:10">
      <c r="H5788" s="156"/>
      <c r="I5788" s="156"/>
      <c r="J5788" s="156"/>
    </row>
    <row r="5789" spans="8:10">
      <c r="H5789" s="156"/>
      <c r="I5789" s="156"/>
      <c r="J5789" s="156"/>
    </row>
    <row r="5790" spans="8:10">
      <c r="H5790" s="156"/>
      <c r="I5790" s="156"/>
      <c r="J5790" s="156"/>
    </row>
    <row r="5791" spans="8:10">
      <c r="H5791" s="156"/>
      <c r="I5791" s="156"/>
      <c r="J5791" s="156"/>
    </row>
    <row r="5792" spans="8:10">
      <c r="H5792" s="156"/>
      <c r="I5792" s="156"/>
      <c r="J5792" s="156"/>
    </row>
    <row r="5793" spans="8:10">
      <c r="H5793" s="156"/>
      <c r="I5793" s="156"/>
      <c r="J5793" s="156"/>
    </row>
    <row r="5794" spans="8:10">
      <c r="H5794" s="156"/>
      <c r="I5794" s="156"/>
      <c r="J5794" s="156"/>
    </row>
    <row r="5795" spans="8:10">
      <c r="H5795" s="156"/>
      <c r="I5795" s="156"/>
      <c r="J5795" s="156"/>
    </row>
    <row r="5796" spans="8:10">
      <c r="H5796" s="156"/>
      <c r="I5796" s="156"/>
      <c r="J5796" s="156"/>
    </row>
    <row r="5797" spans="8:10">
      <c r="H5797" s="156"/>
      <c r="I5797" s="156"/>
      <c r="J5797" s="156"/>
    </row>
    <row r="5798" spans="8:10">
      <c r="H5798" s="156"/>
      <c r="I5798" s="156"/>
      <c r="J5798" s="156"/>
    </row>
    <row r="5799" spans="8:10">
      <c r="H5799" s="156"/>
      <c r="I5799" s="156"/>
      <c r="J5799" s="156"/>
    </row>
    <row r="5800" spans="8:10">
      <c r="H5800" s="156"/>
      <c r="I5800" s="156"/>
      <c r="J5800" s="156"/>
    </row>
    <row r="5801" spans="8:10">
      <c r="H5801" s="156"/>
      <c r="I5801" s="156"/>
      <c r="J5801" s="156"/>
    </row>
    <row r="5802" spans="8:10">
      <c r="H5802" s="156"/>
      <c r="I5802" s="156"/>
      <c r="J5802" s="156"/>
    </row>
    <row r="5803" spans="8:10">
      <c r="H5803" s="156"/>
      <c r="I5803" s="156"/>
      <c r="J5803" s="156"/>
    </row>
    <row r="5804" spans="8:10">
      <c r="H5804" s="156"/>
      <c r="I5804" s="156"/>
      <c r="J5804" s="156"/>
    </row>
    <row r="5805" spans="8:10">
      <c r="H5805" s="156"/>
      <c r="I5805" s="156"/>
      <c r="J5805" s="156"/>
    </row>
    <row r="5806" spans="8:10">
      <c r="H5806" s="156"/>
      <c r="I5806" s="156"/>
      <c r="J5806" s="156"/>
    </row>
    <row r="5807" spans="8:10">
      <c r="H5807" s="156"/>
      <c r="I5807" s="156"/>
      <c r="J5807" s="156"/>
    </row>
    <row r="5808" spans="8:10">
      <c r="H5808" s="156"/>
      <c r="I5808" s="156"/>
      <c r="J5808" s="156"/>
    </row>
    <row r="5809" spans="8:10">
      <c r="H5809" s="156"/>
      <c r="I5809" s="156"/>
      <c r="J5809" s="156"/>
    </row>
    <row r="5810" spans="8:10">
      <c r="H5810" s="156"/>
      <c r="I5810" s="156"/>
      <c r="J5810" s="156"/>
    </row>
    <row r="5811" spans="8:10">
      <c r="H5811" s="156"/>
      <c r="I5811" s="156"/>
      <c r="J5811" s="156"/>
    </row>
    <row r="5812" spans="8:10">
      <c r="H5812" s="156"/>
      <c r="I5812" s="156"/>
      <c r="J5812" s="156"/>
    </row>
    <row r="5813" spans="8:10">
      <c r="H5813" s="156"/>
      <c r="I5813" s="156"/>
      <c r="J5813" s="156"/>
    </row>
    <row r="5814" spans="8:10">
      <c r="H5814" s="156"/>
      <c r="I5814" s="156"/>
      <c r="J5814" s="156"/>
    </row>
    <row r="5815" spans="8:10">
      <c r="H5815" s="156"/>
      <c r="I5815" s="156"/>
      <c r="J5815" s="156"/>
    </row>
    <row r="5816" spans="8:10">
      <c r="H5816" s="156"/>
      <c r="I5816" s="156"/>
      <c r="J5816" s="156"/>
    </row>
    <row r="5817" spans="8:10">
      <c r="H5817" s="156"/>
      <c r="I5817" s="156"/>
      <c r="J5817" s="156"/>
    </row>
    <row r="5818" spans="8:10">
      <c r="H5818" s="156"/>
      <c r="I5818" s="156"/>
      <c r="J5818" s="156"/>
    </row>
    <row r="5819" spans="8:10">
      <c r="H5819" s="156"/>
      <c r="I5819" s="156"/>
      <c r="J5819" s="156"/>
    </row>
    <row r="5820" spans="8:10">
      <c r="H5820" s="156"/>
      <c r="I5820" s="156"/>
      <c r="J5820" s="156"/>
    </row>
    <row r="5821" spans="8:10">
      <c r="H5821" s="156"/>
      <c r="I5821" s="156"/>
      <c r="J5821" s="156"/>
    </row>
    <row r="5822" spans="8:10">
      <c r="H5822" s="156"/>
      <c r="I5822" s="156"/>
      <c r="J5822" s="156"/>
    </row>
    <row r="5823" spans="8:10">
      <c r="H5823" s="156"/>
      <c r="I5823" s="156"/>
      <c r="J5823" s="156"/>
    </row>
    <row r="5824" spans="8:10">
      <c r="H5824" s="156"/>
      <c r="I5824" s="156"/>
      <c r="J5824" s="156"/>
    </row>
    <row r="5825" spans="8:10">
      <c r="H5825" s="156"/>
      <c r="I5825" s="156"/>
      <c r="J5825" s="156"/>
    </row>
    <row r="5826" spans="8:10">
      <c r="H5826" s="156"/>
      <c r="I5826" s="156"/>
      <c r="J5826" s="156"/>
    </row>
    <row r="5827" spans="8:10">
      <c r="H5827" s="156"/>
      <c r="I5827" s="156"/>
      <c r="J5827" s="156"/>
    </row>
    <row r="5828" spans="8:10">
      <c r="H5828" s="156"/>
      <c r="I5828" s="156"/>
      <c r="J5828" s="156"/>
    </row>
    <row r="5829" spans="8:10">
      <c r="H5829" s="156"/>
      <c r="I5829" s="156"/>
      <c r="J5829" s="156"/>
    </row>
    <row r="5830" spans="8:10">
      <c r="H5830" s="156"/>
      <c r="I5830" s="156"/>
      <c r="J5830" s="156"/>
    </row>
    <row r="5831" spans="8:10">
      <c r="H5831" s="156"/>
      <c r="I5831" s="156"/>
      <c r="J5831" s="156"/>
    </row>
    <row r="5832" spans="8:10">
      <c r="H5832" s="156"/>
      <c r="I5832" s="156"/>
      <c r="J5832" s="156"/>
    </row>
    <row r="5833" spans="8:10">
      <c r="H5833" s="156"/>
      <c r="I5833" s="156"/>
      <c r="J5833" s="156"/>
    </row>
    <row r="5834" spans="8:10">
      <c r="H5834" s="156"/>
      <c r="I5834" s="156"/>
      <c r="J5834" s="156"/>
    </row>
    <row r="5835" spans="8:10">
      <c r="H5835" s="156"/>
      <c r="I5835" s="156"/>
      <c r="J5835" s="156"/>
    </row>
    <row r="5836" spans="8:10">
      <c r="H5836" s="156"/>
      <c r="I5836" s="156"/>
      <c r="J5836" s="156"/>
    </row>
    <row r="5837" spans="8:10">
      <c r="H5837" s="156"/>
      <c r="I5837" s="156"/>
      <c r="J5837" s="156"/>
    </row>
    <row r="5838" spans="8:10">
      <c r="H5838" s="156"/>
      <c r="I5838" s="156"/>
      <c r="J5838" s="156"/>
    </row>
    <row r="5839" spans="8:10">
      <c r="H5839" s="156"/>
      <c r="I5839" s="156"/>
      <c r="J5839" s="156"/>
    </row>
    <row r="5840" spans="8:10">
      <c r="H5840" s="156"/>
      <c r="I5840" s="156"/>
      <c r="J5840" s="156"/>
    </row>
    <row r="5841" spans="8:10">
      <c r="H5841" s="156"/>
      <c r="I5841" s="156"/>
      <c r="J5841" s="156"/>
    </row>
    <row r="5842" spans="8:10">
      <c r="H5842" s="156"/>
      <c r="I5842" s="156"/>
      <c r="J5842" s="156"/>
    </row>
    <row r="5843" spans="8:10">
      <c r="H5843" s="156"/>
      <c r="I5843" s="156"/>
      <c r="J5843" s="156"/>
    </row>
    <row r="5844" spans="8:10">
      <c r="H5844" s="156"/>
      <c r="I5844" s="156"/>
      <c r="J5844" s="156"/>
    </row>
    <row r="5845" spans="8:10">
      <c r="H5845" s="156"/>
      <c r="I5845" s="156"/>
      <c r="J5845" s="156"/>
    </row>
    <row r="5846" spans="8:10">
      <c r="H5846" s="156"/>
      <c r="I5846" s="156"/>
      <c r="J5846" s="156"/>
    </row>
    <row r="5847" spans="8:10">
      <c r="H5847" s="156"/>
      <c r="I5847" s="156"/>
      <c r="J5847" s="156"/>
    </row>
    <row r="5848" spans="8:10">
      <c r="H5848" s="156"/>
      <c r="I5848" s="156"/>
      <c r="J5848" s="156"/>
    </row>
    <row r="5849" spans="8:10">
      <c r="H5849" s="156"/>
      <c r="I5849" s="156"/>
      <c r="J5849" s="156"/>
    </row>
    <row r="5850" spans="8:10">
      <c r="H5850" s="156"/>
      <c r="I5850" s="156"/>
      <c r="J5850" s="156"/>
    </row>
    <row r="5851" spans="8:10">
      <c r="H5851" s="156"/>
      <c r="I5851" s="156"/>
      <c r="J5851" s="156"/>
    </row>
    <row r="5852" spans="8:10">
      <c r="H5852" s="156"/>
      <c r="I5852" s="156"/>
      <c r="J5852" s="156"/>
    </row>
    <row r="5853" spans="8:10">
      <c r="H5853" s="156"/>
      <c r="I5853" s="156"/>
      <c r="J5853" s="156"/>
    </row>
    <row r="5854" spans="8:10">
      <c r="H5854" s="156"/>
      <c r="I5854" s="156"/>
      <c r="J5854" s="156"/>
    </row>
    <row r="5855" spans="8:10">
      <c r="H5855" s="156"/>
      <c r="I5855" s="156"/>
      <c r="J5855" s="156"/>
    </row>
    <row r="5856" spans="8:10">
      <c r="H5856" s="156"/>
      <c r="I5856" s="156"/>
      <c r="J5856" s="156"/>
    </row>
    <row r="5857" spans="8:10">
      <c r="H5857" s="156"/>
      <c r="I5857" s="156"/>
      <c r="J5857" s="156"/>
    </row>
    <row r="5858" spans="8:10">
      <c r="H5858" s="156"/>
      <c r="I5858" s="156"/>
      <c r="J5858" s="156"/>
    </row>
    <row r="5859" spans="8:10">
      <c r="H5859" s="156"/>
      <c r="I5859" s="156"/>
      <c r="J5859" s="156"/>
    </row>
    <row r="5860" spans="8:10">
      <c r="H5860" s="156"/>
      <c r="I5860" s="156"/>
      <c r="J5860" s="156"/>
    </row>
    <row r="5861" spans="8:10">
      <c r="H5861" s="156"/>
      <c r="I5861" s="156"/>
      <c r="J5861" s="156"/>
    </row>
    <row r="5862" spans="8:10">
      <c r="H5862" s="156"/>
      <c r="I5862" s="156"/>
      <c r="J5862" s="156"/>
    </row>
    <row r="5863" spans="8:10">
      <c r="H5863" s="156"/>
      <c r="I5863" s="156"/>
      <c r="J5863" s="156"/>
    </row>
    <row r="5864" spans="8:10">
      <c r="H5864" s="156"/>
      <c r="I5864" s="156"/>
      <c r="J5864" s="156"/>
    </row>
    <row r="5865" spans="8:10">
      <c r="H5865" s="156"/>
      <c r="I5865" s="156"/>
      <c r="J5865" s="156"/>
    </row>
    <row r="5866" spans="8:10">
      <c r="H5866" s="156"/>
      <c r="I5866" s="156"/>
      <c r="J5866" s="156"/>
    </row>
    <row r="5867" spans="8:10">
      <c r="H5867" s="156"/>
      <c r="I5867" s="156"/>
      <c r="J5867" s="156"/>
    </row>
    <row r="5868" spans="8:10">
      <c r="H5868" s="156"/>
      <c r="I5868" s="156"/>
      <c r="J5868" s="156"/>
    </row>
    <row r="5869" spans="8:10">
      <c r="H5869" s="156"/>
      <c r="I5869" s="156"/>
      <c r="J5869" s="156"/>
    </row>
    <row r="5870" spans="8:10">
      <c r="H5870" s="156"/>
      <c r="I5870" s="156"/>
      <c r="J5870" s="156"/>
    </row>
    <row r="5871" spans="8:10">
      <c r="H5871" s="156"/>
      <c r="I5871" s="156"/>
      <c r="J5871" s="156"/>
    </row>
    <row r="5872" spans="8:10">
      <c r="H5872" s="156"/>
      <c r="I5872" s="156"/>
      <c r="J5872" s="156"/>
    </row>
    <row r="5873" spans="8:10">
      <c r="H5873" s="156"/>
      <c r="I5873" s="156"/>
      <c r="J5873" s="156"/>
    </row>
    <row r="5874" spans="8:10">
      <c r="H5874" s="156"/>
      <c r="I5874" s="156"/>
      <c r="J5874" s="156"/>
    </row>
    <row r="5875" spans="8:10">
      <c r="H5875" s="156"/>
      <c r="I5875" s="156"/>
      <c r="J5875" s="156"/>
    </row>
    <row r="5876" spans="8:10">
      <c r="H5876" s="156"/>
      <c r="I5876" s="156"/>
      <c r="J5876" s="156"/>
    </row>
    <row r="5877" spans="8:10">
      <c r="H5877" s="156"/>
      <c r="I5877" s="156"/>
      <c r="J5877" s="156"/>
    </row>
    <row r="5878" spans="8:10">
      <c r="H5878" s="156"/>
      <c r="I5878" s="156"/>
      <c r="J5878" s="156"/>
    </row>
    <row r="5879" spans="8:10">
      <c r="H5879" s="156"/>
      <c r="I5879" s="156"/>
      <c r="J5879" s="156"/>
    </row>
    <row r="5880" spans="8:10">
      <c r="H5880" s="156"/>
      <c r="I5880" s="156"/>
      <c r="J5880" s="156"/>
    </row>
    <row r="5881" spans="8:10">
      <c r="H5881" s="156"/>
      <c r="I5881" s="156"/>
      <c r="J5881" s="156"/>
    </row>
    <row r="5882" spans="8:10">
      <c r="H5882" s="156"/>
      <c r="I5882" s="156"/>
      <c r="J5882" s="156"/>
    </row>
    <row r="5883" spans="8:10">
      <c r="H5883" s="156"/>
      <c r="I5883" s="156"/>
      <c r="J5883" s="156"/>
    </row>
    <row r="5884" spans="8:10">
      <c r="H5884" s="156"/>
      <c r="I5884" s="156"/>
      <c r="J5884" s="156"/>
    </row>
    <row r="5885" spans="8:10">
      <c r="H5885" s="156"/>
      <c r="I5885" s="156"/>
      <c r="J5885" s="156"/>
    </row>
    <row r="5886" spans="8:10">
      <c r="H5886" s="156"/>
      <c r="I5886" s="156"/>
      <c r="J5886" s="156"/>
    </row>
    <row r="5887" spans="8:10">
      <c r="H5887" s="156"/>
      <c r="I5887" s="156"/>
      <c r="J5887" s="156"/>
    </row>
    <row r="5888" spans="8:10">
      <c r="H5888" s="156"/>
      <c r="I5888" s="156"/>
      <c r="J5888" s="156"/>
    </row>
    <row r="5889" spans="8:10">
      <c r="H5889" s="156"/>
      <c r="I5889" s="156"/>
      <c r="J5889" s="156"/>
    </row>
    <row r="5890" spans="8:10">
      <c r="H5890" s="156"/>
      <c r="I5890" s="156"/>
      <c r="J5890" s="156"/>
    </row>
    <row r="5891" spans="8:10">
      <c r="H5891" s="156"/>
      <c r="I5891" s="156"/>
      <c r="J5891" s="156"/>
    </row>
    <row r="5892" spans="8:10">
      <c r="H5892" s="156"/>
      <c r="I5892" s="156"/>
      <c r="J5892" s="156"/>
    </row>
    <row r="5893" spans="8:10">
      <c r="H5893" s="156"/>
      <c r="I5893" s="156"/>
      <c r="J5893" s="156"/>
    </row>
    <row r="5894" spans="8:10">
      <c r="H5894" s="156"/>
      <c r="I5894" s="156"/>
      <c r="J5894" s="156"/>
    </row>
    <row r="5895" spans="8:10">
      <c r="H5895" s="156"/>
      <c r="I5895" s="156"/>
      <c r="J5895" s="156"/>
    </row>
    <row r="5896" spans="8:10">
      <c r="H5896" s="156"/>
      <c r="I5896" s="156"/>
      <c r="J5896" s="156"/>
    </row>
    <row r="5897" spans="8:10">
      <c r="H5897" s="156"/>
      <c r="I5897" s="156"/>
      <c r="J5897" s="156"/>
    </row>
    <row r="5898" spans="8:10">
      <c r="H5898" s="156"/>
      <c r="I5898" s="156"/>
      <c r="J5898" s="156"/>
    </row>
    <row r="5899" spans="8:10">
      <c r="H5899" s="156"/>
      <c r="I5899" s="156"/>
      <c r="J5899" s="156"/>
    </row>
    <row r="5900" spans="8:10">
      <c r="H5900" s="156"/>
      <c r="I5900" s="156"/>
      <c r="J5900" s="156"/>
    </row>
    <row r="5901" spans="8:10">
      <c r="H5901" s="156"/>
      <c r="I5901" s="156"/>
      <c r="J5901" s="156"/>
    </row>
    <row r="5902" spans="8:10">
      <c r="H5902" s="156"/>
      <c r="I5902" s="156"/>
      <c r="J5902" s="156"/>
    </row>
    <row r="5903" spans="8:10">
      <c r="H5903" s="156"/>
      <c r="I5903" s="156"/>
      <c r="J5903" s="156"/>
    </row>
    <row r="5904" spans="8:10">
      <c r="H5904" s="156"/>
      <c r="I5904" s="156"/>
      <c r="J5904" s="156"/>
    </row>
    <row r="5905" spans="8:10">
      <c r="H5905" s="156"/>
      <c r="I5905" s="156"/>
      <c r="J5905" s="156"/>
    </row>
    <row r="5906" spans="8:10">
      <c r="H5906" s="156"/>
      <c r="I5906" s="156"/>
      <c r="J5906" s="156"/>
    </row>
    <row r="5907" spans="8:10">
      <c r="H5907" s="156"/>
      <c r="I5907" s="156"/>
      <c r="J5907" s="156"/>
    </row>
    <row r="5908" spans="8:10">
      <c r="H5908" s="156"/>
      <c r="I5908" s="156"/>
      <c r="J5908" s="156"/>
    </row>
    <row r="5909" spans="8:10">
      <c r="H5909" s="156"/>
      <c r="I5909" s="156"/>
      <c r="J5909" s="156"/>
    </row>
    <row r="5910" spans="8:10">
      <c r="H5910" s="156"/>
      <c r="I5910" s="156"/>
      <c r="J5910" s="156"/>
    </row>
    <row r="5911" spans="8:10">
      <c r="H5911" s="156"/>
      <c r="I5911" s="156"/>
      <c r="J5911" s="156"/>
    </row>
    <row r="5912" spans="8:10">
      <c r="H5912" s="156"/>
      <c r="I5912" s="156"/>
      <c r="J5912" s="156"/>
    </row>
    <row r="5913" spans="8:10">
      <c r="H5913" s="156"/>
      <c r="I5913" s="156"/>
      <c r="J5913" s="156"/>
    </row>
    <row r="5914" spans="8:10">
      <c r="H5914" s="156"/>
      <c r="I5914" s="156"/>
      <c r="J5914" s="156"/>
    </row>
    <row r="5915" spans="8:10">
      <c r="H5915" s="156"/>
      <c r="I5915" s="156"/>
      <c r="J5915" s="156"/>
    </row>
    <row r="5916" spans="8:10">
      <c r="H5916" s="156"/>
      <c r="I5916" s="156"/>
      <c r="J5916" s="156"/>
    </row>
    <row r="5917" spans="8:10">
      <c r="H5917" s="156"/>
      <c r="I5917" s="156"/>
      <c r="J5917" s="156"/>
    </row>
    <row r="5918" spans="8:10">
      <c r="H5918" s="156"/>
      <c r="I5918" s="156"/>
      <c r="J5918" s="156"/>
    </row>
    <row r="5919" spans="8:10">
      <c r="H5919" s="156"/>
      <c r="I5919" s="156"/>
      <c r="J5919" s="156"/>
    </row>
    <row r="5920" spans="8:10">
      <c r="H5920" s="156"/>
      <c r="I5920" s="156"/>
      <c r="J5920" s="156"/>
    </row>
    <row r="5921" spans="8:10">
      <c r="H5921" s="156"/>
      <c r="I5921" s="156"/>
      <c r="J5921" s="156"/>
    </row>
    <row r="5922" spans="8:10">
      <c r="H5922" s="156"/>
      <c r="I5922" s="156"/>
      <c r="J5922" s="156"/>
    </row>
    <row r="5923" spans="8:10">
      <c r="H5923" s="156"/>
      <c r="I5923" s="156"/>
      <c r="J5923" s="156"/>
    </row>
    <row r="5924" spans="8:10">
      <c r="H5924" s="156"/>
      <c r="I5924" s="156"/>
      <c r="J5924" s="156"/>
    </row>
    <row r="5925" spans="8:10">
      <c r="H5925" s="156"/>
      <c r="I5925" s="156"/>
      <c r="J5925" s="156"/>
    </row>
    <row r="5926" spans="8:10">
      <c r="H5926" s="156"/>
      <c r="I5926" s="156"/>
      <c r="J5926" s="156"/>
    </row>
    <row r="5927" spans="8:10">
      <c r="H5927" s="156"/>
      <c r="I5927" s="156"/>
      <c r="J5927" s="156"/>
    </row>
    <row r="5928" spans="8:10">
      <c r="H5928" s="156"/>
      <c r="I5928" s="156"/>
      <c r="J5928" s="156"/>
    </row>
    <row r="5929" spans="8:10">
      <c r="H5929" s="156"/>
      <c r="I5929" s="156"/>
      <c r="J5929" s="156"/>
    </row>
    <row r="5930" spans="8:10">
      <c r="H5930" s="156"/>
      <c r="I5930" s="156"/>
      <c r="J5930" s="156"/>
    </row>
    <row r="5931" spans="8:10">
      <c r="H5931" s="156"/>
      <c r="I5931" s="156"/>
      <c r="J5931" s="156"/>
    </row>
    <row r="5932" spans="8:10">
      <c r="H5932" s="156"/>
      <c r="I5932" s="156"/>
      <c r="J5932" s="156"/>
    </row>
    <row r="5933" spans="8:10">
      <c r="H5933" s="156"/>
      <c r="I5933" s="156"/>
      <c r="J5933" s="156"/>
    </row>
    <row r="5934" spans="8:10">
      <c r="H5934" s="156"/>
      <c r="I5934" s="156"/>
      <c r="J5934" s="156"/>
    </row>
    <row r="5935" spans="8:10">
      <c r="H5935" s="156"/>
      <c r="I5935" s="156"/>
      <c r="J5935" s="156"/>
    </row>
    <row r="5936" spans="8:10">
      <c r="H5936" s="156"/>
      <c r="I5936" s="156"/>
      <c r="J5936" s="156"/>
    </row>
    <row r="5937" spans="8:10">
      <c r="H5937" s="156"/>
      <c r="I5937" s="156"/>
      <c r="J5937" s="156"/>
    </row>
    <row r="5938" spans="8:10">
      <c r="H5938" s="156"/>
      <c r="I5938" s="156"/>
      <c r="J5938" s="156"/>
    </row>
    <row r="5939" spans="8:10">
      <c r="H5939" s="156"/>
      <c r="I5939" s="156"/>
      <c r="J5939" s="156"/>
    </row>
    <row r="5940" spans="8:10">
      <c r="H5940" s="156"/>
      <c r="I5940" s="156"/>
      <c r="J5940" s="156"/>
    </row>
    <row r="5941" spans="8:10">
      <c r="H5941" s="156"/>
      <c r="I5941" s="156"/>
      <c r="J5941" s="156"/>
    </row>
    <row r="5942" spans="8:10">
      <c r="H5942" s="156"/>
      <c r="I5942" s="156"/>
      <c r="J5942" s="156"/>
    </row>
    <row r="5943" spans="8:10">
      <c r="H5943" s="156"/>
      <c r="I5943" s="156"/>
      <c r="J5943" s="156"/>
    </row>
    <row r="5944" spans="8:10">
      <c r="H5944" s="156"/>
      <c r="I5944" s="156"/>
      <c r="J5944" s="156"/>
    </row>
    <row r="5945" spans="8:10">
      <c r="H5945" s="156"/>
      <c r="I5945" s="156"/>
      <c r="J5945" s="156"/>
    </row>
    <row r="5946" spans="8:10">
      <c r="H5946" s="156"/>
      <c r="I5946" s="156"/>
      <c r="J5946" s="156"/>
    </row>
    <row r="5947" spans="8:10">
      <c r="H5947" s="156"/>
      <c r="I5947" s="156"/>
      <c r="J5947" s="156"/>
    </row>
    <row r="5948" spans="8:10">
      <c r="H5948" s="156"/>
      <c r="I5948" s="156"/>
      <c r="J5948" s="156"/>
    </row>
    <row r="5949" spans="8:10">
      <c r="H5949" s="156"/>
      <c r="I5949" s="156"/>
      <c r="J5949" s="156"/>
    </row>
    <row r="5950" spans="8:10">
      <c r="H5950" s="156"/>
      <c r="I5950" s="156"/>
      <c r="J5950" s="156"/>
    </row>
    <row r="5951" spans="8:10">
      <c r="H5951" s="156"/>
      <c r="I5951" s="156"/>
      <c r="J5951" s="156"/>
    </row>
    <row r="5952" spans="8:10">
      <c r="H5952" s="156"/>
      <c r="I5952" s="156"/>
      <c r="J5952" s="156"/>
    </row>
    <row r="5953" spans="8:10">
      <c r="H5953" s="156"/>
      <c r="I5953" s="156"/>
      <c r="J5953" s="156"/>
    </row>
    <row r="5954" spans="8:10">
      <c r="H5954" s="156"/>
      <c r="I5954" s="156"/>
      <c r="J5954" s="156"/>
    </row>
    <row r="5955" spans="8:10">
      <c r="H5955" s="156"/>
      <c r="I5955" s="156"/>
      <c r="J5955" s="156"/>
    </row>
    <row r="5956" spans="8:10">
      <c r="H5956" s="156"/>
      <c r="I5956" s="156"/>
      <c r="J5956" s="156"/>
    </row>
    <row r="5957" spans="8:10">
      <c r="H5957" s="156"/>
      <c r="I5957" s="156"/>
      <c r="J5957" s="156"/>
    </row>
    <row r="5958" spans="8:10">
      <c r="H5958" s="156"/>
      <c r="I5958" s="156"/>
      <c r="J5958" s="156"/>
    </row>
    <row r="5959" spans="8:10">
      <c r="H5959" s="156"/>
      <c r="I5959" s="156"/>
      <c r="J5959" s="156"/>
    </row>
    <row r="5960" spans="8:10">
      <c r="H5960" s="156"/>
      <c r="I5960" s="156"/>
      <c r="J5960" s="156"/>
    </row>
    <row r="5961" spans="8:10">
      <c r="H5961" s="156"/>
      <c r="I5961" s="156"/>
      <c r="J5961" s="156"/>
    </row>
    <row r="5962" spans="8:10">
      <c r="H5962" s="156"/>
      <c r="I5962" s="156"/>
      <c r="J5962" s="156"/>
    </row>
    <row r="5963" spans="8:10">
      <c r="H5963" s="156"/>
      <c r="I5963" s="156"/>
      <c r="J5963" s="156"/>
    </row>
    <row r="5964" spans="8:10">
      <c r="H5964" s="156"/>
      <c r="I5964" s="156"/>
      <c r="J5964" s="156"/>
    </row>
    <row r="5965" spans="8:10">
      <c r="H5965" s="156"/>
      <c r="I5965" s="156"/>
      <c r="J5965" s="156"/>
    </row>
    <row r="5966" spans="8:10">
      <c r="H5966" s="156"/>
      <c r="I5966" s="156"/>
      <c r="J5966" s="156"/>
    </row>
    <row r="5967" spans="8:10">
      <c r="H5967" s="156"/>
      <c r="I5967" s="156"/>
      <c r="J5967" s="156"/>
    </row>
    <row r="5968" spans="8:10">
      <c r="H5968" s="156"/>
      <c r="I5968" s="156"/>
      <c r="J5968" s="156"/>
    </row>
    <row r="5969" spans="8:10">
      <c r="H5969" s="156"/>
      <c r="I5969" s="156"/>
      <c r="J5969" s="156"/>
    </row>
    <row r="5970" spans="8:10">
      <c r="H5970" s="156"/>
      <c r="I5970" s="156"/>
      <c r="J5970" s="156"/>
    </row>
    <row r="5971" spans="8:10">
      <c r="H5971" s="156"/>
      <c r="I5971" s="156"/>
      <c r="J5971" s="156"/>
    </row>
    <row r="5972" spans="8:10">
      <c r="H5972" s="156"/>
      <c r="I5972" s="156"/>
      <c r="J5972" s="156"/>
    </row>
    <row r="5973" spans="8:10">
      <c r="H5973" s="156"/>
      <c r="I5973" s="156"/>
      <c r="J5973" s="156"/>
    </row>
    <row r="5974" spans="8:10">
      <c r="H5974" s="156"/>
      <c r="I5974" s="156"/>
      <c r="J5974" s="156"/>
    </row>
    <row r="5975" spans="8:10">
      <c r="H5975" s="156"/>
      <c r="I5975" s="156"/>
      <c r="J5975" s="156"/>
    </row>
    <row r="5976" spans="8:10">
      <c r="H5976" s="156"/>
      <c r="I5976" s="156"/>
      <c r="J5976" s="156"/>
    </row>
    <row r="5977" spans="8:10">
      <c r="H5977" s="156"/>
      <c r="I5977" s="156"/>
      <c r="J5977" s="156"/>
    </row>
    <row r="5978" spans="8:10">
      <c r="H5978" s="156"/>
      <c r="I5978" s="156"/>
      <c r="J5978" s="156"/>
    </row>
    <row r="5979" spans="8:10">
      <c r="H5979" s="156"/>
      <c r="I5979" s="156"/>
      <c r="J5979" s="156"/>
    </row>
    <row r="5980" spans="8:10">
      <c r="H5980" s="156"/>
      <c r="I5980" s="156"/>
      <c r="J5980" s="156"/>
    </row>
    <row r="5981" spans="8:10">
      <c r="H5981" s="156"/>
      <c r="I5981" s="156"/>
      <c r="J5981" s="156"/>
    </row>
    <row r="5982" spans="8:10">
      <c r="H5982" s="156"/>
      <c r="I5982" s="156"/>
      <c r="J5982" s="156"/>
    </row>
    <row r="5983" spans="8:10">
      <c r="H5983" s="156"/>
      <c r="I5983" s="156"/>
      <c r="J5983" s="156"/>
    </row>
    <row r="5984" spans="8:10">
      <c r="H5984" s="156"/>
      <c r="I5984" s="156"/>
      <c r="J5984" s="156"/>
    </row>
    <row r="5985" spans="8:10">
      <c r="H5985" s="156"/>
      <c r="I5985" s="156"/>
      <c r="J5985" s="156"/>
    </row>
    <row r="5986" spans="8:10">
      <c r="H5986" s="156"/>
      <c r="I5986" s="156"/>
      <c r="J5986" s="156"/>
    </row>
    <row r="5987" spans="8:10">
      <c r="H5987" s="156"/>
      <c r="I5987" s="156"/>
      <c r="J5987" s="156"/>
    </row>
    <row r="5988" spans="8:10">
      <c r="H5988" s="156"/>
      <c r="I5988" s="156"/>
      <c r="J5988" s="156"/>
    </row>
    <row r="5989" spans="8:10">
      <c r="H5989" s="156"/>
      <c r="I5989" s="156"/>
      <c r="J5989" s="156"/>
    </row>
    <row r="5990" spans="8:10">
      <c r="H5990" s="156"/>
      <c r="I5990" s="156"/>
      <c r="J5990" s="156"/>
    </row>
    <row r="5991" spans="8:10">
      <c r="H5991" s="156"/>
      <c r="I5991" s="156"/>
      <c r="J5991" s="156"/>
    </row>
    <row r="5992" spans="8:10">
      <c r="H5992" s="156"/>
      <c r="I5992" s="156"/>
      <c r="J5992" s="156"/>
    </row>
    <row r="5993" spans="8:10">
      <c r="H5993" s="156"/>
      <c r="I5993" s="156"/>
      <c r="J5993" s="156"/>
    </row>
    <row r="5994" spans="8:10">
      <c r="H5994" s="156"/>
      <c r="I5994" s="156"/>
      <c r="J5994" s="156"/>
    </row>
    <row r="5995" spans="8:10">
      <c r="H5995" s="156"/>
      <c r="I5995" s="156"/>
      <c r="J5995" s="156"/>
    </row>
    <row r="5996" spans="8:10">
      <c r="H5996" s="156"/>
      <c r="I5996" s="156"/>
      <c r="J5996" s="156"/>
    </row>
    <row r="5997" spans="8:10">
      <c r="H5997" s="156"/>
      <c r="I5997" s="156"/>
      <c r="J5997" s="156"/>
    </row>
    <row r="5998" spans="8:10">
      <c r="H5998" s="156"/>
      <c r="I5998" s="156"/>
      <c r="J5998" s="156"/>
    </row>
    <row r="5999" spans="8:10">
      <c r="H5999" s="156"/>
      <c r="I5999" s="156"/>
      <c r="J5999" s="156"/>
    </row>
    <row r="6000" spans="8:10">
      <c r="H6000" s="156"/>
      <c r="I6000" s="156"/>
      <c r="J6000" s="156"/>
    </row>
    <row r="6001" spans="8:10">
      <c r="H6001" s="156"/>
      <c r="I6001" s="156"/>
      <c r="J6001" s="156"/>
    </row>
    <row r="6002" spans="8:10">
      <c r="H6002" s="156"/>
      <c r="I6002" s="156"/>
      <c r="J6002" s="156"/>
    </row>
    <row r="6003" spans="8:10">
      <c r="H6003" s="156"/>
      <c r="I6003" s="156"/>
      <c r="J6003" s="156"/>
    </row>
    <row r="6004" spans="8:10">
      <c r="H6004" s="156"/>
      <c r="I6004" s="156"/>
      <c r="J6004" s="156"/>
    </row>
    <row r="6005" spans="8:10">
      <c r="H6005" s="156"/>
      <c r="I6005" s="156"/>
      <c r="J6005" s="156"/>
    </row>
    <row r="6006" spans="8:10">
      <c r="H6006" s="156"/>
      <c r="I6006" s="156"/>
      <c r="J6006" s="156"/>
    </row>
    <row r="6007" spans="8:10">
      <c r="H6007" s="156"/>
      <c r="I6007" s="156"/>
      <c r="J6007" s="156"/>
    </row>
    <row r="6008" spans="8:10">
      <c r="H6008" s="156"/>
      <c r="I6008" s="156"/>
      <c r="J6008" s="156"/>
    </row>
    <row r="6009" spans="8:10">
      <c r="H6009" s="156"/>
      <c r="I6009" s="156"/>
      <c r="J6009" s="156"/>
    </row>
    <row r="6010" spans="8:10">
      <c r="H6010" s="156"/>
      <c r="I6010" s="156"/>
      <c r="J6010" s="156"/>
    </row>
    <row r="6011" spans="8:10">
      <c r="H6011" s="156"/>
      <c r="I6011" s="156"/>
      <c r="J6011" s="156"/>
    </row>
    <row r="6012" spans="8:10">
      <c r="H6012" s="156"/>
      <c r="I6012" s="156"/>
      <c r="J6012" s="156"/>
    </row>
    <row r="6013" spans="8:10">
      <c r="H6013" s="156"/>
      <c r="I6013" s="156"/>
      <c r="J6013" s="156"/>
    </row>
    <row r="6014" spans="8:10">
      <c r="H6014" s="156"/>
      <c r="I6014" s="156"/>
      <c r="J6014" s="156"/>
    </row>
    <row r="6015" spans="8:10">
      <c r="H6015" s="156"/>
      <c r="I6015" s="156"/>
      <c r="J6015" s="156"/>
    </row>
    <row r="6016" spans="8:10">
      <c r="H6016" s="156"/>
      <c r="I6016" s="156"/>
      <c r="J6016" s="156"/>
    </row>
    <row r="6017" spans="8:10">
      <c r="H6017" s="156"/>
      <c r="I6017" s="156"/>
      <c r="J6017" s="156"/>
    </row>
    <row r="6018" spans="8:10">
      <c r="H6018" s="156"/>
      <c r="I6018" s="156"/>
      <c r="J6018" s="156"/>
    </row>
    <row r="6019" spans="8:10">
      <c r="H6019" s="156"/>
      <c r="I6019" s="156"/>
      <c r="J6019" s="156"/>
    </row>
    <row r="6020" spans="8:10">
      <c r="H6020" s="156"/>
      <c r="I6020" s="156"/>
      <c r="J6020" s="156"/>
    </row>
    <row r="6021" spans="8:10">
      <c r="H6021" s="156"/>
      <c r="I6021" s="156"/>
      <c r="J6021" s="156"/>
    </row>
    <row r="6022" spans="8:10">
      <c r="H6022" s="156"/>
      <c r="I6022" s="156"/>
      <c r="J6022" s="156"/>
    </row>
    <row r="6023" spans="8:10">
      <c r="H6023" s="156"/>
      <c r="I6023" s="156"/>
      <c r="J6023" s="156"/>
    </row>
    <row r="6024" spans="8:10">
      <c r="H6024" s="156"/>
      <c r="I6024" s="156"/>
      <c r="J6024" s="156"/>
    </row>
    <row r="6025" spans="8:10">
      <c r="H6025" s="156"/>
      <c r="I6025" s="156"/>
      <c r="J6025" s="156"/>
    </row>
    <row r="6026" spans="8:10">
      <c r="H6026" s="156"/>
      <c r="I6026" s="156"/>
      <c r="J6026" s="156"/>
    </row>
    <row r="6027" spans="8:10">
      <c r="H6027" s="156"/>
      <c r="I6027" s="156"/>
      <c r="J6027" s="156"/>
    </row>
    <row r="6028" spans="8:10">
      <c r="H6028" s="156"/>
      <c r="I6028" s="156"/>
      <c r="J6028" s="156"/>
    </row>
    <row r="6029" spans="8:10">
      <c r="H6029" s="156"/>
      <c r="I6029" s="156"/>
      <c r="J6029" s="156"/>
    </row>
    <row r="6030" spans="8:10">
      <c r="H6030" s="156"/>
      <c r="I6030" s="156"/>
      <c r="J6030" s="156"/>
    </row>
    <row r="6031" spans="8:10">
      <c r="H6031" s="156"/>
      <c r="I6031" s="156"/>
      <c r="J6031" s="156"/>
    </row>
    <row r="6032" spans="8:10">
      <c r="H6032" s="156"/>
      <c r="I6032" s="156"/>
      <c r="J6032" s="156"/>
    </row>
    <row r="6033" spans="8:10">
      <c r="H6033" s="156"/>
      <c r="I6033" s="156"/>
      <c r="J6033" s="156"/>
    </row>
    <row r="6034" spans="8:10">
      <c r="H6034" s="156"/>
      <c r="I6034" s="156"/>
      <c r="J6034" s="156"/>
    </row>
    <row r="6035" spans="8:10">
      <c r="H6035" s="156"/>
      <c r="I6035" s="156"/>
      <c r="J6035" s="156"/>
    </row>
    <row r="6036" spans="8:10">
      <c r="H6036" s="156"/>
      <c r="I6036" s="156"/>
      <c r="J6036" s="156"/>
    </row>
    <row r="6037" spans="8:10">
      <c r="H6037" s="156"/>
      <c r="I6037" s="156"/>
      <c r="J6037" s="156"/>
    </row>
    <row r="6038" spans="8:10">
      <c r="H6038" s="156"/>
      <c r="I6038" s="156"/>
      <c r="J6038" s="156"/>
    </row>
    <row r="6039" spans="8:10">
      <c r="H6039" s="156"/>
      <c r="I6039" s="156"/>
      <c r="J6039" s="156"/>
    </row>
    <row r="6040" spans="8:10">
      <c r="H6040" s="156"/>
      <c r="I6040" s="156"/>
      <c r="J6040" s="156"/>
    </row>
    <row r="6041" spans="8:10">
      <c r="H6041" s="156"/>
      <c r="I6041" s="156"/>
      <c r="J6041" s="156"/>
    </row>
    <row r="6042" spans="8:10">
      <c r="H6042" s="156"/>
      <c r="I6042" s="156"/>
      <c r="J6042" s="156"/>
    </row>
    <row r="6043" spans="8:10">
      <c r="H6043" s="156"/>
      <c r="I6043" s="156"/>
      <c r="J6043" s="156"/>
    </row>
    <row r="6044" spans="8:10">
      <c r="H6044" s="156"/>
      <c r="I6044" s="156"/>
      <c r="J6044" s="156"/>
    </row>
    <row r="6045" spans="8:10">
      <c r="H6045" s="156"/>
      <c r="I6045" s="156"/>
      <c r="J6045" s="156"/>
    </row>
    <row r="6046" spans="8:10">
      <c r="H6046" s="156"/>
      <c r="I6046" s="156"/>
      <c r="J6046" s="156"/>
    </row>
    <row r="6047" spans="8:10">
      <c r="H6047" s="156"/>
      <c r="I6047" s="156"/>
      <c r="J6047" s="156"/>
    </row>
    <row r="6048" spans="8:10">
      <c r="H6048" s="156"/>
      <c r="I6048" s="156"/>
      <c r="J6048" s="156"/>
    </row>
    <row r="6049" spans="8:10">
      <c r="H6049" s="156"/>
      <c r="I6049" s="156"/>
      <c r="J6049" s="156"/>
    </row>
    <row r="6050" spans="8:10">
      <c r="H6050" s="156"/>
      <c r="I6050" s="156"/>
      <c r="J6050" s="156"/>
    </row>
    <row r="6051" spans="8:10">
      <c r="H6051" s="156"/>
      <c r="I6051" s="156"/>
      <c r="J6051" s="156"/>
    </row>
    <row r="6052" spans="8:10">
      <c r="H6052" s="156"/>
      <c r="I6052" s="156"/>
      <c r="J6052" s="156"/>
    </row>
    <row r="6053" spans="8:10">
      <c r="H6053" s="156"/>
      <c r="I6053" s="156"/>
      <c r="J6053" s="156"/>
    </row>
    <row r="6054" spans="8:10">
      <c r="H6054" s="156"/>
      <c r="I6054" s="156"/>
      <c r="J6054" s="156"/>
    </row>
    <row r="6055" spans="8:10">
      <c r="H6055" s="156"/>
      <c r="I6055" s="156"/>
      <c r="J6055" s="156"/>
    </row>
    <row r="6056" spans="8:10">
      <c r="H6056" s="156"/>
      <c r="I6056" s="156"/>
      <c r="J6056" s="156"/>
    </row>
    <row r="6057" spans="8:10">
      <c r="H6057" s="156"/>
      <c r="I6057" s="156"/>
      <c r="J6057" s="156"/>
    </row>
    <row r="6058" spans="8:10">
      <c r="H6058" s="156"/>
      <c r="I6058" s="156"/>
      <c r="J6058" s="156"/>
    </row>
    <row r="6059" spans="8:10">
      <c r="H6059" s="156"/>
      <c r="I6059" s="156"/>
      <c r="J6059" s="156"/>
    </row>
    <row r="6060" spans="8:10">
      <c r="H6060" s="156"/>
      <c r="I6060" s="156"/>
      <c r="J6060" s="156"/>
    </row>
    <row r="6061" spans="8:10">
      <c r="H6061" s="156"/>
      <c r="I6061" s="156"/>
      <c r="J6061" s="156"/>
    </row>
    <row r="6062" spans="8:10">
      <c r="H6062" s="156"/>
      <c r="I6062" s="156"/>
      <c r="J6062" s="156"/>
    </row>
    <row r="6063" spans="8:10">
      <c r="H6063" s="156"/>
      <c r="I6063" s="156"/>
      <c r="J6063" s="156"/>
    </row>
    <row r="6064" spans="8:10">
      <c r="H6064" s="156"/>
      <c r="I6064" s="156"/>
      <c r="J6064" s="156"/>
    </row>
    <row r="6065" spans="8:10">
      <c r="H6065" s="156"/>
      <c r="I6065" s="156"/>
      <c r="J6065" s="156"/>
    </row>
    <row r="6066" spans="8:10">
      <c r="H6066" s="156"/>
      <c r="I6066" s="156"/>
      <c r="J6066" s="156"/>
    </row>
    <row r="6067" spans="8:10">
      <c r="H6067" s="156"/>
      <c r="I6067" s="156"/>
      <c r="J6067" s="156"/>
    </row>
    <row r="6068" spans="8:10">
      <c r="H6068" s="156"/>
      <c r="I6068" s="156"/>
      <c r="J6068" s="156"/>
    </row>
    <row r="6069" spans="8:10">
      <c r="H6069" s="156"/>
      <c r="I6069" s="156"/>
      <c r="J6069" s="156"/>
    </row>
    <row r="6070" spans="8:10">
      <c r="H6070" s="156"/>
      <c r="I6070" s="156"/>
      <c r="J6070" s="156"/>
    </row>
    <row r="6071" spans="8:10">
      <c r="H6071" s="156"/>
      <c r="I6071" s="156"/>
      <c r="J6071" s="156"/>
    </row>
    <row r="6072" spans="8:10">
      <c r="H6072" s="156"/>
      <c r="I6072" s="156"/>
      <c r="J6072" s="156"/>
    </row>
    <row r="6073" spans="8:10">
      <c r="H6073" s="156"/>
      <c r="I6073" s="156"/>
      <c r="J6073" s="156"/>
    </row>
    <row r="6074" spans="8:10">
      <c r="H6074" s="156"/>
      <c r="I6074" s="156"/>
      <c r="J6074" s="156"/>
    </row>
    <row r="6075" spans="8:10">
      <c r="H6075" s="156"/>
      <c r="I6075" s="156"/>
      <c r="J6075" s="156"/>
    </row>
    <row r="6076" spans="8:10">
      <c r="H6076" s="156"/>
      <c r="I6076" s="156"/>
      <c r="J6076" s="156"/>
    </row>
    <row r="6077" spans="8:10">
      <c r="H6077" s="156"/>
      <c r="I6077" s="156"/>
      <c r="J6077" s="156"/>
    </row>
    <row r="6078" spans="8:10">
      <c r="H6078" s="156"/>
      <c r="I6078" s="156"/>
      <c r="J6078" s="156"/>
    </row>
    <row r="6079" spans="8:10">
      <c r="H6079" s="156"/>
      <c r="I6079" s="156"/>
      <c r="J6079" s="156"/>
    </row>
    <row r="6080" spans="8:10">
      <c r="H6080" s="156"/>
      <c r="I6080" s="156"/>
      <c r="J6080" s="156"/>
    </row>
    <row r="6081" spans="8:10">
      <c r="H6081" s="156"/>
      <c r="I6081" s="156"/>
      <c r="J6081" s="156"/>
    </row>
    <row r="6082" spans="8:10">
      <c r="H6082" s="156"/>
      <c r="I6082" s="156"/>
      <c r="J6082" s="156"/>
    </row>
    <row r="6083" spans="8:10">
      <c r="H6083" s="156"/>
      <c r="I6083" s="156"/>
      <c r="J6083" s="156"/>
    </row>
    <row r="6084" spans="8:10">
      <c r="H6084" s="156"/>
      <c r="I6084" s="156"/>
      <c r="J6084" s="156"/>
    </row>
    <row r="6085" spans="8:10">
      <c r="H6085" s="156"/>
      <c r="I6085" s="156"/>
      <c r="J6085" s="156"/>
    </row>
    <row r="6086" spans="8:10">
      <c r="H6086" s="156"/>
      <c r="I6086" s="156"/>
      <c r="J6086" s="156"/>
    </row>
    <row r="6087" spans="8:10">
      <c r="H6087" s="156"/>
      <c r="I6087" s="156"/>
      <c r="J6087" s="156"/>
    </row>
    <row r="6088" spans="8:10">
      <c r="H6088" s="156"/>
      <c r="I6088" s="156"/>
      <c r="J6088" s="156"/>
    </row>
    <row r="6089" spans="8:10">
      <c r="H6089" s="156"/>
      <c r="I6089" s="156"/>
      <c r="J6089" s="156"/>
    </row>
    <row r="6090" spans="8:10">
      <c r="H6090" s="156"/>
      <c r="I6090" s="156"/>
      <c r="J6090" s="156"/>
    </row>
    <row r="6091" spans="8:10">
      <c r="H6091" s="156"/>
      <c r="I6091" s="156"/>
      <c r="J6091" s="156"/>
    </row>
    <row r="6092" spans="8:10">
      <c r="H6092" s="156"/>
      <c r="I6092" s="156"/>
      <c r="J6092" s="156"/>
    </row>
    <row r="6093" spans="8:10">
      <c r="H6093" s="156"/>
      <c r="I6093" s="156"/>
      <c r="J6093" s="156"/>
    </row>
    <row r="6094" spans="8:10">
      <c r="H6094" s="156"/>
      <c r="I6094" s="156"/>
      <c r="J6094" s="156"/>
    </row>
    <row r="6095" spans="8:10">
      <c r="H6095" s="156"/>
      <c r="I6095" s="156"/>
      <c r="J6095" s="156"/>
    </row>
    <row r="6096" spans="8:10">
      <c r="H6096" s="156"/>
      <c r="I6096" s="156"/>
      <c r="J6096" s="156"/>
    </row>
    <row r="6097" spans="8:10">
      <c r="H6097" s="156"/>
      <c r="I6097" s="156"/>
      <c r="J6097" s="156"/>
    </row>
    <row r="6098" spans="8:10">
      <c r="H6098" s="156"/>
      <c r="I6098" s="156"/>
      <c r="J6098" s="156"/>
    </row>
    <row r="6099" spans="8:10">
      <c r="H6099" s="156"/>
      <c r="I6099" s="156"/>
      <c r="J6099" s="156"/>
    </row>
    <row r="6100" spans="8:10">
      <c r="H6100" s="156"/>
      <c r="I6100" s="156"/>
      <c r="J6100" s="156"/>
    </row>
    <row r="6101" spans="8:10">
      <c r="H6101" s="156"/>
      <c r="I6101" s="156"/>
      <c r="J6101" s="156"/>
    </row>
    <row r="6102" spans="8:10">
      <c r="H6102" s="156"/>
      <c r="I6102" s="156"/>
      <c r="J6102" s="156"/>
    </row>
    <row r="6103" spans="8:10">
      <c r="H6103" s="156"/>
      <c r="I6103" s="156"/>
      <c r="J6103" s="156"/>
    </row>
    <row r="6104" spans="8:10">
      <c r="H6104" s="156"/>
      <c r="I6104" s="156"/>
      <c r="J6104" s="156"/>
    </row>
    <row r="6105" spans="8:10">
      <c r="H6105" s="156"/>
      <c r="I6105" s="156"/>
      <c r="J6105" s="156"/>
    </row>
    <row r="6106" spans="8:10">
      <c r="H6106" s="156"/>
      <c r="I6106" s="156"/>
      <c r="J6106" s="156"/>
    </row>
    <row r="6107" spans="8:10">
      <c r="H6107" s="156"/>
      <c r="I6107" s="156"/>
      <c r="J6107" s="156"/>
    </row>
    <row r="6108" spans="8:10">
      <c r="H6108" s="156"/>
      <c r="I6108" s="156"/>
      <c r="J6108" s="156"/>
    </row>
    <row r="6109" spans="8:10">
      <c r="H6109" s="156"/>
      <c r="I6109" s="156"/>
      <c r="J6109" s="156"/>
    </row>
    <row r="6110" spans="8:10">
      <c r="H6110" s="156"/>
      <c r="I6110" s="156"/>
      <c r="J6110" s="156"/>
    </row>
    <row r="6111" spans="8:10">
      <c r="H6111" s="156"/>
      <c r="I6111" s="156"/>
      <c r="J6111" s="156"/>
    </row>
    <row r="6112" spans="8:10">
      <c r="H6112" s="156"/>
      <c r="I6112" s="156"/>
      <c r="J6112" s="156"/>
    </row>
    <row r="6113" spans="8:10">
      <c r="H6113" s="156"/>
      <c r="I6113" s="156"/>
      <c r="J6113" s="156"/>
    </row>
    <row r="6114" spans="8:10">
      <c r="H6114" s="156"/>
      <c r="I6114" s="156"/>
      <c r="J6114" s="156"/>
    </row>
    <row r="6115" spans="8:10">
      <c r="H6115" s="156"/>
      <c r="I6115" s="156"/>
      <c r="J6115" s="156"/>
    </row>
    <row r="6116" spans="8:10">
      <c r="H6116" s="156"/>
      <c r="I6116" s="156"/>
      <c r="J6116" s="156"/>
    </row>
    <row r="6117" spans="8:10">
      <c r="H6117" s="156"/>
      <c r="I6117" s="156"/>
      <c r="J6117" s="156"/>
    </row>
    <row r="6118" spans="8:10">
      <c r="H6118" s="156"/>
      <c r="I6118" s="156"/>
      <c r="J6118" s="156"/>
    </row>
    <row r="6119" spans="8:10">
      <c r="H6119" s="156"/>
      <c r="I6119" s="156"/>
      <c r="J6119" s="156"/>
    </row>
    <row r="6120" spans="8:10">
      <c r="H6120" s="156"/>
      <c r="I6120" s="156"/>
      <c r="J6120" s="156"/>
    </row>
    <row r="6121" spans="8:10">
      <c r="H6121" s="156"/>
      <c r="I6121" s="156"/>
      <c r="J6121" s="156"/>
    </row>
    <row r="6122" spans="8:10">
      <c r="H6122" s="156"/>
      <c r="I6122" s="156"/>
      <c r="J6122" s="156"/>
    </row>
    <row r="6123" spans="8:10">
      <c r="H6123" s="156"/>
      <c r="I6123" s="156"/>
      <c r="J6123" s="156"/>
    </row>
    <row r="6124" spans="8:10">
      <c r="H6124" s="156"/>
      <c r="I6124" s="156"/>
      <c r="J6124" s="156"/>
    </row>
    <row r="6125" spans="8:10">
      <c r="H6125" s="156"/>
      <c r="I6125" s="156"/>
      <c r="J6125" s="156"/>
    </row>
    <row r="6126" spans="8:10">
      <c r="H6126" s="156"/>
      <c r="I6126" s="156"/>
      <c r="J6126" s="156"/>
    </row>
    <row r="6127" spans="8:10">
      <c r="H6127" s="156"/>
      <c r="I6127" s="156"/>
      <c r="J6127" s="156"/>
    </row>
    <row r="6128" spans="8:10">
      <c r="H6128" s="156"/>
      <c r="I6128" s="156"/>
      <c r="J6128" s="156"/>
    </row>
    <row r="6129" spans="8:10">
      <c r="H6129" s="156"/>
      <c r="I6129" s="156"/>
      <c r="J6129" s="156"/>
    </row>
    <row r="6130" spans="8:10">
      <c r="H6130" s="156"/>
      <c r="I6130" s="156"/>
      <c r="J6130" s="156"/>
    </row>
    <row r="6131" spans="8:10">
      <c r="H6131" s="156"/>
      <c r="I6131" s="156"/>
      <c r="J6131" s="156"/>
    </row>
    <row r="6132" spans="8:10">
      <c r="H6132" s="156"/>
      <c r="I6132" s="156"/>
      <c r="J6132" s="156"/>
    </row>
    <row r="6133" spans="8:10">
      <c r="H6133" s="156"/>
      <c r="I6133" s="156"/>
      <c r="J6133" s="156"/>
    </row>
    <row r="6134" spans="8:10">
      <c r="H6134" s="156"/>
      <c r="I6134" s="156"/>
      <c r="J6134" s="156"/>
    </row>
    <row r="6135" spans="8:10">
      <c r="H6135" s="156"/>
      <c r="I6135" s="156"/>
      <c r="J6135" s="156"/>
    </row>
    <row r="6136" spans="8:10">
      <c r="H6136" s="156"/>
      <c r="I6136" s="156"/>
      <c r="J6136" s="156"/>
    </row>
    <row r="6137" spans="8:10">
      <c r="H6137" s="156"/>
      <c r="I6137" s="156"/>
      <c r="J6137" s="156"/>
    </row>
    <row r="6138" spans="8:10">
      <c r="H6138" s="156"/>
      <c r="I6138" s="156"/>
      <c r="J6138" s="156"/>
    </row>
    <row r="6139" spans="8:10">
      <c r="H6139" s="156"/>
      <c r="I6139" s="156"/>
      <c r="J6139" s="156"/>
    </row>
    <row r="6140" spans="8:10">
      <c r="H6140" s="156"/>
      <c r="I6140" s="156"/>
      <c r="J6140" s="156"/>
    </row>
    <row r="6141" spans="8:10">
      <c r="H6141" s="156"/>
      <c r="I6141" s="156"/>
      <c r="J6141" s="156"/>
    </row>
    <row r="6142" spans="8:10">
      <c r="H6142" s="156"/>
      <c r="I6142" s="156"/>
      <c r="J6142" s="156"/>
    </row>
    <row r="6143" spans="8:10">
      <c r="H6143" s="156"/>
      <c r="I6143" s="156"/>
      <c r="J6143" s="156"/>
    </row>
    <row r="6144" spans="8:10">
      <c r="H6144" s="156"/>
      <c r="I6144" s="156"/>
      <c r="J6144" s="156"/>
    </row>
    <row r="6145" spans="8:10">
      <c r="H6145" s="156"/>
      <c r="I6145" s="156"/>
      <c r="J6145" s="156"/>
    </row>
    <row r="6146" spans="8:10">
      <c r="H6146" s="156"/>
      <c r="I6146" s="156"/>
      <c r="J6146" s="156"/>
    </row>
    <row r="6147" spans="8:10">
      <c r="H6147" s="156"/>
      <c r="I6147" s="156"/>
      <c r="J6147" s="156"/>
    </row>
    <row r="6148" spans="8:10">
      <c r="H6148" s="156"/>
      <c r="I6148" s="156"/>
      <c r="J6148" s="156"/>
    </row>
    <row r="6149" spans="8:10">
      <c r="H6149" s="156"/>
      <c r="I6149" s="156"/>
      <c r="J6149" s="156"/>
    </row>
    <row r="6150" spans="8:10">
      <c r="H6150" s="156"/>
      <c r="I6150" s="156"/>
      <c r="J6150" s="156"/>
    </row>
    <row r="6151" spans="8:10">
      <c r="H6151" s="156"/>
      <c r="I6151" s="156"/>
      <c r="J6151" s="156"/>
    </row>
    <row r="6152" spans="8:10">
      <c r="H6152" s="156"/>
      <c r="I6152" s="156"/>
      <c r="J6152" s="156"/>
    </row>
    <row r="6153" spans="8:10">
      <c r="H6153" s="156"/>
      <c r="I6153" s="156"/>
      <c r="J6153" s="156"/>
    </row>
    <row r="6154" spans="8:10">
      <c r="H6154" s="156"/>
      <c r="I6154" s="156"/>
      <c r="J6154" s="156"/>
    </row>
    <row r="6155" spans="8:10">
      <c r="H6155" s="156"/>
      <c r="I6155" s="156"/>
      <c r="J6155" s="156"/>
    </row>
    <row r="6156" spans="8:10">
      <c r="H6156" s="156"/>
      <c r="I6156" s="156"/>
      <c r="J6156" s="156"/>
    </row>
    <row r="6157" spans="8:10">
      <c r="H6157" s="156"/>
      <c r="I6157" s="156"/>
      <c r="J6157" s="156"/>
    </row>
    <row r="6158" spans="8:10">
      <c r="H6158" s="156"/>
      <c r="I6158" s="156"/>
      <c r="J6158" s="156"/>
    </row>
    <row r="6159" spans="8:10">
      <c r="H6159" s="156"/>
      <c r="I6159" s="156"/>
      <c r="J6159" s="156"/>
    </row>
    <row r="6160" spans="8:10">
      <c r="H6160" s="156"/>
      <c r="I6160" s="156"/>
      <c r="J6160" s="156"/>
    </row>
    <row r="6161" spans="8:10">
      <c r="H6161" s="156"/>
      <c r="I6161" s="156"/>
      <c r="J6161" s="156"/>
    </row>
    <row r="6162" spans="8:10">
      <c r="H6162" s="156"/>
      <c r="I6162" s="156"/>
      <c r="J6162" s="156"/>
    </row>
    <row r="6163" spans="8:10">
      <c r="H6163" s="156"/>
      <c r="I6163" s="156"/>
      <c r="J6163" s="156"/>
    </row>
    <row r="6164" spans="8:10">
      <c r="H6164" s="156"/>
      <c r="I6164" s="156"/>
      <c r="J6164" s="156"/>
    </row>
    <row r="6165" spans="8:10">
      <c r="H6165" s="156"/>
      <c r="I6165" s="156"/>
      <c r="J6165" s="156"/>
    </row>
    <row r="6166" spans="8:10">
      <c r="H6166" s="156"/>
      <c r="I6166" s="156"/>
      <c r="J6166" s="156"/>
    </row>
    <row r="6167" spans="8:10">
      <c r="H6167" s="156"/>
      <c r="I6167" s="156"/>
      <c r="J6167" s="156"/>
    </row>
    <row r="6168" spans="8:10">
      <c r="H6168" s="156"/>
      <c r="I6168" s="156"/>
      <c r="J6168" s="156"/>
    </row>
    <row r="6169" spans="8:10">
      <c r="H6169" s="156"/>
      <c r="I6169" s="156"/>
      <c r="J6169" s="156"/>
    </row>
    <row r="6170" spans="8:10">
      <c r="H6170" s="156"/>
      <c r="I6170" s="156"/>
      <c r="J6170" s="156"/>
    </row>
    <row r="6171" spans="8:10">
      <c r="H6171" s="156"/>
      <c r="I6171" s="156"/>
      <c r="J6171" s="156"/>
    </row>
    <row r="6172" spans="8:10">
      <c r="H6172" s="156"/>
      <c r="I6172" s="156"/>
      <c r="J6172" s="156"/>
    </row>
    <row r="6173" spans="8:10">
      <c r="H6173" s="156"/>
      <c r="I6173" s="156"/>
      <c r="J6173" s="156"/>
    </row>
    <row r="6174" spans="8:10">
      <c r="H6174" s="156"/>
      <c r="I6174" s="156"/>
      <c r="J6174" s="156"/>
    </row>
    <row r="6175" spans="8:10">
      <c r="H6175" s="156"/>
      <c r="I6175" s="156"/>
      <c r="J6175" s="156"/>
    </row>
    <row r="6176" spans="8:10">
      <c r="H6176" s="156"/>
      <c r="I6176" s="156"/>
      <c r="J6176" s="156"/>
    </row>
    <row r="6177" spans="8:10">
      <c r="H6177" s="156"/>
      <c r="I6177" s="156"/>
      <c r="J6177" s="156"/>
    </row>
    <row r="6178" spans="8:10">
      <c r="H6178" s="156"/>
      <c r="I6178" s="156"/>
      <c r="J6178" s="156"/>
    </row>
    <row r="6179" spans="8:10">
      <c r="H6179" s="156"/>
      <c r="I6179" s="156"/>
      <c r="J6179" s="156"/>
    </row>
    <row r="6180" spans="8:10">
      <c r="H6180" s="156"/>
      <c r="I6180" s="156"/>
      <c r="J6180" s="156"/>
    </row>
    <row r="6181" spans="8:10">
      <c r="H6181" s="156"/>
      <c r="I6181" s="156"/>
      <c r="J6181" s="156"/>
    </row>
    <row r="6182" spans="8:10">
      <c r="H6182" s="156"/>
      <c r="I6182" s="156"/>
      <c r="J6182" s="156"/>
    </row>
    <row r="6183" spans="8:10">
      <c r="H6183" s="156"/>
      <c r="I6183" s="156"/>
      <c r="J6183" s="156"/>
    </row>
    <row r="6184" spans="8:10">
      <c r="H6184" s="156"/>
      <c r="I6184" s="156"/>
      <c r="J6184" s="156"/>
    </row>
    <row r="6185" spans="8:10">
      <c r="H6185" s="156"/>
      <c r="I6185" s="156"/>
      <c r="J6185" s="156"/>
    </row>
    <row r="6186" spans="8:10">
      <c r="H6186" s="156"/>
      <c r="I6186" s="156"/>
      <c r="J6186" s="156"/>
    </row>
    <row r="6187" spans="8:10">
      <c r="H6187" s="156"/>
      <c r="I6187" s="156"/>
      <c r="J6187" s="156"/>
    </row>
    <row r="6188" spans="8:10">
      <c r="H6188" s="156"/>
      <c r="I6188" s="156"/>
      <c r="J6188" s="156"/>
    </row>
    <row r="6189" spans="8:10">
      <c r="H6189" s="156"/>
      <c r="I6189" s="156"/>
      <c r="J6189" s="156"/>
    </row>
    <row r="6190" spans="8:10">
      <c r="H6190" s="156"/>
      <c r="I6190" s="156"/>
      <c r="J6190" s="156"/>
    </row>
    <row r="6191" spans="8:10">
      <c r="H6191" s="156"/>
      <c r="I6191" s="156"/>
      <c r="J6191" s="156"/>
    </row>
    <row r="6192" spans="8:10">
      <c r="H6192" s="156"/>
      <c r="I6192" s="156"/>
      <c r="J6192" s="156"/>
    </row>
    <row r="6193" spans="8:10">
      <c r="H6193" s="156"/>
      <c r="I6193" s="156"/>
      <c r="J6193" s="156"/>
    </row>
    <row r="6194" spans="8:10">
      <c r="H6194" s="156"/>
      <c r="I6194" s="156"/>
      <c r="J6194" s="156"/>
    </row>
    <row r="6195" spans="8:10">
      <c r="H6195" s="156"/>
      <c r="I6195" s="156"/>
      <c r="J6195" s="156"/>
    </row>
    <row r="6196" spans="8:10">
      <c r="H6196" s="156"/>
      <c r="I6196" s="156"/>
      <c r="J6196" s="156"/>
    </row>
    <row r="6197" spans="8:10">
      <c r="H6197" s="156"/>
      <c r="I6197" s="156"/>
      <c r="J6197" s="156"/>
    </row>
    <row r="6198" spans="8:10">
      <c r="H6198" s="156"/>
      <c r="I6198" s="156"/>
      <c r="J6198" s="156"/>
    </row>
    <row r="6199" spans="8:10">
      <c r="H6199" s="156"/>
      <c r="I6199" s="156"/>
      <c r="J6199" s="156"/>
    </row>
    <row r="6200" spans="8:10">
      <c r="H6200" s="156"/>
      <c r="I6200" s="156"/>
      <c r="J6200" s="156"/>
    </row>
    <row r="6201" spans="8:10">
      <c r="H6201" s="156"/>
      <c r="I6201" s="156"/>
      <c r="J6201" s="156"/>
    </row>
    <row r="6202" spans="8:10">
      <c r="H6202" s="156"/>
      <c r="I6202" s="156"/>
      <c r="J6202" s="156"/>
    </row>
    <row r="6203" spans="8:10">
      <c r="H6203" s="156"/>
      <c r="I6203" s="156"/>
      <c r="J6203" s="156"/>
    </row>
    <row r="6204" spans="8:10">
      <c r="H6204" s="156"/>
      <c r="I6204" s="156"/>
      <c r="J6204" s="156"/>
    </row>
    <row r="6205" spans="8:10">
      <c r="H6205" s="156"/>
      <c r="I6205" s="156"/>
      <c r="J6205" s="156"/>
    </row>
    <row r="6206" spans="8:10">
      <c r="H6206" s="156"/>
      <c r="I6206" s="156"/>
      <c r="J6206" s="156"/>
    </row>
    <row r="6207" spans="8:10">
      <c r="H6207" s="156"/>
      <c r="I6207" s="156"/>
      <c r="J6207" s="156"/>
    </row>
    <row r="6208" spans="8:10">
      <c r="H6208" s="156"/>
      <c r="I6208" s="156"/>
      <c r="J6208" s="156"/>
    </row>
    <row r="6209" spans="8:10">
      <c r="H6209" s="156"/>
      <c r="I6209" s="156"/>
      <c r="J6209" s="156"/>
    </row>
    <row r="6210" spans="8:10">
      <c r="H6210" s="156"/>
      <c r="I6210" s="156"/>
      <c r="J6210" s="156"/>
    </row>
    <row r="6211" spans="8:10">
      <c r="H6211" s="156"/>
      <c r="I6211" s="156"/>
      <c r="J6211" s="156"/>
    </row>
    <row r="6212" spans="8:10">
      <c r="H6212" s="156"/>
      <c r="I6212" s="156"/>
      <c r="J6212" s="156"/>
    </row>
    <row r="6213" spans="8:10">
      <c r="H6213" s="156"/>
      <c r="I6213" s="156"/>
      <c r="J6213" s="156"/>
    </row>
    <row r="6214" spans="8:10">
      <c r="H6214" s="156"/>
      <c r="I6214" s="156"/>
      <c r="J6214" s="156"/>
    </row>
    <row r="6215" spans="8:10">
      <c r="H6215" s="156"/>
      <c r="I6215" s="156"/>
      <c r="J6215" s="156"/>
    </row>
    <row r="6216" spans="8:10">
      <c r="H6216" s="156"/>
      <c r="I6216" s="156"/>
      <c r="J6216" s="156"/>
    </row>
    <row r="6217" spans="8:10">
      <c r="H6217" s="156"/>
      <c r="I6217" s="156"/>
      <c r="J6217" s="156"/>
    </row>
    <row r="6218" spans="8:10">
      <c r="H6218" s="156"/>
      <c r="I6218" s="156"/>
      <c r="J6218" s="156"/>
    </row>
    <row r="6219" spans="8:10">
      <c r="H6219" s="156"/>
      <c r="I6219" s="156"/>
      <c r="J6219" s="156"/>
    </row>
    <row r="6220" spans="8:10">
      <c r="H6220" s="156"/>
      <c r="I6220" s="156"/>
      <c r="J6220" s="156"/>
    </row>
    <row r="6221" spans="8:10">
      <c r="H6221" s="156"/>
      <c r="I6221" s="156"/>
      <c r="J6221" s="156"/>
    </row>
    <row r="6222" spans="8:10">
      <c r="H6222" s="156"/>
      <c r="I6222" s="156"/>
      <c r="J6222" s="156"/>
    </row>
    <row r="6223" spans="8:10">
      <c r="H6223" s="156"/>
      <c r="I6223" s="156"/>
      <c r="J6223" s="156"/>
    </row>
    <row r="6224" spans="8:10">
      <c r="H6224" s="156"/>
      <c r="I6224" s="156"/>
      <c r="J6224" s="156"/>
    </row>
    <row r="6225" spans="8:10">
      <c r="H6225" s="156"/>
      <c r="I6225" s="156"/>
      <c r="J6225" s="156"/>
    </row>
    <row r="6226" spans="8:10">
      <c r="H6226" s="156"/>
      <c r="I6226" s="156"/>
      <c r="J6226" s="156"/>
    </row>
    <row r="6227" spans="8:10">
      <c r="H6227" s="156"/>
      <c r="I6227" s="156"/>
      <c r="J6227" s="156"/>
    </row>
    <row r="6228" spans="8:10">
      <c r="H6228" s="156"/>
      <c r="I6228" s="156"/>
      <c r="J6228" s="156"/>
    </row>
    <row r="6229" spans="8:10">
      <c r="H6229" s="156"/>
      <c r="I6229" s="156"/>
      <c r="J6229" s="156"/>
    </row>
    <row r="6230" spans="8:10">
      <c r="H6230" s="156"/>
      <c r="I6230" s="156"/>
      <c r="J6230" s="156"/>
    </row>
    <row r="6231" spans="8:10">
      <c r="H6231" s="156"/>
      <c r="I6231" s="156"/>
      <c r="J6231" s="156"/>
    </row>
    <row r="6232" spans="8:10">
      <c r="H6232" s="156"/>
      <c r="I6232" s="156"/>
      <c r="J6232" s="156"/>
    </row>
    <row r="6233" spans="8:10">
      <c r="H6233" s="156"/>
      <c r="I6233" s="156"/>
      <c r="J6233" s="156"/>
    </row>
    <row r="6234" spans="8:10">
      <c r="H6234" s="156"/>
      <c r="I6234" s="156"/>
      <c r="J6234" s="156"/>
    </row>
    <row r="6235" spans="8:10">
      <c r="H6235" s="156"/>
      <c r="I6235" s="156"/>
      <c r="J6235" s="156"/>
    </row>
    <row r="6236" spans="8:10">
      <c r="H6236" s="156"/>
      <c r="I6236" s="156"/>
      <c r="J6236" s="156"/>
    </row>
    <row r="6237" spans="8:10">
      <c r="H6237" s="156"/>
      <c r="I6237" s="156"/>
      <c r="J6237" s="156"/>
    </row>
    <row r="6238" spans="8:10">
      <c r="H6238" s="156"/>
      <c r="I6238" s="156"/>
      <c r="J6238" s="156"/>
    </row>
    <row r="6239" spans="8:10">
      <c r="H6239" s="156"/>
      <c r="I6239" s="156"/>
      <c r="J6239" s="156"/>
    </row>
    <row r="6240" spans="8:10">
      <c r="H6240" s="156"/>
      <c r="I6240" s="156"/>
      <c r="J6240" s="156"/>
    </row>
    <row r="6241" spans="8:10">
      <c r="H6241" s="156"/>
      <c r="I6241" s="156"/>
      <c r="J6241" s="156"/>
    </row>
    <row r="6242" spans="8:10">
      <c r="H6242" s="156"/>
      <c r="I6242" s="156"/>
      <c r="J6242" s="156"/>
    </row>
    <row r="6243" spans="8:10">
      <c r="H6243" s="156"/>
      <c r="I6243" s="156"/>
      <c r="J6243" s="156"/>
    </row>
    <row r="6244" spans="8:10">
      <c r="H6244" s="156"/>
      <c r="I6244" s="156"/>
      <c r="J6244" s="156"/>
    </row>
    <row r="6245" spans="8:10">
      <c r="H6245" s="156"/>
      <c r="I6245" s="156"/>
      <c r="J6245" s="156"/>
    </row>
    <row r="6246" spans="8:10">
      <c r="H6246" s="156"/>
      <c r="I6246" s="156"/>
      <c r="J6246" s="156"/>
    </row>
    <row r="6247" spans="8:10">
      <c r="H6247" s="156"/>
      <c r="I6247" s="156"/>
      <c r="J6247" s="156"/>
    </row>
    <row r="6248" spans="8:10">
      <c r="H6248" s="156"/>
      <c r="I6248" s="156"/>
      <c r="J6248" s="156"/>
    </row>
    <row r="6249" spans="8:10">
      <c r="H6249" s="156"/>
      <c r="I6249" s="156"/>
      <c r="J6249" s="156"/>
    </row>
    <row r="6250" spans="8:10">
      <c r="H6250" s="156"/>
      <c r="I6250" s="156"/>
      <c r="J6250" s="156"/>
    </row>
    <row r="6251" spans="8:10">
      <c r="H6251" s="156"/>
      <c r="I6251" s="156"/>
      <c r="J6251" s="156"/>
    </row>
    <row r="6252" spans="8:10">
      <c r="H6252" s="156"/>
      <c r="I6252" s="156"/>
      <c r="J6252" s="156"/>
    </row>
    <row r="6253" spans="8:10">
      <c r="H6253" s="156"/>
      <c r="I6253" s="156"/>
      <c r="J6253" s="156"/>
    </row>
    <row r="6254" spans="8:10">
      <c r="H6254" s="156"/>
      <c r="I6254" s="156"/>
      <c r="J6254" s="156"/>
    </row>
    <row r="6255" spans="8:10">
      <c r="H6255" s="156"/>
      <c r="I6255" s="156"/>
      <c r="J6255" s="156"/>
    </row>
    <row r="6256" spans="8:10">
      <c r="H6256" s="156"/>
      <c r="I6256" s="156"/>
      <c r="J6256" s="156"/>
    </row>
    <row r="6257" spans="8:10">
      <c r="H6257" s="156"/>
      <c r="I6257" s="156"/>
      <c r="J6257" s="156"/>
    </row>
    <row r="6258" spans="8:10">
      <c r="H6258" s="156"/>
      <c r="I6258" s="156"/>
      <c r="J6258" s="156"/>
    </row>
    <row r="6259" spans="8:10">
      <c r="H6259" s="156"/>
      <c r="I6259" s="156"/>
      <c r="J6259" s="156"/>
    </row>
    <row r="6260" spans="8:10">
      <c r="H6260" s="156"/>
      <c r="I6260" s="156"/>
      <c r="J6260" s="156"/>
    </row>
    <row r="6261" spans="8:10">
      <c r="H6261" s="156"/>
      <c r="I6261" s="156"/>
      <c r="J6261" s="156"/>
    </row>
    <row r="6262" spans="8:10">
      <c r="H6262" s="156"/>
      <c r="I6262" s="156"/>
      <c r="J6262" s="156"/>
    </row>
    <row r="6263" spans="8:10">
      <c r="H6263" s="156"/>
      <c r="I6263" s="156"/>
      <c r="J6263" s="156"/>
    </row>
    <row r="6264" spans="8:10">
      <c r="H6264" s="156"/>
      <c r="I6264" s="156"/>
      <c r="J6264" s="156"/>
    </row>
    <row r="6265" spans="8:10">
      <c r="H6265" s="156"/>
      <c r="I6265" s="156"/>
      <c r="J6265" s="156"/>
    </row>
    <row r="6266" spans="8:10">
      <c r="H6266" s="156"/>
      <c r="I6266" s="156"/>
      <c r="J6266" s="156"/>
    </row>
    <row r="6267" spans="8:10">
      <c r="H6267" s="156"/>
      <c r="I6267" s="156"/>
      <c r="J6267" s="156"/>
    </row>
    <row r="6268" spans="8:10">
      <c r="H6268" s="156"/>
      <c r="I6268" s="156"/>
      <c r="J6268" s="156"/>
    </row>
    <row r="6269" spans="8:10">
      <c r="H6269" s="156"/>
      <c r="I6269" s="156"/>
      <c r="J6269" s="156"/>
    </row>
    <row r="6270" spans="8:10">
      <c r="H6270" s="156"/>
      <c r="I6270" s="156"/>
      <c r="J6270" s="156"/>
    </row>
    <row r="6271" spans="8:10">
      <c r="H6271" s="156"/>
      <c r="I6271" s="156"/>
      <c r="J6271" s="156"/>
    </row>
    <row r="6272" spans="8:10">
      <c r="H6272" s="156"/>
      <c r="I6272" s="156"/>
      <c r="J6272" s="156"/>
    </row>
    <row r="6273" spans="8:10">
      <c r="H6273" s="156"/>
      <c r="I6273" s="156"/>
      <c r="J6273" s="156"/>
    </row>
    <row r="6274" spans="8:10">
      <c r="H6274" s="156"/>
      <c r="I6274" s="156"/>
      <c r="J6274" s="156"/>
    </row>
    <row r="6275" spans="8:10">
      <c r="H6275" s="156"/>
      <c r="I6275" s="156"/>
      <c r="J6275" s="156"/>
    </row>
    <row r="6276" spans="8:10">
      <c r="H6276" s="156"/>
      <c r="I6276" s="156"/>
      <c r="J6276" s="156"/>
    </row>
    <row r="6277" spans="8:10">
      <c r="H6277" s="156"/>
      <c r="I6277" s="156"/>
      <c r="J6277" s="156"/>
    </row>
    <row r="6278" spans="8:10">
      <c r="H6278" s="156"/>
      <c r="I6278" s="156"/>
      <c r="J6278" s="156"/>
    </row>
    <row r="6279" spans="8:10">
      <c r="H6279" s="156"/>
      <c r="I6279" s="156"/>
      <c r="J6279" s="156"/>
    </row>
    <row r="6280" spans="8:10">
      <c r="H6280" s="156"/>
      <c r="I6280" s="156"/>
      <c r="J6280" s="156"/>
    </row>
    <row r="6281" spans="8:10">
      <c r="H6281" s="156"/>
      <c r="I6281" s="156"/>
      <c r="J6281" s="156"/>
    </row>
    <row r="6282" spans="8:10">
      <c r="H6282" s="156"/>
      <c r="I6282" s="156"/>
      <c r="J6282" s="156"/>
    </row>
    <row r="6283" spans="8:10">
      <c r="H6283" s="156"/>
      <c r="I6283" s="156"/>
      <c r="J6283" s="156"/>
    </row>
    <row r="6284" spans="8:10">
      <c r="H6284" s="156"/>
      <c r="I6284" s="156"/>
      <c r="J6284" s="156"/>
    </row>
    <row r="6285" spans="8:10">
      <c r="H6285" s="156"/>
      <c r="I6285" s="156"/>
      <c r="J6285" s="156"/>
    </row>
    <row r="6286" spans="8:10">
      <c r="H6286" s="156"/>
      <c r="I6286" s="156"/>
      <c r="J6286" s="156"/>
    </row>
    <row r="6287" spans="8:10">
      <c r="H6287" s="156"/>
      <c r="I6287" s="156"/>
      <c r="J6287" s="156"/>
    </row>
    <row r="6288" spans="8:10">
      <c r="H6288" s="156"/>
      <c r="I6288" s="156"/>
      <c r="J6288" s="156"/>
    </row>
    <row r="6289" spans="8:10">
      <c r="H6289" s="156"/>
      <c r="I6289" s="156"/>
      <c r="J6289" s="156"/>
    </row>
    <row r="6290" spans="8:10">
      <c r="H6290" s="156"/>
      <c r="I6290" s="156"/>
      <c r="J6290" s="156"/>
    </row>
    <row r="6291" spans="8:10">
      <c r="H6291" s="156"/>
      <c r="I6291" s="156"/>
      <c r="J6291" s="156"/>
    </row>
    <row r="6292" spans="8:10">
      <c r="H6292" s="156"/>
      <c r="I6292" s="156"/>
      <c r="J6292" s="156"/>
    </row>
    <row r="6293" spans="8:10">
      <c r="H6293" s="156"/>
      <c r="I6293" s="156"/>
      <c r="J6293" s="156"/>
    </row>
    <row r="6294" spans="8:10">
      <c r="H6294" s="156"/>
      <c r="I6294" s="156"/>
      <c r="J6294" s="156"/>
    </row>
    <row r="6295" spans="8:10">
      <c r="H6295" s="156"/>
      <c r="I6295" s="156"/>
      <c r="J6295" s="156"/>
    </row>
    <row r="6296" spans="8:10">
      <c r="H6296" s="156"/>
      <c r="I6296" s="156"/>
      <c r="J6296" s="156"/>
    </row>
    <row r="6297" spans="8:10">
      <c r="H6297" s="156"/>
      <c r="I6297" s="156"/>
      <c r="J6297" s="156"/>
    </row>
    <row r="6298" spans="8:10">
      <c r="H6298" s="156"/>
      <c r="I6298" s="156"/>
      <c r="J6298" s="156"/>
    </row>
    <row r="6299" spans="8:10">
      <c r="H6299" s="156"/>
      <c r="I6299" s="156"/>
      <c r="J6299" s="156"/>
    </row>
    <row r="6300" spans="8:10">
      <c r="H6300" s="156"/>
      <c r="I6300" s="156"/>
      <c r="J6300" s="156"/>
    </row>
    <row r="6301" spans="8:10">
      <c r="H6301" s="156"/>
      <c r="I6301" s="156"/>
      <c r="J6301" s="156"/>
    </row>
    <row r="6302" spans="8:10">
      <c r="H6302" s="156"/>
      <c r="I6302" s="156"/>
      <c r="J6302" s="156"/>
    </row>
    <row r="6303" spans="8:10">
      <c r="H6303" s="156"/>
      <c r="I6303" s="156"/>
      <c r="J6303" s="156"/>
    </row>
    <row r="6304" spans="8:10">
      <c r="H6304" s="156"/>
      <c r="I6304" s="156"/>
      <c r="J6304" s="156"/>
    </row>
    <row r="6305" spans="8:10">
      <c r="H6305" s="156"/>
      <c r="I6305" s="156"/>
      <c r="J6305" s="156"/>
    </row>
    <row r="6306" spans="8:10">
      <c r="H6306" s="156"/>
      <c r="I6306" s="156"/>
      <c r="J6306" s="156"/>
    </row>
    <row r="6307" spans="8:10">
      <c r="H6307" s="156"/>
      <c r="I6307" s="156"/>
      <c r="J6307" s="156"/>
    </row>
    <row r="6308" spans="8:10">
      <c r="H6308" s="156"/>
      <c r="I6308" s="156"/>
      <c r="J6308" s="156"/>
    </row>
    <row r="6309" spans="8:10">
      <c r="H6309" s="156"/>
      <c r="I6309" s="156"/>
      <c r="J6309" s="156"/>
    </row>
    <row r="6310" spans="8:10">
      <c r="H6310" s="156"/>
      <c r="I6310" s="156"/>
      <c r="J6310" s="156"/>
    </row>
    <row r="6311" spans="8:10">
      <c r="H6311" s="156"/>
      <c r="I6311" s="156"/>
      <c r="J6311" s="156"/>
    </row>
    <row r="6312" spans="8:10">
      <c r="H6312" s="156"/>
      <c r="I6312" s="156"/>
      <c r="J6312" s="156"/>
    </row>
    <row r="6313" spans="8:10">
      <c r="H6313" s="156"/>
      <c r="I6313" s="156"/>
      <c r="J6313" s="156"/>
    </row>
    <row r="6314" spans="8:10">
      <c r="H6314" s="156"/>
      <c r="I6314" s="156"/>
      <c r="J6314" s="156"/>
    </row>
    <row r="6315" spans="8:10">
      <c r="H6315" s="156"/>
      <c r="I6315" s="156"/>
      <c r="J6315" s="156"/>
    </row>
    <row r="6316" spans="8:10">
      <c r="H6316" s="156"/>
      <c r="I6316" s="156"/>
      <c r="J6316" s="156"/>
    </row>
    <row r="6317" spans="8:10">
      <c r="H6317" s="156"/>
      <c r="I6317" s="156"/>
      <c r="J6317" s="156"/>
    </row>
    <row r="6318" spans="8:10">
      <c r="H6318" s="156"/>
      <c r="I6318" s="156"/>
      <c r="J6318" s="156"/>
    </row>
    <row r="6319" spans="8:10">
      <c r="H6319" s="156"/>
      <c r="I6319" s="156"/>
      <c r="J6319" s="156"/>
    </row>
    <row r="6320" spans="8:10">
      <c r="H6320" s="156"/>
      <c r="I6320" s="156"/>
      <c r="J6320" s="156"/>
    </row>
    <row r="6321" spans="8:10">
      <c r="H6321" s="156"/>
      <c r="I6321" s="156"/>
      <c r="J6321" s="156"/>
    </row>
    <row r="6322" spans="8:10">
      <c r="H6322" s="156"/>
      <c r="I6322" s="156"/>
      <c r="J6322" s="156"/>
    </row>
    <row r="6323" spans="8:10">
      <c r="H6323" s="156"/>
      <c r="I6323" s="156"/>
      <c r="J6323" s="156"/>
    </row>
    <row r="6324" spans="8:10">
      <c r="H6324" s="156"/>
      <c r="I6324" s="156"/>
      <c r="J6324" s="156"/>
    </row>
    <row r="6325" spans="8:10">
      <c r="H6325" s="156"/>
      <c r="I6325" s="156"/>
      <c r="J6325" s="156"/>
    </row>
    <row r="6326" spans="8:10">
      <c r="H6326" s="156"/>
      <c r="I6326" s="156"/>
      <c r="J6326" s="156"/>
    </row>
    <row r="6327" spans="8:10">
      <c r="H6327" s="156"/>
      <c r="I6327" s="156"/>
      <c r="J6327" s="156"/>
    </row>
    <row r="6328" spans="8:10">
      <c r="H6328" s="156"/>
      <c r="I6328" s="156"/>
      <c r="J6328" s="156"/>
    </row>
    <row r="6329" spans="8:10">
      <c r="H6329" s="156"/>
      <c r="I6329" s="156"/>
      <c r="J6329" s="156"/>
    </row>
    <row r="6330" spans="8:10">
      <c r="H6330" s="156"/>
      <c r="I6330" s="156"/>
      <c r="J6330" s="156"/>
    </row>
    <row r="6331" spans="8:10">
      <c r="H6331" s="156"/>
      <c r="I6331" s="156"/>
      <c r="J6331" s="156"/>
    </row>
    <row r="6332" spans="8:10">
      <c r="H6332" s="156"/>
      <c r="I6332" s="156"/>
      <c r="J6332" s="156"/>
    </row>
    <row r="6333" spans="8:10">
      <c r="H6333" s="156"/>
      <c r="I6333" s="156"/>
      <c r="J6333" s="156"/>
    </row>
    <row r="6334" spans="8:10">
      <c r="H6334" s="156"/>
      <c r="I6334" s="156"/>
      <c r="J6334" s="156"/>
    </row>
    <row r="6335" spans="8:10">
      <c r="H6335" s="156"/>
      <c r="I6335" s="156"/>
      <c r="J6335" s="156"/>
    </row>
    <row r="6336" spans="8:10">
      <c r="H6336" s="156"/>
      <c r="I6336" s="156"/>
      <c r="J6336" s="156"/>
    </row>
    <row r="6337" spans="8:10">
      <c r="H6337" s="156"/>
      <c r="I6337" s="156"/>
      <c r="J6337" s="156"/>
    </row>
    <row r="6338" spans="8:10">
      <c r="H6338" s="156"/>
      <c r="I6338" s="156"/>
      <c r="J6338" s="156"/>
    </row>
    <row r="6339" spans="8:10">
      <c r="H6339" s="156"/>
      <c r="I6339" s="156"/>
      <c r="J6339" s="156"/>
    </row>
    <row r="6340" spans="8:10">
      <c r="H6340" s="156"/>
      <c r="I6340" s="156"/>
      <c r="J6340" s="156"/>
    </row>
    <row r="6341" spans="8:10">
      <c r="H6341" s="156"/>
      <c r="I6341" s="156"/>
      <c r="J6341" s="156"/>
    </row>
    <row r="6342" spans="8:10">
      <c r="H6342" s="156"/>
      <c r="I6342" s="156"/>
      <c r="J6342" s="156"/>
    </row>
    <row r="6343" spans="8:10">
      <c r="H6343" s="156"/>
      <c r="I6343" s="156"/>
      <c r="J6343" s="156"/>
    </row>
    <row r="6344" spans="8:10">
      <c r="H6344" s="156"/>
      <c r="I6344" s="156"/>
      <c r="J6344" s="156"/>
    </row>
    <row r="6345" spans="8:10">
      <c r="H6345" s="156"/>
      <c r="I6345" s="156"/>
      <c r="J6345" s="156"/>
    </row>
    <row r="6346" spans="8:10">
      <c r="H6346" s="156"/>
      <c r="I6346" s="156"/>
      <c r="J6346" s="156"/>
    </row>
    <row r="6347" spans="8:10">
      <c r="H6347" s="156"/>
      <c r="I6347" s="156"/>
      <c r="J6347" s="156"/>
    </row>
    <row r="6348" spans="8:10">
      <c r="H6348" s="156"/>
      <c r="I6348" s="156"/>
      <c r="J6348" s="156"/>
    </row>
    <row r="6349" spans="8:10">
      <c r="H6349" s="156"/>
      <c r="I6349" s="156"/>
      <c r="J6349" s="156"/>
    </row>
    <row r="6350" spans="8:10">
      <c r="H6350" s="156"/>
      <c r="I6350" s="156"/>
      <c r="J6350" s="156"/>
    </row>
    <row r="6351" spans="8:10">
      <c r="H6351" s="156"/>
      <c r="I6351" s="156"/>
      <c r="J6351" s="156"/>
    </row>
    <row r="6352" spans="8:10">
      <c r="H6352" s="156"/>
      <c r="I6352" s="156"/>
      <c r="J6352" s="156"/>
    </row>
    <row r="6353" spans="8:10">
      <c r="H6353" s="156"/>
      <c r="I6353" s="156"/>
      <c r="J6353" s="156"/>
    </row>
    <row r="6354" spans="8:10">
      <c r="H6354" s="156"/>
      <c r="I6354" s="156"/>
      <c r="J6354" s="156"/>
    </row>
    <row r="6355" spans="8:10">
      <c r="H6355" s="156"/>
      <c r="I6355" s="156"/>
      <c r="J6355" s="156"/>
    </row>
    <row r="6356" spans="8:10">
      <c r="H6356" s="156"/>
      <c r="I6356" s="156"/>
      <c r="J6356" s="156"/>
    </row>
    <row r="6357" spans="8:10">
      <c r="H6357" s="156"/>
      <c r="I6357" s="156"/>
      <c r="J6357" s="156"/>
    </row>
    <row r="6358" spans="8:10">
      <c r="H6358" s="156"/>
      <c r="I6358" s="156"/>
      <c r="J6358" s="156"/>
    </row>
    <row r="6359" spans="8:10">
      <c r="H6359" s="156"/>
      <c r="I6359" s="156"/>
      <c r="J6359" s="156"/>
    </row>
    <row r="6360" spans="8:10">
      <c r="H6360" s="156"/>
      <c r="I6360" s="156"/>
      <c r="J6360" s="156"/>
    </row>
    <row r="6361" spans="8:10">
      <c r="H6361" s="156"/>
      <c r="I6361" s="156"/>
      <c r="J6361" s="156"/>
    </row>
    <row r="6362" spans="8:10">
      <c r="H6362" s="156"/>
      <c r="I6362" s="156"/>
      <c r="J6362" s="156"/>
    </row>
    <row r="6363" spans="8:10">
      <c r="H6363" s="156"/>
      <c r="I6363" s="156"/>
      <c r="J6363" s="156"/>
    </row>
    <row r="6364" spans="8:10">
      <c r="H6364" s="156"/>
      <c r="I6364" s="156"/>
      <c r="J6364" s="156"/>
    </row>
    <row r="6365" spans="8:10">
      <c r="H6365" s="156"/>
      <c r="I6365" s="156"/>
      <c r="J6365" s="156"/>
    </row>
    <row r="6366" spans="8:10">
      <c r="H6366" s="156"/>
      <c r="I6366" s="156"/>
      <c r="J6366" s="156"/>
    </row>
    <row r="6367" spans="8:10">
      <c r="H6367" s="156"/>
      <c r="I6367" s="156"/>
      <c r="J6367" s="156"/>
    </row>
    <row r="6368" spans="8:10">
      <c r="H6368" s="156"/>
      <c r="I6368" s="156"/>
      <c r="J6368" s="156"/>
    </row>
    <row r="6369" spans="8:10">
      <c r="H6369" s="156"/>
      <c r="I6369" s="156"/>
      <c r="J6369" s="156"/>
    </row>
    <row r="6370" spans="8:10">
      <c r="H6370" s="156"/>
      <c r="I6370" s="156"/>
      <c r="J6370" s="156"/>
    </row>
    <row r="6371" spans="8:10">
      <c r="H6371" s="156"/>
      <c r="I6371" s="156"/>
      <c r="J6371" s="156"/>
    </row>
    <row r="6372" spans="8:10">
      <c r="H6372" s="156"/>
      <c r="I6372" s="156"/>
      <c r="J6372" s="156"/>
    </row>
    <row r="6373" spans="8:10">
      <c r="H6373" s="156"/>
      <c r="I6373" s="156"/>
      <c r="J6373" s="156"/>
    </row>
    <row r="6374" spans="8:10">
      <c r="H6374" s="156"/>
      <c r="I6374" s="156"/>
      <c r="J6374" s="156"/>
    </row>
    <row r="6375" spans="8:10">
      <c r="H6375" s="156"/>
      <c r="I6375" s="156"/>
      <c r="J6375" s="156"/>
    </row>
    <row r="6376" spans="8:10">
      <c r="H6376" s="156"/>
      <c r="I6376" s="156"/>
      <c r="J6376" s="156"/>
    </row>
    <row r="6377" spans="8:10">
      <c r="H6377" s="156"/>
      <c r="I6377" s="156"/>
      <c r="J6377" s="156"/>
    </row>
    <row r="6378" spans="8:10">
      <c r="H6378" s="156"/>
      <c r="I6378" s="156"/>
      <c r="J6378" s="156"/>
    </row>
    <row r="6379" spans="8:10">
      <c r="H6379" s="156"/>
      <c r="I6379" s="156"/>
      <c r="J6379" s="156"/>
    </row>
    <row r="6380" spans="8:10">
      <c r="H6380" s="156"/>
      <c r="I6380" s="156"/>
      <c r="J6380" s="156"/>
    </row>
    <row r="6381" spans="8:10">
      <c r="H6381" s="156"/>
      <c r="I6381" s="156"/>
      <c r="J6381" s="156"/>
    </row>
    <row r="6382" spans="8:10">
      <c r="H6382" s="156"/>
      <c r="I6382" s="156"/>
      <c r="J6382" s="156"/>
    </row>
    <row r="6383" spans="8:10">
      <c r="H6383" s="156"/>
      <c r="I6383" s="156"/>
      <c r="J6383" s="156"/>
    </row>
    <row r="6384" spans="8:10">
      <c r="H6384" s="156"/>
      <c r="I6384" s="156"/>
      <c r="J6384" s="156"/>
    </row>
    <row r="6385" spans="8:10">
      <c r="H6385" s="156"/>
      <c r="I6385" s="156"/>
      <c r="J6385" s="156"/>
    </row>
    <row r="6386" spans="8:10">
      <c r="H6386" s="156"/>
      <c r="I6386" s="156"/>
      <c r="J6386" s="156"/>
    </row>
    <row r="6387" spans="8:10">
      <c r="H6387" s="156"/>
      <c r="I6387" s="156"/>
      <c r="J6387" s="156"/>
    </row>
    <row r="6388" spans="8:10">
      <c r="H6388" s="156"/>
      <c r="I6388" s="156"/>
      <c r="J6388" s="156"/>
    </row>
    <row r="6389" spans="8:10">
      <c r="H6389" s="156"/>
      <c r="I6389" s="156"/>
      <c r="J6389" s="156"/>
    </row>
    <row r="6390" spans="8:10">
      <c r="H6390" s="156"/>
      <c r="I6390" s="156"/>
      <c r="J6390" s="156"/>
    </row>
    <row r="6391" spans="8:10">
      <c r="H6391" s="156"/>
      <c r="I6391" s="156"/>
      <c r="J6391" s="156"/>
    </row>
    <row r="6392" spans="8:10">
      <c r="H6392" s="156"/>
      <c r="I6392" s="156"/>
      <c r="J6392" s="156"/>
    </row>
    <row r="6393" spans="8:10">
      <c r="H6393" s="156"/>
      <c r="I6393" s="156"/>
      <c r="J6393" s="156"/>
    </row>
    <row r="6394" spans="8:10">
      <c r="H6394" s="156"/>
      <c r="I6394" s="156"/>
      <c r="J6394" s="156"/>
    </row>
    <row r="6395" spans="8:10">
      <c r="H6395" s="156"/>
      <c r="I6395" s="156"/>
      <c r="J6395" s="156"/>
    </row>
    <row r="6396" spans="8:10">
      <c r="H6396" s="156"/>
      <c r="I6396" s="156"/>
      <c r="J6396" s="156"/>
    </row>
    <row r="6397" spans="8:10">
      <c r="H6397" s="156"/>
      <c r="I6397" s="156"/>
      <c r="J6397" s="156"/>
    </row>
    <row r="6398" spans="8:10">
      <c r="H6398" s="156"/>
      <c r="I6398" s="156"/>
      <c r="J6398" s="156"/>
    </row>
    <row r="6399" spans="8:10">
      <c r="H6399" s="156"/>
      <c r="I6399" s="156"/>
      <c r="J6399" s="156"/>
    </row>
    <row r="6400" spans="8:10">
      <c r="H6400" s="156"/>
      <c r="I6400" s="156"/>
      <c r="J6400" s="156"/>
    </row>
    <row r="6401" spans="8:10">
      <c r="H6401" s="156"/>
      <c r="I6401" s="156"/>
      <c r="J6401" s="156"/>
    </row>
    <row r="6402" spans="8:10">
      <c r="H6402" s="156"/>
      <c r="I6402" s="156"/>
      <c r="J6402" s="156"/>
    </row>
    <row r="6403" spans="8:10">
      <c r="H6403" s="156"/>
      <c r="I6403" s="156"/>
      <c r="J6403" s="156"/>
    </row>
    <row r="6404" spans="8:10">
      <c r="H6404" s="156"/>
      <c r="I6404" s="156"/>
      <c r="J6404" s="156"/>
    </row>
    <row r="6405" spans="8:10">
      <c r="H6405" s="156"/>
      <c r="I6405" s="156"/>
      <c r="J6405" s="156"/>
    </row>
    <row r="6406" spans="8:10">
      <c r="H6406" s="156"/>
      <c r="I6406" s="156"/>
      <c r="J6406" s="156"/>
    </row>
    <row r="6407" spans="8:10">
      <c r="H6407" s="156"/>
      <c r="I6407" s="156"/>
      <c r="J6407" s="156"/>
    </row>
    <row r="6408" spans="8:10">
      <c r="H6408" s="156"/>
      <c r="I6408" s="156"/>
      <c r="J6408" s="156"/>
    </row>
    <row r="6409" spans="8:10">
      <c r="H6409" s="156"/>
      <c r="I6409" s="156"/>
      <c r="J6409" s="156"/>
    </row>
    <row r="6410" spans="8:10">
      <c r="H6410" s="156"/>
      <c r="I6410" s="156"/>
      <c r="J6410" s="156"/>
    </row>
    <row r="6411" spans="8:10">
      <c r="H6411" s="156"/>
      <c r="I6411" s="156"/>
      <c r="J6411" s="156"/>
    </row>
    <row r="6412" spans="8:10">
      <c r="H6412" s="156"/>
      <c r="I6412" s="156"/>
      <c r="J6412" s="156"/>
    </row>
    <row r="6413" spans="8:10">
      <c r="H6413" s="156"/>
      <c r="I6413" s="156"/>
      <c r="J6413" s="156"/>
    </row>
    <row r="6414" spans="8:10">
      <c r="H6414" s="156"/>
      <c r="I6414" s="156"/>
      <c r="J6414" s="156"/>
    </row>
    <row r="6415" spans="8:10">
      <c r="H6415" s="156"/>
      <c r="I6415" s="156"/>
      <c r="J6415" s="156"/>
    </row>
    <row r="6416" spans="8:10">
      <c r="H6416" s="156"/>
      <c r="I6416" s="156"/>
      <c r="J6416" s="156"/>
    </row>
    <row r="6417" spans="8:10">
      <c r="H6417" s="156"/>
      <c r="I6417" s="156"/>
      <c r="J6417" s="156"/>
    </row>
    <row r="6418" spans="8:10">
      <c r="H6418" s="156"/>
      <c r="I6418" s="156"/>
      <c r="J6418" s="156"/>
    </row>
    <row r="6419" spans="8:10">
      <c r="H6419" s="156"/>
      <c r="I6419" s="156"/>
      <c r="J6419" s="156"/>
    </row>
    <row r="6420" spans="8:10">
      <c r="H6420" s="156"/>
      <c r="I6420" s="156"/>
      <c r="J6420" s="156"/>
    </row>
    <row r="6421" spans="8:10">
      <c r="H6421" s="156"/>
      <c r="I6421" s="156"/>
      <c r="J6421" s="156"/>
    </row>
    <row r="6422" spans="8:10">
      <c r="H6422" s="156"/>
      <c r="I6422" s="156"/>
      <c r="J6422" s="156"/>
    </row>
    <row r="6423" spans="8:10">
      <c r="H6423" s="156"/>
      <c r="I6423" s="156"/>
      <c r="J6423" s="156"/>
    </row>
    <row r="6424" spans="8:10">
      <c r="H6424" s="156"/>
      <c r="I6424" s="156"/>
      <c r="J6424" s="156"/>
    </row>
    <row r="6425" spans="8:10">
      <c r="H6425" s="156"/>
      <c r="I6425" s="156"/>
      <c r="J6425" s="156"/>
    </row>
    <row r="6426" spans="8:10">
      <c r="H6426" s="156"/>
      <c r="I6426" s="156"/>
      <c r="J6426" s="156"/>
    </row>
    <row r="6427" spans="8:10">
      <c r="H6427" s="156"/>
      <c r="I6427" s="156"/>
      <c r="J6427" s="156"/>
    </row>
    <row r="6428" spans="8:10">
      <c r="H6428" s="156"/>
      <c r="I6428" s="156"/>
      <c r="J6428" s="156"/>
    </row>
    <row r="6429" spans="8:10">
      <c r="H6429" s="156"/>
      <c r="I6429" s="156"/>
      <c r="J6429" s="156"/>
    </row>
    <row r="6430" spans="8:10">
      <c r="H6430" s="156"/>
      <c r="I6430" s="156"/>
      <c r="J6430" s="156"/>
    </row>
    <row r="6431" spans="8:10">
      <c r="H6431" s="156"/>
      <c r="I6431" s="156"/>
      <c r="J6431" s="156"/>
    </row>
    <row r="6432" spans="8:10">
      <c r="H6432" s="156"/>
      <c r="I6432" s="156"/>
      <c r="J6432" s="156"/>
    </row>
    <row r="6433" spans="8:10">
      <c r="H6433" s="156"/>
      <c r="I6433" s="156"/>
      <c r="J6433" s="156"/>
    </row>
    <row r="6434" spans="8:10">
      <c r="H6434" s="156"/>
      <c r="I6434" s="156"/>
      <c r="J6434" s="156"/>
    </row>
    <row r="6435" spans="8:10">
      <c r="H6435" s="156"/>
      <c r="I6435" s="156"/>
      <c r="J6435" s="156"/>
    </row>
    <row r="6436" spans="8:10">
      <c r="H6436" s="156"/>
      <c r="I6436" s="156"/>
      <c r="J6436" s="156"/>
    </row>
    <row r="6437" spans="8:10">
      <c r="H6437" s="156"/>
      <c r="I6437" s="156"/>
      <c r="J6437" s="156"/>
    </row>
    <row r="6438" spans="8:10">
      <c r="H6438" s="156"/>
      <c r="I6438" s="156"/>
      <c r="J6438" s="156"/>
    </row>
    <row r="6439" spans="8:10">
      <c r="H6439" s="156"/>
      <c r="I6439" s="156"/>
      <c r="J6439" s="156"/>
    </row>
    <row r="6440" spans="8:10">
      <c r="H6440" s="156"/>
      <c r="I6440" s="156"/>
      <c r="J6440" s="156"/>
    </row>
    <row r="6441" spans="8:10">
      <c r="H6441" s="156"/>
      <c r="I6441" s="156"/>
      <c r="J6441" s="156"/>
    </row>
    <row r="6442" spans="8:10">
      <c r="H6442" s="156"/>
      <c r="I6442" s="156"/>
      <c r="J6442" s="156"/>
    </row>
    <row r="6443" spans="8:10">
      <c r="H6443" s="156"/>
      <c r="I6443" s="156"/>
      <c r="J6443" s="156"/>
    </row>
    <row r="6444" spans="8:10">
      <c r="H6444" s="156"/>
      <c r="I6444" s="156"/>
      <c r="J6444" s="156"/>
    </row>
    <row r="6445" spans="8:10">
      <c r="H6445" s="156"/>
      <c r="I6445" s="156"/>
      <c r="J6445" s="156"/>
    </row>
    <row r="6446" spans="8:10">
      <c r="H6446" s="156"/>
      <c r="I6446" s="156"/>
      <c r="J6446" s="156"/>
    </row>
    <row r="6447" spans="8:10">
      <c r="H6447" s="156"/>
      <c r="I6447" s="156"/>
      <c r="J6447" s="156"/>
    </row>
    <row r="6448" spans="8:10">
      <c r="H6448" s="156"/>
      <c r="I6448" s="156"/>
      <c r="J6448" s="156"/>
    </row>
    <row r="6449" spans="8:10">
      <c r="H6449" s="156"/>
      <c r="I6449" s="156"/>
      <c r="J6449" s="156"/>
    </row>
    <row r="6450" spans="8:10">
      <c r="H6450" s="156"/>
      <c r="I6450" s="156"/>
      <c r="J6450" s="156"/>
    </row>
    <row r="6451" spans="8:10">
      <c r="H6451" s="156"/>
      <c r="I6451" s="156"/>
      <c r="J6451" s="156"/>
    </row>
    <row r="6452" spans="8:10">
      <c r="H6452" s="156"/>
      <c r="I6452" s="156"/>
      <c r="J6452" s="156"/>
    </row>
    <row r="6453" spans="8:10">
      <c r="H6453" s="156"/>
      <c r="I6453" s="156"/>
      <c r="J6453" s="156"/>
    </row>
    <row r="6454" spans="8:10">
      <c r="H6454" s="156"/>
      <c r="I6454" s="156"/>
      <c r="J6454" s="156"/>
    </row>
    <row r="6455" spans="8:10">
      <c r="H6455" s="156"/>
      <c r="I6455" s="156"/>
      <c r="J6455" s="156"/>
    </row>
    <row r="6456" spans="8:10">
      <c r="H6456" s="156"/>
      <c r="I6456" s="156"/>
      <c r="J6456" s="156"/>
    </row>
    <row r="6457" spans="8:10">
      <c r="H6457" s="156"/>
      <c r="I6457" s="156"/>
      <c r="J6457" s="156"/>
    </row>
    <row r="6458" spans="8:10">
      <c r="H6458" s="156"/>
      <c r="I6458" s="156"/>
      <c r="J6458" s="156"/>
    </row>
    <row r="6459" spans="8:10">
      <c r="H6459" s="156"/>
      <c r="I6459" s="156"/>
      <c r="J6459" s="156"/>
    </row>
    <row r="6460" spans="8:10">
      <c r="H6460" s="156"/>
      <c r="I6460" s="156"/>
      <c r="J6460" s="156"/>
    </row>
    <row r="6461" spans="8:10">
      <c r="H6461" s="156"/>
      <c r="I6461" s="156"/>
      <c r="J6461" s="156"/>
    </row>
    <row r="6462" spans="8:10">
      <c r="H6462" s="156"/>
      <c r="I6462" s="156"/>
      <c r="J6462" s="156"/>
    </row>
    <row r="6463" spans="8:10">
      <c r="H6463" s="156"/>
      <c r="I6463" s="156"/>
      <c r="J6463" s="156"/>
    </row>
    <row r="6464" spans="8:10">
      <c r="H6464" s="156"/>
      <c r="I6464" s="156"/>
      <c r="J6464" s="156"/>
    </row>
    <row r="6465" spans="8:10">
      <c r="H6465" s="156"/>
      <c r="I6465" s="156"/>
      <c r="J6465" s="156"/>
    </row>
    <row r="6466" spans="8:10">
      <c r="H6466" s="156"/>
      <c r="I6466" s="156"/>
      <c r="J6466" s="156"/>
    </row>
    <row r="6467" spans="8:10">
      <c r="H6467" s="156"/>
      <c r="I6467" s="156"/>
      <c r="J6467" s="156"/>
    </row>
    <row r="6468" spans="8:10">
      <c r="H6468" s="156"/>
      <c r="I6468" s="156"/>
      <c r="J6468" s="156"/>
    </row>
    <row r="6469" spans="8:10">
      <c r="H6469" s="156"/>
      <c r="I6469" s="156"/>
      <c r="J6469" s="156"/>
    </row>
    <row r="6470" spans="8:10">
      <c r="H6470" s="156"/>
      <c r="I6470" s="156"/>
      <c r="J6470" s="156"/>
    </row>
    <row r="6471" spans="8:10">
      <c r="H6471" s="156"/>
      <c r="I6471" s="156"/>
      <c r="J6471" s="156"/>
    </row>
    <row r="6472" spans="8:10">
      <c r="H6472" s="156"/>
      <c r="I6472" s="156"/>
      <c r="J6472" s="156"/>
    </row>
    <row r="6473" spans="8:10">
      <c r="H6473" s="156"/>
      <c r="I6473" s="156"/>
      <c r="J6473" s="156"/>
    </row>
    <row r="6474" spans="8:10">
      <c r="H6474" s="156"/>
      <c r="I6474" s="156"/>
      <c r="J6474" s="156"/>
    </row>
    <row r="6475" spans="8:10">
      <c r="H6475" s="156"/>
      <c r="I6475" s="156"/>
      <c r="J6475" s="156"/>
    </row>
    <row r="6476" spans="8:10">
      <c r="H6476" s="156"/>
      <c r="I6476" s="156"/>
      <c r="J6476" s="156"/>
    </row>
    <row r="6477" spans="8:10">
      <c r="H6477" s="156"/>
      <c r="I6477" s="156"/>
      <c r="J6477" s="156"/>
    </row>
    <row r="6478" spans="8:10">
      <c r="H6478" s="156"/>
      <c r="I6478" s="156"/>
      <c r="J6478" s="156"/>
    </row>
    <row r="6479" spans="8:10">
      <c r="H6479" s="156"/>
      <c r="I6479" s="156"/>
      <c r="J6479" s="156"/>
    </row>
    <row r="6480" spans="8:10">
      <c r="H6480" s="156"/>
      <c r="I6480" s="156"/>
      <c r="J6480" s="156"/>
    </row>
    <row r="6481" spans="8:10">
      <c r="H6481" s="156"/>
      <c r="I6481" s="156"/>
      <c r="J6481" s="156"/>
    </row>
    <row r="6482" spans="8:10">
      <c r="H6482" s="156"/>
      <c r="I6482" s="156"/>
      <c r="J6482" s="156"/>
    </row>
    <row r="6483" spans="8:10">
      <c r="H6483" s="156"/>
      <c r="I6483" s="156"/>
      <c r="J6483" s="156"/>
    </row>
    <row r="6484" spans="8:10">
      <c r="H6484" s="156"/>
      <c r="I6484" s="156"/>
      <c r="J6484" s="156"/>
    </row>
    <row r="6485" spans="8:10">
      <c r="H6485" s="156"/>
      <c r="I6485" s="156"/>
      <c r="J6485" s="156"/>
    </row>
    <row r="6486" spans="8:10">
      <c r="H6486" s="156"/>
      <c r="I6486" s="156"/>
      <c r="J6486" s="156"/>
    </row>
    <row r="6487" spans="8:10">
      <c r="H6487" s="156"/>
      <c r="I6487" s="156"/>
      <c r="J6487" s="156"/>
    </row>
    <row r="6488" spans="8:10">
      <c r="H6488" s="156"/>
      <c r="I6488" s="156"/>
      <c r="J6488" s="156"/>
    </row>
    <row r="6489" spans="8:10">
      <c r="H6489" s="156"/>
      <c r="I6489" s="156"/>
      <c r="J6489" s="156"/>
    </row>
    <row r="6490" spans="8:10">
      <c r="H6490" s="156"/>
      <c r="I6490" s="156"/>
      <c r="J6490" s="156"/>
    </row>
    <row r="6491" spans="8:10">
      <c r="H6491" s="156"/>
      <c r="I6491" s="156"/>
      <c r="J6491" s="156"/>
    </row>
    <row r="6492" spans="8:10">
      <c r="H6492" s="156"/>
      <c r="I6492" s="156"/>
      <c r="J6492" s="156"/>
    </row>
    <row r="6493" spans="8:10">
      <c r="H6493" s="156"/>
      <c r="I6493" s="156"/>
      <c r="J6493" s="156"/>
    </row>
    <row r="6494" spans="8:10">
      <c r="H6494" s="156"/>
      <c r="I6494" s="156"/>
      <c r="J6494" s="156"/>
    </row>
    <row r="6495" spans="8:10">
      <c r="H6495" s="156"/>
      <c r="I6495" s="156"/>
      <c r="J6495" s="156"/>
    </row>
    <row r="6496" spans="8:10">
      <c r="H6496" s="156"/>
      <c r="I6496" s="156"/>
      <c r="J6496" s="156"/>
    </row>
    <row r="6497" spans="8:10">
      <c r="H6497" s="156"/>
      <c r="I6497" s="156"/>
      <c r="J6497" s="156"/>
    </row>
    <row r="6498" spans="8:10">
      <c r="H6498" s="156"/>
      <c r="I6498" s="156"/>
      <c r="J6498" s="156"/>
    </row>
    <row r="6499" spans="8:10">
      <c r="H6499" s="156"/>
      <c r="I6499" s="156"/>
      <c r="J6499" s="156"/>
    </row>
    <row r="6500" spans="8:10">
      <c r="H6500" s="156"/>
      <c r="I6500" s="156"/>
      <c r="J6500" s="156"/>
    </row>
    <row r="6501" spans="8:10">
      <c r="H6501" s="156"/>
      <c r="I6501" s="156"/>
      <c r="J6501" s="156"/>
    </row>
    <row r="6502" spans="8:10">
      <c r="H6502" s="156"/>
      <c r="I6502" s="156"/>
      <c r="J6502" s="156"/>
    </row>
    <row r="6503" spans="8:10">
      <c r="H6503" s="156"/>
      <c r="I6503" s="156"/>
      <c r="J6503" s="156"/>
    </row>
    <row r="6504" spans="8:10">
      <c r="H6504" s="156"/>
      <c r="I6504" s="156"/>
      <c r="J6504" s="156"/>
    </row>
    <row r="6505" spans="8:10">
      <c r="H6505" s="156"/>
      <c r="I6505" s="156"/>
      <c r="J6505" s="156"/>
    </row>
    <row r="6506" spans="8:10">
      <c r="H6506" s="156"/>
      <c r="I6506" s="156"/>
      <c r="J6506" s="156"/>
    </row>
    <row r="6507" spans="8:10">
      <c r="H6507" s="156"/>
      <c r="I6507" s="156"/>
      <c r="J6507" s="156"/>
    </row>
    <row r="6508" spans="8:10">
      <c r="H6508" s="156"/>
      <c r="I6508" s="156"/>
      <c r="J6508" s="156"/>
    </row>
    <row r="6509" spans="8:10">
      <c r="H6509" s="156"/>
      <c r="I6509" s="156"/>
      <c r="J6509" s="156"/>
    </row>
    <row r="6510" spans="8:10">
      <c r="H6510" s="156"/>
      <c r="I6510" s="156"/>
      <c r="J6510" s="156"/>
    </row>
    <row r="6511" spans="8:10">
      <c r="H6511" s="156"/>
      <c r="I6511" s="156"/>
      <c r="J6511" s="156"/>
    </row>
    <row r="6512" spans="8:10">
      <c r="H6512" s="156"/>
      <c r="I6512" s="156"/>
      <c r="J6512" s="156"/>
    </row>
    <row r="6513" spans="8:10">
      <c r="H6513" s="156"/>
      <c r="I6513" s="156"/>
      <c r="J6513" s="156"/>
    </row>
    <row r="6514" spans="8:10">
      <c r="H6514" s="156"/>
      <c r="I6514" s="156"/>
      <c r="J6514" s="156"/>
    </row>
    <row r="6515" spans="8:10">
      <c r="H6515" s="156"/>
      <c r="I6515" s="156"/>
      <c r="J6515" s="156"/>
    </row>
    <row r="6516" spans="8:10">
      <c r="H6516" s="156"/>
      <c r="I6516" s="156"/>
      <c r="J6516" s="156"/>
    </row>
    <row r="6517" spans="8:10">
      <c r="H6517" s="156"/>
      <c r="I6517" s="156"/>
      <c r="J6517" s="156"/>
    </row>
    <row r="6518" spans="8:10">
      <c r="H6518" s="156"/>
      <c r="I6518" s="156"/>
      <c r="J6518" s="156"/>
    </row>
    <row r="6519" spans="8:10">
      <c r="H6519" s="156"/>
      <c r="I6519" s="156"/>
      <c r="J6519" s="156"/>
    </row>
    <row r="6520" spans="8:10">
      <c r="H6520" s="156"/>
      <c r="I6520" s="156"/>
      <c r="J6520" s="156"/>
    </row>
    <row r="6521" spans="8:10">
      <c r="H6521" s="156"/>
      <c r="I6521" s="156"/>
      <c r="J6521" s="156"/>
    </row>
    <row r="6522" spans="8:10">
      <c r="H6522" s="156"/>
      <c r="I6522" s="156"/>
      <c r="J6522" s="156"/>
    </row>
    <row r="6523" spans="8:10">
      <c r="H6523" s="156"/>
      <c r="I6523" s="156"/>
      <c r="J6523" s="156"/>
    </row>
    <row r="6524" spans="8:10">
      <c r="H6524" s="156"/>
      <c r="I6524" s="156"/>
      <c r="J6524" s="156"/>
    </row>
    <row r="6525" spans="8:10">
      <c r="H6525" s="156"/>
      <c r="I6525" s="156"/>
      <c r="J6525" s="156"/>
    </row>
    <row r="6526" spans="8:10">
      <c r="H6526" s="156"/>
      <c r="I6526" s="156"/>
      <c r="J6526" s="156"/>
    </row>
    <row r="6527" spans="8:10">
      <c r="H6527" s="156"/>
      <c r="I6527" s="156"/>
      <c r="J6527" s="156"/>
    </row>
    <row r="6528" spans="8:10">
      <c r="H6528" s="156"/>
      <c r="I6528" s="156"/>
      <c r="J6528" s="156"/>
    </row>
    <row r="6529" spans="8:10">
      <c r="H6529" s="156"/>
      <c r="I6529" s="156"/>
      <c r="J6529" s="156"/>
    </row>
    <row r="6530" spans="8:10">
      <c r="H6530" s="156"/>
      <c r="I6530" s="156"/>
      <c r="J6530" s="156"/>
    </row>
    <row r="6531" spans="8:10">
      <c r="H6531" s="156"/>
      <c r="I6531" s="156"/>
      <c r="J6531" s="156"/>
    </row>
    <row r="6532" spans="8:10">
      <c r="H6532" s="156"/>
      <c r="I6532" s="156"/>
      <c r="J6532" s="156"/>
    </row>
    <row r="6533" spans="8:10">
      <c r="H6533" s="156"/>
      <c r="I6533" s="156"/>
      <c r="J6533" s="156"/>
    </row>
    <row r="6534" spans="8:10">
      <c r="H6534" s="156"/>
      <c r="I6534" s="156"/>
      <c r="J6534" s="156"/>
    </row>
    <row r="6535" spans="8:10">
      <c r="H6535" s="156"/>
      <c r="I6535" s="156"/>
      <c r="J6535" s="156"/>
    </row>
    <row r="6536" spans="8:10">
      <c r="H6536" s="156"/>
      <c r="I6536" s="156"/>
      <c r="J6536" s="156"/>
    </row>
    <row r="6537" spans="8:10">
      <c r="H6537" s="156"/>
      <c r="I6537" s="156"/>
      <c r="J6537" s="156"/>
    </row>
    <row r="6538" spans="8:10">
      <c r="H6538" s="156"/>
      <c r="I6538" s="156"/>
      <c r="J6538" s="156"/>
    </row>
    <row r="6539" spans="8:10">
      <c r="H6539" s="156"/>
      <c r="I6539" s="156"/>
      <c r="J6539" s="156"/>
    </row>
    <row r="6540" spans="8:10">
      <c r="H6540" s="156"/>
      <c r="I6540" s="156"/>
      <c r="J6540" s="156"/>
    </row>
    <row r="6541" spans="8:10">
      <c r="H6541" s="156"/>
      <c r="I6541" s="156"/>
      <c r="J6541" s="156"/>
    </row>
    <row r="6542" spans="8:10">
      <c r="H6542" s="156"/>
      <c r="I6542" s="156"/>
      <c r="J6542" s="156"/>
    </row>
    <row r="6543" spans="8:10">
      <c r="H6543" s="156"/>
      <c r="I6543" s="156"/>
      <c r="J6543" s="156"/>
    </row>
    <row r="6544" spans="8:10">
      <c r="H6544" s="156"/>
      <c r="I6544" s="156"/>
      <c r="J6544" s="156"/>
    </row>
    <row r="6545" spans="8:10">
      <c r="H6545" s="156"/>
      <c r="I6545" s="156"/>
      <c r="J6545" s="156"/>
    </row>
    <row r="6546" spans="8:10">
      <c r="H6546" s="156"/>
      <c r="I6546" s="156"/>
      <c r="J6546" s="156"/>
    </row>
    <row r="6547" spans="8:10">
      <c r="H6547" s="156"/>
      <c r="I6547" s="156"/>
      <c r="J6547" s="156"/>
    </row>
    <row r="6548" spans="8:10">
      <c r="H6548" s="156"/>
      <c r="I6548" s="156"/>
      <c r="J6548" s="156"/>
    </row>
    <row r="6549" spans="8:10">
      <c r="H6549" s="156"/>
      <c r="I6549" s="156"/>
      <c r="J6549" s="156"/>
    </row>
    <row r="6550" spans="8:10">
      <c r="H6550" s="156"/>
      <c r="I6550" s="156"/>
      <c r="J6550" s="156"/>
    </row>
    <row r="6551" spans="8:10">
      <c r="H6551" s="156"/>
      <c r="I6551" s="156"/>
      <c r="J6551" s="156"/>
    </row>
    <row r="6552" spans="8:10">
      <c r="H6552" s="156"/>
      <c r="I6552" s="156"/>
      <c r="J6552" s="156"/>
    </row>
    <row r="6553" spans="8:10">
      <c r="H6553" s="156"/>
      <c r="I6553" s="156"/>
      <c r="J6553" s="156"/>
    </row>
    <row r="6554" spans="8:10">
      <c r="H6554" s="156"/>
      <c r="I6554" s="156"/>
      <c r="J6554" s="156"/>
    </row>
    <row r="6555" spans="8:10">
      <c r="H6555" s="156"/>
      <c r="I6555" s="156"/>
      <c r="J6555" s="156"/>
    </row>
    <row r="6556" spans="8:10">
      <c r="H6556" s="156"/>
      <c r="I6556" s="156"/>
      <c r="J6556" s="156"/>
    </row>
    <row r="6557" spans="8:10">
      <c r="H6557" s="156"/>
      <c r="I6557" s="156"/>
      <c r="J6557" s="156"/>
    </row>
    <row r="6558" spans="8:10">
      <c r="H6558" s="156"/>
      <c r="I6558" s="156"/>
      <c r="J6558" s="156"/>
    </row>
    <row r="6559" spans="8:10">
      <c r="H6559" s="156"/>
      <c r="I6559" s="156"/>
      <c r="J6559" s="156"/>
    </row>
    <row r="6560" spans="8:10">
      <c r="H6560" s="156"/>
      <c r="I6560" s="156"/>
      <c r="J6560" s="156"/>
    </row>
    <row r="6561" spans="8:10">
      <c r="H6561" s="156"/>
      <c r="I6561" s="156"/>
      <c r="J6561" s="156"/>
    </row>
    <row r="6562" spans="8:10">
      <c r="H6562" s="156"/>
      <c r="I6562" s="156"/>
      <c r="J6562" s="156"/>
    </row>
    <row r="6563" spans="8:10">
      <c r="H6563" s="156"/>
      <c r="I6563" s="156"/>
      <c r="J6563" s="156"/>
    </row>
    <row r="6564" spans="8:10">
      <c r="H6564" s="156"/>
      <c r="I6564" s="156"/>
      <c r="J6564" s="156"/>
    </row>
    <row r="6565" spans="8:10">
      <c r="H6565" s="156"/>
      <c r="I6565" s="156"/>
      <c r="J6565" s="156"/>
    </row>
    <row r="6566" spans="8:10">
      <c r="H6566" s="156"/>
      <c r="I6566" s="156"/>
      <c r="J6566" s="156"/>
    </row>
    <row r="6567" spans="8:10">
      <c r="H6567" s="156"/>
      <c r="I6567" s="156"/>
      <c r="J6567" s="156"/>
    </row>
    <row r="6568" spans="8:10">
      <c r="H6568" s="156"/>
      <c r="I6568" s="156"/>
      <c r="J6568" s="156"/>
    </row>
    <row r="6569" spans="8:10">
      <c r="H6569" s="156"/>
      <c r="I6569" s="156"/>
      <c r="J6569" s="156"/>
    </row>
    <row r="6570" spans="8:10">
      <c r="H6570" s="156"/>
      <c r="I6570" s="156"/>
      <c r="J6570" s="156"/>
    </row>
    <row r="6571" spans="8:10">
      <c r="H6571" s="156"/>
      <c r="I6571" s="156"/>
      <c r="J6571" s="156"/>
    </row>
    <row r="6572" spans="8:10">
      <c r="H6572" s="156"/>
      <c r="I6572" s="156"/>
      <c r="J6572" s="156"/>
    </row>
    <row r="6573" spans="8:10">
      <c r="H6573" s="156"/>
      <c r="I6573" s="156"/>
      <c r="J6573" s="156"/>
    </row>
    <row r="6574" spans="8:10">
      <c r="H6574" s="156"/>
      <c r="I6574" s="156"/>
      <c r="J6574" s="156"/>
    </row>
    <row r="6575" spans="8:10">
      <c r="H6575" s="156"/>
      <c r="I6575" s="156"/>
      <c r="J6575" s="156"/>
    </row>
    <row r="6576" spans="8:10">
      <c r="H6576" s="156"/>
      <c r="I6576" s="156"/>
      <c r="J6576" s="156"/>
    </row>
    <row r="6577" spans="8:10">
      <c r="H6577" s="156"/>
      <c r="I6577" s="156"/>
      <c r="J6577" s="156"/>
    </row>
    <row r="6578" spans="8:10">
      <c r="H6578" s="156"/>
      <c r="I6578" s="156"/>
      <c r="J6578" s="156"/>
    </row>
    <row r="6579" spans="8:10">
      <c r="H6579" s="156"/>
      <c r="I6579" s="156"/>
      <c r="J6579" s="156"/>
    </row>
    <row r="6580" spans="8:10">
      <c r="H6580" s="156"/>
      <c r="I6580" s="156"/>
      <c r="J6580" s="156"/>
    </row>
    <row r="6581" spans="8:10">
      <c r="H6581" s="156"/>
      <c r="I6581" s="156"/>
      <c r="J6581" s="156"/>
    </row>
    <row r="6582" spans="8:10">
      <c r="H6582" s="156"/>
      <c r="I6582" s="156"/>
      <c r="J6582" s="156"/>
    </row>
    <row r="6583" spans="8:10">
      <c r="H6583" s="156"/>
      <c r="I6583" s="156"/>
      <c r="J6583" s="156"/>
    </row>
    <row r="6584" spans="8:10">
      <c r="H6584" s="156"/>
      <c r="I6584" s="156"/>
      <c r="J6584" s="156"/>
    </row>
    <row r="6585" spans="8:10">
      <c r="H6585" s="156"/>
      <c r="I6585" s="156"/>
      <c r="J6585" s="156"/>
    </row>
    <row r="6586" spans="8:10">
      <c r="H6586" s="156"/>
      <c r="I6586" s="156"/>
      <c r="J6586" s="156"/>
    </row>
    <row r="6587" spans="8:10">
      <c r="H6587" s="156"/>
      <c r="I6587" s="156"/>
      <c r="J6587" s="156"/>
    </row>
    <row r="6588" spans="8:10">
      <c r="H6588" s="156"/>
      <c r="I6588" s="156"/>
      <c r="J6588" s="156"/>
    </row>
    <row r="6589" spans="8:10">
      <c r="H6589" s="156"/>
      <c r="I6589" s="156"/>
      <c r="J6589" s="156"/>
    </row>
    <row r="6590" spans="8:10">
      <c r="H6590" s="156"/>
      <c r="I6590" s="156"/>
      <c r="J6590" s="156"/>
    </row>
    <row r="6591" spans="8:10">
      <c r="H6591" s="156"/>
      <c r="I6591" s="156"/>
      <c r="J6591" s="156"/>
    </row>
    <row r="6592" spans="8:10">
      <c r="H6592" s="156"/>
      <c r="I6592" s="156"/>
      <c r="J6592" s="156"/>
    </row>
    <row r="6593" spans="8:10">
      <c r="H6593" s="156"/>
      <c r="I6593" s="156"/>
      <c r="J6593" s="156"/>
    </row>
    <row r="6594" spans="8:10">
      <c r="H6594" s="156"/>
      <c r="I6594" s="156"/>
      <c r="J6594" s="156"/>
    </row>
    <row r="6595" spans="8:10">
      <c r="H6595" s="156"/>
      <c r="I6595" s="156"/>
      <c r="J6595" s="156"/>
    </row>
    <row r="6596" spans="8:10">
      <c r="H6596" s="156"/>
      <c r="I6596" s="156"/>
      <c r="J6596" s="156"/>
    </row>
    <row r="6597" spans="8:10">
      <c r="H6597" s="156"/>
      <c r="I6597" s="156"/>
      <c r="J6597" s="156"/>
    </row>
    <row r="6598" spans="8:10">
      <c r="H6598" s="156"/>
      <c r="I6598" s="156"/>
      <c r="J6598" s="156"/>
    </row>
    <row r="6599" spans="8:10">
      <c r="H6599" s="156"/>
      <c r="I6599" s="156"/>
      <c r="J6599" s="156"/>
    </row>
    <row r="6600" spans="8:10">
      <c r="H6600" s="156"/>
      <c r="I6600" s="156"/>
      <c r="J6600" s="156"/>
    </row>
    <row r="6601" spans="8:10">
      <c r="H6601" s="156"/>
      <c r="I6601" s="156"/>
      <c r="J6601" s="156"/>
    </row>
    <row r="6602" spans="8:10">
      <c r="H6602" s="156"/>
      <c r="I6602" s="156"/>
      <c r="J6602" s="156"/>
    </row>
    <row r="6603" spans="8:10">
      <c r="H6603" s="156"/>
      <c r="I6603" s="156"/>
      <c r="J6603" s="156"/>
    </row>
    <row r="6604" spans="8:10">
      <c r="H6604" s="156"/>
      <c r="I6604" s="156"/>
      <c r="J6604" s="156"/>
    </row>
    <row r="6605" spans="8:10">
      <c r="H6605" s="156"/>
      <c r="I6605" s="156"/>
      <c r="J6605" s="156"/>
    </row>
    <row r="6606" spans="8:10">
      <c r="H6606" s="156"/>
      <c r="I6606" s="156"/>
      <c r="J6606" s="156"/>
    </row>
    <row r="6607" spans="8:10">
      <c r="H6607" s="156"/>
      <c r="I6607" s="156"/>
      <c r="J6607" s="156"/>
    </row>
    <row r="6608" spans="8:10">
      <c r="H6608" s="156"/>
      <c r="I6608" s="156"/>
      <c r="J6608" s="156"/>
    </row>
    <row r="6609" spans="8:10">
      <c r="H6609" s="156"/>
      <c r="I6609" s="156"/>
      <c r="J6609" s="156"/>
    </row>
    <row r="6610" spans="8:10">
      <c r="H6610" s="156"/>
      <c r="I6610" s="156"/>
      <c r="J6610" s="156"/>
    </row>
    <row r="6611" spans="8:10">
      <c r="H6611" s="156"/>
      <c r="I6611" s="156"/>
      <c r="J6611" s="156"/>
    </row>
    <row r="6612" spans="8:10">
      <c r="H6612" s="156"/>
      <c r="I6612" s="156"/>
      <c r="J6612" s="156"/>
    </row>
    <row r="6613" spans="8:10">
      <c r="H6613" s="156"/>
      <c r="I6613" s="156"/>
      <c r="J6613" s="156"/>
    </row>
    <row r="6614" spans="8:10">
      <c r="H6614" s="156"/>
      <c r="I6614" s="156"/>
      <c r="J6614" s="156"/>
    </row>
    <row r="6615" spans="8:10">
      <c r="H6615" s="156"/>
      <c r="I6615" s="156"/>
      <c r="J6615" s="156"/>
    </row>
    <row r="6616" spans="8:10">
      <c r="H6616" s="156"/>
      <c r="I6616" s="156"/>
      <c r="J6616" s="156"/>
    </row>
    <row r="6617" spans="8:10">
      <c r="H6617" s="156"/>
      <c r="I6617" s="156"/>
      <c r="J6617" s="156"/>
    </row>
    <row r="6618" spans="8:10">
      <c r="H6618" s="156"/>
      <c r="I6618" s="156"/>
      <c r="J6618" s="156"/>
    </row>
    <row r="6619" spans="8:10">
      <c r="H6619" s="156"/>
      <c r="I6619" s="156"/>
      <c r="J6619" s="156"/>
    </row>
    <row r="6620" spans="8:10">
      <c r="H6620" s="156"/>
      <c r="I6620" s="156"/>
      <c r="J6620" s="156"/>
    </row>
    <row r="6621" spans="8:10">
      <c r="H6621" s="156"/>
      <c r="I6621" s="156"/>
      <c r="J6621" s="156"/>
    </row>
    <row r="6622" spans="8:10">
      <c r="H6622" s="156"/>
      <c r="I6622" s="156"/>
      <c r="J6622" s="156"/>
    </row>
    <row r="6623" spans="8:10">
      <c r="H6623" s="156"/>
      <c r="I6623" s="156"/>
      <c r="J6623" s="156"/>
    </row>
    <row r="6624" spans="8:10">
      <c r="H6624" s="156"/>
      <c r="I6624" s="156"/>
      <c r="J6624" s="156"/>
    </row>
    <row r="6625" spans="8:10">
      <c r="H6625" s="156"/>
      <c r="I6625" s="156"/>
      <c r="J6625" s="156"/>
    </row>
    <row r="6626" spans="8:10">
      <c r="H6626" s="156"/>
      <c r="I6626" s="156"/>
      <c r="J6626" s="156"/>
    </row>
    <row r="6627" spans="8:10">
      <c r="H6627" s="156"/>
      <c r="I6627" s="156"/>
      <c r="J6627" s="156"/>
    </row>
    <row r="6628" spans="8:10">
      <c r="H6628" s="156"/>
      <c r="I6628" s="156"/>
      <c r="J6628" s="156"/>
    </row>
    <row r="6629" spans="8:10">
      <c r="H6629" s="156"/>
      <c r="I6629" s="156"/>
      <c r="J6629" s="156"/>
    </row>
    <row r="6630" spans="8:10">
      <c r="H6630" s="156"/>
      <c r="I6630" s="156"/>
      <c r="J6630" s="156"/>
    </row>
    <row r="6631" spans="8:10">
      <c r="H6631" s="156"/>
      <c r="I6631" s="156"/>
      <c r="J6631" s="156"/>
    </row>
    <row r="6632" spans="8:10">
      <c r="H6632" s="156"/>
      <c r="I6632" s="156"/>
      <c r="J6632" s="156"/>
    </row>
    <row r="6633" spans="8:10">
      <c r="H6633" s="156"/>
      <c r="I6633" s="156"/>
      <c r="J6633" s="156"/>
    </row>
    <row r="6634" spans="8:10">
      <c r="H6634" s="156"/>
      <c r="I6634" s="156"/>
      <c r="J6634" s="156"/>
    </row>
    <row r="6635" spans="8:10">
      <c r="H6635" s="156"/>
      <c r="I6635" s="156"/>
      <c r="J6635" s="156"/>
    </row>
    <row r="6636" spans="8:10">
      <c r="H6636" s="156"/>
      <c r="I6636" s="156"/>
      <c r="J6636" s="156"/>
    </row>
    <row r="6637" spans="8:10">
      <c r="H6637" s="156"/>
      <c r="I6637" s="156"/>
      <c r="J6637" s="156"/>
    </row>
    <row r="6638" spans="8:10">
      <c r="H6638" s="156"/>
      <c r="I6638" s="156"/>
      <c r="J6638" s="156"/>
    </row>
    <row r="6639" spans="8:10">
      <c r="H6639" s="156"/>
      <c r="I6639" s="156"/>
      <c r="J6639" s="156"/>
    </row>
    <row r="6640" spans="8:10">
      <c r="H6640" s="156"/>
      <c r="I6640" s="156"/>
      <c r="J6640" s="156"/>
    </row>
    <row r="6641" spans="8:10">
      <c r="H6641" s="156"/>
      <c r="I6641" s="156"/>
      <c r="J6641" s="156"/>
    </row>
    <row r="6642" spans="8:10">
      <c r="H6642" s="156"/>
      <c r="I6642" s="156"/>
      <c r="J6642" s="156"/>
    </row>
    <row r="6643" spans="8:10">
      <c r="H6643" s="156"/>
      <c r="I6643" s="156"/>
      <c r="J6643" s="156"/>
    </row>
    <row r="6644" spans="8:10">
      <c r="H6644" s="156"/>
      <c r="I6644" s="156"/>
      <c r="J6644" s="156"/>
    </row>
    <row r="6645" spans="8:10">
      <c r="H6645" s="156"/>
      <c r="I6645" s="156"/>
      <c r="J6645" s="156"/>
    </row>
    <row r="6646" spans="8:10">
      <c r="H6646" s="156"/>
      <c r="I6646" s="156"/>
      <c r="J6646" s="156"/>
    </row>
    <row r="6647" spans="8:10">
      <c r="H6647" s="156"/>
      <c r="I6647" s="156"/>
      <c r="J6647" s="156"/>
    </row>
    <row r="6648" spans="8:10">
      <c r="H6648" s="156"/>
      <c r="I6648" s="156"/>
      <c r="J6648" s="156"/>
    </row>
    <row r="6649" spans="8:10">
      <c r="H6649" s="156"/>
      <c r="I6649" s="156"/>
      <c r="J6649" s="156"/>
    </row>
    <row r="6650" spans="8:10">
      <c r="H6650" s="156"/>
      <c r="I6650" s="156"/>
      <c r="J6650" s="156"/>
    </row>
    <row r="6651" spans="8:10">
      <c r="H6651" s="156"/>
      <c r="I6651" s="156"/>
      <c r="J6651" s="156"/>
    </row>
    <row r="6652" spans="8:10">
      <c r="H6652" s="156"/>
      <c r="I6652" s="156"/>
      <c r="J6652" s="156"/>
    </row>
    <row r="6653" spans="8:10">
      <c r="H6653" s="156"/>
      <c r="I6653" s="156"/>
      <c r="J6653" s="156"/>
    </row>
    <row r="6654" spans="8:10">
      <c r="H6654" s="156"/>
      <c r="I6654" s="156"/>
      <c r="J6654" s="156"/>
    </row>
    <row r="6655" spans="8:10">
      <c r="H6655" s="156"/>
      <c r="I6655" s="156"/>
      <c r="J6655" s="156"/>
    </row>
    <row r="6656" spans="8:10">
      <c r="H6656" s="156"/>
      <c r="I6656" s="156"/>
      <c r="J6656" s="156"/>
    </row>
    <row r="6657" spans="8:10">
      <c r="H6657" s="156"/>
      <c r="I6657" s="156"/>
      <c r="J6657" s="156"/>
    </row>
    <row r="6658" spans="8:10">
      <c r="H6658" s="156"/>
      <c r="I6658" s="156"/>
      <c r="J6658" s="156"/>
    </row>
    <row r="6659" spans="8:10">
      <c r="H6659" s="156"/>
      <c r="I6659" s="156"/>
      <c r="J6659" s="156"/>
    </row>
    <row r="6660" spans="8:10">
      <c r="H6660" s="156"/>
      <c r="I6660" s="156"/>
      <c r="J6660" s="156"/>
    </row>
    <row r="6661" spans="8:10">
      <c r="H6661" s="156"/>
      <c r="I6661" s="156"/>
      <c r="J6661" s="156"/>
    </row>
    <row r="6662" spans="8:10">
      <c r="H6662" s="156"/>
      <c r="I6662" s="156"/>
      <c r="J6662" s="156"/>
    </row>
    <row r="6663" spans="8:10">
      <c r="H6663" s="156"/>
      <c r="I6663" s="156"/>
      <c r="J6663" s="156"/>
    </row>
    <row r="6664" spans="8:10">
      <c r="H6664" s="156"/>
      <c r="I6664" s="156"/>
      <c r="J6664" s="156"/>
    </row>
    <row r="6665" spans="8:10">
      <c r="H6665" s="156"/>
      <c r="I6665" s="156"/>
      <c r="J6665" s="156"/>
    </row>
    <row r="6666" spans="8:10">
      <c r="H6666" s="156"/>
      <c r="I6666" s="156"/>
      <c r="J6666" s="156"/>
    </row>
    <row r="6667" spans="8:10">
      <c r="H6667" s="156"/>
      <c r="I6667" s="156"/>
      <c r="J6667" s="156"/>
    </row>
    <row r="6668" spans="8:10">
      <c r="H6668" s="156"/>
      <c r="I6668" s="156"/>
      <c r="J6668" s="156"/>
    </row>
    <row r="6669" spans="8:10">
      <c r="H6669" s="156"/>
      <c r="I6669" s="156"/>
      <c r="J6669" s="156"/>
    </row>
    <row r="6670" spans="8:10">
      <c r="H6670" s="156"/>
      <c r="I6670" s="156"/>
      <c r="J6670" s="156"/>
    </row>
    <row r="6671" spans="8:10">
      <c r="H6671" s="156"/>
      <c r="I6671" s="156"/>
      <c r="J6671" s="156"/>
    </row>
    <row r="6672" spans="8:10">
      <c r="H6672" s="156"/>
      <c r="I6672" s="156"/>
      <c r="J6672" s="156"/>
    </row>
    <row r="6673" spans="8:10">
      <c r="H6673" s="156"/>
      <c r="I6673" s="156"/>
      <c r="J6673" s="156"/>
    </row>
    <row r="6674" spans="8:10">
      <c r="H6674" s="156"/>
      <c r="I6674" s="156"/>
      <c r="J6674" s="156"/>
    </row>
    <row r="6675" spans="8:10">
      <c r="H6675" s="156"/>
      <c r="I6675" s="156"/>
      <c r="J6675" s="156"/>
    </row>
    <row r="6676" spans="8:10">
      <c r="H6676" s="156"/>
      <c r="I6676" s="156"/>
      <c r="J6676" s="156"/>
    </row>
    <row r="6677" spans="8:10">
      <c r="H6677" s="156"/>
      <c r="I6677" s="156"/>
      <c r="J6677" s="156"/>
    </row>
    <row r="6678" spans="8:10">
      <c r="H6678" s="156"/>
      <c r="I6678" s="156"/>
      <c r="J6678" s="156"/>
    </row>
    <row r="6679" spans="8:10">
      <c r="H6679" s="156"/>
      <c r="I6679" s="156"/>
      <c r="J6679" s="156"/>
    </row>
    <row r="6680" spans="8:10">
      <c r="H6680" s="156"/>
      <c r="I6680" s="156"/>
      <c r="J6680" s="156"/>
    </row>
    <row r="6681" spans="8:10">
      <c r="H6681" s="156"/>
      <c r="I6681" s="156"/>
      <c r="J6681" s="156"/>
    </row>
    <row r="6682" spans="8:10">
      <c r="H6682" s="156"/>
      <c r="I6682" s="156"/>
      <c r="J6682" s="156"/>
    </row>
    <row r="6683" spans="8:10">
      <c r="H6683" s="156"/>
      <c r="I6683" s="156"/>
      <c r="J6683" s="156"/>
    </row>
    <row r="6684" spans="8:10">
      <c r="H6684" s="156"/>
      <c r="I6684" s="156"/>
      <c r="J6684" s="156"/>
    </row>
    <row r="6685" spans="8:10">
      <c r="H6685" s="156"/>
      <c r="I6685" s="156"/>
      <c r="J6685" s="156"/>
    </row>
    <row r="6686" spans="8:10">
      <c r="H6686" s="156"/>
      <c r="I6686" s="156"/>
      <c r="J6686" s="156"/>
    </row>
    <row r="6687" spans="8:10">
      <c r="H6687" s="156"/>
      <c r="I6687" s="156"/>
      <c r="J6687" s="156"/>
    </row>
    <row r="6688" spans="8:10">
      <c r="H6688" s="156"/>
      <c r="I6688" s="156"/>
      <c r="J6688" s="156"/>
    </row>
    <row r="6689" spans="8:10">
      <c r="H6689" s="156"/>
      <c r="I6689" s="156"/>
      <c r="J6689" s="156"/>
    </row>
    <row r="6690" spans="8:10">
      <c r="H6690" s="156"/>
      <c r="I6690" s="156"/>
      <c r="J6690" s="156"/>
    </row>
    <row r="6691" spans="8:10">
      <c r="H6691" s="156"/>
      <c r="I6691" s="156"/>
      <c r="J6691" s="156"/>
    </row>
    <row r="6692" spans="8:10">
      <c r="H6692" s="156"/>
      <c r="I6692" s="156"/>
      <c r="J6692" s="156"/>
    </row>
    <row r="6693" spans="8:10">
      <c r="H6693" s="156"/>
      <c r="I6693" s="156"/>
      <c r="J6693" s="156"/>
    </row>
    <row r="6694" spans="8:10">
      <c r="H6694" s="156"/>
      <c r="I6694" s="156"/>
      <c r="J6694" s="156"/>
    </row>
    <row r="6695" spans="8:10">
      <c r="H6695" s="156"/>
      <c r="I6695" s="156"/>
      <c r="J6695" s="156"/>
    </row>
    <row r="6696" spans="8:10">
      <c r="H6696" s="156"/>
      <c r="I6696" s="156"/>
      <c r="J6696" s="156"/>
    </row>
    <row r="6697" spans="8:10">
      <c r="H6697" s="156"/>
      <c r="I6697" s="156"/>
      <c r="J6697" s="156"/>
    </row>
    <row r="6698" spans="8:10">
      <c r="H6698" s="156"/>
      <c r="I6698" s="156"/>
      <c r="J6698" s="156"/>
    </row>
    <row r="6699" spans="8:10">
      <c r="H6699" s="156"/>
      <c r="I6699" s="156"/>
      <c r="J6699" s="156"/>
    </row>
    <row r="6700" spans="8:10">
      <c r="H6700" s="156"/>
      <c r="I6700" s="156"/>
      <c r="J6700" s="156"/>
    </row>
    <row r="6701" spans="8:10">
      <c r="H6701" s="156"/>
      <c r="I6701" s="156"/>
      <c r="J6701" s="156"/>
    </row>
    <row r="6702" spans="8:10">
      <c r="H6702" s="156"/>
      <c r="I6702" s="156"/>
      <c r="J6702" s="156"/>
    </row>
    <row r="6703" spans="8:10">
      <c r="H6703" s="156"/>
      <c r="I6703" s="156"/>
      <c r="J6703" s="156"/>
    </row>
    <row r="6704" spans="8:10">
      <c r="H6704" s="156"/>
      <c r="I6704" s="156"/>
      <c r="J6704" s="156"/>
    </row>
    <row r="6705" spans="8:10">
      <c r="H6705" s="156"/>
      <c r="I6705" s="156"/>
      <c r="J6705" s="156"/>
    </row>
    <row r="6706" spans="8:10">
      <c r="H6706" s="156"/>
      <c r="I6706" s="156"/>
      <c r="J6706" s="156"/>
    </row>
    <row r="6707" spans="8:10">
      <c r="H6707" s="156"/>
      <c r="I6707" s="156"/>
      <c r="J6707" s="156"/>
    </row>
    <row r="6708" spans="8:10">
      <c r="H6708" s="156"/>
      <c r="I6708" s="156"/>
      <c r="J6708" s="156"/>
    </row>
    <row r="6709" spans="8:10">
      <c r="H6709" s="156"/>
      <c r="I6709" s="156"/>
      <c r="J6709" s="156"/>
    </row>
    <row r="6710" spans="8:10">
      <c r="H6710" s="156"/>
      <c r="I6710" s="156"/>
      <c r="J6710" s="156"/>
    </row>
    <row r="6711" spans="8:10">
      <c r="H6711" s="156"/>
      <c r="I6711" s="156"/>
      <c r="J6711" s="156"/>
    </row>
    <row r="6712" spans="8:10">
      <c r="H6712" s="156"/>
      <c r="I6712" s="156"/>
      <c r="J6712" s="156"/>
    </row>
    <row r="6713" spans="8:10">
      <c r="H6713" s="156"/>
      <c r="I6713" s="156"/>
      <c r="J6713" s="156"/>
    </row>
    <row r="6714" spans="8:10">
      <c r="H6714" s="156"/>
      <c r="I6714" s="156"/>
      <c r="J6714" s="156"/>
    </row>
    <row r="6715" spans="8:10">
      <c r="H6715" s="156"/>
      <c r="I6715" s="156"/>
      <c r="J6715" s="156"/>
    </row>
    <row r="6716" spans="8:10">
      <c r="H6716" s="156"/>
      <c r="I6716" s="156"/>
      <c r="J6716" s="156"/>
    </row>
    <row r="6717" spans="8:10">
      <c r="H6717" s="156"/>
      <c r="I6717" s="156"/>
      <c r="J6717" s="156"/>
    </row>
    <row r="6718" spans="8:10">
      <c r="H6718" s="156"/>
      <c r="I6718" s="156"/>
      <c r="J6718" s="156"/>
    </row>
    <row r="6719" spans="8:10">
      <c r="H6719" s="156"/>
      <c r="I6719" s="156"/>
      <c r="J6719" s="156"/>
    </row>
    <row r="6720" spans="8:10">
      <c r="H6720" s="156"/>
      <c r="I6720" s="156"/>
      <c r="J6720" s="156"/>
    </row>
    <row r="6721" spans="8:10">
      <c r="H6721" s="156"/>
      <c r="I6721" s="156"/>
      <c r="J6721" s="156"/>
    </row>
    <row r="6722" spans="8:10">
      <c r="H6722" s="156"/>
      <c r="I6722" s="156"/>
      <c r="J6722" s="156"/>
    </row>
    <row r="6723" spans="8:10">
      <c r="H6723" s="156"/>
      <c r="I6723" s="156"/>
      <c r="J6723" s="156"/>
    </row>
    <row r="6724" spans="8:10">
      <c r="H6724" s="156"/>
      <c r="I6724" s="156"/>
      <c r="J6724" s="156"/>
    </row>
    <row r="6725" spans="8:10">
      <c r="H6725" s="156"/>
      <c r="I6725" s="156"/>
      <c r="J6725" s="156"/>
    </row>
    <row r="6726" spans="8:10">
      <c r="H6726" s="156"/>
      <c r="I6726" s="156"/>
      <c r="J6726" s="156"/>
    </row>
    <row r="6727" spans="8:10">
      <c r="H6727" s="156"/>
      <c r="I6727" s="156"/>
      <c r="J6727" s="156"/>
    </row>
    <row r="6728" spans="8:10">
      <c r="H6728" s="156"/>
      <c r="I6728" s="156"/>
      <c r="J6728" s="156"/>
    </row>
    <row r="6729" spans="8:10">
      <c r="H6729" s="156"/>
      <c r="I6729" s="156"/>
      <c r="J6729" s="156"/>
    </row>
    <row r="6730" spans="8:10">
      <c r="H6730" s="156"/>
      <c r="I6730" s="156"/>
      <c r="J6730" s="156"/>
    </row>
    <row r="6731" spans="8:10">
      <c r="H6731" s="156"/>
      <c r="I6731" s="156"/>
      <c r="J6731" s="156"/>
    </row>
    <row r="6732" spans="8:10">
      <c r="H6732" s="156"/>
      <c r="I6732" s="156"/>
      <c r="J6732" s="156"/>
    </row>
    <row r="6733" spans="8:10">
      <c r="H6733" s="156"/>
      <c r="I6733" s="156"/>
      <c r="J6733" s="156"/>
    </row>
    <row r="6734" spans="8:10">
      <c r="H6734" s="156"/>
      <c r="I6734" s="156"/>
      <c r="J6734" s="156"/>
    </row>
    <row r="6735" spans="8:10">
      <c r="H6735" s="156"/>
      <c r="I6735" s="156"/>
      <c r="J6735" s="156"/>
    </row>
    <row r="6736" spans="8:10">
      <c r="H6736" s="156"/>
      <c r="I6736" s="156"/>
      <c r="J6736" s="156"/>
    </row>
    <row r="6737" spans="8:10">
      <c r="H6737" s="156"/>
      <c r="I6737" s="156"/>
      <c r="J6737" s="156"/>
    </row>
    <row r="6738" spans="8:10">
      <c r="H6738" s="156"/>
      <c r="I6738" s="156"/>
      <c r="J6738" s="156"/>
    </row>
    <row r="6739" spans="8:10">
      <c r="H6739" s="156"/>
      <c r="I6739" s="156"/>
      <c r="J6739" s="156"/>
    </row>
    <row r="6740" spans="8:10">
      <c r="H6740" s="156"/>
      <c r="I6740" s="156"/>
      <c r="J6740" s="156"/>
    </row>
    <row r="6741" spans="8:10">
      <c r="H6741" s="156"/>
      <c r="I6741" s="156"/>
      <c r="J6741" s="156"/>
    </row>
    <row r="6742" spans="8:10">
      <c r="H6742" s="156"/>
      <c r="I6742" s="156"/>
      <c r="J6742" s="156"/>
    </row>
    <row r="6743" spans="8:10">
      <c r="H6743" s="156"/>
      <c r="I6743" s="156"/>
      <c r="J6743" s="156"/>
    </row>
    <row r="6744" spans="8:10">
      <c r="H6744" s="156"/>
      <c r="I6744" s="156"/>
      <c r="J6744" s="156"/>
    </row>
    <row r="6745" spans="8:10">
      <c r="H6745" s="156"/>
      <c r="I6745" s="156"/>
      <c r="J6745" s="156"/>
    </row>
    <row r="6746" spans="8:10">
      <c r="H6746" s="156"/>
      <c r="I6746" s="156"/>
      <c r="J6746" s="156"/>
    </row>
    <row r="6747" spans="8:10">
      <c r="H6747" s="156"/>
      <c r="I6747" s="156"/>
      <c r="J6747" s="156"/>
    </row>
    <row r="6748" spans="8:10">
      <c r="H6748" s="156"/>
      <c r="I6748" s="156"/>
      <c r="J6748" s="156"/>
    </row>
    <row r="6749" spans="8:10">
      <c r="H6749" s="156"/>
      <c r="I6749" s="156"/>
      <c r="J6749" s="156"/>
    </row>
    <row r="6750" spans="8:10">
      <c r="H6750" s="156"/>
      <c r="I6750" s="156"/>
      <c r="J6750" s="156"/>
    </row>
    <row r="6751" spans="8:10">
      <c r="H6751" s="156"/>
      <c r="I6751" s="156"/>
      <c r="J6751" s="156"/>
    </row>
    <row r="6752" spans="8:10">
      <c r="H6752" s="156"/>
      <c r="I6752" s="156"/>
      <c r="J6752" s="156"/>
    </row>
    <row r="6753" spans="8:10">
      <c r="H6753" s="156"/>
      <c r="I6753" s="156"/>
      <c r="J6753" s="156"/>
    </row>
    <row r="6754" spans="8:10">
      <c r="H6754" s="156"/>
      <c r="I6754" s="156"/>
      <c r="J6754" s="156"/>
    </row>
    <row r="6755" spans="8:10">
      <c r="H6755" s="156"/>
      <c r="I6755" s="156"/>
      <c r="J6755" s="156"/>
    </row>
    <row r="6756" spans="8:10">
      <c r="H6756" s="156"/>
      <c r="I6756" s="156"/>
      <c r="J6756" s="156"/>
    </row>
    <row r="6757" spans="8:10">
      <c r="H6757" s="156"/>
      <c r="I6757" s="156"/>
      <c r="J6757" s="156"/>
    </row>
    <row r="6758" spans="8:10">
      <c r="H6758" s="156"/>
      <c r="I6758" s="156"/>
      <c r="J6758" s="156"/>
    </row>
    <row r="6759" spans="8:10">
      <c r="H6759" s="156"/>
      <c r="I6759" s="156"/>
      <c r="J6759" s="156"/>
    </row>
    <row r="6760" spans="8:10">
      <c r="H6760" s="156"/>
      <c r="I6760" s="156"/>
      <c r="J6760" s="156"/>
    </row>
    <row r="6761" spans="8:10">
      <c r="H6761" s="156"/>
      <c r="I6761" s="156"/>
      <c r="J6761" s="156"/>
    </row>
    <row r="6762" spans="8:10">
      <c r="H6762" s="156"/>
      <c r="I6762" s="156"/>
      <c r="J6762" s="156"/>
    </row>
    <row r="6763" spans="8:10">
      <c r="H6763" s="156"/>
      <c r="I6763" s="156"/>
      <c r="J6763" s="156"/>
    </row>
    <row r="6764" spans="8:10">
      <c r="H6764" s="156"/>
      <c r="I6764" s="156"/>
      <c r="J6764" s="156"/>
    </row>
    <row r="6765" spans="8:10">
      <c r="H6765" s="156"/>
      <c r="I6765" s="156"/>
      <c r="J6765" s="156"/>
    </row>
    <row r="6766" spans="8:10">
      <c r="H6766" s="156"/>
      <c r="I6766" s="156"/>
      <c r="J6766" s="156"/>
    </row>
    <row r="6767" spans="8:10">
      <c r="H6767" s="156"/>
      <c r="I6767" s="156"/>
      <c r="J6767" s="156"/>
    </row>
    <row r="6768" spans="8:10">
      <c r="H6768" s="156"/>
      <c r="I6768" s="156"/>
      <c r="J6768" s="156"/>
    </row>
    <row r="6769" spans="8:10">
      <c r="H6769" s="156"/>
      <c r="I6769" s="156"/>
      <c r="J6769" s="156"/>
    </row>
    <row r="6770" spans="8:10">
      <c r="H6770" s="156"/>
      <c r="I6770" s="156"/>
      <c r="J6770" s="156"/>
    </row>
    <row r="6771" spans="8:10">
      <c r="H6771" s="156"/>
      <c r="I6771" s="156"/>
      <c r="J6771" s="156"/>
    </row>
    <row r="6772" spans="8:10">
      <c r="H6772" s="156"/>
      <c r="I6772" s="156"/>
      <c r="J6772" s="156"/>
    </row>
    <row r="6773" spans="8:10">
      <c r="H6773" s="156"/>
      <c r="I6773" s="156"/>
      <c r="J6773" s="156"/>
    </row>
    <row r="6774" spans="8:10">
      <c r="H6774" s="156"/>
      <c r="I6774" s="156"/>
      <c r="J6774" s="156"/>
    </row>
    <row r="6775" spans="8:10">
      <c r="H6775" s="156"/>
      <c r="I6775" s="156"/>
      <c r="J6775" s="156"/>
    </row>
    <row r="6776" spans="8:10">
      <c r="H6776" s="156"/>
      <c r="I6776" s="156"/>
      <c r="J6776" s="156"/>
    </row>
    <row r="6777" spans="8:10">
      <c r="H6777" s="156"/>
      <c r="I6777" s="156"/>
      <c r="J6777" s="156"/>
    </row>
    <row r="6778" spans="8:10">
      <c r="H6778" s="156"/>
      <c r="I6778" s="156"/>
      <c r="J6778" s="156"/>
    </row>
    <row r="6779" spans="8:10">
      <c r="H6779" s="156"/>
      <c r="I6779" s="156"/>
      <c r="J6779" s="156"/>
    </row>
    <row r="6780" spans="8:10">
      <c r="H6780" s="156"/>
      <c r="I6780" s="156"/>
      <c r="J6780" s="156"/>
    </row>
    <row r="6781" spans="8:10">
      <c r="H6781" s="156"/>
      <c r="I6781" s="156"/>
      <c r="J6781" s="156"/>
    </row>
    <row r="6782" spans="8:10">
      <c r="H6782" s="156"/>
      <c r="I6782" s="156"/>
      <c r="J6782" s="156"/>
    </row>
    <row r="6783" spans="8:10">
      <c r="H6783" s="156"/>
      <c r="I6783" s="156"/>
      <c r="J6783" s="156"/>
    </row>
    <row r="6784" spans="8:10">
      <c r="H6784" s="156"/>
      <c r="I6784" s="156"/>
      <c r="J6784" s="156"/>
    </row>
    <row r="6785" spans="8:10">
      <c r="H6785" s="156"/>
      <c r="I6785" s="156"/>
      <c r="J6785" s="156"/>
    </row>
    <row r="6786" spans="8:10">
      <c r="H6786" s="156"/>
      <c r="I6786" s="156"/>
      <c r="J6786" s="156"/>
    </row>
    <row r="6787" spans="8:10">
      <c r="H6787" s="156"/>
      <c r="I6787" s="156"/>
      <c r="J6787" s="156"/>
    </row>
    <row r="6788" spans="8:10">
      <c r="H6788" s="156"/>
      <c r="I6788" s="156"/>
      <c r="J6788" s="156"/>
    </row>
    <row r="6789" spans="8:10">
      <c r="H6789" s="156"/>
      <c r="I6789" s="156"/>
      <c r="J6789" s="156"/>
    </row>
    <row r="6790" spans="8:10">
      <c r="H6790" s="156"/>
      <c r="I6790" s="156"/>
      <c r="J6790" s="156"/>
    </row>
    <row r="6791" spans="8:10">
      <c r="H6791" s="156"/>
      <c r="I6791" s="156"/>
      <c r="J6791" s="156"/>
    </row>
    <row r="6792" spans="8:10">
      <c r="H6792" s="156"/>
      <c r="I6792" s="156"/>
      <c r="J6792" s="156"/>
    </row>
    <row r="6793" spans="8:10">
      <c r="H6793" s="156"/>
      <c r="I6793" s="156"/>
      <c r="J6793" s="156"/>
    </row>
    <row r="6794" spans="8:10">
      <c r="H6794" s="156"/>
      <c r="I6794" s="156"/>
      <c r="J6794" s="156"/>
    </row>
    <row r="6795" spans="8:10">
      <c r="H6795" s="156"/>
      <c r="I6795" s="156"/>
      <c r="J6795" s="156"/>
    </row>
    <row r="6796" spans="8:10">
      <c r="H6796" s="156"/>
      <c r="I6796" s="156"/>
      <c r="J6796" s="156"/>
    </row>
    <row r="6797" spans="8:10">
      <c r="H6797" s="156"/>
      <c r="I6797" s="156"/>
      <c r="J6797" s="156"/>
    </row>
    <row r="6798" spans="8:10">
      <c r="H6798" s="156"/>
      <c r="I6798" s="156"/>
      <c r="J6798" s="156"/>
    </row>
    <row r="6799" spans="8:10">
      <c r="H6799" s="156"/>
      <c r="I6799" s="156"/>
      <c r="J6799" s="156"/>
    </row>
    <row r="6800" spans="8:10">
      <c r="H6800" s="156"/>
      <c r="I6800" s="156"/>
      <c r="J6800" s="156"/>
    </row>
    <row r="6801" spans="8:10">
      <c r="H6801" s="156"/>
      <c r="I6801" s="156"/>
      <c r="J6801" s="156"/>
    </row>
    <row r="6802" spans="8:10">
      <c r="H6802" s="156"/>
      <c r="I6802" s="156"/>
      <c r="J6802" s="156"/>
    </row>
    <row r="6803" spans="8:10">
      <c r="H6803" s="156"/>
      <c r="I6803" s="156"/>
      <c r="J6803" s="156"/>
    </row>
    <row r="6804" spans="8:10">
      <c r="H6804" s="156"/>
      <c r="I6804" s="156"/>
      <c r="J6804" s="156"/>
    </row>
    <row r="6805" spans="8:10">
      <c r="H6805" s="156"/>
      <c r="I6805" s="156"/>
      <c r="J6805" s="156"/>
    </row>
    <row r="6806" spans="8:10">
      <c r="H6806" s="156"/>
      <c r="I6806" s="156"/>
      <c r="J6806" s="156"/>
    </row>
    <row r="6807" spans="8:10">
      <c r="H6807" s="156"/>
      <c r="I6807" s="156"/>
      <c r="J6807" s="156"/>
    </row>
    <row r="6808" spans="8:10">
      <c r="H6808" s="156"/>
      <c r="I6808" s="156"/>
      <c r="J6808" s="156"/>
    </row>
    <row r="6809" spans="8:10">
      <c r="H6809" s="156"/>
      <c r="I6809" s="156"/>
      <c r="J6809" s="156"/>
    </row>
    <row r="6810" spans="8:10">
      <c r="H6810" s="156"/>
      <c r="I6810" s="156"/>
      <c r="J6810" s="156"/>
    </row>
    <row r="6811" spans="8:10">
      <c r="H6811" s="156"/>
      <c r="I6811" s="156"/>
      <c r="J6811" s="156"/>
    </row>
    <row r="6812" spans="8:10">
      <c r="H6812" s="156"/>
      <c r="I6812" s="156"/>
      <c r="J6812" s="156"/>
    </row>
    <row r="6813" spans="8:10">
      <c r="H6813" s="156"/>
      <c r="I6813" s="156"/>
      <c r="J6813" s="156"/>
    </row>
    <row r="6814" spans="8:10">
      <c r="H6814" s="156"/>
      <c r="I6814" s="156"/>
      <c r="J6814" s="156"/>
    </row>
    <row r="6815" spans="8:10">
      <c r="H6815" s="156"/>
      <c r="I6815" s="156"/>
      <c r="J6815" s="156"/>
    </row>
    <row r="6816" spans="8:10">
      <c r="H6816" s="156"/>
      <c r="I6816" s="156"/>
      <c r="J6816" s="156"/>
    </row>
    <row r="6817" spans="8:10">
      <c r="H6817" s="156"/>
      <c r="I6817" s="156"/>
      <c r="J6817" s="156"/>
    </row>
    <row r="6818" spans="8:10">
      <c r="H6818" s="156"/>
      <c r="I6818" s="156"/>
      <c r="J6818" s="156"/>
    </row>
    <row r="6819" spans="8:10">
      <c r="H6819" s="156"/>
      <c r="I6819" s="156"/>
      <c r="J6819" s="156"/>
    </row>
    <row r="6820" spans="8:10">
      <c r="H6820" s="156"/>
      <c r="I6820" s="156"/>
      <c r="J6820" s="156"/>
    </row>
    <row r="6821" spans="8:10">
      <c r="H6821" s="156"/>
      <c r="I6821" s="156"/>
      <c r="J6821" s="156"/>
    </row>
    <row r="6822" spans="8:10">
      <c r="H6822" s="156"/>
      <c r="I6822" s="156"/>
      <c r="J6822" s="156"/>
    </row>
    <row r="6823" spans="8:10">
      <c r="H6823" s="156"/>
      <c r="I6823" s="156"/>
      <c r="J6823" s="156"/>
    </row>
    <row r="6824" spans="8:10">
      <c r="H6824" s="156"/>
      <c r="I6824" s="156"/>
      <c r="J6824" s="156"/>
    </row>
    <row r="6825" spans="8:10">
      <c r="H6825" s="156"/>
      <c r="I6825" s="156"/>
      <c r="J6825" s="156"/>
    </row>
    <row r="6826" spans="8:10">
      <c r="H6826" s="156"/>
      <c r="I6826" s="156"/>
      <c r="J6826" s="156"/>
    </row>
    <row r="6827" spans="8:10">
      <c r="H6827" s="156"/>
      <c r="I6827" s="156"/>
      <c r="J6827" s="156"/>
    </row>
    <row r="6828" spans="8:10">
      <c r="H6828" s="156"/>
      <c r="I6828" s="156"/>
      <c r="J6828" s="156"/>
    </row>
    <row r="6829" spans="8:10">
      <c r="H6829" s="156"/>
      <c r="I6829" s="156"/>
      <c r="J6829" s="156"/>
    </row>
    <row r="6830" spans="8:10">
      <c r="H6830" s="156"/>
      <c r="I6830" s="156"/>
      <c r="J6830" s="156"/>
    </row>
    <row r="6831" spans="8:10">
      <c r="H6831" s="156"/>
      <c r="I6831" s="156"/>
      <c r="J6831" s="156"/>
    </row>
    <row r="6832" spans="8:10">
      <c r="H6832" s="156"/>
      <c r="I6832" s="156"/>
      <c r="J6832" s="156"/>
    </row>
    <row r="6833" spans="8:10">
      <c r="H6833" s="156"/>
      <c r="I6833" s="156"/>
      <c r="J6833" s="156"/>
    </row>
    <row r="6834" spans="8:10">
      <c r="H6834" s="156"/>
      <c r="I6834" s="156"/>
      <c r="J6834" s="156"/>
    </row>
    <row r="6835" spans="8:10">
      <c r="H6835" s="156"/>
      <c r="I6835" s="156"/>
      <c r="J6835" s="156"/>
    </row>
    <row r="6836" spans="8:10">
      <c r="H6836" s="156"/>
      <c r="I6836" s="156"/>
      <c r="J6836" s="156"/>
    </row>
    <row r="6837" spans="8:10">
      <c r="H6837" s="156"/>
      <c r="I6837" s="156"/>
      <c r="J6837" s="156"/>
    </row>
    <row r="6838" spans="8:10">
      <c r="H6838" s="156"/>
      <c r="I6838" s="156"/>
      <c r="J6838" s="156"/>
    </row>
    <row r="6839" spans="8:10">
      <c r="H6839" s="156"/>
      <c r="I6839" s="156"/>
      <c r="J6839" s="156"/>
    </row>
    <row r="6840" spans="8:10">
      <c r="H6840" s="156"/>
      <c r="I6840" s="156"/>
      <c r="J6840" s="156"/>
    </row>
    <row r="6841" spans="8:10">
      <c r="H6841" s="156"/>
      <c r="I6841" s="156"/>
      <c r="J6841" s="156"/>
    </row>
    <row r="6842" spans="8:10">
      <c r="H6842" s="156"/>
      <c r="I6842" s="156"/>
      <c r="J6842" s="156"/>
    </row>
    <row r="6843" spans="8:10">
      <c r="H6843" s="156"/>
      <c r="I6843" s="156"/>
      <c r="J6843" s="156"/>
    </row>
    <row r="6844" spans="8:10">
      <c r="H6844" s="156"/>
      <c r="I6844" s="156"/>
      <c r="J6844" s="156"/>
    </row>
    <row r="6845" spans="8:10">
      <c r="H6845" s="156"/>
      <c r="I6845" s="156"/>
      <c r="J6845" s="156"/>
    </row>
    <row r="6846" spans="8:10">
      <c r="H6846" s="156"/>
      <c r="I6846" s="156"/>
      <c r="J6846" s="156"/>
    </row>
    <row r="6847" spans="8:10">
      <c r="H6847" s="156"/>
      <c r="I6847" s="156"/>
      <c r="J6847" s="156"/>
    </row>
    <row r="6848" spans="8:10">
      <c r="H6848" s="156"/>
      <c r="I6848" s="156"/>
      <c r="J6848" s="156"/>
    </row>
    <row r="6849" spans="8:10">
      <c r="H6849" s="156"/>
      <c r="I6849" s="156"/>
      <c r="J6849" s="156"/>
    </row>
    <row r="6850" spans="8:10">
      <c r="H6850" s="156"/>
      <c r="I6850" s="156"/>
      <c r="J6850" s="156"/>
    </row>
    <row r="6851" spans="8:10">
      <c r="H6851" s="156"/>
      <c r="I6851" s="156"/>
      <c r="J6851" s="156"/>
    </row>
    <row r="6852" spans="8:10">
      <c r="H6852" s="156"/>
      <c r="I6852" s="156"/>
      <c r="J6852" s="156"/>
    </row>
    <row r="6853" spans="8:10">
      <c r="H6853" s="156"/>
      <c r="I6853" s="156"/>
      <c r="J6853" s="156"/>
    </row>
    <row r="6854" spans="8:10">
      <c r="H6854" s="156"/>
      <c r="I6854" s="156"/>
      <c r="J6854" s="156"/>
    </row>
    <row r="6855" spans="8:10">
      <c r="H6855" s="156"/>
      <c r="I6855" s="156"/>
      <c r="J6855" s="156"/>
    </row>
    <row r="6856" spans="8:10">
      <c r="H6856" s="156"/>
      <c r="I6856" s="156"/>
      <c r="J6856" s="156"/>
    </row>
    <row r="6857" spans="8:10">
      <c r="H6857" s="156"/>
      <c r="I6857" s="156"/>
      <c r="J6857" s="156"/>
    </row>
    <row r="6858" spans="8:10">
      <c r="H6858" s="156"/>
      <c r="I6858" s="156"/>
      <c r="J6858" s="156"/>
    </row>
    <row r="6859" spans="8:10">
      <c r="H6859" s="156"/>
      <c r="I6859" s="156"/>
      <c r="J6859" s="156"/>
    </row>
    <row r="6860" spans="8:10">
      <c r="H6860" s="156"/>
      <c r="I6860" s="156"/>
      <c r="J6860" s="156"/>
    </row>
    <row r="6861" spans="8:10">
      <c r="H6861" s="156"/>
      <c r="I6861" s="156"/>
      <c r="J6861" s="156"/>
    </row>
    <row r="6862" spans="8:10">
      <c r="H6862" s="156"/>
      <c r="I6862" s="156"/>
      <c r="J6862" s="156"/>
    </row>
    <row r="6863" spans="8:10">
      <c r="H6863" s="156"/>
      <c r="I6863" s="156"/>
      <c r="J6863" s="156"/>
    </row>
    <row r="6864" spans="8:10">
      <c r="H6864" s="156"/>
      <c r="I6864" s="156"/>
      <c r="J6864" s="156"/>
    </row>
    <row r="6865" spans="8:10">
      <c r="H6865" s="156"/>
      <c r="I6865" s="156"/>
      <c r="J6865" s="156"/>
    </row>
    <row r="6866" spans="8:10">
      <c r="H6866" s="156"/>
      <c r="I6866" s="156"/>
      <c r="J6866" s="156"/>
    </row>
    <row r="6867" spans="8:10">
      <c r="H6867" s="156"/>
      <c r="I6867" s="156"/>
      <c r="J6867" s="156"/>
    </row>
    <row r="6868" spans="8:10">
      <c r="H6868" s="156"/>
      <c r="I6868" s="156"/>
      <c r="J6868" s="156"/>
    </row>
    <row r="6869" spans="8:10">
      <c r="H6869" s="156"/>
      <c r="I6869" s="156"/>
      <c r="J6869" s="156"/>
    </row>
    <row r="6870" spans="8:10">
      <c r="H6870" s="156"/>
      <c r="I6870" s="156"/>
      <c r="J6870" s="156"/>
    </row>
    <row r="6871" spans="8:10">
      <c r="H6871" s="156"/>
      <c r="I6871" s="156"/>
      <c r="J6871" s="156"/>
    </row>
    <row r="6872" spans="8:10">
      <c r="H6872" s="156"/>
      <c r="I6872" s="156"/>
      <c r="J6872" s="156"/>
    </row>
    <row r="6873" spans="8:10">
      <c r="H6873" s="156"/>
      <c r="I6873" s="156"/>
      <c r="J6873" s="156"/>
    </row>
    <row r="6874" spans="8:10">
      <c r="H6874" s="156"/>
      <c r="I6874" s="156"/>
      <c r="J6874" s="156"/>
    </row>
    <row r="6875" spans="8:10">
      <c r="H6875" s="156"/>
      <c r="I6875" s="156"/>
      <c r="J6875" s="156"/>
    </row>
    <row r="6876" spans="8:10">
      <c r="H6876" s="156"/>
      <c r="I6876" s="156"/>
      <c r="J6876" s="156"/>
    </row>
    <row r="6877" spans="8:10">
      <c r="H6877" s="156"/>
      <c r="I6877" s="156"/>
      <c r="J6877" s="156"/>
    </row>
    <row r="6878" spans="8:10">
      <c r="H6878" s="156"/>
      <c r="I6878" s="156"/>
      <c r="J6878" s="156"/>
    </row>
    <row r="6879" spans="8:10">
      <c r="H6879" s="156"/>
      <c r="I6879" s="156"/>
      <c r="J6879" s="156"/>
    </row>
    <row r="6880" spans="8:10">
      <c r="H6880" s="156"/>
      <c r="I6880" s="156"/>
      <c r="J6880" s="156"/>
    </row>
    <row r="6881" spans="8:10">
      <c r="H6881" s="156"/>
      <c r="I6881" s="156"/>
      <c r="J6881" s="156"/>
    </row>
    <row r="6882" spans="8:10">
      <c r="H6882" s="156"/>
      <c r="I6882" s="156"/>
      <c r="J6882" s="156"/>
    </row>
    <row r="6883" spans="8:10">
      <c r="H6883" s="156"/>
      <c r="I6883" s="156"/>
      <c r="J6883" s="156"/>
    </row>
    <row r="6884" spans="8:10">
      <c r="H6884" s="156"/>
      <c r="I6884" s="156"/>
      <c r="J6884" s="156"/>
    </row>
    <row r="6885" spans="8:10">
      <c r="H6885" s="156"/>
      <c r="I6885" s="156"/>
      <c r="J6885" s="156"/>
    </row>
    <row r="6886" spans="8:10">
      <c r="H6886" s="156"/>
      <c r="I6886" s="156"/>
      <c r="J6886" s="156"/>
    </row>
    <row r="6887" spans="8:10">
      <c r="H6887" s="156"/>
      <c r="I6887" s="156"/>
      <c r="J6887" s="156"/>
    </row>
    <row r="6888" spans="8:10">
      <c r="H6888" s="156"/>
      <c r="I6888" s="156"/>
      <c r="J6888" s="156"/>
    </row>
    <row r="6889" spans="8:10">
      <c r="H6889" s="156"/>
      <c r="I6889" s="156"/>
      <c r="J6889" s="156"/>
    </row>
    <row r="6890" spans="8:10">
      <c r="H6890" s="156"/>
      <c r="I6890" s="156"/>
      <c r="J6890" s="156"/>
    </row>
    <row r="6891" spans="8:10">
      <c r="H6891" s="156"/>
      <c r="I6891" s="156"/>
      <c r="J6891" s="156"/>
    </row>
    <row r="6892" spans="8:10">
      <c r="H6892" s="156"/>
      <c r="I6892" s="156"/>
      <c r="J6892" s="156"/>
    </row>
    <row r="6893" spans="8:10">
      <c r="H6893" s="156"/>
      <c r="I6893" s="156"/>
      <c r="J6893" s="156"/>
    </row>
    <row r="6894" spans="8:10">
      <c r="H6894" s="156"/>
      <c r="I6894" s="156"/>
      <c r="J6894" s="156"/>
    </row>
    <row r="6895" spans="8:10">
      <c r="H6895" s="156"/>
      <c r="I6895" s="156"/>
      <c r="J6895" s="156"/>
    </row>
    <row r="6896" spans="8:10">
      <c r="H6896" s="156"/>
      <c r="I6896" s="156"/>
      <c r="J6896" s="156"/>
    </row>
    <row r="6897" spans="8:10">
      <c r="H6897" s="156"/>
      <c r="I6897" s="156"/>
      <c r="J6897" s="156"/>
    </row>
    <row r="6898" spans="8:10">
      <c r="H6898" s="156"/>
      <c r="I6898" s="156"/>
      <c r="J6898" s="156"/>
    </row>
    <row r="6899" spans="8:10">
      <c r="H6899" s="156"/>
      <c r="I6899" s="156"/>
      <c r="J6899" s="156"/>
    </row>
    <row r="6900" spans="8:10">
      <c r="H6900" s="156"/>
      <c r="I6900" s="156"/>
      <c r="J6900" s="156"/>
    </row>
    <row r="6901" spans="8:10">
      <c r="H6901" s="156"/>
      <c r="I6901" s="156"/>
      <c r="J6901" s="156"/>
    </row>
    <row r="6902" spans="8:10">
      <c r="H6902" s="156"/>
      <c r="I6902" s="156"/>
      <c r="J6902" s="156"/>
    </row>
    <row r="6903" spans="8:10">
      <c r="H6903" s="156"/>
      <c r="I6903" s="156"/>
      <c r="J6903" s="156"/>
    </row>
    <row r="6904" spans="8:10">
      <c r="H6904" s="156"/>
      <c r="I6904" s="156"/>
      <c r="J6904" s="156"/>
    </row>
    <row r="6905" spans="8:10">
      <c r="H6905" s="156"/>
      <c r="I6905" s="156"/>
      <c r="J6905" s="156"/>
    </row>
    <row r="6906" spans="8:10">
      <c r="H6906" s="156"/>
      <c r="I6906" s="156"/>
      <c r="J6906" s="156"/>
    </row>
    <row r="6907" spans="8:10">
      <c r="H6907" s="156"/>
      <c r="I6907" s="156"/>
      <c r="J6907" s="156"/>
    </row>
    <row r="6908" spans="8:10">
      <c r="H6908" s="156"/>
      <c r="I6908" s="156"/>
      <c r="J6908" s="156"/>
    </row>
    <row r="6909" spans="8:10">
      <c r="H6909" s="156"/>
      <c r="I6909" s="156"/>
      <c r="J6909" s="156"/>
    </row>
    <row r="6910" spans="8:10">
      <c r="H6910" s="156"/>
      <c r="I6910" s="156"/>
      <c r="J6910" s="156"/>
    </row>
    <row r="6911" spans="8:10">
      <c r="H6911" s="156"/>
      <c r="I6911" s="156"/>
      <c r="J6911" s="156"/>
    </row>
    <row r="6912" spans="8:10">
      <c r="H6912" s="156"/>
      <c r="I6912" s="156"/>
      <c r="J6912" s="156"/>
    </row>
    <row r="6913" spans="8:10">
      <c r="H6913" s="156"/>
      <c r="I6913" s="156"/>
      <c r="J6913" s="156"/>
    </row>
    <row r="6914" spans="8:10">
      <c r="H6914" s="156"/>
      <c r="I6914" s="156"/>
      <c r="J6914" s="156"/>
    </row>
    <row r="6915" spans="8:10">
      <c r="H6915" s="156"/>
      <c r="I6915" s="156"/>
      <c r="J6915" s="156"/>
    </row>
    <row r="6916" spans="8:10">
      <c r="H6916" s="156"/>
      <c r="I6916" s="156"/>
      <c r="J6916" s="156"/>
    </row>
    <row r="6917" spans="8:10">
      <c r="H6917" s="156"/>
      <c r="I6917" s="156"/>
      <c r="J6917" s="156"/>
    </row>
    <row r="6918" spans="8:10">
      <c r="H6918" s="156"/>
      <c r="I6918" s="156"/>
      <c r="J6918" s="156"/>
    </row>
    <row r="6919" spans="8:10">
      <c r="H6919" s="156"/>
      <c r="I6919" s="156"/>
      <c r="J6919" s="156"/>
    </row>
    <row r="6920" spans="8:10">
      <c r="H6920" s="156"/>
      <c r="I6920" s="156"/>
      <c r="J6920" s="156"/>
    </row>
    <row r="6921" spans="8:10">
      <c r="H6921" s="156"/>
      <c r="I6921" s="156"/>
      <c r="J6921" s="156"/>
    </row>
    <row r="6922" spans="8:10">
      <c r="H6922" s="156"/>
      <c r="I6922" s="156"/>
      <c r="J6922" s="156"/>
    </row>
    <row r="6923" spans="8:10">
      <c r="H6923" s="156"/>
      <c r="I6923" s="156"/>
      <c r="J6923" s="156"/>
    </row>
    <row r="6924" spans="8:10">
      <c r="H6924" s="156"/>
      <c r="I6924" s="156"/>
      <c r="J6924" s="156"/>
    </row>
    <row r="6925" spans="8:10">
      <c r="H6925" s="156"/>
      <c r="I6925" s="156"/>
      <c r="J6925" s="156"/>
    </row>
    <row r="6926" spans="8:10">
      <c r="H6926" s="156"/>
      <c r="I6926" s="156"/>
      <c r="J6926" s="156"/>
    </row>
    <row r="6927" spans="8:10">
      <c r="H6927" s="156"/>
      <c r="I6927" s="156"/>
      <c r="J6927" s="156"/>
    </row>
    <row r="6928" spans="8:10">
      <c r="H6928" s="156"/>
      <c r="I6928" s="156"/>
      <c r="J6928" s="156"/>
    </row>
    <row r="6929" spans="8:10">
      <c r="H6929" s="156"/>
      <c r="I6929" s="156"/>
      <c r="J6929" s="156"/>
    </row>
    <row r="6930" spans="8:10">
      <c r="H6930" s="156"/>
      <c r="I6930" s="156"/>
      <c r="J6930" s="156"/>
    </row>
    <row r="6931" spans="8:10">
      <c r="H6931" s="156"/>
      <c r="I6931" s="156"/>
      <c r="J6931" s="156"/>
    </row>
    <row r="6932" spans="8:10">
      <c r="H6932" s="156"/>
      <c r="I6932" s="156"/>
      <c r="J6932" s="156"/>
    </row>
    <row r="6933" spans="8:10">
      <c r="H6933" s="156"/>
      <c r="I6933" s="156"/>
      <c r="J6933" s="156"/>
    </row>
    <row r="6934" spans="8:10">
      <c r="H6934" s="156"/>
      <c r="I6934" s="156"/>
      <c r="J6934" s="156"/>
    </row>
    <row r="6935" spans="8:10">
      <c r="H6935" s="156"/>
      <c r="I6935" s="156"/>
      <c r="J6935" s="156"/>
    </row>
    <row r="6936" spans="8:10">
      <c r="H6936" s="156"/>
      <c r="I6936" s="156"/>
      <c r="J6936" s="156"/>
    </row>
    <row r="6937" spans="8:10">
      <c r="H6937" s="156"/>
      <c r="I6937" s="156"/>
      <c r="J6937" s="156"/>
    </row>
    <row r="6938" spans="8:10">
      <c r="H6938" s="156"/>
      <c r="I6938" s="156"/>
      <c r="J6938" s="156"/>
    </row>
    <row r="6939" spans="8:10">
      <c r="H6939" s="156"/>
      <c r="I6939" s="156"/>
      <c r="J6939" s="156"/>
    </row>
    <row r="6940" spans="8:10">
      <c r="H6940" s="156"/>
      <c r="I6940" s="156"/>
      <c r="J6940" s="156"/>
    </row>
    <row r="6941" spans="8:10">
      <c r="H6941" s="156"/>
      <c r="I6941" s="156"/>
      <c r="J6941" s="156"/>
    </row>
    <row r="6942" spans="8:10">
      <c r="H6942" s="156"/>
      <c r="I6942" s="156"/>
      <c r="J6942" s="156"/>
    </row>
    <row r="6943" spans="8:10">
      <c r="H6943" s="156"/>
      <c r="I6943" s="156"/>
      <c r="J6943" s="156"/>
    </row>
    <row r="6944" spans="8:10">
      <c r="H6944" s="156"/>
      <c r="I6944" s="156"/>
      <c r="J6944" s="156"/>
    </row>
    <row r="6945" spans="8:10">
      <c r="H6945" s="156"/>
      <c r="I6945" s="156"/>
      <c r="J6945" s="156"/>
    </row>
    <row r="6946" spans="8:10">
      <c r="H6946" s="156"/>
      <c r="I6946" s="156"/>
      <c r="J6946" s="156"/>
    </row>
    <row r="6947" spans="8:10">
      <c r="H6947" s="156"/>
      <c r="I6947" s="156"/>
      <c r="J6947" s="156"/>
    </row>
    <row r="6948" spans="8:10">
      <c r="H6948" s="156"/>
      <c r="I6948" s="156"/>
      <c r="J6948" s="156"/>
    </row>
    <row r="6949" spans="8:10">
      <c r="H6949" s="156"/>
      <c r="I6949" s="156"/>
      <c r="J6949" s="156"/>
    </row>
    <row r="6950" spans="8:10">
      <c r="H6950" s="156"/>
      <c r="I6950" s="156"/>
      <c r="J6950" s="156"/>
    </row>
    <row r="6951" spans="8:10">
      <c r="H6951" s="156"/>
      <c r="I6951" s="156"/>
      <c r="J6951" s="156"/>
    </row>
    <row r="6952" spans="8:10">
      <c r="H6952" s="156"/>
      <c r="I6952" s="156"/>
      <c r="J6952" s="156"/>
    </row>
    <row r="6953" spans="8:10">
      <c r="H6953" s="156"/>
      <c r="I6953" s="156"/>
      <c r="J6953" s="156"/>
    </row>
    <row r="6954" spans="8:10">
      <c r="H6954" s="156"/>
      <c r="I6954" s="156"/>
      <c r="J6954" s="156"/>
    </row>
    <row r="6955" spans="8:10">
      <c r="H6955" s="156"/>
      <c r="I6955" s="156"/>
      <c r="J6955" s="156"/>
    </row>
    <row r="6956" spans="8:10">
      <c r="H6956" s="156"/>
      <c r="I6956" s="156"/>
      <c r="J6956" s="156"/>
    </row>
    <row r="6957" spans="8:10">
      <c r="H6957" s="156"/>
      <c r="I6957" s="156"/>
      <c r="J6957" s="156"/>
    </row>
    <row r="6958" spans="8:10">
      <c r="H6958" s="156"/>
      <c r="I6958" s="156"/>
      <c r="J6958" s="156"/>
    </row>
    <row r="6959" spans="8:10">
      <c r="H6959" s="156"/>
      <c r="I6959" s="156"/>
      <c r="J6959" s="156"/>
    </row>
    <row r="6960" spans="8:10">
      <c r="H6960" s="156"/>
      <c r="I6960" s="156"/>
      <c r="J6960" s="156"/>
    </row>
    <row r="6961" spans="8:10">
      <c r="H6961" s="156"/>
      <c r="I6961" s="156"/>
      <c r="J6961" s="156"/>
    </row>
    <row r="6962" spans="8:10">
      <c r="H6962" s="156"/>
      <c r="I6962" s="156"/>
      <c r="J6962" s="156"/>
    </row>
    <row r="6963" spans="8:10">
      <c r="H6963" s="156"/>
      <c r="I6963" s="156"/>
      <c r="J6963" s="156"/>
    </row>
    <row r="6964" spans="8:10">
      <c r="H6964" s="156"/>
      <c r="I6964" s="156"/>
      <c r="J6964" s="156"/>
    </row>
    <row r="6965" spans="8:10">
      <c r="H6965" s="156"/>
      <c r="I6965" s="156"/>
      <c r="J6965" s="156"/>
    </row>
    <row r="6966" spans="8:10">
      <c r="H6966" s="156"/>
      <c r="I6966" s="156"/>
      <c r="J6966" s="156"/>
    </row>
    <row r="6967" spans="8:10">
      <c r="H6967" s="156"/>
      <c r="I6967" s="156"/>
      <c r="J6967" s="156"/>
    </row>
    <row r="6968" spans="8:10">
      <c r="H6968" s="156"/>
      <c r="I6968" s="156"/>
      <c r="J6968" s="156"/>
    </row>
    <row r="6969" spans="8:10">
      <c r="H6969" s="156"/>
      <c r="I6969" s="156"/>
      <c r="J6969" s="156"/>
    </row>
    <row r="6970" spans="8:10">
      <c r="H6970" s="156"/>
      <c r="I6970" s="156"/>
      <c r="J6970" s="156"/>
    </row>
    <row r="6971" spans="8:10">
      <c r="H6971" s="156"/>
      <c r="I6971" s="156"/>
      <c r="J6971" s="156"/>
    </row>
    <row r="6972" spans="8:10">
      <c r="H6972" s="156"/>
      <c r="I6972" s="156"/>
      <c r="J6972" s="156"/>
    </row>
    <row r="6973" spans="8:10">
      <c r="H6973" s="156"/>
      <c r="I6973" s="156"/>
      <c r="J6973" s="156"/>
    </row>
    <row r="6974" spans="8:10">
      <c r="H6974" s="156"/>
      <c r="I6974" s="156"/>
      <c r="J6974" s="156"/>
    </row>
    <row r="6975" spans="8:10">
      <c r="H6975" s="156"/>
      <c r="I6975" s="156"/>
      <c r="J6975" s="156"/>
    </row>
    <row r="6976" spans="8:10">
      <c r="H6976" s="156"/>
      <c r="I6976" s="156"/>
      <c r="J6976" s="156"/>
    </row>
    <row r="6977" spans="8:10">
      <c r="H6977" s="156"/>
      <c r="I6977" s="156"/>
      <c r="J6977" s="156"/>
    </row>
    <row r="6978" spans="8:10">
      <c r="H6978" s="156"/>
      <c r="I6978" s="156"/>
      <c r="J6978" s="156"/>
    </row>
    <row r="6979" spans="8:10">
      <c r="H6979" s="156"/>
      <c r="I6979" s="156"/>
      <c r="J6979" s="156"/>
    </row>
    <row r="6980" spans="8:10">
      <c r="H6980" s="156"/>
      <c r="I6980" s="156"/>
      <c r="J6980" s="156"/>
    </row>
    <row r="6981" spans="8:10">
      <c r="H6981" s="156"/>
      <c r="I6981" s="156"/>
      <c r="J6981" s="156"/>
    </row>
    <row r="6982" spans="8:10">
      <c r="H6982" s="156"/>
      <c r="I6982" s="156"/>
      <c r="J6982" s="156"/>
    </row>
    <row r="6983" spans="8:10">
      <c r="H6983" s="156"/>
      <c r="I6983" s="156"/>
      <c r="J6983" s="156"/>
    </row>
    <row r="6984" spans="8:10">
      <c r="H6984" s="156"/>
      <c r="I6984" s="156"/>
      <c r="J6984" s="156"/>
    </row>
    <row r="6985" spans="8:10">
      <c r="H6985" s="156"/>
      <c r="I6985" s="156"/>
      <c r="J6985" s="156"/>
    </row>
    <row r="6986" spans="8:10">
      <c r="H6986" s="156"/>
      <c r="I6986" s="156"/>
      <c r="J6986" s="156"/>
    </row>
    <row r="6987" spans="8:10">
      <c r="H6987" s="156"/>
      <c r="I6987" s="156"/>
      <c r="J6987" s="156"/>
    </row>
    <row r="6988" spans="8:10">
      <c r="H6988" s="156"/>
      <c r="I6988" s="156"/>
      <c r="J6988" s="156"/>
    </row>
    <row r="6989" spans="8:10">
      <c r="H6989" s="156"/>
      <c r="I6989" s="156"/>
      <c r="J6989" s="156"/>
    </row>
    <row r="6990" spans="8:10">
      <c r="H6990" s="156"/>
      <c r="I6990" s="156"/>
      <c r="J6990" s="156"/>
    </row>
    <row r="6991" spans="8:10">
      <c r="H6991" s="156"/>
      <c r="I6991" s="156"/>
      <c r="J6991" s="156"/>
    </row>
    <row r="6992" spans="8:10">
      <c r="H6992" s="156"/>
      <c r="I6992" s="156"/>
      <c r="J6992" s="156"/>
    </row>
    <row r="6993" spans="8:10">
      <c r="H6993" s="156"/>
      <c r="I6993" s="156"/>
      <c r="J6993" s="156"/>
    </row>
    <row r="6994" spans="8:10">
      <c r="H6994" s="156"/>
      <c r="I6994" s="156"/>
      <c r="J6994" s="156"/>
    </row>
    <row r="6995" spans="8:10">
      <c r="H6995" s="156"/>
      <c r="I6995" s="156"/>
      <c r="J6995" s="156"/>
    </row>
    <row r="6996" spans="8:10">
      <c r="H6996" s="156"/>
      <c r="I6996" s="156"/>
      <c r="J6996" s="156"/>
    </row>
    <row r="6997" spans="8:10">
      <c r="H6997" s="156"/>
      <c r="I6997" s="156"/>
      <c r="J6997" s="156"/>
    </row>
    <row r="6998" spans="8:10">
      <c r="H6998" s="156"/>
      <c r="I6998" s="156"/>
      <c r="J6998" s="156"/>
    </row>
    <row r="6999" spans="8:10">
      <c r="H6999" s="156"/>
      <c r="I6999" s="156"/>
      <c r="J6999" s="156"/>
    </row>
    <row r="7000" spans="8:10">
      <c r="H7000" s="156"/>
      <c r="I7000" s="156"/>
      <c r="J7000" s="156"/>
    </row>
    <row r="7001" spans="8:10">
      <c r="H7001" s="156"/>
      <c r="I7001" s="156"/>
      <c r="J7001" s="156"/>
    </row>
    <row r="7002" spans="8:10">
      <c r="H7002" s="156"/>
      <c r="I7002" s="156"/>
      <c r="J7002" s="156"/>
    </row>
    <row r="7003" spans="8:10">
      <c r="H7003" s="156"/>
      <c r="I7003" s="156"/>
      <c r="J7003" s="156"/>
    </row>
    <row r="7004" spans="8:10">
      <c r="H7004" s="156"/>
      <c r="I7004" s="156"/>
      <c r="J7004" s="156"/>
    </row>
    <row r="7005" spans="8:10">
      <c r="H7005" s="156"/>
      <c r="I7005" s="156"/>
      <c r="J7005" s="156"/>
    </row>
    <row r="7006" spans="8:10">
      <c r="H7006" s="156"/>
      <c r="I7006" s="156"/>
      <c r="J7006" s="156"/>
    </row>
    <row r="7007" spans="8:10">
      <c r="H7007" s="156"/>
      <c r="I7007" s="156"/>
      <c r="J7007" s="156"/>
    </row>
    <row r="7008" spans="8:10">
      <c r="H7008" s="156"/>
      <c r="I7008" s="156"/>
      <c r="J7008" s="156"/>
    </row>
    <row r="7009" spans="8:10">
      <c r="H7009" s="156"/>
      <c r="I7009" s="156"/>
      <c r="J7009" s="156"/>
    </row>
    <row r="7010" spans="8:10">
      <c r="H7010" s="156"/>
      <c r="I7010" s="156"/>
      <c r="J7010" s="156"/>
    </row>
    <row r="7011" spans="8:10">
      <c r="H7011" s="156"/>
      <c r="I7011" s="156"/>
      <c r="J7011" s="156"/>
    </row>
    <row r="7012" spans="8:10">
      <c r="H7012" s="156"/>
      <c r="I7012" s="156"/>
      <c r="J7012" s="156"/>
    </row>
    <row r="7013" spans="8:10">
      <c r="H7013" s="156"/>
      <c r="I7013" s="156"/>
      <c r="J7013" s="156"/>
    </row>
    <row r="7014" spans="8:10">
      <c r="H7014" s="156"/>
      <c r="I7014" s="156"/>
      <c r="J7014" s="156"/>
    </row>
    <row r="7015" spans="8:10">
      <c r="H7015" s="156"/>
      <c r="I7015" s="156"/>
      <c r="J7015" s="156"/>
    </row>
    <row r="7016" spans="8:10">
      <c r="H7016" s="156"/>
      <c r="I7016" s="156"/>
      <c r="J7016" s="156"/>
    </row>
    <row r="7017" spans="8:10">
      <c r="H7017" s="156"/>
      <c r="I7017" s="156"/>
      <c r="J7017" s="156"/>
    </row>
    <row r="7018" spans="8:10">
      <c r="H7018" s="156"/>
      <c r="I7018" s="156"/>
      <c r="J7018" s="156"/>
    </row>
    <row r="7019" spans="8:10">
      <c r="H7019" s="156"/>
      <c r="I7019" s="156"/>
      <c r="J7019" s="156"/>
    </row>
    <row r="7020" spans="8:10">
      <c r="H7020" s="156"/>
      <c r="I7020" s="156"/>
      <c r="J7020" s="156"/>
    </row>
    <row r="7021" spans="8:10">
      <c r="H7021" s="156"/>
      <c r="I7021" s="156"/>
      <c r="J7021" s="156"/>
    </row>
    <row r="7022" spans="8:10">
      <c r="H7022" s="156"/>
      <c r="I7022" s="156"/>
      <c r="J7022" s="156"/>
    </row>
    <row r="7023" spans="8:10">
      <c r="H7023" s="156"/>
      <c r="I7023" s="156"/>
      <c r="J7023" s="156"/>
    </row>
    <row r="7024" spans="8:10">
      <c r="H7024" s="156"/>
      <c r="I7024" s="156"/>
      <c r="J7024" s="156"/>
    </row>
    <row r="7025" spans="8:10">
      <c r="H7025" s="156"/>
      <c r="I7025" s="156"/>
      <c r="J7025" s="156"/>
    </row>
    <row r="7026" spans="8:10">
      <c r="H7026" s="156"/>
      <c r="I7026" s="156"/>
      <c r="J7026" s="156"/>
    </row>
    <row r="7027" spans="8:10">
      <c r="H7027" s="156"/>
      <c r="I7027" s="156"/>
      <c r="J7027" s="156"/>
    </row>
    <row r="7028" spans="8:10">
      <c r="H7028" s="156"/>
      <c r="I7028" s="156"/>
      <c r="J7028" s="156"/>
    </row>
    <row r="7029" spans="8:10">
      <c r="H7029" s="156"/>
      <c r="I7029" s="156"/>
      <c r="J7029" s="156"/>
    </row>
    <row r="7030" spans="8:10">
      <c r="H7030" s="156"/>
      <c r="I7030" s="156"/>
      <c r="J7030" s="156"/>
    </row>
    <row r="7031" spans="8:10">
      <c r="H7031" s="156"/>
      <c r="I7031" s="156"/>
      <c r="J7031" s="156"/>
    </row>
    <row r="7032" spans="8:10">
      <c r="H7032" s="156"/>
      <c r="I7032" s="156"/>
      <c r="J7032" s="156"/>
    </row>
    <row r="7033" spans="8:10">
      <c r="H7033" s="156"/>
      <c r="I7033" s="156"/>
      <c r="J7033" s="156"/>
    </row>
    <row r="7034" spans="8:10">
      <c r="H7034" s="156"/>
      <c r="I7034" s="156"/>
      <c r="J7034" s="156"/>
    </row>
    <row r="7035" spans="8:10">
      <c r="H7035" s="156"/>
      <c r="I7035" s="156"/>
      <c r="J7035" s="156"/>
    </row>
    <row r="7036" spans="8:10">
      <c r="H7036" s="156"/>
      <c r="I7036" s="156"/>
      <c r="J7036" s="156"/>
    </row>
    <row r="7037" spans="8:10">
      <c r="H7037" s="156"/>
      <c r="I7037" s="156"/>
      <c r="J7037" s="156"/>
    </row>
    <row r="7038" spans="8:10">
      <c r="H7038" s="156"/>
      <c r="I7038" s="156"/>
      <c r="J7038" s="156"/>
    </row>
    <row r="7039" spans="8:10">
      <c r="H7039" s="156"/>
      <c r="I7039" s="156"/>
      <c r="J7039" s="156"/>
    </row>
    <row r="7040" spans="8:10">
      <c r="H7040" s="156"/>
      <c r="I7040" s="156"/>
      <c r="J7040" s="156"/>
    </row>
    <row r="7041" spans="8:10">
      <c r="H7041" s="156"/>
      <c r="I7041" s="156"/>
      <c r="J7041" s="156"/>
    </row>
    <row r="7042" spans="8:10">
      <c r="H7042" s="156"/>
      <c r="I7042" s="156"/>
      <c r="J7042" s="156"/>
    </row>
    <row r="7043" spans="8:10">
      <c r="H7043" s="156"/>
      <c r="I7043" s="156"/>
      <c r="J7043" s="156"/>
    </row>
    <row r="7044" spans="8:10">
      <c r="H7044" s="156"/>
      <c r="I7044" s="156"/>
      <c r="J7044" s="156"/>
    </row>
    <row r="7045" spans="8:10">
      <c r="H7045" s="156"/>
      <c r="I7045" s="156"/>
      <c r="J7045" s="156"/>
    </row>
    <row r="7046" spans="8:10">
      <c r="H7046" s="156"/>
      <c r="I7046" s="156"/>
      <c r="J7046" s="156"/>
    </row>
    <row r="7047" spans="8:10">
      <c r="H7047" s="156"/>
      <c r="I7047" s="156"/>
      <c r="J7047" s="156"/>
    </row>
    <row r="7048" spans="8:10">
      <c r="H7048" s="156"/>
      <c r="I7048" s="156"/>
      <c r="J7048" s="156"/>
    </row>
    <row r="7049" spans="8:10">
      <c r="H7049" s="156"/>
      <c r="I7049" s="156"/>
      <c r="J7049" s="156"/>
    </row>
    <row r="7050" spans="8:10">
      <c r="H7050" s="156"/>
      <c r="I7050" s="156"/>
      <c r="J7050" s="156"/>
    </row>
    <row r="7051" spans="8:10">
      <c r="H7051" s="156"/>
      <c r="I7051" s="156"/>
      <c r="J7051" s="156"/>
    </row>
    <row r="7052" spans="8:10">
      <c r="H7052" s="156"/>
      <c r="I7052" s="156"/>
      <c r="J7052" s="156"/>
    </row>
    <row r="7053" spans="8:10">
      <c r="H7053" s="156"/>
      <c r="I7053" s="156"/>
      <c r="J7053" s="156"/>
    </row>
    <row r="7054" spans="8:10">
      <c r="H7054" s="156"/>
      <c r="I7054" s="156"/>
      <c r="J7054" s="156"/>
    </row>
    <row r="7055" spans="8:10">
      <c r="H7055" s="156"/>
      <c r="I7055" s="156"/>
      <c r="J7055" s="156"/>
    </row>
    <row r="7056" spans="8:10">
      <c r="H7056" s="156"/>
      <c r="I7056" s="156"/>
      <c r="J7056" s="156"/>
    </row>
    <row r="7057" spans="8:10">
      <c r="H7057" s="156"/>
      <c r="I7057" s="156"/>
      <c r="J7057" s="156"/>
    </row>
    <row r="7058" spans="8:10">
      <c r="H7058" s="156"/>
      <c r="I7058" s="156"/>
      <c r="J7058" s="156"/>
    </row>
    <row r="7059" spans="8:10">
      <c r="H7059" s="156"/>
      <c r="I7059" s="156"/>
      <c r="J7059" s="156"/>
    </row>
    <row r="7060" spans="8:10">
      <c r="H7060" s="156"/>
      <c r="I7060" s="156"/>
      <c r="J7060" s="156"/>
    </row>
    <row r="7061" spans="8:10">
      <c r="H7061" s="156"/>
      <c r="I7061" s="156"/>
      <c r="J7061" s="156"/>
    </row>
    <row r="7062" spans="8:10">
      <c r="H7062" s="156"/>
      <c r="I7062" s="156"/>
      <c r="J7062" s="156"/>
    </row>
    <row r="7063" spans="8:10">
      <c r="H7063" s="156"/>
      <c r="I7063" s="156"/>
      <c r="J7063" s="156"/>
    </row>
    <row r="7064" spans="8:10">
      <c r="H7064" s="156"/>
      <c r="I7064" s="156"/>
      <c r="J7064" s="156"/>
    </row>
    <row r="7065" spans="8:10">
      <c r="H7065" s="156"/>
      <c r="I7065" s="156"/>
      <c r="J7065" s="156"/>
    </row>
    <row r="7066" spans="8:10">
      <c r="H7066" s="156"/>
      <c r="I7066" s="156"/>
      <c r="J7066" s="156"/>
    </row>
    <row r="7067" spans="8:10">
      <c r="H7067" s="156"/>
      <c r="I7067" s="156"/>
      <c r="J7067" s="156"/>
    </row>
    <row r="7068" spans="8:10">
      <c r="H7068" s="156"/>
      <c r="I7068" s="156"/>
      <c r="J7068" s="156"/>
    </row>
    <row r="7069" spans="8:10">
      <c r="H7069" s="156"/>
      <c r="I7069" s="156"/>
      <c r="J7069" s="156"/>
    </row>
    <row r="7070" spans="8:10">
      <c r="H7070" s="156"/>
      <c r="I7070" s="156"/>
      <c r="J7070" s="156"/>
    </row>
    <row r="7071" spans="8:10">
      <c r="H7071" s="156"/>
      <c r="I7071" s="156"/>
      <c r="J7071" s="156"/>
    </row>
    <row r="7072" spans="8:10">
      <c r="H7072" s="156"/>
      <c r="I7072" s="156"/>
      <c r="J7072" s="156"/>
    </row>
    <row r="7073" spans="8:10">
      <c r="H7073" s="156"/>
      <c r="I7073" s="156"/>
      <c r="J7073" s="156"/>
    </row>
    <row r="7074" spans="8:10">
      <c r="H7074" s="156"/>
      <c r="I7074" s="156"/>
      <c r="J7074" s="156"/>
    </row>
    <row r="7075" spans="8:10">
      <c r="H7075" s="156"/>
      <c r="I7075" s="156"/>
      <c r="J7075" s="156"/>
    </row>
    <row r="7076" spans="8:10">
      <c r="H7076" s="156"/>
      <c r="I7076" s="156"/>
      <c r="J7076" s="156"/>
    </row>
    <row r="7077" spans="8:10">
      <c r="H7077" s="156"/>
      <c r="I7077" s="156"/>
      <c r="J7077" s="156"/>
    </row>
    <row r="7078" spans="8:10">
      <c r="H7078" s="156"/>
      <c r="I7078" s="156"/>
      <c r="J7078" s="156"/>
    </row>
    <row r="7079" spans="8:10">
      <c r="H7079" s="156"/>
      <c r="I7079" s="156"/>
      <c r="J7079" s="156"/>
    </row>
    <row r="7080" spans="8:10">
      <c r="H7080" s="156"/>
      <c r="I7080" s="156"/>
      <c r="J7080" s="156"/>
    </row>
    <row r="7081" spans="8:10">
      <c r="H7081" s="156"/>
      <c r="I7081" s="156"/>
      <c r="J7081" s="156"/>
    </row>
    <row r="7082" spans="8:10">
      <c r="H7082" s="156"/>
      <c r="I7082" s="156"/>
      <c r="J7082" s="156"/>
    </row>
    <row r="7083" spans="8:10">
      <c r="H7083" s="156"/>
      <c r="I7083" s="156"/>
      <c r="J7083" s="156"/>
    </row>
    <row r="7084" spans="8:10">
      <c r="H7084" s="156"/>
      <c r="I7084" s="156"/>
      <c r="J7084" s="156"/>
    </row>
    <row r="7085" spans="8:10">
      <c r="H7085" s="156"/>
      <c r="I7085" s="156"/>
      <c r="J7085" s="156"/>
    </row>
    <row r="7086" spans="8:10">
      <c r="H7086" s="156"/>
      <c r="I7086" s="156"/>
      <c r="J7086" s="156"/>
    </row>
    <row r="7087" spans="8:10">
      <c r="H7087" s="156"/>
      <c r="I7087" s="156"/>
      <c r="J7087" s="156"/>
    </row>
    <row r="7088" spans="8:10">
      <c r="H7088" s="156"/>
      <c r="I7088" s="156"/>
      <c r="J7088" s="156"/>
    </row>
    <row r="7089" spans="8:10">
      <c r="H7089" s="156"/>
      <c r="I7089" s="156"/>
      <c r="J7089" s="156"/>
    </row>
    <row r="7090" spans="8:10">
      <c r="H7090" s="156"/>
      <c r="I7090" s="156"/>
      <c r="J7090" s="156"/>
    </row>
    <row r="7091" spans="8:10">
      <c r="H7091" s="156"/>
      <c r="I7091" s="156"/>
      <c r="J7091" s="156"/>
    </row>
    <row r="7092" spans="8:10">
      <c r="H7092" s="156"/>
      <c r="I7092" s="156"/>
      <c r="J7092" s="156"/>
    </row>
    <row r="7093" spans="8:10">
      <c r="H7093" s="156"/>
      <c r="I7093" s="156"/>
      <c r="J7093" s="156"/>
    </row>
    <row r="7094" spans="8:10">
      <c r="H7094" s="156"/>
      <c r="I7094" s="156"/>
      <c r="J7094" s="156"/>
    </row>
    <row r="7095" spans="8:10">
      <c r="H7095" s="156"/>
      <c r="I7095" s="156"/>
      <c r="J7095" s="156"/>
    </row>
    <row r="7096" spans="8:10">
      <c r="H7096" s="156"/>
      <c r="I7096" s="156"/>
      <c r="J7096" s="156"/>
    </row>
    <row r="7097" spans="8:10">
      <c r="H7097" s="156"/>
      <c r="I7097" s="156"/>
      <c r="J7097" s="156"/>
    </row>
    <row r="7098" spans="8:10">
      <c r="H7098" s="156"/>
      <c r="I7098" s="156"/>
      <c r="J7098" s="156"/>
    </row>
    <row r="7099" spans="8:10">
      <c r="H7099" s="156"/>
      <c r="I7099" s="156"/>
      <c r="J7099" s="156"/>
    </row>
    <row r="7100" spans="8:10">
      <c r="H7100" s="156"/>
      <c r="I7100" s="156"/>
      <c r="J7100" s="156"/>
    </row>
    <row r="7101" spans="8:10">
      <c r="H7101" s="156"/>
      <c r="I7101" s="156"/>
      <c r="J7101" s="156"/>
    </row>
    <row r="7102" spans="8:10">
      <c r="H7102" s="156"/>
      <c r="I7102" s="156"/>
      <c r="J7102" s="156"/>
    </row>
    <row r="7103" spans="8:10">
      <c r="H7103" s="156"/>
      <c r="I7103" s="156"/>
      <c r="J7103" s="156"/>
    </row>
    <row r="7104" spans="8:10">
      <c r="H7104" s="156"/>
      <c r="I7104" s="156"/>
      <c r="J7104" s="156"/>
    </row>
    <row r="7105" spans="8:10">
      <c r="H7105" s="156"/>
      <c r="I7105" s="156"/>
      <c r="J7105" s="156"/>
    </row>
    <row r="7106" spans="8:10">
      <c r="H7106" s="156"/>
      <c r="I7106" s="156"/>
      <c r="J7106" s="156"/>
    </row>
    <row r="7107" spans="8:10">
      <c r="H7107" s="156"/>
      <c r="I7107" s="156"/>
      <c r="J7107" s="156"/>
    </row>
    <row r="7108" spans="8:10">
      <c r="H7108" s="156"/>
      <c r="I7108" s="156"/>
      <c r="J7108" s="156"/>
    </row>
    <row r="7109" spans="8:10">
      <c r="H7109" s="156"/>
      <c r="I7109" s="156"/>
      <c r="J7109" s="156"/>
    </row>
    <row r="7110" spans="8:10">
      <c r="H7110" s="156"/>
      <c r="I7110" s="156"/>
      <c r="J7110" s="156"/>
    </row>
    <row r="7111" spans="8:10">
      <c r="H7111" s="156"/>
      <c r="I7111" s="156"/>
      <c r="J7111" s="156"/>
    </row>
    <row r="7112" spans="8:10">
      <c r="H7112" s="156"/>
      <c r="I7112" s="156"/>
      <c r="J7112" s="156"/>
    </row>
    <row r="7113" spans="8:10">
      <c r="H7113" s="156"/>
      <c r="I7113" s="156"/>
      <c r="J7113" s="156"/>
    </row>
    <row r="7114" spans="8:10">
      <c r="H7114" s="156"/>
      <c r="I7114" s="156"/>
      <c r="J7114" s="156"/>
    </row>
    <row r="7115" spans="8:10">
      <c r="H7115" s="156"/>
      <c r="I7115" s="156"/>
      <c r="J7115" s="156"/>
    </row>
    <row r="7116" spans="8:10">
      <c r="H7116" s="156"/>
      <c r="I7116" s="156"/>
      <c r="J7116" s="156"/>
    </row>
    <row r="7117" spans="8:10">
      <c r="H7117" s="156"/>
      <c r="I7117" s="156"/>
      <c r="J7117" s="156"/>
    </row>
    <row r="7118" spans="8:10">
      <c r="H7118" s="156"/>
      <c r="I7118" s="156"/>
      <c r="J7118" s="156"/>
    </row>
    <row r="7119" spans="8:10">
      <c r="H7119" s="156"/>
      <c r="I7119" s="156"/>
      <c r="J7119" s="156"/>
    </row>
    <row r="7120" spans="8:10">
      <c r="H7120" s="156"/>
      <c r="I7120" s="156"/>
      <c r="J7120" s="156"/>
    </row>
    <row r="7121" spans="8:10">
      <c r="H7121" s="156"/>
      <c r="I7121" s="156"/>
      <c r="J7121" s="156"/>
    </row>
    <row r="7122" spans="8:10">
      <c r="H7122" s="156"/>
      <c r="I7122" s="156"/>
      <c r="J7122" s="156"/>
    </row>
    <row r="7123" spans="8:10">
      <c r="H7123" s="156"/>
      <c r="I7123" s="156"/>
      <c r="J7123" s="156"/>
    </row>
    <row r="7124" spans="8:10">
      <c r="H7124" s="156"/>
      <c r="I7124" s="156"/>
      <c r="J7124" s="156"/>
    </row>
    <row r="7125" spans="8:10">
      <c r="H7125" s="156"/>
      <c r="I7125" s="156"/>
      <c r="J7125" s="156"/>
    </row>
    <row r="7126" spans="8:10">
      <c r="H7126" s="156"/>
      <c r="I7126" s="156"/>
      <c r="J7126" s="156"/>
    </row>
    <row r="7127" spans="8:10">
      <c r="H7127" s="156"/>
      <c r="I7127" s="156"/>
      <c r="J7127" s="156"/>
    </row>
    <row r="7128" spans="8:10">
      <c r="H7128" s="156"/>
      <c r="I7128" s="156"/>
      <c r="J7128" s="156"/>
    </row>
    <row r="7129" spans="8:10">
      <c r="H7129" s="156"/>
      <c r="I7129" s="156"/>
      <c r="J7129" s="156"/>
    </row>
    <row r="7130" spans="8:10">
      <c r="H7130" s="156"/>
      <c r="I7130" s="156"/>
      <c r="J7130" s="156"/>
    </row>
    <row r="7131" spans="8:10">
      <c r="H7131" s="156"/>
      <c r="I7131" s="156"/>
      <c r="J7131" s="156"/>
    </row>
    <row r="7132" spans="8:10">
      <c r="H7132" s="156"/>
      <c r="I7132" s="156"/>
      <c r="J7132" s="156"/>
    </row>
    <row r="7133" spans="8:10">
      <c r="H7133" s="156"/>
      <c r="I7133" s="156"/>
      <c r="J7133" s="156"/>
    </row>
    <row r="7134" spans="8:10">
      <c r="H7134" s="156"/>
      <c r="I7134" s="156"/>
      <c r="J7134" s="156"/>
    </row>
    <row r="7135" spans="8:10">
      <c r="H7135" s="156"/>
      <c r="I7135" s="156"/>
      <c r="J7135" s="156"/>
    </row>
    <row r="7136" spans="8:10">
      <c r="H7136" s="156"/>
      <c r="I7136" s="156"/>
      <c r="J7136" s="156"/>
    </row>
    <row r="7137" spans="8:10">
      <c r="H7137" s="156"/>
      <c r="I7137" s="156"/>
      <c r="J7137" s="156"/>
    </row>
    <row r="7138" spans="8:10">
      <c r="H7138" s="156"/>
      <c r="I7138" s="156"/>
      <c r="J7138" s="156"/>
    </row>
    <row r="7139" spans="8:10">
      <c r="H7139" s="156"/>
      <c r="I7139" s="156"/>
      <c r="J7139" s="156"/>
    </row>
    <row r="7140" spans="8:10">
      <c r="H7140" s="156"/>
      <c r="I7140" s="156"/>
      <c r="J7140" s="156"/>
    </row>
    <row r="7141" spans="8:10">
      <c r="H7141" s="156"/>
      <c r="I7141" s="156"/>
      <c r="J7141" s="156"/>
    </row>
    <row r="7142" spans="8:10">
      <c r="H7142" s="156"/>
      <c r="I7142" s="156"/>
      <c r="J7142" s="156"/>
    </row>
    <row r="7143" spans="8:10">
      <c r="H7143" s="156"/>
      <c r="I7143" s="156"/>
      <c r="J7143" s="156"/>
    </row>
    <row r="7144" spans="8:10">
      <c r="H7144" s="156"/>
      <c r="I7144" s="156"/>
      <c r="J7144" s="156"/>
    </row>
    <row r="7145" spans="8:10">
      <c r="H7145" s="156"/>
      <c r="I7145" s="156"/>
      <c r="J7145" s="156"/>
    </row>
    <row r="7146" spans="8:10">
      <c r="H7146" s="156"/>
      <c r="I7146" s="156"/>
      <c r="J7146" s="156"/>
    </row>
    <row r="7147" spans="8:10">
      <c r="H7147" s="156"/>
      <c r="I7147" s="156"/>
      <c r="J7147" s="156"/>
    </row>
    <row r="7148" spans="8:10">
      <c r="H7148" s="156"/>
      <c r="I7148" s="156"/>
      <c r="J7148" s="156"/>
    </row>
    <row r="7149" spans="8:10">
      <c r="H7149" s="156"/>
      <c r="I7149" s="156"/>
      <c r="J7149" s="156"/>
    </row>
    <row r="7150" spans="8:10">
      <c r="H7150" s="156"/>
      <c r="I7150" s="156"/>
      <c r="J7150" s="156"/>
    </row>
    <row r="7151" spans="8:10">
      <c r="H7151" s="156"/>
      <c r="I7151" s="156"/>
      <c r="J7151" s="156"/>
    </row>
    <row r="7152" spans="8:10">
      <c r="H7152" s="156"/>
      <c r="I7152" s="156"/>
      <c r="J7152" s="156"/>
    </row>
    <row r="7153" spans="8:10">
      <c r="H7153" s="156"/>
      <c r="I7153" s="156"/>
      <c r="J7153" s="156"/>
    </row>
    <row r="7154" spans="8:10">
      <c r="H7154" s="156"/>
      <c r="I7154" s="156"/>
      <c r="J7154" s="156"/>
    </row>
    <row r="7155" spans="8:10">
      <c r="H7155" s="156"/>
      <c r="I7155" s="156"/>
      <c r="J7155" s="156"/>
    </row>
    <row r="7156" spans="8:10">
      <c r="H7156" s="156"/>
      <c r="I7156" s="156"/>
      <c r="J7156" s="156"/>
    </row>
    <row r="7157" spans="8:10">
      <c r="H7157" s="156"/>
      <c r="I7157" s="156"/>
      <c r="J7157" s="156"/>
    </row>
    <row r="7158" spans="8:10">
      <c r="H7158" s="156"/>
      <c r="I7158" s="156"/>
      <c r="J7158" s="156"/>
    </row>
    <row r="7159" spans="8:10">
      <c r="H7159" s="156"/>
      <c r="I7159" s="156"/>
      <c r="J7159" s="156"/>
    </row>
    <row r="7160" spans="8:10">
      <c r="H7160" s="156"/>
      <c r="I7160" s="156"/>
      <c r="J7160" s="156"/>
    </row>
    <row r="7161" spans="8:10">
      <c r="H7161" s="156"/>
      <c r="I7161" s="156"/>
      <c r="J7161" s="156"/>
    </row>
    <row r="7162" spans="8:10">
      <c r="H7162" s="156"/>
      <c r="I7162" s="156"/>
      <c r="J7162" s="156"/>
    </row>
    <row r="7163" spans="8:10">
      <c r="H7163" s="156"/>
      <c r="I7163" s="156"/>
      <c r="J7163" s="156"/>
    </row>
    <row r="7164" spans="8:10">
      <c r="H7164" s="156"/>
      <c r="I7164" s="156"/>
      <c r="J7164" s="156"/>
    </row>
    <row r="7165" spans="8:10">
      <c r="H7165" s="156"/>
      <c r="I7165" s="156"/>
      <c r="J7165" s="156"/>
    </row>
    <row r="7166" spans="8:10">
      <c r="H7166" s="156"/>
      <c r="I7166" s="156"/>
      <c r="J7166" s="156"/>
    </row>
    <row r="7167" spans="8:10">
      <c r="H7167" s="156"/>
      <c r="I7167" s="156"/>
      <c r="J7167" s="156"/>
    </row>
    <row r="7168" spans="8:10">
      <c r="H7168" s="156"/>
      <c r="I7168" s="156"/>
      <c r="J7168" s="156"/>
    </row>
    <row r="7169" spans="8:10">
      <c r="H7169" s="156"/>
      <c r="I7169" s="156"/>
      <c r="J7169" s="156"/>
    </row>
    <row r="7170" spans="8:10">
      <c r="H7170" s="156"/>
      <c r="I7170" s="156"/>
      <c r="J7170" s="156"/>
    </row>
    <row r="7171" spans="8:10">
      <c r="H7171" s="156"/>
      <c r="I7171" s="156"/>
      <c r="J7171" s="156"/>
    </row>
    <row r="7172" spans="8:10">
      <c r="H7172" s="156"/>
      <c r="I7172" s="156"/>
      <c r="J7172" s="156"/>
    </row>
    <row r="7173" spans="8:10">
      <c r="H7173" s="156"/>
      <c r="I7173" s="156"/>
      <c r="J7173" s="156"/>
    </row>
    <row r="7174" spans="8:10">
      <c r="H7174" s="156"/>
      <c r="I7174" s="156"/>
      <c r="J7174" s="156"/>
    </row>
    <row r="7175" spans="8:10">
      <c r="H7175" s="156"/>
      <c r="I7175" s="156"/>
      <c r="J7175" s="156"/>
    </row>
    <row r="7176" spans="8:10">
      <c r="H7176" s="156"/>
      <c r="I7176" s="156"/>
      <c r="J7176" s="156"/>
    </row>
    <row r="7177" spans="8:10">
      <c r="H7177" s="156"/>
      <c r="I7177" s="156"/>
      <c r="J7177" s="156"/>
    </row>
    <row r="7178" spans="8:10">
      <c r="H7178" s="156"/>
      <c r="I7178" s="156"/>
      <c r="J7178" s="156"/>
    </row>
    <row r="7179" spans="8:10">
      <c r="H7179" s="156"/>
      <c r="I7179" s="156"/>
      <c r="J7179" s="156"/>
    </row>
    <row r="7180" spans="8:10">
      <c r="H7180" s="156"/>
      <c r="I7180" s="156"/>
      <c r="J7180" s="156"/>
    </row>
    <row r="7181" spans="8:10">
      <c r="H7181" s="156"/>
      <c r="I7181" s="156"/>
      <c r="J7181" s="156"/>
    </row>
    <row r="7182" spans="8:10">
      <c r="H7182" s="156"/>
      <c r="I7182" s="156"/>
      <c r="J7182" s="156"/>
    </row>
    <row r="7183" spans="8:10">
      <c r="H7183" s="156"/>
      <c r="I7183" s="156"/>
      <c r="J7183" s="156"/>
    </row>
    <row r="7184" spans="8:10">
      <c r="H7184" s="156"/>
      <c r="I7184" s="156"/>
      <c r="J7184" s="156"/>
    </row>
    <row r="7185" spans="8:10">
      <c r="H7185" s="156"/>
      <c r="I7185" s="156"/>
      <c r="J7185" s="156"/>
    </row>
    <row r="7186" spans="8:10">
      <c r="H7186" s="156"/>
      <c r="I7186" s="156"/>
      <c r="J7186" s="156"/>
    </row>
    <row r="7187" spans="8:10">
      <c r="H7187" s="156"/>
      <c r="I7187" s="156"/>
      <c r="J7187" s="156"/>
    </row>
    <row r="7188" spans="8:10">
      <c r="H7188" s="156"/>
      <c r="I7188" s="156"/>
      <c r="J7188" s="156"/>
    </row>
    <row r="7189" spans="8:10">
      <c r="H7189" s="156"/>
      <c r="I7189" s="156"/>
      <c r="J7189" s="156"/>
    </row>
    <row r="7190" spans="8:10">
      <c r="H7190" s="156"/>
      <c r="I7190" s="156"/>
      <c r="J7190" s="156"/>
    </row>
    <row r="7191" spans="8:10">
      <c r="H7191" s="156"/>
      <c r="I7191" s="156"/>
      <c r="J7191" s="156"/>
    </row>
    <row r="7192" spans="8:10">
      <c r="H7192" s="156"/>
      <c r="I7192" s="156"/>
      <c r="J7192" s="156"/>
    </row>
    <row r="7193" spans="8:10">
      <c r="H7193" s="156"/>
      <c r="I7193" s="156"/>
      <c r="J7193" s="156"/>
    </row>
    <row r="7194" spans="8:10">
      <c r="H7194" s="156"/>
      <c r="I7194" s="156"/>
      <c r="J7194" s="156"/>
    </row>
    <row r="7195" spans="8:10">
      <c r="H7195" s="156"/>
      <c r="I7195" s="156"/>
      <c r="J7195" s="156"/>
    </row>
    <row r="7196" spans="8:10">
      <c r="H7196" s="156"/>
      <c r="I7196" s="156"/>
      <c r="J7196" s="156"/>
    </row>
    <row r="7197" spans="8:10">
      <c r="H7197" s="156"/>
      <c r="I7197" s="156"/>
      <c r="J7197" s="156"/>
    </row>
    <row r="7198" spans="8:10">
      <c r="H7198" s="156"/>
      <c r="I7198" s="156"/>
      <c r="J7198" s="156"/>
    </row>
    <row r="7199" spans="8:10">
      <c r="H7199" s="156"/>
      <c r="I7199" s="156"/>
      <c r="J7199" s="156"/>
    </row>
    <row r="7200" spans="8:10">
      <c r="H7200" s="156"/>
      <c r="I7200" s="156"/>
      <c r="J7200" s="156"/>
    </row>
    <row r="7201" spans="8:10">
      <c r="H7201" s="156"/>
      <c r="I7201" s="156"/>
      <c r="J7201" s="156"/>
    </row>
    <row r="7202" spans="8:10">
      <c r="H7202" s="156"/>
      <c r="I7202" s="156"/>
      <c r="J7202" s="156"/>
    </row>
    <row r="7203" spans="8:10">
      <c r="H7203" s="156"/>
      <c r="I7203" s="156"/>
      <c r="J7203" s="156"/>
    </row>
    <row r="7204" spans="8:10">
      <c r="H7204" s="156"/>
      <c r="I7204" s="156"/>
      <c r="J7204" s="156"/>
    </row>
    <row r="7205" spans="8:10">
      <c r="H7205" s="156"/>
      <c r="I7205" s="156"/>
      <c r="J7205" s="156"/>
    </row>
    <row r="7206" spans="8:10">
      <c r="H7206" s="156"/>
      <c r="I7206" s="156"/>
      <c r="J7206" s="156"/>
    </row>
    <row r="7207" spans="8:10">
      <c r="H7207" s="156"/>
      <c r="I7207" s="156"/>
      <c r="J7207" s="156"/>
    </row>
    <row r="7208" spans="8:10">
      <c r="H7208" s="156"/>
      <c r="I7208" s="156"/>
      <c r="J7208" s="156"/>
    </row>
    <row r="7209" spans="8:10">
      <c r="H7209" s="156"/>
      <c r="I7209" s="156"/>
      <c r="J7209" s="156"/>
    </row>
    <row r="7210" spans="8:10">
      <c r="H7210" s="156"/>
      <c r="I7210" s="156"/>
      <c r="J7210" s="156"/>
    </row>
    <row r="7211" spans="8:10">
      <c r="H7211" s="156"/>
      <c r="I7211" s="156"/>
      <c r="J7211" s="156"/>
    </row>
    <row r="7212" spans="8:10">
      <c r="H7212" s="156"/>
      <c r="I7212" s="156"/>
      <c r="J7212" s="156"/>
    </row>
    <row r="7213" spans="8:10">
      <c r="H7213" s="156"/>
      <c r="I7213" s="156"/>
      <c r="J7213" s="156"/>
    </row>
    <row r="7214" spans="8:10">
      <c r="H7214" s="156"/>
      <c r="I7214" s="156"/>
      <c r="J7214" s="156"/>
    </row>
    <row r="7215" spans="8:10">
      <c r="H7215" s="156"/>
      <c r="I7215" s="156"/>
      <c r="J7215" s="156"/>
    </row>
    <row r="7216" spans="8:10">
      <c r="H7216" s="156"/>
      <c r="I7216" s="156"/>
      <c r="J7216" s="156"/>
    </row>
    <row r="7217" spans="8:10">
      <c r="H7217" s="156"/>
      <c r="I7217" s="156"/>
      <c r="J7217" s="156"/>
    </row>
    <row r="7218" spans="8:10">
      <c r="H7218" s="156"/>
      <c r="I7218" s="156"/>
      <c r="J7218" s="156"/>
    </row>
    <row r="7219" spans="8:10">
      <c r="H7219" s="156"/>
      <c r="I7219" s="156"/>
      <c r="J7219" s="156"/>
    </row>
    <row r="7220" spans="8:10">
      <c r="H7220" s="156"/>
      <c r="I7220" s="156"/>
      <c r="J7220" s="156"/>
    </row>
    <row r="7221" spans="8:10">
      <c r="H7221" s="156"/>
      <c r="I7221" s="156"/>
      <c r="J7221" s="156"/>
    </row>
    <row r="7222" spans="8:10">
      <c r="H7222" s="156"/>
      <c r="I7222" s="156"/>
      <c r="J7222" s="156"/>
    </row>
    <row r="7223" spans="8:10">
      <c r="H7223" s="156"/>
      <c r="I7223" s="156"/>
      <c r="J7223" s="156"/>
    </row>
    <row r="7224" spans="8:10">
      <c r="H7224" s="156"/>
      <c r="I7224" s="156"/>
      <c r="J7224" s="156"/>
    </row>
    <row r="7225" spans="8:10">
      <c r="H7225" s="156"/>
      <c r="I7225" s="156"/>
      <c r="J7225" s="156"/>
    </row>
    <row r="7226" spans="8:10">
      <c r="H7226" s="156"/>
      <c r="I7226" s="156"/>
      <c r="J7226" s="156"/>
    </row>
    <row r="7227" spans="8:10">
      <c r="H7227" s="156"/>
      <c r="I7227" s="156"/>
      <c r="J7227" s="156"/>
    </row>
    <row r="7228" spans="8:10">
      <c r="H7228" s="156"/>
      <c r="I7228" s="156"/>
      <c r="J7228" s="156"/>
    </row>
    <row r="7229" spans="8:10">
      <c r="H7229" s="156"/>
      <c r="I7229" s="156"/>
      <c r="J7229" s="156"/>
    </row>
    <row r="7230" spans="8:10">
      <c r="H7230" s="156"/>
      <c r="I7230" s="156"/>
      <c r="J7230" s="156"/>
    </row>
    <row r="7231" spans="8:10">
      <c r="H7231" s="156"/>
      <c r="I7231" s="156"/>
      <c r="J7231" s="156"/>
    </row>
    <row r="7232" spans="8:10">
      <c r="H7232" s="156"/>
      <c r="I7232" s="156"/>
      <c r="J7232" s="156"/>
    </row>
    <row r="7233" spans="8:10">
      <c r="H7233" s="156"/>
      <c r="I7233" s="156"/>
      <c r="J7233" s="156"/>
    </row>
    <row r="7234" spans="8:10">
      <c r="H7234" s="156"/>
      <c r="I7234" s="156"/>
      <c r="J7234" s="156"/>
    </row>
    <row r="7235" spans="8:10">
      <c r="H7235" s="156"/>
      <c r="I7235" s="156"/>
      <c r="J7235" s="156"/>
    </row>
    <row r="7236" spans="8:10">
      <c r="H7236" s="156"/>
      <c r="I7236" s="156"/>
      <c r="J7236" s="156"/>
    </row>
    <row r="7237" spans="8:10">
      <c r="H7237" s="156"/>
      <c r="I7237" s="156"/>
      <c r="J7237" s="156"/>
    </row>
    <row r="7238" spans="8:10">
      <c r="H7238" s="156"/>
      <c r="I7238" s="156"/>
      <c r="J7238" s="156"/>
    </row>
    <row r="7239" spans="8:10">
      <c r="H7239" s="156"/>
      <c r="I7239" s="156"/>
      <c r="J7239" s="156"/>
    </row>
    <row r="7240" spans="8:10">
      <c r="H7240" s="156"/>
      <c r="I7240" s="156"/>
      <c r="J7240" s="156"/>
    </row>
    <row r="7241" spans="8:10">
      <c r="H7241" s="156"/>
      <c r="I7241" s="156"/>
      <c r="J7241" s="156"/>
    </row>
    <row r="7242" spans="8:10">
      <c r="H7242" s="156"/>
      <c r="I7242" s="156"/>
      <c r="J7242" s="156"/>
    </row>
    <row r="7243" spans="8:10">
      <c r="H7243" s="156"/>
      <c r="I7243" s="156"/>
      <c r="J7243" s="156"/>
    </row>
    <row r="7244" spans="8:10">
      <c r="H7244" s="156"/>
      <c r="I7244" s="156"/>
      <c r="J7244" s="156"/>
    </row>
    <row r="7245" spans="8:10">
      <c r="H7245" s="156"/>
      <c r="I7245" s="156"/>
      <c r="J7245" s="156"/>
    </row>
    <row r="7246" spans="8:10">
      <c r="H7246" s="156"/>
      <c r="I7246" s="156"/>
      <c r="J7246" s="156"/>
    </row>
    <row r="7247" spans="8:10">
      <c r="H7247" s="156"/>
      <c r="I7247" s="156"/>
      <c r="J7247" s="156"/>
    </row>
    <row r="7248" spans="8:10">
      <c r="H7248" s="156"/>
      <c r="I7248" s="156"/>
      <c r="J7248" s="156"/>
    </row>
    <row r="7249" spans="8:10">
      <c r="H7249" s="156"/>
      <c r="I7249" s="156"/>
      <c r="J7249" s="156"/>
    </row>
    <row r="7250" spans="8:10">
      <c r="H7250" s="156"/>
      <c r="I7250" s="156"/>
      <c r="J7250" s="156"/>
    </row>
    <row r="7251" spans="8:10">
      <c r="H7251" s="156"/>
      <c r="I7251" s="156"/>
      <c r="J7251" s="156"/>
    </row>
    <row r="7252" spans="8:10">
      <c r="H7252" s="156"/>
      <c r="I7252" s="156"/>
      <c r="J7252" s="156"/>
    </row>
    <row r="7253" spans="8:10">
      <c r="H7253" s="156"/>
      <c r="I7253" s="156"/>
      <c r="J7253" s="156"/>
    </row>
    <row r="7254" spans="8:10">
      <c r="H7254" s="156"/>
      <c r="I7254" s="156"/>
      <c r="J7254" s="156"/>
    </row>
    <row r="7255" spans="8:10">
      <c r="H7255" s="156"/>
      <c r="I7255" s="156"/>
      <c r="J7255" s="156"/>
    </row>
    <row r="7256" spans="8:10">
      <c r="H7256" s="156"/>
      <c r="I7256" s="156"/>
      <c r="J7256" s="156"/>
    </row>
    <row r="7257" spans="8:10">
      <c r="H7257" s="156"/>
      <c r="I7257" s="156"/>
      <c r="J7257" s="156"/>
    </row>
    <row r="7258" spans="8:10">
      <c r="H7258" s="156"/>
      <c r="I7258" s="156"/>
      <c r="J7258" s="156"/>
    </row>
    <row r="7259" spans="8:10">
      <c r="H7259" s="156"/>
      <c r="I7259" s="156"/>
      <c r="J7259" s="156"/>
    </row>
    <row r="7260" spans="8:10">
      <c r="H7260" s="156"/>
      <c r="I7260" s="156"/>
      <c r="J7260" s="156"/>
    </row>
    <row r="7261" spans="8:10">
      <c r="H7261" s="156"/>
      <c r="I7261" s="156"/>
      <c r="J7261" s="156"/>
    </row>
    <row r="7262" spans="8:10">
      <c r="H7262" s="156"/>
      <c r="I7262" s="156"/>
      <c r="J7262" s="156"/>
    </row>
    <row r="7263" spans="8:10">
      <c r="H7263" s="156"/>
      <c r="I7263" s="156"/>
      <c r="J7263" s="156"/>
    </row>
    <row r="7264" spans="8:10">
      <c r="H7264" s="156"/>
      <c r="I7264" s="156"/>
      <c r="J7264" s="156"/>
    </row>
    <row r="7265" spans="8:10">
      <c r="H7265" s="156"/>
      <c r="I7265" s="156"/>
      <c r="J7265" s="156"/>
    </row>
    <row r="7266" spans="8:10">
      <c r="H7266" s="156"/>
      <c r="I7266" s="156"/>
      <c r="J7266" s="156"/>
    </row>
    <row r="7267" spans="8:10">
      <c r="H7267" s="156"/>
      <c r="I7267" s="156"/>
      <c r="J7267" s="156"/>
    </row>
    <row r="7268" spans="8:10">
      <c r="H7268" s="156"/>
      <c r="I7268" s="156"/>
      <c r="J7268" s="156"/>
    </row>
    <row r="7269" spans="8:10">
      <c r="H7269" s="156"/>
      <c r="I7269" s="156"/>
      <c r="J7269" s="156"/>
    </row>
    <row r="7270" spans="8:10">
      <c r="H7270" s="156"/>
      <c r="I7270" s="156"/>
      <c r="J7270" s="156"/>
    </row>
    <row r="7271" spans="8:10">
      <c r="H7271" s="156"/>
      <c r="I7271" s="156"/>
      <c r="J7271" s="156"/>
    </row>
    <row r="7272" spans="8:10">
      <c r="H7272" s="156"/>
      <c r="I7272" s="156"/>
      <c r="J7272" s="156"/>
    </row>
    <row r="7273" spans="8:10">
      <c r="H7273" s="156"/>
      <c r="I7273" s="156"/>
      <c r="J7273" s="156"/>
    </row>
    <row r="7274" spans="8:10">
      <c r="H7274" s="156"/>
      <c r="I7274" s="156"/>
      <c r="J7274" s="156"/>
    </row>
    <row r="7275" spans="8:10">
      <c r="H7275" s="156"/>
      <c r="I7275" s="156"/>
      <c r="J7275" s="156"/>
    </row>
    <row r="7276" spans="8:10">
      <c r="H7276" s="156"/>
      <c r="I7276" s="156"/>
      <c r="J7276" s="156"/>
    </row>
    <row r="7277" spans="8:10">
      <c r="H7277" s="156"/>
      <c r="I7277" s="156"/>
      <c r="J7277" s="156"/>
    </row>
    <row r="7278" spans="8:10">
      <c r="H7278" s="156"/>
      <c r="I7278" s="156"/>
      <c r="J7278" s="156"/>
    </row>
    <row r="7279" spans="8:10">
      <c r="H7279" s="156"/>
      <c r="I7279" s="156"/>
      <c r="J7279" s="156"/>
    </row>
    <row r="7280" spans="8:10">
      <c r="H7280" s="156"/>
      <c r="I7280" s="156"/>
      <c r="J7280" s="156"/>
    </row>
    <row r="7281" spans="8:10">
      <c r="H7281" s="156"/>
      <c r="I7281" s="156"/>
      <c r="J7281" s="156"/>
    </row>
    <row r="7282" spans="8:10">
      <c r="H7282" s="156"/>
      <c r="I7282" s="156"/>
      <c r="J7282" s="156"/>
    </row>
    <row r="7283" spans="8:10">
      <c r="H7283" s="156"/>
      <c r="I7283" s="156"/>
      <c r="J7283" s="156"/>
    </row>
    <row r="7284" spans="8:10">
      <c r="H7284" s="156"/>
      <c r="I7284" s="156"/>
      <c r="J7284" s="156"/>
    </row>
    <row r="7285" spans="8:10">
      <c r="H7285" s="156"/>
      <c r="I7285" s="156"/>
      <c r="J7285" s="156"/>
    </row>
    <row r="7286" spans="8:10">
      <c r="H7286" s="156"/>
      <c r="I7286" s="156"/>
      <c r="J7286" s="156"/>
    </row>
    <row r="7287" spans="8:10">
      <c r="H7287" s="156"/>
      <c r="I7287" s="156"/>
      <c r="J7287" s="156"/>
    </row>
    <row r="7288" spans="8:10">
      <c r="H7288" s="156"/>
      <c r="I7288" s="156"/>
      <c r="J7288" s="156"/>
    </row>
    <row r="7289" spans="8:10">
      <c r="H7289" s="156"/>
      <c r="I7289" s="156"/>
      <c r="J7289" s="156"/>
    </row>
    <row r="7290" spans="8:10">
      <c r="H7290" s="156"/>
      <c r="I7290" s="156"/>
      <c r="J7290" s="156"/>
    </row>
    <row r="7291" spans="8:10">
      <c r="H7291" s="156"/>
      <c r="I7291" s="156"/>
      <c r="J7291" s="156"/>
    </row>
    <row r="7292" spans="8:10">
      <c r="H7292" s="156"/>
      <c r="I7292" s="156"/>
      <c r="J7292" s="156"/>
    </row>
    <row r="7293" spans="8:10">
      <c r="H7293" s="156"/>
      <c r="I7293" s="156"/>
      <c r="J7293" s="156"/>
    </row>
    <row r="7294" spans="8:10">
      <c r="H7294" s="156"/>
      <c r="I7294" s="156"/>
      <c r="J7294" s="156"/>
    </row>
    <row r="7295" spans="8:10">
      <c r="H7295" s="156"/>
      <c r="I7295" s="156"/>
      <c r="J7295" s="156"/>
    </row>
    <row r="7296" spans="8:10">
      <c r="H7296" s="156"/>
      <c r="I7296" s="156"/>
      <c r="J7296" s="156"/>
    </row>
    <row r="7297" spans="8:10">
      <c r="H7297" s="156"/>
      <c r="I7297" s="156"/>
      <c r="J7297" s="156"/>
    </row>
    <row r="7298" spans="8:10">
      <c r="H7298" s="156"/>
      <c r="I7298" s="156"/>
      <c r="J7298" s="156"/>
    </row>
    <row r="7299" spans="8:10">
      <c r="H7299" s="156"/>
      <c r="I7299" s="156"/>
      <c r="J7299" s="156"/>
    </row>
    <row r="7300" spans="8:10">
      <c r="H7300" s="156"/>
      <c r="I7300" s="156"/>
      <c r="J7300" s="156"/>
    </row>
    <row r="7301" spans="8:10">
      <c r="H7301" s="156"/>
      <c r="I7301" s="156"/>
      <c r="J7301" s="156"/>
    </row>
    <row r="7302" spans="8:10">
      <c r="H7302" s="156"/>
      <c r="I7302" s="156"/>
      <c r="J7302" s="156"/>
    </row>
    <row r="7303" spans="8:10">
      <c r="H7303" s="156"/>
      <c r="I7303" s="156"/>
      <c r="J7303" s="156"/>
    </row>
    <row r="7304" spans="8:10">
      <c r="H7304" s="156"/>
      <c r="I7304" s="156"/>
      <c r="J7304" s="156"/>
    </row>
    <row r="7305" spans="8:10">
      <c r="H7305" s="156"/>
      <c r="I7305" s="156"/>
      <c r="J7305" s="156"/>
    </row>
    <row r="7306" spans="8:10">
      <c r="H7306" s="156"/>
      <c r="I7306" s="156"/>
      <c r="J7306" s="156"/>
    </row>
    <row r="7307" spans="8:10">
      <c r="H7307" s="156"/>
      <c r="I7307" s="156"/>
      <c r="J7307" s="156"/>
    </row>
    <row r="7308" spans="8:10">
      <c r="H7308" s="156"/>
      <c r="I7308" s="156"/>
      <c r="J7308" s="156"/>
    </row>
    <row r="7309" spans="8:10">
      <c r="H7309" s="156"/>
      <c r="I7309" s="156"/>
      <c r="J7309" s="156"/>
    </row>
    <row r="7310" spans="8:10">
      <c r="H7310" s="156"/>
      <c r="I7310" s="156"/>
      <c r="J7310" s="156"/>
    </row>
    <row r="7311" spans="8:10">
      <c r="H7311" s="156"/>
      <c r="I7311" s="156"/>
      <c r="J7311" s="156"/>
    </row>
    <row r="7312" spans="8:10">
      <c r="H7312" s="156"/>
      <c r="I7312" s="156"/>
      <c r="J7312" s="156"/>
    </row>
    <row r="7313" spans="8:10">
      <c r="H7313" s="156"/>
      <c r="I7313" s="156"/>
      <c r="J7313" s="156"/>
    </row>
    <row r="7314" spans="8:10">
      <c r="H7314" s="156"/>
      <c r="I7314" s="156"/>
      <c r="J7314" s="156"/>
    </row>
    <row r="7315" spans="8:10">
      <c r="H7315" s="156"/>
      <c r="I7315" s="156"/>
      <c r="J7315" s="156"/>
    </row>
    <row r="7316" spans="8:10">
      <c r="H7316" s="156"/>
      <c r="I7316" s="156"/>
      <c r="J7316" s="156"/>
    </row>
    <row r="7317" spans="8:10">
      <c r="H7317" s="156"/>
      <c r="I7317" s="156"/>
      <c r="J7317" s="156"/>
    </row>
    <row r="7318" spans="8:10">
      <c r="H7318" s="156"/>
      <c r="I7318" s="156"/>
      <c r="J7318" s="156"/>
    </row>
    <row r="7319" spans="8:10">
      <c r="H7319" s="156"/>
      <c r="I7319" s="156"/>
      <c r="J7319" s="156"/>
    </row>
    <row r="7320" spans="8:10">
      <c r="H7320" s="156"/>
      <c r="I7320" s="156"/>
      <c r="J7320" s="156"/>
    </row>
    <row r="7321" spans="8:10">
      <c r="H7321" s="156"/>
      <c r="I7321" s="156"/>
      <c r="J7321" s="156"/>
    </row>
    <row r="7322" spans="8:10">
      <c r="H7322" s="156"/>
      <c r="I7322" s="156"/>
      <c r="J7322" s="156"/>
    </row>
    <row r="7323" spans="8:10">
      <c r="H7323" s="156"/>
      <c r="I7323" s="156"/>
      <c r="J7323" s="156"/>
    </row>
    <row r="7324" spans="8:10">
      <c r="H7324" s="156"/>
      <c r="I7324" s="156"/>
      <c r="J7324" s="156"/>
    </row>
    <row r="7325" spans="8:10">
      <c r="H7325" s="156"/>
      <c r="I7325" s="156"/>
      <c r="J7325" s="156"/>
    </row>
    <row r="7326" spans="8:10">
      <c r="H7326" s="156"/>
      <c r="I7326" s="156"/>
      <c r="J7326" s="156"/>
    </row>
    <row r="7327" spans="8:10">
      <c r="H7327" s="156"/>
      <c r="I7327" s="156"/>
      <c r="J7327" s="156"/>
    </row>
    <row r="7328" spans="8:10">
      <c r="H7328" s="156"/>
      <c r="I7328" s="156"/>
      <c r="J7328" s="156"/>
    </row>
    <row r="7329" spans="8:10">
      <c r="H7329" s="156"/>
      <c r="I7329" s="156"/>
      <c r="J7329" s="156"/>
    </row>
    <row r="7330" spans="8:10">
      <c r="H7330" s="156"/>
      <c r="I7330" s="156"/>
      <c r="J7330" s="156"/>
    </row>
    <row r="7331" spans="8:10">
      <c r="H7331" s="156"/>
      <c r="I7331" s="156"/>
      <c r="J7331" s="156"/>
    </row>
    <row r="7332" spans="8:10">
      <c r="H7332" s="156"/>
      <c r="I7332" s="156"/>
      <c r="J7332" s="156"/>
    </row>
    <row r="7333" spans="8:10">
      <c r="H7333" s="156"/>
      <c r="I7333" s="156"/>
      <c r="J7333" s="156"/>
    </row>
    <row r="7334" spans="8:10">
      <c r="H7334" s="156"/>
      <c r="I7334" s="156"/>
      <c r="J7334" s="156"/>
    </row>
    <row r="7335" spans="8:10">
      <c r="H7335" s="156"/>
      <c r="I7335" s="156"/>
      <c r="J7335" s="156"/>
    </row>
    <row r="7336" spans="8:10">
      <c r="H7336" s="156"/>
      <c r="I7336" s="156"/>
      <c r="J7336" s="156"/>
    </row>
    <row r="7337" spans="8:10">
      <c r="H7337" s="156"/>
      <c r="I7337" s="156"/>
      <c r="J7337" s="156"/>
    </row>
    <row r="7338" spans="8:10">
      <c r="H7338" s="156"/>
      <c r="I7338" s="156"/>
      <c r="J7338" s="156"/>
    </row>
    <row r="7339" spans="8:10">
      <c r="H7339" s="156"/>
      <c r="I7339" s="156"/>
      <c r="J7339" s="156"/>
    </row>
    <row r="7340" spans="8:10">
      <c r="H7340" s="156"/>
      <c r="I7340" s="156"/>
      <c r="J7340" s="156"/>
    </row>
    <row r="7341" spans="8:10">
      <c r="H7341" s="156"/>
      <c r="I7341" s="156"/>
      <c r="J7341" s="156"/>
    </row>
    <row r="7342" spans="8:10">
      <c r="H7342" s="156"/>
      <c r="I7342" s="156"/>
      <c r="J7342" s="156"/>
    </row>
    <row r="7343" spans="8:10">
      <c r="H7343" s="156"/>
      <c r="I7343" s="156"/>
      <c r="J7343" s="156"/>
    </row>
    <row r="7344" spans="8:10">
      <c r="H7344" s="156"/>
      <c r="I7344" s="156"/>
      <c r="J7344" s="156"/>
    </row>
    <row r="7345" spans="8:10">
      <c r="H7345" s="156"/>
      <c r="I7345" s="156"/>
      <c r="J7345" s="156"/>
    </row>
    <row r="7346" spans="8:10">
      <c r="H7346" s="156"/>
      <c r="I7346" s="156"/>
      <c r="J7346" s="156"/>
    </row>
    <row r="7347" spans="8:10">
      <c r="H7347" s="156"/>
      <c r="I7347" s="156"/>
      <c r="J7347" s="156"/>
    </row>
    <row r="7348" spans="8:10">
      <c r="H7348" s="156"/>
      <c r="I7348" s="156"/>
      <c r="J7348" s="156"/>
    </row>
    <row r="7349" spans="8:10">
      <c r="H7349" s="156"/>
      <c r="I7349" s="156"/>
      <c r="J7349" s="156"/>
    </row>
    <row r="7350" spans="8:10">
      <c r="H7350" s="156"/>
      <c r="I7350" s="156"/>
      <c r="J7350" s="156"/>
    </row>
    <row r="7351" spans="8:10">
      <c r="H7351" s="156"/>
      <c r="I7351" s="156"/>
      <c r="J7351" s="156"/>
    </row>
    <row r="7352" spans="8:10">
      <c r="H7352" s="156"/>
      <c r="I7352" s="156"/>
      <c r="J7352" s="156"/>
    </row>
    <row r="7353" spans="8:10">
      <c r="H7353" s="156"/>
      <c r="I7353" s="156"/>
      <c r="J7353" s="156"/>
    </row>
    <row r="7354" spans="8:10">
      <c r="H7354" s="156"/>
      <c r="I7354" s="156"/>
      <c r="J7354" s="156"/>
    </row>
    <row r="7355" spans="8:10">
      <c r="H7355" s="156"/>
      <c r="I7355" s="156"/>
      <c r="J7355" s="156"/>
    </row>
    <row r="7356" spans="8:10">
      <c r="H7356" s="156"/>
      <c r="I7356" s="156"/>
      <c r="J7356" s="156"/>
    </row>
    <row r="7357" spans="8:10">
      <c r="H7357" s="156"/>
      <c r="I7357" s="156"/>
      <c r="J7357" s="156"/>
    </row>
    <row r="7358" spans="8:10">
      <c r="H7358" s="156"/>
      <c r="I7358" s="156"/>
      <c r="J7358" s="156"/>
    </row>
    <row r="7359" spans="8:10">
      <c r="H7359" s="156"/>
      <c r="I7359" s="156"/>
      <c r="J7359" s="156"/>
    </row>
    <row r="7360" spans="8:10">
      <c r="H7360" s="156"/>
      <c r="I7360" s="156"/>
      <c r="J7360" s="156"/>
    </row>
    <row r="7361" spans="8:10">
      <c r="H7361" s="156"/>
      <c r="I7361" s="156"/>
      <c r="J7361" s="156"/>
    </row>
    <row r="7362" spans="8:10">
      <c r="H7362" s="156"/>
      <c r="I7362" s="156"/>
      <c r="J7362" s="156"/>
    </row>
    <row r="7363" spans="8:10">
      <c r="H7363" s="156"/>
      <c r="I7363" s="156"/>
      <c r="J7363" s="156"/>
    </row>
    <row r="7364" spans="8:10">
      <c r="H7364" s="156"/>
      <c r="I7364" s="156"/>
      <c r="J7364" s="156"/>
    </row>
    <row r="7365" spans="8:10">
      <c r="H7365" s="156"/>
      <c r="I7365" s="156"/>
      <c r="J7365" s="156"/>
    </row>
    <row r="7366" spans="8:10">
      <c r="H7366" s="156"/>
      <c r="I7366" s="156"/>
      <c r="J7366" s="156"/>
    </row>
    <row r="7367" spans="8:10">
      <c r="H7367" s="156"/>
      <c r="I7367" s="156"/>
      <c r="J7367" s="156"/>
    </row>
    <row r="7368" spans="8:10">
      <c r="H7368" s="156"/>
      <c r="I7368" s="156"/>
      <c r="J7368" s="156"/>
    </row>
    <row r="7369" spans="8:10">
      <c r="H7369" s="156"/>
      <c r="I7369" s="156"/>
      <c r="J7369" s="156"/>
    </row>
    <row r="7370" spans="8:10">
      <c r="H7370" s="156"/>
      <c r="I7370" s="156"/>
      <c r="J7370" s="156"/>
    </row>
    <row r="7371" spans="8:10">
      <c r="H7371" s="156"/>
      <c r="I7371" s="156"/>
      <c r="J7371" s="156"/>
    </row>
    <row r="7372" spans="8:10">
      <c r="H7372" s="156"/>
      <c r="I7372" s="156"/>
      <c r="J7372" s="156"/>
    </row>
    <row r="7373" spans="8:10">
      <c r="H7373" s="156"/>
      <c r="I7373" s="156"/>
      <c r="J7373" s="156"/>
    </row>
    <row r="7374" spans="8:10">
      <c r="H7374" s="156"/>
      <c r="I7374" s="156"/>
      <c r="J7374" s="156"/>
    </row>
    <row r="7375" spans="8:10">
      <c r="H7375" s="156"/>
      <c r="I7375" s="156"/>
      <c r="J7375" s="156"/>
    </row>
    <row r="7376" spans="8:10">
      <c r="H7376" s="156"/>
      <c r="I7376" s="156"/>
      <c r="J7376" s="156"/>
    </row>
    <row r="7377" spans="8:10">
      <c r="H7377" s="156"/>
      <c r="I7377" s="156"/>
      <c r="J7377" s="156"/>
    </row>
    <row r="7378" spans="8:10">
      <c r="H7378" s="156"/>
      <c r="I7378" s="156"/>
      <c r="J7378" s="156"/>
    </row>
    <row r="7379" spans="8:10">
      <c r="H7379" s="156"/>
      <c r="I7379" s="156"/>
      <c r="J7379" s="156"/>
    </row>
    <row r="7380" spans="8:10">
      <c r="H7380" s="156"/>
      <c r="I7380" s="156"/>
      <c r="J7380" s="156"/>
    </row>
    <row r="7381" spans="8:10">
      <c r="H7381" s="156"/>
      <c r="I7381" s="156"/>
      <c r="J7381" s="156"/>
    </row>
    <row r="7382" spans="8:10">
      <c r="H7382" s="156"/>
      <c r="I7382" s="156"/>
      <c r="J7382" s="156"/>
    </row>
    <row r="7383" spans="8:10">
      <c r="H7383" s="156"/>
      <c r="I7383" s="156"/>
      <c r="J7383" s="156"/>
    </row>
    <row r="7384" spans="8:10">
      <c r="H7384" s="156"/>
      <c r="I7384" s="156"/>
      <c r="J7384" s="156"/>
    </row>
    <row r="7385" spans="8:10">
      <c r="H7385" s="156"/>
      <c r="I7385" s="156"/>
      <c r="J7385" s="156"/>
    </row>
    <row r="7386" spans="8:10">
      <c r="H7386" s="156"/>
      <c r="I7386" s="156"/>
      <c r="J7386" s="156"/>
    </row>
    <row r="7387" spans="8:10">
      <c r="H7387" s="156"/>
      <c r="I7387" s="156"/>
      <c r="J7387" s="156"/>
    </row>
    <row r="7388" spans="8:10">
      <c r="H7388" s="156"/>
      <c r="I7388" s="156"/>
      <c r="J7388" s="156"/>
    </row>
    <row r="7389" spans="8:10">
      <c r="H7389" s="156"/>
      <c r="I7389" s="156"/>
      <c r="J7389" s="156"/>
    </row>
    <row r="7390" spans="8:10">
      <c r="H7390" s="156"/>
      <c r="I7390" s="156"/>
      <c r="J7390" s="156"/>
    </row>
    <row r="7391" spans="8:10">
      <c r="H7391" s="156"/>
      <c r="I7391" s="156"/>
      <c r="J7391" s="156"/>
    </row>
    <row r="7392" spans="8:10">
      <c r="H7392" s="156"/>
      <c r="I7392" s="156"/>
      <c r="J7392" s="156"/>
    </row>
    <row r="7393" spans="8:10">
      <c r="H7393" s="156"/>
      <c r="I7393" s="156"/>
      <c r="J7393" s="156"/>
    </row>
    <row r="7394" spans="8:10">
      <c r="H7394" s="156"/>
      <c r="I7394" s="156"/>
      <c r="J7394" s="156"/>
    </row>
    <row r="7395" spans="8:10">
      <c r="H7395" s="156"/>
      <c r="I7395" s="156"/>
      <c r="J7395" s="156"/>
    </row>
    <row r="7396" spans="8:10">
      <c r="H7396" s="156"/>
      <c r="I7396" s="156"/>
      <c r="J7396" s="156"/>
    </row>
    <row r="7397" spans="8:10">
      <c r="H7397" s="156"/>
      <c r="I7397" s="156"/>
      <c r="J7397" s="156"/>
    </row>
    <row r="7398" spans="8:10">
      <c r="H7398" s="156"/>
      <c r="I7398" s="156"/>
      <c r="J7398" s="156"/>
    </row>
    <row r="7399" spans="8:10">
      <c r="H7399" s="156"/>
      <c r="I7399" s="156"/>
      <c r="J7399" s="156"/>
    </row>
    <row r="7400" spans="8:10">
      <c r="H7400" s="156"/>
      <c r="I7400" s="156"/>
      <c r="J7400" s="156"/>
    </row>
    <row r="7401" spans="8:10">
      <c r="H7401" s="156"/>
      <c r="I7401" s="156"/>
      <c r="J7401" s="156"/>
    </row>
    <row r="7402" spans="8:10">
      <c r="H7402" s="156"/>
      <c r="I7402" s="156"/>
      <c r="J7402" s="156"/>
    </row>
    <row r="7403" spans="8:10">
      <c r="H7403" s="156"/>
      <c r="I7403" s="156"/>
      <c r="J7403" s="156"/>
    </row>
    <row r="7404" spans="8:10">
      <c r="H7404" s="156"/>
      <c r="I7404" s="156"/>
      <c r="J7404" s="156"/>
    </row>
    <row r="7405" spans="8:10">
      <c r="H7405" s="156"/>
      <c r="I7405" s="156"/>
      <c r="J7405" s="156"/>
    </row>
    <row r="7406" spans="8:10">
      <c r="H7406" s="156"/>
      <c r="I7406" s="156"/>
      <c r="J7406" s="156"/>
    </row>
    <row r="7407" spans="8:10">
      <c r="H7407" s="156"/>
      <c r="I7407" s="156"/>
      <c r="J7407" s="156"/>
    </row>
    <row r="7408" spans="8:10">
      <c r="H7408" s="156"/>
      <c r="I7408" s="156"/>
      <c r="J7408" s="156"/>
    </row>
    <row r="7409" spans="8:10">
      <c r="H7409" s="156"/>
      <c r="I7409" s="156"/>
      <c r="J7409" s="156"/>
    </row>
    <row r="7410" spans="8:10">
      <c r="H7410" s="156"/>
      <c r="I7410" s="156"/>
      <c r="J7410" s="156"/>
    </row>
    <row r="7411" spans="8:10">
      <c r="H7411" s="156"/>
      <c r="I7411" s="156"/>
      <c r="J7411" s="156"/>
    </row>
    <row r="7412" spans="8:10">
      <c r="H7412" s="156"/>
      <c r="I7412" s="156"/>
      <c r="J7412" s="156"/>
    </row>
    <row r="7413" spans="8:10">
      <c r="H7413" s="156"/>
      <c r="I7413" s="156"/>
      <c r="J7413" s="156"/>
    </row>
    <row r="7414" spans="8:10">
      <c r="H7414" s="156"/>
      <c r="I7414" s="156"/>
      <c r="J7414" s="156"/>
    </row>
    <row r="7415" spans="8:10">
      <c r="H7415" s="156"/>
      <c r="I7415" s="156"/>
      <c r="J7415" s="156"/>
    </row>
    <row r="7416" spans="8:10">
      <c r="H7416" s="156"/>
      <c r="I7416" s="156"/>
      <c r="J7416" s="156"/>
    </row>
    <row r="7417" spans="8:10">
      <c r="H7417" s="156"/>
      <c r="I7417" s="156"/>
      <c r="J7417" s="156"/>
    </row>
    <row r="7418" spans="8:10">
      <c r="H7418" s="156"/>
      <c r="I7418" s="156"/>
      <c r="J7418" s="156"/>
    </row>
    <row r="7419" spans="8:10">
      <c r="H7419" s="156"/>
      <c r="I7419" s="156"/>
      <c r="J7419" s="156"/>
    </row>
    <row r="7420" spans="8:10">
      <c r="H7420" s="156"/>
      <c r="I7420" s="156"/>
      <c r="J7420" s="156"/>
    </row>
    <row r="7421" spans="8:10">
      <c r="H7421" s="156"/>
      <c r="I7421" s="156"/>
      <c r="J7421" s="156"/>
    </row>
    <row r="7422" spans="8:10">
      <c r="H7422" s="156"/>
      <c r="I7422" s="156"/>
      <c r="J7422" s="156"/>
    </row>
    <row r="7423" spans="8:10">
      <c r="H7423" s="156"/>
      <c r="I7423" s="156"/>
      <c r="J7423" s="156"/>
    </row>
    <row r="7424" spans="8:10">
      <c r="H7424" s="156"/>
      <c r="I7424" s="156"/>
      <c r="J7424" s="156"/>
    </row>
    <row r="7425" spans="8:10">
      <c r="H7425" s="156"/>
      <c r="I7425" s="156"/>
      <c r="J7425" s="156"/>
    </row>
    <row r="7426" spans="8:10">
      <c r="H7426" s="156"/>
      <c r="I7426" s="156"/>
      <c r="J7426" s="156"/>
    </row>
    <row r="7427" spans="8:10">
      <c r="H7427" s="156"/>
      <c r="I7427" s="156"/>
      <c r="J7427" s="156"/>
    </row>
    <row r="7428" spans="8:10">
      <c r="H7428" s="156"/>
      <c r="I7428" s="156"/>
      <c r="J7428" s="156"/>
    </row>
    <row r="7429" spans="8:10">
      <c r="H7429" s="156"/>
      <c r="I7429" s="156"/>
      <c r="J7429" s="156"/>
    </row>
    <row r="7430" spans="8:10">
      <c r="H7430" s="156"/>
      <c r="I7430" s="156"/>
      <c r="J7430" s="156"/>
    </row>
    <row r="7431" spans="8:10">
      <c r="H7431" s="156"/>
      <c r="I7431" s="156"/>
      <c r="J7431" s="156"/>
    </row>
    <row r="7432" spans="8:10">
      <c r="H7432" s="156"/>
      <c r="I7432" s="156"/>
      <c r="J7432" s="156"/>
    </row>
    <row r="7433" spans="8:10">
      <c r="H7433" s="156"/>
      <c r="I7433" s="156"/>
      <c r="J7433" s="156"/>
    </row>
    <row r="7434" spans="8:10">
      <c r="H7434" s="156"/>
      <c r="I7434" s="156"/>
      <c r="J7434" s="156"/>
    </row>
    <row r="7435" spans="8:10">
      <c r="H7435" s="156"/>
      <c r="I7435" s="156"/>
      <c r="J7435" s="156"/>
    </row>
    <row r="7436" spans="8:10">
      <c r="H7436" s="156"/>
      <c r="I7436" s="156"/>
      <c r="J7436" s="156"/>
    </row>
    <row r="7437" spans="8:10">
      <c r="H7437" s="156"/>
      <c r="I7437" s="156"/>
      <c r="J7437" s="156"/>
    </row>
    <row r="7438" spans="8:10">
      <c r="H7438" s="156"/>
      <c r="I7438" s="156"/>
      <c r="J7438" s="156"/>
    </row>
    <row r="7439" spans="8:10">
      <c r="H7439" s="156"/>
      <c r="I7439" s="156"/>
      <c r="J7439" s="156"/>
    </row>
    <row r="7440" spans="8:10">
      <c r="H7440" s="156"/>
      <c r="I7440" s="156"/>
      <c r="J7440" s="156"/>
    </row>
    <row r="7441" spans="8:10">
      <c r="H7441" s="156"/>
      <c r="I7441" s="156"/>
      <c r="J7441" s="156"/>
    </row>
    <row r="7442" spans="8:10">
      <c r="H7442" s="156"/>
      <c r="I7442" s="156"/>
      <c r="J7442" s="156"/>
    </row>
    <row r="7443" spans="8:10">
      <c r="H7443" s="156"/>
      <c r="I7443" s="156"/>
      <c r="J7443" s="156"/>
    </row>
    <row r="7444" spans="8:10">
      <c r="H7444" s="156"/>
      <c r="I7444" s="156"/>
      <c r="J7444" s="156"/>
    </row>
    <row r="7445" spans="8:10">
      <c r="H7445" s="156"/>
      <c r="I7445" s="156"/>
      <c r="J7445" s="156"/>
    </row>
    <row r="7446" spans="8:10">
      <c r="H7446" s="156"/>
      <c r="I7446" s="156"/>
      <c r="J7446" s="156"/>
    </row>
    <row r="7447" spans="8:10">
      <c r="H7447" s="156"/>
      <c r="I7447" s="156"/>
      <c r="J7447" s="156"/>
    </row>
    <row r="7448" spans="8:10">
      <c r="H7448" s="156"/>
      <c r="I7448" s="156"/>
      <c r="J7448" s="156"/>
    </row>
    <row r="7449" spans="8:10">
      <c r="H7449" s="156"/>
      <c r="I7449" s="156"/>
      <c r="J7449" s="156"/>
    </row>
    <row r="7450" spans="8:10">
      <c r="H7450" s="156"/>
      <c r="I7450" s="156"/>
      <c r="J7450" s="156"/>
    </row>
    <row r="7451" spans="8:10">
      <c r="H7451" s="156"/>
      <c r="I7451" s="156"/>
      <c r="J7451" s="156"/>
    </row>
    <row r="7452" spans="8:10">
      <c r="H7452" s="156"/>
      <c r="I7452" s="156"/>
      <c r="J7452" s="156"/>
    </row>
    <row r="7453" spans="8:10">
      <c r="H7453" s="156"/>
      <c r="I7453" s="156"/>
      <c r="J7453" s="156"/>
    </row>
    <row r="7454" spans="8:10">
      <c r="H7454" s="156"/>
      <c r="I7454" s="156"/>
      <c r="J7454" s="156"/>
    </row>
    <row r="7455" spans="8:10">
      <c r="H7455" s="156"/>
      <c r="I7455" s="156"/>
      <c r="J7455" s="156"/>
    </row>
    <row r="7456" spans="8:10">
      <c r="H7456" s="156"/>
      <c r="I7456" s="156"/>
      <c r="J7456" s="156"/>
    </row>
    <row r="7457" spans="8:10">
      <c r="H7457" s="156"/>
      <c r="I7457" s="156"/>
      <c r="J7457" s="156"/>
    </row>
    <row r="7458" spans="8:10">
      <c r="H7458" s="156"/>
      <c r="I7458" s="156"/>
      <c r="J7458" s="156"/>
    </row>
    <row r="7459" spans="8:10">
      <c r="H7459" s="156"/>
      <c r="I7459" s="156"/>
      <c r="J7459" s="156"/>
    </row>
    <row r="7460" spans="8:10">
      <c r="H7460" s="156"/>
      <c r="I7460" s="156"/>
      <c r="J7460" s="156"/>
    </row>
    <row r="7461" spans="8:10">
      <c r="H7461" s="156"/>
      <c r="I7461" s="156"/>
      <c r="J7461" s="156"/>
    </row>
    <row r="7462" spans="8:10">
      <c r="H7462" s="156"/>
      <c r="I7462" s="156"/>
      <c r="J7462" s="156"/>
    </row>
    <row r="7463" spans="8:10">
      <c r="H7463" s="156"/>
      <c r="I7463" s="156"/>
      <c r="J7463" s="156"/>
    </row>
    <row r="7464" spans="8:10">
      <c r="H7464" s="156"/>
      <c r="I7464" s="156"/>
      <c r="J7464" s="156"/>
    </row>
    <row r="7465" spans="8:10">
      <c r="H7465" s="156"/>
      <c r="I7465" s="156"/>
      <c r="J7465" s="156"/>
    </row>
    <row r="7466" spans="8:10">
      <c r="H7466" s="156"/>
      <c r="I7466" s="156"/>
      <c r="J7466" s="156"/>
    </row>
    <row r="7467" spans="8:10">
      <c r="H7467" s="156"/>
      <c r="I7467" s="156"/>
      <c r="J7467" s="156"/>
    </row>
    <row r="7468" spans="8:10">
      <c r="H7468" s="156"/>
      <c r="I7468" s="156"/>
      <c r="J7468" s="156"/>
    </row>
    <row r="7469" spans="8:10">
      <c r="H7469" s="156"/>
      <c r="I7469" s="156"/>
      <c r="J7469" s="156"/>
    </row>
    <row r="7470" spans="8:10">
      <c r="H7470" s="156"/>
      <c r="I7470" s="156"/>
      <c r="J7470" s="156"/>
    </row>
    <row r="7471" spans="8:10">
      <c r="H7471" s="156"/>
      <c r="I7471" s="156"/>
      <c r="J7471" s="156"/>
    </row>
    <row r="7472" spans="8:10">
      <c r="H7472" s="156"/>
      <c r="I7472" s="156"/>
      <c r="J7472" s="156"/>
    </row>
    <row r="7473" spans="8:10">
      <c r="H7473" s="156"/>
      <c r="I7473" s="156"/>
      <c r="J7473" s="156"/>
    </row>
    <row r="7474" spans="8:10">
      <c r="H7474" s="156"/>
      <c r="I7474" s="156"/>
      <c r="J7474" s="156"/>
    </row>
    <row r="7475" spans="8:10">
      <c r="H7475" s="156"/>
      <c r="I7475" s="156"/>
      <c r="J7475" s="156"/>
    </row>
    <row r="7476" spans="8:10">
      <c r="H7476" s="156"/>
      <c r="I7476" s="156"/>
      <c r="J7476" s="156"/>
    </row>
    <row r="7477" spans="8:10">
      <c r="H7477" s="156"/>
      <c r="I7477" s="156"/>
      <c r="J7477" s="156"/>
    </row>
    <row r="7478" spans="8:10">
      <c r="H7478" s="156"/>
      <c r="I7478" s="156"/>
      <c r="J7478" s="156"/>
    </row>
    <row r="7479" spans="8:10">
      <c r="H7479" s="156"/>
      <c r="I7479" s="156"/>
      <c r="J7479" s="156"/>
    </row>
    <row r="7480" spans="8:10">
      <c r="H7480" s="156"/>
      <c r="I7480" s="156"/>
      <c r="J7480" s="156"/>
    </row>
    <row r="7481" spans="8:10">
      <c r="H7481" s="156"/>
      <c r="I7481" s="156"/>
      <c r="J7481" s="156"/>
    </row>
    <row r="7482" spans="8:10">
      <c r="H7482" s="156"/>
      <c r="I7482" s="156"/>
      <c r="J7482" s="156"/>
    </row>
    <row r="7483" spans="8:10">
      <c r="H7483" s="156"/>
      <c r="I7483" s="156"/>
      <c r="J7483" s="156"/>
    </row>
    <row r="7484" spans="8:10">
      <c r="H7484" s="156"/>
      <c r="I7484" s="156"/>
      <c r="J7484" s="156"/>
    </row>
    <row r="7485" spans="8:10">
      <c r="H7485" s="156"/>
      <c r="I7485" s="156"/>
      <c r="J7485" s="156"/>
    </row>
    <row r="7486" spans="8:10">
      <c r="H7486" s="156"/>
      <c r="I7486" s="156"/>
      <c r="J7486" s="156"/>
    </row>
    <row r="7487" spans="8:10">
      <c r="H7487" s="156"/>
      <c r="I7487" s="156"/>
      <c r="J7487" s="156"/>
    </row>
    <row r="7488" spans="8:10">
      <c r="H7488" s="156"/>
      <c r="I7488" s="156"/>
      <c r="J7488" s="156"/>
    </row>
    <row r="7489" spans="8:10">
      <c r="H7489" s="156"/>
      <c r="I7489" s="156"/>
      <c r="J7489" s="156"/>
    </row>
    <row r="7490" spans="8:10">
      <c r="H7490" s="156"/>
      <c r="I7490" s="156"/>
      <c r="J7490" s="156"/>
    </row>
    <row r="7491" spans="8:10">
      <c r="H7491" s="156"/>
      <c r="I7491" s="156"/>
      <c r="J7491" s="156"/>
    </row>
    <row r="7492" spans="8:10">
      <c r="H7492" s="156"/>
      <c r="I7492" s="156"/>
      <c r="J7492" s="156"/>
    </row>
    <row r="7493" spans="8:10">
      <c r="H7493" s="156"/>
      <c r="I7493" s="156"/>
      <c r="J7493" s="156"/>
    </row>
    <row r="7494" spans="8:10">
      <c r="H7494" s="156"/>
      <c r="I7494" s="156"/>
      <c r="J7494" s="156"/>
    </row>
    <row r="7495" spans="8:10">
      <c r="H7495" s="156"/>
      <c r="I7495" s="156"/>
      <c r="J7495" s="156"/>
    </row>
    <row r="7496" spans="8:10">
      <c r="H7496" s="156"/>
      <c r="I7496" s="156"/>
      <c r="J7496" s="156"/>
    </row>
    <row r="7497" spans="8:10">
      <c r="H7497" s="156"/>
      <c r="I7497" s="156"/>
      <c r="J7497" s="156"/>
    </row>
    <row r="7498" spans="8:10">
      <c r="H7498" s="156"/>
      <c r="I7498" s="156"/>
      <c r="J7498" s="156"/>
    </row>
    <row r="7499" spans="8:10">
      <c r="H7499" s="156"/>
      <c r="I7499" s="156"/>
      <c r="J7499" s="156"/>
    </row>
    <row r="7500" spans="8:10">
      <c r="H7500" s="156"/>
      <c r="I7500" s="156"/>
      <c r="J7500" s="156"/>
    </row>
    <row r="7501" spans="8:10">
      <c r="H7501" s="156"/>
      <c r="I7501" s="156"/>
      <c r="J7501" s="156"/>
    </row>
    <row r="7502" spans="8:10">
      <c r="H7502" s="156"/>
      <c r="I7502" s="156"/>
      <c r="J7502" s="156"/>
    </row>
    <row r="7503" spans="8:10">
      <c r="H7503" s="156"/>
      <c r="I7503" s="156"/>
      <c r="J7503" s="156"/>
    </row>
    <row r="7504" spans="8:10">
      <c r="H7504" s="156"/>
      <c r="I7504" s="156"/>
      <c r="J7504" s="156"/>
    </row>
    <row r="7505" spans="8:10">
      <c r="H7505" s="156"/>
      <c r="I7505" s="156"/>
      <c r="J7505" s="156"/>
    </row>
    <row r="7506" spans="8:10">
      <c r="H7506" s="156"/>
      <c r="I7506" s="156"/>
      <c r="J7506" s="156"/>
    </row>
    <row r="7507" spans="8:10">
      <c r="H7507" s="156"/>
      <c r="I7507" s="156"/>
      <c r="J7507" s="156"/>
    </row>
    <row r="7508" spans="8:10">
      <c r="H7508" s="156"/>
      <c r="I7508" s="156"/>
      <c r="J7508" s="156"/>
    </row>
    <row r="7509" spans="8:10">
      <c r="H7509" s="156"/>
      <c r="I7509" s="156"/>
      <c r="J7509" s="156"/>
    </row>
    <row r="7510" spans="8:10">
      <c r="H7510" s="156"/>
      <c r="I7510" s="156"/>
      <c r="J7510" s="156"/>
    </row>
    <row r="7511" spans="8:10">
      <c r="H7511" s="156"/>
      <c r="I7511" s="156"/>
      <c r="J7511" s="156"/>
    </row>
    <row r="7512" spans="8:10">
      <c r="H7512" s="156"/>
      <c r="I7512" s="156"/>
      <c r="J7512" s="156"/>
    </row>
    <row r="7513" spans="8:10">
      <c r="H7513" s="156"/>
      <c r="I7513" s="156"/>
      <c r="J7513" s="156"/>
    </row>
    <row r="7514" spans="8:10">
      <c r="H7514" s="156"/>
      <c r="I7514" s="156"/>
      <c r="J7514" s="156"/>
    </row>
    <row r="7515" spans="8:10">
      <c r="H7515" s="156"/>
      <c r="I7515" s="156"/>
      <c r="J7515" s="156"/>
    </row>
    <row r="7516" spans="8:10">
      <c r="H7516" s="156"/>
      <c r="I7516" s="156"/>
      <c r="J7516" s="156"/>
    </row>
    <row r="7517" spans="8:10">
      <c r="H7517" s="156"/>
      <c r="I7517" s="156"/>
      <c r="J7517" s="156"/>
    </row>
    <row r="7518" spans="8:10">
      <c r="H7518" s="156"/>
      <c r="I7518" s="156"/>
      <c r="J7518" s="156"/>
    </row>
    <row r="7519" spans="8:10">
      <c r="H7519" s="156"/>
      <c r="I7519" s="156"/>
      <c r="J7519" s="156"/>
    </row>
    <row r="7520" spans="8:10">
      <c r="H7520" s="156"/>
      <c r="I7520" s="156"/>
      <c r="J7520" s="156"/>
    </row>
    <row r="7521" spans="8:10">
      <c r="H7521" s="156"/>
      <c r="I7521" s="156"/>
      <c r="J7521" s="156"/>
    </row>
    <row r="7522" spans="8:10">
      <c r="H7522" s="156"/>
      <c r="I7522" s="156"/>
      <c r="J7522" s="156"/>
    </row>
    <row r="7523" spans="8:10">
      <c r="H7523" s="156"/>
      <c r="I7523" s="156"/>
      <c r="J7523" s="156"/>
    </row>
    <row r="7524" spans="8:10">
      <c r="H7524" s="156"/>
      <c r="I7524" s="156"/>
      <c r="J7524" s="156"/>
    </row>
    <row r="7525" spans="8:10">
      <c r="H7525" s="156"/>
      <c r="I7525" s="156"/>
      <c r="J7525" s="156"/>
    </row>
    <row r="7526" spans="8:10">
      <c r="H7526" s="156"/>
      <c r="I7526" s="156"/>
      <c r="J7526" s="156"/>
    </row>
    <row r="7527" spans="8:10">
      <c r="H7527" s="156"/>
      <c r="I7527" s="156"/>
      <c r="J7527" s="156"/>
    </row>
    <row r="7528" spans="8:10">
      <c r="H7528" s="156"/>
      <c r="I7528" s="156"/>
      <c r="J7528" s="156"/>
    </row>
    <row r="7529" spans="8:10">
      <c r="H7529" s="156"/>
      <c r="I7529" s="156"/>
      <c r="J7529" s="156"/>
    </row>
    <row r="7530" spans="8:10">
      <c r="H7530" s="156"/>
      <c r="I7530" s="156"/>
      <c r="J7530" s="156"/>
    </row>
    <row r="7531" spans="8:10">
      <c r="H7531" s="156"/>
      <c r="I7531" s="156"/>
      <c r="J7531" s="156"/>
    </row>
    <row r="7532" spans="8:10">
      <c r="H7532" s="156"/>
      <c r="I7532" s="156"/>
      <c r="J7532" s="156"/>
    </row>
    <row r="7533" spans="8:10">
      <c r="H7533" s="156"/>
      <c r="I7533" s="156"/>
      <c r="J7533" s="156"/>
    </row>
    <row r="7534" spans="8:10">
      <c r="H7534" s="156"/>
      <c r="I7534" s="156"/>
      <c r="J7534" s="156"/>
    </row>
    <row r="7535" spans="8:10">
      <c r="H7535" s="156"/>
      <c r="I7535" s="156"/>
      <c r="J7535" s="156"/>
    </row>
    <row r="7536" spans="8:10">
      <c r="H7536" s="156"/>
      <c r="I7536" s="156"/>
      <c r="J7536" s="156"/>
    </row>
    <row r="7537" spans="8:10">
      <c r="H7537" s="156"/>
      <c r="I7537" s="156"/>
      <c r="J7537" s="156"/>
    </row>
    <row r="7538" spans="8:10">
      <c r="H7538" s="156"/>
      <c r="I7538" s="156"/>
      <c r="J7538" s="156"/>
    </row>
    <row r="7539" spans="8:10">
      <c r="H7539" s="156"/>
      <c r="I7539" s="156"/>
      <c r="J7539" s="156"/>
    </row>
    <row r="7540" spans="8:10">
      <c r="H7540" s="156"/>
      <c r="I7540" s="156"/>
      <c r="J7540" s="156"/>
    </row>
    <row r="7541" spans="8:10">
      <c r="H7541" s="156"/>
      <c r="I7541" s="156"/>
      <c r="J7541" s="156"/>
    </row>
    <row r="7542" spans="8:10">
      <c r="H7542" s="156"/>
      <c r="I7542" s="156"/>
      <c r="J7542" s="156"/>
    </row>
    <row r="7543" spans="8:10">
      <c r="H7543" s="156"/>
      <c r="I7543" s="156"/>
      <c r="J7543" s="156"/>
    </row>
    <row r="7544" spans="8:10">
      <c r="H7544" s="156"/>
      <c r="I7544" s="156"/>
      <c r="J7544" s="156"/>
    </row>
    <row r="7545" spans="8:10">
      <c r="H7545" s="156"/>
      <c r="I7545" s="156"/>
      <c r="J7545" s="156"/>
    </row>
    <row r="7546" spans="8:10">
      <c r="H7546" s="156"/>
      <c r="I7546" s="156"/>
      <c r="J7546" s="156"/>
    </row>
    <row r="7547" spans="8:10">
      <c r="H7547" s="156"/>
      <c r="I7547" s="156"/>
      <c r="J7547" s="156"/>
    </row>
    <row r="7548" spans="8:10">
      <c r="H7548" s="156"/>
      <c r="I7548" s="156"/>
      <c r="J7548" s="156"/>
    </row>
    <row r="7549" spans="8:10">
      <c r="H7549" s="156"/>
      <c r="I7549" s="156"/>
      <c r="J7549" s="156"/>
    </row>
    <row r="7550" spans="8:10">
      <c r="H7550" s="156"/>
      <c r="I7550" s="156"/>
      <c r="J7550" s="156"/>
    </row>
    <row r="7551" spans="8:10">
      <c r="H7551" s="156"/>
      <c r="I7551" s="156"/>
      <c r="J7551" s="156"/>
    </row>
    <row r="7552" spans="8:10">
      <c r="H7552" s="156"/>
      <c r="I7552" s="156"/>
      <c r="J7552" s="156"/>
    </row>
    <row r="7553" spans="8:10">
      <c r="H7553" s="156"/>
      <c r="I7553" s="156"/>
      <c r="J7553" s="156"/>
    </row>
    <row r="7554" spans="8:10">
      <c r="H7554" s="156"/>
      <c r="I7554" s="156"/>
      <c r="J7554" s="156"/>
    </row>
    <row r="7555" spans="8:10">
      <c r="H7555" s="156"/>
      <c r="I7555" s="156"/>
      <c r="J7555" s="156"/>
    </row>
    <row r="7556" spans="8:10">
      <c r="H7556" s="156"/>
      <c r="I7556" s="156"/>
      <c r="J7556" s="156"/>
    </row>
    <row r="7557" spans="8:10">
      <c r="H7557" s="156"/>
      <c r="I7557" s="156"/>
      <c r="J7557" s="156"/>
    </row>
    <row r="7558" spans="8:10">
      <c r="H7558" s="156"/>
      <c r="I7558" s="156"/>
      <c r="J7558" s="156"/>
    </row>
    <row r="7559" spans="8:10">
      <c r="H7559" s="156"/>
      <c r="I7559" s="156"/>
      <c r="J7559" s="156"/>
    </row>
    <row r="7560" spans="8:10">
      <c r="H7560" s="156"/>
      <c r="I7560" s="156"/>
      <c r="J7560" s="156"/>
    </row>
    <row r="7561" spans="8:10">
      <c r="H7561" s="156"/>
      <c r="I7561" s="156"/>
      <c r="J7561" s="156"/>
    </row>
    <row r="7562" spans="8:10">
      <c r="H7562" s="156"/>
      <c r="I7562" s="156"/>
      <c r="J7562" s="156"/>
    </row>
    <row r="7563" spans="8:10">
      <c r="H7563" s="156"/>
      <c r="I7563" s="156"/>
      <c r="J7563" s="156"/>
    </row>
    <row r="7564" spans="8:10">
      <c r="H7564" s="156"/>
      <c r="I7564" s="156"/>
      <c r="J7564" s="156"/>
    </row>
    <row r="7565" spans="8:10">
      <c r="H7565" s="156"/>
      <c r="I7565" s="156"/>
      <c r="J7565" s="156"/>
    </row>
    <row r="7566" spans="8:10">
      <c r="H7566" s="156"/>
      <c r="I7566" s="156"/>
      <c r="J7566" s="156"/>
    </row>
    <row r="7567" spans="8:10">
      <c r="H7567" s="156"/>
      <c r="I7567" s="156"/>
      <c r="J7567" s="156"/>
    </row>
    <row r="7568" spans="8:10">
      <c r="H7568" s="156"/>
      <c r="I7568" s="156"/>
      <c r="J7568" s="156"/>
    </row>
    <row r="7569" spans="8:10">
      <c r="H7569" s="156"/>
      <c r="I7569" s="156"/>
      <c r="J7569" s="156"/>
    </row>
    <row r="7570" spans="8:10">
      <c r="H7570" s="156"/>
      <c r="I7570" s="156"/>
      <c r="J7570" s="156"/>
    </row>
    <row r="7571" spans="8:10">
      <c r="H7571" s="156"/>
      <c r="I7571" s="156"/>
      <c r="J7571" s="156"/>
    </row>
    <row r="7572" spans="8:10">
      <c r="H7572" s="156"/>
      <c r="I7572" s="156"/>
      <c r="J7572" s="156"/>
    </row>
    <row r="7573" spans="8:10">
      <c r="H7573" s="156"/>
      <c r="I7573" s="156"/>
      <c r="J7573" s="156"/>
    </row>
    <row r="7574" spans="8:10">
      <c r="H7574" s="156"/>
      <c r="I7574" s="156"/>
      <c r="J7574" s="156"/>
    </row>
    <row r="7575" spans="8:10">
      <c r="H7575" s="156"/>
      <c r="I7575" s="156"/>
      <c r="J7575" s="156"/>
    </row>
    <row r="7576" spans="8:10">
      <c r="H7576" s="156"/>
      <c r="I7576" s="156"/>
      <c r="J7576" s="156"/>
    </row>
    <row r="7577" spans="8:10">
      <c r="H7577" s="156"/>
      <c r="I7577" s="156"/>
      <c r="J7577" s="156"/>
    </row>
    <row r="7578" spans="8:10">
      <c r="H7578" s="156"/>
      <c r="I7578" s="156"/>
      <c r="J7578" s="156"/>
    </row>
    <row r="7579" spans="8:10">
      <c r="H7579" s="156"/>
      <c r="I7579" s="156"/>
      <c r="J7579" s="156"/>
    </row>
    <row r="7580" spans="8:10">
      <c r="H7580" s="156"/>
      <c r="I7580" s="156"/>
      <c r="J7580" s="156"/>
    </row>
    <row r="7581" spans="8:10">
      <c r="H7581" s="156"/>
      <c r="I7581" s="156"/>
      <c r="J7581" s="156"/>
    </row>
    <row r="7582" spans="8:10">
      <c r="H7582" s="156"/>
      <c r="I7582" s="156"/>
      <c r="J7582" s="156"/>
    </row>
    <row r="7583" spans="8:10">
      <c r="H7583" s="156"/>
      <c r="I7583" s="156"/>
      <c r="J7583" s="156"/>
    </row>
    <row r="7584" spans="8:10">
      <c r="H7584" s="156"/>
      <c r="I7584" s="156"/>
      <c r="J7584" s="156"/>
    </row>
    <row r="7585" spans="8:10">
      <c r="H7585" s="156"/>
      <c r="I7585" s="156"/>
      <c r="J7585" s="156"/>
    </row>
    <row r="7586" spans="8:10">
      <c r="H7586" s="156"/>
      <c r="I7586" s="156"/>
      <c r="J7586" s="156"/>
    </row>
    <row r="7587" spans="8:10">
      <c r="H7587" s="156"/>
      <c r="I7587" s="156"/>
      <c r="J7587" s="156"/>
    </row>
    <row r="7588" spans="8:10">
      <c r="H7588" s="156"/>
      <c r="I7588" s="156"/>
      <c r="J7588" s="156"/>
    </row>
    <row r="7589" spans="8:10">
      <c r="H7589" s="156"/>
      <c r="I7589" s="156"/>
      <c r="J7589" s="156"/>
    </row>
    <row r="7590" spans="8:10">
      <c r="H7590" s="156"/>
      <c r="I7590" s="156"/>
      <c r="J7590" s="156"/>
    </row>
    <row r="7591" spans="8:10">
      <c r="H7591" s="156"/>
      <c r="I7591" s="156"/>
      <c r="J7591" s="156"/>
    </row>
    <row r="7592" spans="8:10">
      <c r="H7592" s="156"/>
      <c r="I7592" s="156"/>
      <c r="J7592" s="156"/>
    </row>
    <row r="7593" spans="8:10">
      <c r="H7593" s="156"/>
      <c r="I7593" s="156"/>
      <c r="J7593" s="156"/>
    </row>
    <row r="7594" spans="8:10">
      <c r="H7594" s="156"/>
      <c r="I7594" s="156"/>
      <c r="J7594" s="156"/>
    </row>
    <row r="7595" spans="8:10">
      <c r="H7595" s="156"/>
      <c r="I7595" s="156"/>
      <c r="J7595" s="156"/>
    </row>
    <row r="7596" spans="8:10">
      <c r="H7596" s="156"/>
      <c r="I7596" s="156"/>
      <c r="J7596" s="156"/>
    </row>
    <row r="7597" spans="8:10">
      <c r="H7597" s="156"/>
      <c r="I7597" s="156"/>
      <c r="J7597" s="156"/>
    </row>
    <row r="7598" spans="8:10">
      <c r="H7598" s="156"/>
      <c r="I7598" s="156"/>
      <c r="J7598" s="156"/>
    </row>
    <row r="7599" spans="8:10">
      <c r="H7599" s="156"/>
      <c r="I7599" s="156"/>
      <c r="J7599" s="156"/>
    </row>
    <row r="7600" spans="8:10">
      <c r="H7600" s="156"/>
      <c r="I7600" s="156"/>
      <c r="J7600" s="156"/>
    </row>
    <row r="7601" spans="8:10">
      <c r="H7601" s="156"/>
      <c r="I7601" s="156"/>
      <c r="J7601" s="156"/>
    </row>
    <row r="7602" spans="8:10">
      <c r="H7602" s="156"/>
      <c r="I7602" s="156"/>
      <c r="J7602" s="156"/>
    </row>
    <row r="7603" spans="8:10">
      <c r="H7603" s="156"/>
      <c r="I7603" s="156"/>
      <c r="J7603" s="156"/>
    </row>
    <row r="7604" spans="8:10">
      <c r="H7604" s="156"/>
      <c r="I7604" s="156"/>
      <c r="J7604" s="156"/>
    </row>
    <row r="7605" spans="8:10">
      <c r="H7605" s="156"/>
      <c r="I7605" s="156"/>
      <c r="J7605" s="156"/>
    </row>
    <row r="7606" spans="8:10">
      <c r="H7606" s="156"/>
      <c r="I7606" s="156"/>
      <c r="J7606" s="156"/>
    </row>
    <row r="7607" spans="8:10">
      <c r="H7607" s="156"/>
      <c r="I7607" s="156"/>
      <c r="J7607" s="156"/>
    </row>
    <row r="7608" spans="8:10">
      <c r="H7608" s="156"/>
      <c r="I7608" s="156"/>
      <c r="J7608" s="156"/>
    </row>
    <row r="7609" spans="8:10">
      <c r="H7609" s="156"/>
      <c r="I7609" s="156"/>
      <c r="J7609" s="156"/>
    </row>
    <row r="7610" spans="8:10">
      <c r="H7610" s="156"/>
      <c r="I7610" s="156"/>
      <c r="J7610" s="156"/>
    </row>
    <row r="7611" spans="8:10">
      <c r="H7611" s="156"/>
      <c r="I7611" s="156"/>
      <c r="J7611" s="156"/>
    </row>
    <row r="7612" spans="8:10">
      <c r="H7612" s="156"/>
      <c r="I7612" s="156"/>
      <c r="J7612" s="156"/>
    </row>
    <row r="7613" spans="8:10">
      <c r="H7613" s="156"/>
      <c r="I7613" s="156"/>
      <c r="J7613" s="156"/>
    </row>
    <row r="7614" spans="8:10">
      <c r="H7614" s="156"/>
      <c r="I7614" s="156"/>
      <c r="J7614" s="156"/>
    </row>
    <row r="7615" spans="8:10">
      <c r="H7615" s="156"/>
      <c r="I7615" s="156"/>
      <c r="J7615" s="156"/>
    </row>
    <row r="7616" spans="8:10">
      <c r="H7616" s="156"/>
      <c r="I7616" s="156"/>
      <c r="J7616" s="156"/>
    </row>
    <row r="7617" spans="8:10">
      <c r="H7617" s="156"/>
      <c r="I7617" s="156"/>
      <c r="J7617" s="156"/>
    </row>
    <row r="7618" spans="8:10">
      <c r="H7618" s="156"/>
      <c r="I7618" s="156"/>
      <c r="J7618" s="156"/>
    </row>
    <row r="7619" spans="8:10">
      <c r="H7619" s="156"/>
      <c r="I7619" s="156"/>
      <c r="J7619" s="156"/>
    </row>
    <row r="7620" spans="8:10">
      <c r="H7620" s="156"/>
      <c r="I7620" s="156"/>
      <c r="J7620" s="156"/>
    </row>
    <row r="7621" spans="8:10">
      <c r="H7621" s="156"/>
      <c r="I7621" s="156"/>
      <c r="J7621" s="156"/>
    </row>
    <row r="7622" spans="8:10">
      <c r="H7622" s="156"/>
      <c r="I7622" s="156"/>
      <c r="J7622" s="156"/>
    </row>
    <row r="7623" spans="8:10">
      <c r="H7623" s="156"/>
      <c r="I7623" s="156"/>
      <c r="J7623" s="156"/>
    </row>
    <row r="7624" spans="8:10">
      <c r="H7624" s="156"/>
      <c r="I7624" s="156"/>
      <c r="J7624" s="156"/>
    </row>
    <row r="7625" spans="8:10">
      <c r="H7625" s="156"/>
      <c r="I7625" s="156"/>
      <c r="J7625" s="156"/>
    </row>
    <row r="7626" spans="8:10">
      <c r="H7626" s="156"/>
      <c r="I7626" s="156"/>
      <c r="J7626" s="156"/>
    </row>
    <row r="7627" spans="8:10">
      <c r="H7627" s="156"/>
      <c r="I7627" s="156"/>
      <c r="J7627" s="156"/>
    </row>
    <row r="7628" spans="8:10">
      <c r="H7628" s="156"/>
      <c r="I7628" s="156"/>
      <c r="J7628" s="156"/>
    </row>
    <row r="7629" spans="8:10">
      <c r="H7629" s="156"/>
      <c r="I7629" s="156"/>
      <c r="J7629" s="156"/>
    </row>
    <row r="7630" spans="8:10">
      <c r="H7630" s="156"/>
      <c r="I7630" s="156"/>
      <c r="J7630" s="156"/>
    </row>
    <row r="7631" spans="8:10">
      <c r="H7631" s="156"/>
      <c r="I7631" s="156"/>
      <c r="J7631" s="156"/>
    </row>
    <row r="7632" spans="8:10">
      <c r="H7632" s="156"/>
      <c r="I7632" s="156"/>
      <c r="J7632" s="156"/>
    </row>
    <row r="7633" spans="8:10">
      <c r="H7633" s="156"/>
      <c r="I7633" s="156"/>
      <c r="J7633" s="156"/>
    </row>
    <row r="7634" spans="8:10">
      <c r="H7634" s="156"/>
      <c r="I7634" s="156"/>
      <c r="J7634" s="156"/>
    </row>
    <row r="7635" spans="8:10">
      <c r="H7635" s="156"/>
      <c r="I7635" s="156"/>
      <c r="J7635" s="156"/>
    </row>
    <row r="7636" spans="8:10">
      <c r="H7636" s="156"/>
      <c r="I7636" s="156"/>
      <c r="J7636" s="156"/>
    </row>
    <row r="7637" spans="8:10">
      <c r="H7637" s="156"/>
      <c r="I7637" s="156"/>
      <c r="J7637" s="156"/>
    </row>
    <row r="7638" spans="8:10">
      <c r="H7638" s="156"/>
      <c r="I7638" s="156"/>
      <c r="J7638" s="156"/>
    </row>
    <row r="7639" spans="8:10">
      <c r="H7639" s="156"/>
      <c r="I7639" s="156"/>
      <c r="J7639" s="156"/>
    </row>
    <row r="7640" spans="8:10">
      <c r="H7640" s="156"/>
      <c r="I7640" s="156"/>
      <c r="J7640" s="156"/>
    </row>
    <row r="7641" spans="8:10">
      <c r="H7641" s="156"/>
      <c r="I7641" s="156"/>
      <c r="J7641" s="156"/>
    </row>
    <row r="7642" spans="8:10">
      <c r="H7642" s="156"/>
      <c r="I7642" s="156"/>
      <c r="J7642" s="156"/>
    </row>
    <row r="7643" spans="8:10">
      <c r="H7643" s="156"/>
      <c r="I7643" s="156"/>
      <c r="J7643" s="156"/>
    </row>
    <row r="7644" spans="8:10">
      <c r="H7644" s="156"/>
      <c r="I7644" s="156"/>
      <c r="J7644" s="156"/>
    </row>
    <row r="7645" spans="8:10">
      <c r="H7645" s="156"/>
      <c r="I7645" s="156"/>
      <c r="J7645" s="156"/>
    </row>
    <row r="7646" spans="8:10">
      <c r="H7646" s="156"/>
      <c r="I7646" s="156"/>
      <c r="J7646" s="156"/>
    </row>
    <row r="7647" spans="8:10">
      <c r="H7647" s="156"/>
      <c r="I7647" s="156"/>
      <c r="J7647" s="156"/>
    </row>
    <row r="7648" spans="8:10">
      <c r="H7648" s="156"/>
      <c r="I7648" s="156"/>
      <c r="J7648" s="156"/>
    </row>
    <row r="7649" spans="8:10">
      <c r="H7649" s="156"/>
      <c r="I7649" s="156"/>
      <c r="J7649" s="156"/>
    </row>
    <row r="7650" spans="8:10">
      <c r="H7650" s="156"/>
      <c r="I7650" s="156"/>
      <c r="J7650" s="156"/>
    </row>
    <row r="7651" spans="8:10">
      <c r="H7651" s="156"/>
      <c r="I7651" s="156"/>
      <c r="J7651" s="156"/>
    </row>
    <row r="7652" spans="8:10">
      <c r="H7652" s="156"/>
      <c r="I7652" s="156"/>
      <c r="J7652" s="156"/>
    </row>
    <row r="7653" spans="8:10">
      <c r="H7653" s="156"/>
      <c r="I7653" s="156"/>
      <c r="J7653" s="156"/>
    </row>
    <row r="7654" spans="8:10">
      <c r="H7654" s="156"/>
      <c r="I7654" s="156"/>
      <c r="J7654" s="156"/>
    </row>
    <row r="7655" spans="8:10">
      <c r="H7655" s="156"/>
      <c r="I7655" s="156"/>
      <c r="J7655" s="156"/>
    </row>
    <row r="7656" spans="8:10">
      <c r="H7656" s="156"/>
      <c r="I7656" s="156"/>
      <c r="J7656" s="156"/>
    </row>
    <row r="7657" spans="8:10">
      <c r="H7657" s="156"/>
      <c r="I7657" s="156"/>
      <c r="J7657" s="156"/>
    </row>
    <row r="7658" spans="8:10">
      <c r="H7658" s="156"/>
      <c r="I7658" s="156"/>
      <c r="J7658" s="156"/>
    </row>
    <row r="7659" spans="8:10">
      <c r="H7659" s="156"/>
      <c r="I7659" s="156"/>
      <c r="J7659" s="156"/>
    </row>
    <row r="7660" spans="8:10">
      <c r="H7660" s="156"/>
      <c r="I7660" s="156"/>
      <c r="J7660" s="156"/>
    </row>
    <row r="7661" spans="8:10">
      <c r="H7661" s="156"/>
      <c r="I7661" s="156"/>
      <c r="J7661" s="156"/>
    </row>
    <row r="7662" spans="8:10">
      <c r="H7662" s="156"/>
      <c r="I7662" s="156"/>
      <c r="J7662" s="156"/>
    </row>
    <row r="7663" spans="8:10">
      <c r="H7663" s="156"/>
      <c r="I7663" s="156"/>
      <c r="J7663" s="156"/>
    </row>
    <row r="7664" spans="8:10">
      <c r="H7664" s="156"/>
      <c r="I7664" s="156"/>
      <c r="J7664" s="156"/>
    </row>
    <row r="7665" spans="8:10">
      <c r="H7665" s="156"/>
      <c r="I7665" s="156"/>
      <c r="J7665" s="156"/>
    </row>
    <row r="7666" spans="8:10">
      <c r="H7666" s="156"/>
      <c r="I7666" s="156"/>
      <c r="J7666" s="156"/>
    </row>
    <row r="7667" spans="8:10">
      <c r="H7667" s="156"/>
      <c r="I7667" s="156"/>
      <c r="J7667" s="156"/>
    </row>
    <row r="7668" spans="8:10">
      <c r="H7668" s="156"/>
      <c r="I7668" s="156"/>
      <c r="J7668" s="156"/>
    </row>
    <row r="7669" spans="8:10">
      <c r="H7669" s="156"/>
      <c r="I7669" s="156"/>
      <c r="J7669" s="156"/>
    </row>
    <row r="7670" spans="8:10">
      <c r="H7670" s="156"/>
      <c r="I7670" s="156"/>
      <c r="J7670" s="156"/>
    </row>
    <row r="7671" spans="8:10">
      <c r="H7671" s="156"/>
      <c r="I7671" s="156"/>
      <c r="J7671" s="156"/>
    </row>
    <row r="7672" spans="8:10">
      <c r="H7672" s="156"/>
      <c r="I7672" s="156"/>
      <c r="J7672" s="156"/>
    </row>
    <row r="7673" spans="8:10">
      <c r="H7673" s="156"/>
      <c r="I7673" s="156"/>
      <c r="J7673" s="156"/>
    </row>
    <row r="7674" spans="8:10">
      <c r="H7674" s="156"/>
      <c r="I7674" s="156"/>
      <c r="J7674" s="156"/>
    </row>
    <row r="7675" spans="8:10">
      <c r="H7675" s="156"/>
      <c r="I7675" s="156"/>
      <c r="J7675" s="156"/>
    </row>
    <row r="7676" spans="8:10">
      <c r="H7676" s="156"/>
      <c r="I7676" s="156"/>
      <c r="J7676" s="156"/>
    </row>
    <row r="7677" spans="8:10">
      <c r="H7677" s="156"/>
      <c r="I7677" s="156"/>
      <c r="J7677" s="156"/>
    </row>
    <row r="7678" spans="8:10">
      <c r="H7678" s="156"/>
      <c r="I7678" s="156"/>
      <c r="J7678" s="156"/>
    </row>
    <row r="7679" spans="8:10">
      <c r="H7679" s="156"/>
      <c r="I7679" s="156"/>
      <c r="J7679" s="156"/>
    </row>
    <row r="7680" spans="8:10">
      <c r="H7680" s="156"/>
      <c r="I7680" s="156"/>
      <c r="J7680" s="156"/>
    </row>
    <row r="7681" spans="8:10">
      <c r="H7681" s="156"/>
      <c r="I7681" s="156"/>
      <c r="J7681" s="156"/>
    </row>
    <row r="7682" spans="8:10">
      <c r="H7682" s="156"/>
      <c r="I7682" s="156"/>
      <c r="J7682" s="156"/>
    </row>
    <row r="7683" spans="8:10">
      <c r="H7683" s="156"/>
      <c r="I7683" s="156"/>
      <c r="J7683" s="156"/>
    </row>
    <row r="7684" spans="8:10">
      <c r="H7684" s="156"/>
      <c r="I7684" s="156"/>
      <c r="J7684" s="156"/>
    </row>
    <row r="7685" spans="8:10">
      <c r="H7685" s="156"/>
      <c r="I7685" s="156"/>
      <c r="J7685" s="156"/>
    </row>
    <row r="7686" spans="8:10">
      <c r="H7686" s="156"/>
      <c r="I7686" s="156"/>
      <c r="J7686" s="156"/>
    </row>
    <row r="7687" spans="8:10">
      <c r="H7687" s="156"/>
      <c r="I7687" s="156"/>
      <c r="J7687" s="156"/>
    </row>
    <row r="7688" spans="8:10">
      <c r="H7688" s="156"/>
      <c r="I7688" s="156"/>
      <c r="J7688" s="156"/>
    </row>
    <row r="7689" spans="8:10">
      <c r="H7689" s="156"/>
      <c r="I7689" s="156"/>
      <c r="J7689" s="156"/>
    </row>
    <row r="7690" spans="8:10">
      <c r="H7690" s="156"/>
      <c r="I7690" s="156"/>
      <c r="J7690" s="156"/>
    </row>
    <row r="7691" spans="8:10">
      <c r="H7691" s="156"/>
      <c r="I7691" s="156"/>
      <c r="J7691" s="156"/>
    </row>
    <row r="7692" spans="8:10">
      <c r="H7692" s="156"/>
      <c r="I7692" s="156"/>
      <c r="J7692" s="156"/>
    </row>
    <row r="7693" spans="8:10">
      <c r="H7693" s="156"/>
      <c r="I7693" s="156"/>
      <c r="J7693" s="156"/>
    </row>
    <row r="7694" spans="8:10">
      <c r="H7694" s="156"/>
      <c r="I7694" s="156"/>
      <c r="J7694" s="156"/>
    </row>
    <row r="7695" spans="8:10">
      <c r="H7695" s="156"/>
      <c r="I7695" s="156"/>
      <c r="J7695" s="156"/>
    </row>
    <row r="7696" spans="8:10">
      <c r="H7696" s="156"/>
      <c r="I7696" s="156"/>
      <c r="J7696" s="156"/>
    </row>
    <row r="7697" spans="8:10">
      <c r="H7697" s="156"/>
      <c r="I7697" s="156"/>
      <c r="J7697" s="156"/>
    </row>
    <row r="7698" spans="8:10">
      <c r="H7698" s="156"/>
      <c r="I7698" s="156"/>
      <c r="J7698" s="156"/>
    </row>
    <row r="7699" spans="8:10">
      <c r="H7699" s="156"/>
      <c r="I7699" s="156"/>
      <c r="J7699" s="156"/>
    </row>
    <row r="7700" spans="8:10">
      <c r="H7700" s="156"/>
      <c r="I7700" s="156"/>
      <c r="J7700" s="156"/>
    </row>
    <row r="7701" spans="8:10">
      <c r="H7701" s="156"/>
      <c r="I7701" s="156"/>
      <c r="J7701" s="156"/>
    </row>
    <row r="7702" spans="8:10">
      <c r="H7702" s="156"/>
      <c r="I7702" s="156"/>
      <c r="J7702" s="156"/>
    </row>
    <row r="7703" spans="8:10">
      <c r="H7703" s="156"/>
      <c r="I7703" s="156"/>
      <c r="J7703" s="156"/>
    </row>
    <row r="7704" spans="8:10">
      <c r="H7704" s="156"/>
      <c r="I7704" s="156"/>
      <c r="J7704" s="156"/>
    </row>
    <row r="7705" spans="8:10">
      <c r="H7705" s="156"/>
      <c r="I7705" s="156"/>
      <c r="J7705" s="156"/>
    </row>
    <row r="7706" spans="8:10">
      <c r="H7706" s="156"/>
      <c r="I7706" s="156"/>
      <c r="J7706" s="156"/>
    </row>
    <row r="7707" spans="8:10">
      <c r="H7707" s="156"/>
      <c r="I7707" s="156"/>
      <c r="J7707" s="156"/>
    </row>
    <row r="7708" spans="8:10">
      <c r="H7708" s="156"/>
      <c r="I7708" s="156"/>
      <c r="J7708" s="156"/>
    </row>
    <row r="7709" spans="8:10">
      <c r="H7709" s="156"/>
      <c r="I7709" s="156"/>
      <c r="J7709" s="156"/>
    </row>
    <row r="7710" spans="8:10">
      <c r="H7710" s="156"/>
      <c r="I7710" s="156"/>
      <c r="J7710" s="156"/>
    </row>
    <row r="7711" spans="8:10">
      <c r="H7711" s="156"/>
      <c r="I7711" s="156"/>
      <c r="J7711" s="156"/>
    </row>
    <row r="7712" spans="8:10">
      <c r="H7712" s="156"/>
      <c r="I7712" s="156"/>
      <c r="J7712" s="156"/>
    </row>
    <row r="7713" spans="8:10">
      <c r="H7713" s="156"/>
      <c r="I7713" s="156"/>
      <c r="J7713" s="156"/>
    </row>
    <row r="7714" spans="8:10">
      <c r="H7714" s="156"/>
      <c r="I7714" s="156"/>
      <c r="J7714" s="156"/>
    </row>
    <row r="7715" spans="8:10">
      <c r="H7715" s="156"/>
      <c r="I7715" s="156"/>
      <c r="J7715" s="156"/>
    </row>
    <row r="7716" spans="8:10">
      <c r="H7716" s="156"/>
      <c r="I7716" s="156"/>
      <c r="J7716" s="156"/>
    </row>
    <row r="7717" spans="8:10">
      <c r="H7717" s="156"/>
      <c r="I7717" s="156"/>
      <c r="J7717" s="156"/>
    </row>
    <row r="7718" spans="8:10">
      <c r="H7718" s="156"/>
      <c r="I7718" s="156"/>
      <c r="J7718" s="156"/>
    </row>
    <row r="7719" spans="8:10">
      <c r="H7719" s="156"/>
      <c r="I7719" s="156"/>
      <c r="J7719" s="156"/>
    </row>
    <row r="7720" spans="8:10">
      <c r="H7720" s="156"/>
      <c r="I7720" s="156"/>
      <c r="J7720" s="156"/>
    </row>
    <row r="7721" spans="8:10">
      <c r="H7721" s="156"/>
      <c r="I7721" s="156"/>
      <c r="J7721" s="156"/>
    </row>
    <row r="7722" spans="8:10">
      <c r="H7722" s="156"/>
      <c r="I7722" s="156"/>
      <c r="J7722" s="156"/>
    </row>
    <row r="7723" spans="8:10">
      <c r="H7723" s="156"/>
      <c r="I7723" s="156"/>
      <c r="J7723" s="156"/>
    </row>
    <row r="7724" spans="8:10">
      <c r="H7724" s="156"/>
      <c r="I7724" s="156"/>
      <c r="J7724" s="156"/>
    </row>
    <row r="7725" spans="8:10">
      <c r="H7725" s="156"/>
      <c r="I7725" s="156"/>
      <c r="J7725" s="156"/>
    </row>
    <row r="7726" spans="8:10">
      <c r="H7726" s="156"/>
      <c r="I7726" s="156"/>
      <c r="J7726" s="156"/>
    </row>
    <row r="7727" spans="8:10">
      <c r="H7727" s="156"/>
      <c r="I7727" s="156"/>
      <c r="J7727" s="156"/>
    </row>
    <row r="7728" spans="8:10">
      <c r="H7728" s="156"/>
      <c r="I7728" s="156"/>
      <c r="J7728" s="156"/>
    </row>
    <row r="7729" spans="8:10">
      <c r="H7729" s="156"/>
      <c r="I7729" s="156"/>
      <c r="J7729" s="156"/>
    </row>
    <row r="7730" spans="8:10">
      <c r="H7730" s="156"/>
      <c r="I7730" s="156"/>
      <c r="J7730" s="156"/>
    </row>
    <row r="7731" spans="8:10">
      <c r="H7731" s="156"/>
      <c r="I7731" s="156"/>
      <c r="J7731" s="156"/>
    </row>
    <row r="7732" spans="8:10">
      <c r="H7732" s="156"/>
      <c r="I7732" s="156"/>
      <c r="J7732" s="156"/>
    </row>
    <row r="7733" spans="8:10">
      <c r="H7733" s="156"/>
      <c r="I7733" s="156"/>
      <c r="J7733" s="156"/>
    </row>
    <row r="7734" spans="8:10">
      <c r="H7734" s="156"/>
      <c r="I7734" s="156"/>
      <c r="J7734" s="156"/>
    </row>
    <row r="7735" spans="8:10">
      <c r="H7735" s="156"/>
      <c r="I7735" s="156"/>
      <c r="J7735" s="156"/>
    </row>
    <row r="7736" spans="8:10">
      <c r="H7736" s="156"/>
      <c r="I7736" s="156"/>
      <c r="J7736" s="156"/>
    </row>
    <row r="7737" spans="8:10">
      <c r="H7737" s="156"/>
      <c r="I7737" s="156"/>
      <c r="J7737" s="156"/>
    </row>
    <row r="7738" spans="8:10">
      <c r="H7738" s="156"/>
      <c r="I7738" s="156"/>
      <c r="J7738" s="156"/>
    </row>
    <row r="7739" spans="8:10">
      <c r="H7739" s="156"/>
      <c r="I7739" s="156"/>
      <c r="J7739" s="156"/>
    </row>
    <row r="7740" spans="8:10">
      <c r="H7740" s="156"/>
      <c r="I7740" s="156"/>
      <c r="J7740" s="156"/>
    </row>
    <row r="7741" spans="8:10">
      <c r="H7741" s="156"/>
      <c r="I7741" s="156"/>
      <c r="J7741" s="156"/>
    </row>
    <row r="7742" spans="8:10">
      <c r="H7742" s="156"/>
      <c r="I7742" s="156"/>
      <c r="J7742" s="156"/>
    </row>
    <row r="7743" spans="8:10">
      <c r="H7743" s="156"/>
      <c r="I7743" s="156"/>
      <c r="J7743" s="156"/>
    </row>
    <row r="7744" spans="8:10">
      <c r="H7744" s="156"/>
      <c r="I7744" s="156"/>
      <c r="J7744" s="156"/>
    </row>
    <row r="7745" spans="8:10">
      <c r="H7745" s="156"/>
      <c r="I7745" s="156"/>
      <c r="J7745" s="156"/>
    </row>
    <row r="7746" spans="8:10">
      <c r="H7746" s="156"/>
      <c r="I7746" s="156"/>
      <c r="J7746" s="156"/>
    </row>
    <row r="7747" spans="8:10">
      <c r="H7747" s="156"/>
      <c r="I7747" s="156"/>
      <c r="J7747" s="156"/>
    </row>
    <row r="7748" spans="8:10">
      <c r="H7748" s="156"/>
      <c r="I7748" s="156"/>
      <c r="J7748" s="156"/>
    </row>
    <row r="7749" spans="8:10">
      <c r="H7749" s="156"/>
      <c r="I7749" s="156"/>
      <c r="J7749" s="156"/>
    </row>
    <row r="7750" spans="8:10">
      <c r="H7750" s="156"/>
      <c r="I7750" s="156"/>
      <c r="J7750" s="156"/>
    </row>
    <row r="7751" spans="8:10">
      <c r="H7751" s="156"/>
      <c r="I7751" s="156"/>
      <c r="J7751" s="156"/>
    </row>
    <row r="7752" spans="8:10">
      <c r="H7752" s="156"/>
      <c r="I7752" s="156"/>
      <c r="J7752" s="156"/>
    </row>
    <row r="7753" spans="8:10">
      <c r="H7753" s="156"/>
      <c r="I7753" s="156"/>
      <c r="J7753" s="156"/>
    </row>
    <row r="7754" spans="8:10">
      <c r="H7754" s="156"/>
      <c r="I7754" s="156"/>
      <c r="J7754" s="156"/>
    </row>
    <row r="7755" spans="8:10">
      <c r="H7755" s="156"/>
      <c r="I7755" s="156"/>
      <c r="J7755" s="156"/>
    </row>
    <row r="7756" spans="8:10">
      <c r="H7756" s="156"/>
      <c r="I7756" s="156"/>
      <c r="J7756" s="156"/>
    </row>
    <row r="7757" spans="8:10">
      <c r="H7757" s="156"/>
      <c r="I7757" s="156"/>
      <c r="J7757" s="156"/>
    </row>
    <row r="7758" spans="8:10">
      <c r="H7758" s="156"/>
      <c r="I7758" s="156"/>
      <c r="J7758" s="156"/>
    </row>
    <row r="7759" spans="8:10">
      <c r="H7759" s="156"/>
      <c r="I7759" s="156"/>
      <c r="J7759" s="156"/>
    </row>
    <row r="7760" spans="8:10">
      <c r="H7760" s="156"/>
      <c r="I7760" s="156"/>
      <c r="J7760" s="156"/>
    </row>
    <row r="7761" spans="8:10">
      <c r="H7761" s="156"/>
      <c r="I7761" s="156"/>
      <c r="J7761" s="156"/>
    </row>
    <row r="7762" spans="8:10">
      <c r="H7762" s="156"/>
      <c r="I7762" s="156"/>
      <c r="J7762" s="156"/>
    </row>
    <row r="7763" spans="8:10">
      <c r="H7763" s="156"/>
      <c r="I7763" s="156"/>
      <c r="J7763" s="156"/>
    </row>
    <row r="7764" spans="8:10">
      <c r="H7764" s="156"/>
      <c r="I7764" s="156"/>
      <c r="J7764" s="156"/>
    </row>
    <row r="7765" spans="8:10">
      <c r="H7765" s="156"/>
      <c r="I7765" s="156"/>
      <c r="J7765" s="156"/>
    </row>
    <row r="7766" spans="8:10">
      <c r="H7766" s="156"/>
      <c r="I7766" s="156"/>
      <c r="J7766" s="156"/>
    </row>
    <row r="7767" spans="8:10">
      <c r="H7767" s="156"/>
      <c r="I7767" s="156"/>
      <c r="J7767" s="156"/>
    </row>
    <row r="7768" spans="8:10">
      <c r="H7768" s="156"/>
      <c r="I7768" s="156"/>
      <c r="J7768" s="156"/>
    </row>
    <row r="7769" spans="8:10">
      <c r="H7769" s="156"/>
      <c r="I7769" s="156"/>
      <c r="J7769" s="156"/>
    </row>
    <row r="7770" spans="8:10">
      <c r="H7770" s="156"/>
      <c r="I7770" s="156"/>
      <c r="J7770" s="156"/>
    </row>
    <row r="7771" spans="8:10">
      <c r="H7771" s="156"/>
      <c r="I7771" s="156"/>
      <c r="J7771" s="156"/>
    </row>
    <row r="7772" spans="8:10">
      <c r="H7772" s="156"/>
      <c r="I7772" s="156"/>
      <c r="J7772" s="156"/>
    </row>
    <row r="7773" spans="8:10">
      <c r="H7773" s="156"/>
      <c r="I7773" s="156"/>
      <c r="J7773" s="156"/>
    </row>
    <row r="7774" spans="8:10">
      <c r="H7774" s="156"/>
      <c r="I7774" s="156"/>
      <c r="J7774" s="156"/>
    </row>
    <row r="7775" spans="8:10">
      <c r="H7775" s="156"/>
      <c r="I7775" s="156"/>
      <c r="J7775" s="156"/>
    </row>
    <row r="7776" spans="8:10">
      <c r="H7776" s="156"/>
      <c r="I7776" s="156"/>
      <c r="J7776" s="156"/>
    </row>
    <row r="7777" spans="8:10">
      <c r="H7777" s="156"/>
      <c r="I7777" s="156"/>
      <c r="J7777" s="156"/>
    </row>
    <row r="7778" spans="8:10">
      <c r="H7778" s="156"/>
      <c r="I7778" s="156"/>
      <c r="J7778" s="156"/>
    </row>
    <row r="7779" spans="8:10">
      <c r="H7779" s="156"/>
      <c r="I7779" s="156"/>
      <c r="J7779" s="156"/>
    </row>
    <row r="7780" spans="8:10">
      <c r="H7780" s="156"/>
      <c r="I7780" s="156"/>
      <c r="J7780" s="156"/>
    </row>
    <row r="7781" spans="8:10">
      <c r="H7781" s="156"/>
      <c r="I7781" s="156"/>
      <c r="J7781" s="156"/>
    </row>
    <row r="7782" spans="8:10">
      <c r="H7782" s="156"/>
      <c r="I7782" s="156"/>
      <c r="J7782" s="156"/>
    </row>
    <row r="7783" spans="8:10">
      <c r="H7783" s="156"/>
      <c r="I7783" s="156"/>
      <c r="J7783" s="156"/>
    </row>
    <row r="7784" spans="8:10">
      <c r="H7784" s="156"/>
      <c r="I7784" s="156"/>
      <c r="J7784" s="156"/>
    </row>
    <row r="7785" spans="8:10">
      <c r="H7785" s="156"/>
      <c r="I7785" s="156"/>
      <c r="J7785" s="156"/>
    </row>
    <row r="7786" spans="8:10">
      <c r="H7786" s="156"/>
      <c r="I7786" s="156"/>
      <c r="J7786" s="156"/>
    </row>
    <row r="7787" spans="8:10">
      <c r="H7787" s="156"/>
      <c r="I7787" s="156"/>
      <c r="J7787" s="156"/>
    </row>
    <row r="7788" spans="8:10">
      <c r="H7788" s="156"/>
      <c r="I7788" s="156"/>
      <c r="J7788" s="156"/>
    </row>
    <row r="7789" spans="8:10">
      <c r="H7789" s="156"/>
      <c r="I7789" s="156"/>
      <c r="J7789" s="156"/>
    </row>
    <row r="7790" spans="8:10">
      <c r="H7790" s="156"/>
      <c r="I7790" s="156"/>
      <c r="J7790" s="156"/>
    </row>
    <row r="7791" spans="8:10">
      <c r="H7791" s="156"/>
      <c r="I7791" s="156"/>
      <c r="J7791" s="156"/>
    </row>
    <row r="7792" spans="8:10">
      <c r="H7792" s="156"/>
      <c r="I7792" s="156"/>
      <c r="J7792" s="156"/>
    </row>
    <row r="7793" spans="8:10">
      <c r="H7793" s="156"/>
      <c r="I7793" s="156"/>
      <c r="J7793" s="156"/>
    </row>
    <row r="7794" spans="8:10">
      <c r="H7794" s="156"/>
      <c r="I7794" s="156"/>
      <c r="J7794" s="156"/>
    </row>
    <row r="7795" spans="8:10">
      <c r="H7795" s="156"/>
      <c r="I7795" s="156"/>
      <c r="J7795" s="156"/>
    </row>
    <row r="7796" spans="8:10">
      <c r="H7796" s="156"/>
      <c r="I7796" s="156"/>
      <c r="J7796" s="156"/>
    </row>
    <row r="7797" spans="8:10">
      <c r="H7797" s="156"/>
      <c r="I7797" s="156"/>
      <c r="J7797" s="156"/>
    </row>
    <row r="7798" spans="8:10">
      <c r="H7798" s="156"/>
      <c r="I7798" s="156"/>
      <c r="J7798" s="156"/>
    </row>
    <row r="7799" spans="8:10">
      <c r="H7799" s="156"/>
      <c r="I7799" s="156"/>
      <c r="J7799" s="156"/>
    </row>
    <row r="7800" spans="8:10">
      <c r="H7800" s="156"/>
      <c r="I7800" s="156"/>
      <c r="J7800" s="156"/>
    </row>
    <row r="7801" spans="8:10">
      <c r="H7801" s="156"/>
      <c r="I7801" s="156"/>
      <c r="J7801" s="156"/>
    </row>
    <row r="7802" spans="8:10">
      <c r="H7802" s="156"/>
      <c r="I7802" s="156"/>
      <c r="J7802" s="156"/>
    </row>
    <row r="7803" spans="8:10">
      <c r="H7803" s="156"/>
      <c r="I7803" s="156"/>
      <c r="J7803" s="156"/>
    </row>
    <row r="7804" spans="8:10">
      <c r="H7804" s="156"/>
      <c r="I7804" s="156"/>
      <c r="J7804" s="156"/>
    </row>
    <row r="7805" spans="8:10">
      <c r="H7805" s="156"/>
      <c r="I7805" s="156"/>
      <c r="J7805" s="156"/>
    </row>
    <row r="7806" spans="8:10">
      <c r="H7806" s="156"/>
      <c r="I7806" s="156"/>
      <c r="J7806" s="156"/>
    </row>
    <row r="7807" spans="8:10">
      <c r="H7807" s="156"/>
      <c r="I7807" s="156"/>
      <c r="J7807" s="156"/>
    </row>
    <row r="7808" spans="8:10">
      <c r="H7808" s="156"/>
      <c r="I7808" s="156"/>
      <c r="J7808" s="156"/>
    </row>
    <row r="7809" spans="8:10">
      <c r="H7809" s="156"/>
      <c r="I7809" s="156"/>
      <c r="J7809" s="156"/>
    </row>
    <row r="7810" spans="8:10">
      <c r="H7810" s="156"/>
      <c r="I7810" s="156"/>
      <c r="J7810" s="156"/>
    </row>
    <row r="7811" spans="8:10">
      <c r="H7811" s="156"/>
      <c r="I7811" s="156"/>
      <c r="J7811" s="156"/>
    </row>
    <row r="7812" spans="8:10">
      <c r="H7812" s="156"/>
      <c r="I7812" s="156"/>
      <c r="J7812" s="156"/>
    </row>
    <row r="7813" spans="8:10">
      <c r="H7813" s="156"/>
      <c r="I7813" s="156"/>
      <c r="J7813" s="156"/>
    </row>
    <row r="7814" spans="8:10">
      <c r="H7814" s="156"/>
      <c r="I7814" s="156"/>
      <c r="J7814" s="156"/>
    </row>
    <row r="7815" spans="8:10">
      <c r="H7815" s="156"/>
      <c r="I7815" s="156"/>
      <c r="J7815" s="156"/>
    </row>
    <row r="7816" spans="8:10">
      <c r="H7816" s="156"/>
      <c r="I7816" s="156"/>
      <c r="J7816" s="156"/>
    </row>
    <row r="7817" spans="8:10">
      <c r="H7817" s="156"/>
      <c r="I7817" s="156"/>
      <c r="J7817" s="156"/>
    </row>
    <row r="7818" spans="8:10">
      <c r="H7818" s="156"/>
      <c r="I7818" s="156"/>
      <c r="J7818" s="156"/>
    </row>
    <row r="7819" spans="8:10">
      <c r="H7819" s="156"/>
      <c r="I7819" s="156"/>
      <c r="J7819" s="156"/>
    </row>
    <row r="7820" spans="8:10">
      <c r="H7820" s="156"/>
      <c r="I7820" s="156"/>
      <c r="J7820" s="156"/>
    </row>
    <row r="7821" spans="8:10">
      <c r="H7821" s="156"/>
      <c r="I7821" s="156"/>
      <c r="J7821" s="156"/>
    </row>
    <row r="7822" spans="8:10">
      <c r="H7822" s="156"/>
      <c r="I7822" s="156"/>
      <c r="J7822" s="156"/>
    </row>
    <row r="7823" spans="8:10">
      <c r="H7823" s="156"/>
      <c r="I7823" s="156"/>
      <c r="J7823" s="156"/>
    </row>
    <row r="7824" spans="8:10">
      <c r="H7824" s="156"/>
      <c r="I7824" s="156"/>
      <c r="J7824" s="156"/>
    </row>
    <row r="7825" spans="8:10">
      <c r="H7825" s="156"/>
      <c r="I7825" s="156"/>
      <c r="J7825" s="156"/>
    </row>
    <row r="7826" spans="8:10">
      <c r="H7826" s="156"/>
      <c r="I7826" s="156"/>
      <c r="J7826" s="156"/>
    </row>
    <row r="7827" spans="8:10">
      <c r="H7827" s="156"/>
      <c r="I7827" s="156"/>
      <c r="J7827" s="156"/>
    </row>
    <row r="7828" spans="8:10">
      <c r="H7828" s="156"/>
      <c r="I7828" s="156"/>
      <c r="J7828" s="156"/>
    </row>
    <row r="7829" spans="8:10">
      <c r="H7829" s="156"/>
      <c r="I7829" s="156"/>
      <c r="J7829" s="156"/>
    </row>
    <row r="7830" spans="8:10">
      <c r="H7830" s="156"/>
      <c r="I7830" s="156"/>
      <c r="J7830" s="156"/>
    </row>
    <row r="7831" spans="8:10">
      <c r="H7831" s="156"/>
      <c r="I7831" s="156"/>
      <c r="J7831" s="156"/>
    </row>
    <row r="7832" spans="8:10">
      <c r="H7832" s="156"/>
      <c r="I7832" s="156"/>
      <c r="J7832" s="156"/>
    </row>
    <row r="7833" spans="8:10">
      <c r="H7833" s="156"/>
      <c r="I7833" s="156"/>
      <c r="J7833" s="156"/>
    </row>
    <row r="7834" spans="8:10">
      <c r="H7834" s="156"/>
      <c r="I7834" s="156"/>
      <c r="J7834" s="156"/>
    </row>
    <row r="7835" spans="8:10">
      <c r="H7835" s="156"/>
      <c r="I7835" s="156"/>
      <c r="J7835" s="156"/>
    </row>
    <row r="7836" spans="8:10">
      <c r="H7836" s="156"/>
      <c r="I7836" s="156"/>
      <c r="J7836" s="156"/>
    </row>
    <row r="7837" spans="8:10">
      <c r="H7837" s="156"/>
      <c r="I7837" s="156"/>
      <c r="J7837" s="156"/>
    </row>
    <row r="7838" spans="8:10">
      <c r="H7838" s="156"/>
      <c r="I7838" s="156"/>
      <c r="J7838" s="156"/>
    </row>
    <row r="7839" spans="8:10">
      <c r="H7839" s="156"/>
      <c r="I7839" s="156"/>
      <c r="J7839" s="156"/>
    </row>
    <row r="7840" spans="8:10">
      <c r="H7840" s="156"/>
      <c r="I7840" s="156"/>
      <c r="J7840" s="156"/>
    </row>
    <row r="7841" spans="8:10">
      <c r="H7841" s="156"/>
      <c r="I7841" s="156"/>
      <c r="J7841" s="156"/>
    </row>
    <row r="7842" spans="8:10">
      <c r="H7842" s="156"/>
      <c r="I7842" s="156"/>
      <c r="J7842" s="156"/>
    </row>
    <row r="7843" spans="8:10">
      <c r="H7843" s="156"/>
      <c r="I7843" s="156"/>
      <c r="J7843" s="156"/>
    </row>
    <row r="7844" spans="8:10">
      <c r="H7844" s="156"/>
      <c r="I7844" s="156"/>
      <c r="J7844" s="156"/>
    </row>
    <row r="7845" spans="8:10">
      <c r="H7845" s="156"/>
      <c r="I7845" s="156"/>
      <c r="J7845" s="156"/>
    </row>
    <row r="7846" spans="8:10">
      <c r="H7846" s="156"/>
      <c r="I7846" s="156"/>
      <c r="J7846" s="156"/>
    </row>
    <row r="7847" spans="8:10">
      <c r="H7847" s="156"/>
      <c r="I7847" s="156"/>
      <c r="J7847" s="156"/>
    </row>
    <row r="7848" spans="8:10">
      <c r="H7848" s="156"/>
      <c r="I7848" s="156"/>
      <c r="J7848" s="156"/>
    </row>
    <row r="7849" spans="8:10">
      <c r="H7849" s="156"/>
      <c r="I7849" s="156"/>
      <c r="J7849" s="156"/>
    </row>
    <row r="7850" spans="8:10">
      <c r="H7850" s="156"/>
      <c r="I7850" s="156"/>
      <c r="J7850" s="156"/>
    </row>
    <row r="7851" spans="8:10">
      <c r="H7851" s="156"/>
      <c r="I7851" s="156"/>
      <c r="J7851" s="156"/>
    </row>
    <row r="7852" spans="8:10">
      <c r="H7852" s="156"/>
      <c r="I7852" s="156"/>
      <c r="J7852" s="156"/>
    </row>
    <row r="7853" spans="8:10">
      <c r="H7853" s="156"/>
      <c r="I7853" s="156"/>
      <c r="J7853" s="156"/>
    </row>
    <row r="7854" spans="8:10">
      <c r="H7854" s="156"/>
      <c r="I7854" s="156"/>
      <c r="J7854" s="156"/>
    </row>
    <row r="7855" spans="8:10">
      <c r="H7855" s="156"/>
      <c r="I7855" s="156"/>
      <c r="J7855" s="156"/>
    </row>
    <row r="7856" spans="8:10">
      <c r="H7856" s="156"/>
      <c r="I7856" s="156"/>
      <c r="J7856" s="156"/>
    </row>
    <row r="7857" spans="8:10">
      <c r="H7857" s="156"/>
      <c r="I7857" s="156"/>
      <c r="J7857" s="156"/>
    </row>
    <row r="7858" spans="8:10">
      <c r="H7858" s="156"/>
      <c r="I7858" s="156"/>
      <c r="J7858" s="156"/>
    </row>
    <row r="7859" spans="8:10">
      <c r="H7859" s="156"/>
      <c r="I7859" s="156"/>
      <c r="J7859" s="156"/>
    </row>
    <row r="7860" spans="8:10">
      <c r="H7860" s="156"/>
      <c r="I7860" s="156"/>
      <c r="J7860" s="156"/>
    </row>
    <row r="7861" spans="8:10">
      <c r="H7861" s="156"/>
      <c r="I7861" s="156"/>
      <c r="J7861" s="156"/>
    </row>
    <row r="7862" spans="8:10">
      <c r="H7862" s="156"/>
      <c r="I7862" s="156"/>
      <c r="J7862" s="156"/>
    </row>
    <row r="7863" spans="8:10">
      <c r="H7863" s="156"/>
      <c r="I7863" s="156"/>
      <c r="J7863" s="156"/>
    </row>
    <row r="7864" spans="8:10">
      <c r="H7864" s="156"/>
      <c r="I7864" s="156"/>
      <c r="J7864" s="156"/>
    </row>
    <row r="7865" spans="8:10">
      <c r="H7865" s="156"/>
      <c r="I7865" s="156"/>
      <c r="J7865" s="156"/>
    </row>
    <row r="7866" spans="8:10">
      <c r="H7866" s="156"/>
      <c r="I7866" s="156"/>
      <c r="J7866" s="156"/>
    </row>
    <row r="7867" spans="8:10">
      <c r="H7867" s="156"/>
      <c r="I7867" s="156"/>
      <c r="J7867" s="156"/>
    </row>
    <row r="7868" spans="8:10">
      <c r="H7868" s="156"/>
      <c r="I7868" s="156"/>
      <c r="J7868" s="156"/>
    </row>
    <row r="7869" spans="8:10">
      <c r="H7869" s="156"/>
      <c r="I7869" s="156"/>
      <c r="J7869" s="156"/>
    </row>
    <row r="7870" spans="8:10">
      <c r="H7870" s="156"/>
      <c r="I7870" s="156"/>
      <c r="J7870" s="156"/>
    </row>
    <row r="7871" spans="8:10">
      <c r="H7871" s="156"/>
      <c r="I7871" s="156"/>
      <c r="J7871" s="156"/>
    </row>
    <row r="7872" spans="8:10">
      <c r="H7872" s="156"/>
      <c r="I7872" s="156"/>
      <c r="J7872" s="156"/>
    </row>
    <row r="7873" spans="8:10">
      <c r="H7873" s="156"/>
      <c r="I7873" s="156"/>
      <c r="J7873" s="156"/>
    </row>
    <row r="7874" spans="8:10">
      <c r="H7874" s="156"/>
      <c r="I7874" s="156"/>
      <c r="J7874" s="156"/>
    </row>
    <row r="7875" spans="8:10">
      <c r="H7875" s="156"/>
      <c r="I7875" s="156"/>
      <c r="J7875" s="156"/>
    </row>
    <row r="7876" spans="8:10">
      <c r="H7876" s="156"/>
      <c r="I7876" s="156"/>
      <c r="J7876" s="156"/>
    </row>
    <row r="7877" spans="8:10">
      <c r="H7877" s="156"/>
      <c r="I7877" s="156"/>
      <c r="J7877" s="156"/>
    </row>
    <row r="7878" spans="8:10">
      <c r="H7878" s="156"/>
      <c r="I7878" s="156"/>
      <c r="J7878" s="156"/>
    </row>
    <row r="7879" spans="8:10">
      <c r="H7879" s="156"/>
      <c r="I7879" s="156"/>
      <c r="J7879" s="156"/>
    </row>
    <row r="7880" spans="8:10">
      <c r="H7880" s="156"/>
      <c r="I7880" s="156"/>
      <c r="J7880" s="156"/>
    </row>
    <row r="7881" spans="8:10">
      <c r="H7881" s="156"/>
      <c r="I7881" s="156"/>
      <c r="J7881" s="156"/>
    </row>
    <row r="7882" spans="8:10">
      <c r="H7882" s="156"/>
      <c r="I7882" s="156"/>
      <c r="J7882" s="156"/>
    </row>
    <row r="7883" spans="8:10">
      <c r="H7883" s="156"/>
      <c r="I7883" s="156"/>
      <c r="J7883" s="156"/>
    </row>
    <row r="7884" spans="8:10">
      <c r="H7884" s="156"/>
      <c r="I7884" s="156"/>
      <c r="J7884" s="156"/>
    </row>
    <row r="7885" spans="8:10">
      <c r="H7885" s="156"/>
      <c r="I7885" s="156"/>
      <c r="J7885" s="156"/>
    </row>
    <row r="7886" spans="8:10">
      <c r="H7886" s="156"/>
      <c r="I7886" s="156"/>
      <c r="J7886" s="156"/>
    </row>
    <row r="7887" spans="8:10">
      <c r="H7887" s="156"/>
      <c r="I7887" s="156"/>
      <c r="J7887" s="156"/>
    </row>
    <row r="7888" spans="8:10">
      <c r="H7888" s="156"/>
      <c r="I7888" s="156"/>
      <c r="J7888" s="156"/>
    </row>
    <row r="7889" spans="8:10">
      <c r="H7889" s="156"/>
      <c r="I7889" s="156"/>
      <c r="J7889" s="156"/>
    </row>
    <row r="7890" spans="8:10">
      <c r="H7890" s="156"/>
      <c r="I7890" s="156"/>
      <c r="J7890" s="156"/>
    </row>
    <row r="7891" spans="8:10">
      <c r="H7891" s="156"/>
      <c r="I7891" s="156"/>
      <c r="J7891" s="156"/>
    </row>
    <row r="7892" spans="8:10">
      <c r="H7892" s="156"/>
      <c r="I7892" s="156"/>
      <c r="J7892" s="156"/>
    </row>
    <row r="7893" spans="8:10">
      <c r="H7893" s="156"/>
      <c r="I7893" s="156"/>
      <c r="J7893" s="156"/>
    </row>
    <row r="7894" spans="8:10">
      <c r="H7894" s="156"/>
      <c r="I7894" s="156"/>
      <c r="J7894" s="156"/>
    </row>
    <row r="7895" spans="8:10">
      <c r="H7895" s="156"/>
      <c r="I7895" s="156"/>
      <c r="J7895" s="156"/>
    </row>
    <row r="7896" spans="8:10">
      <c r="H7896" s="156"/>
      <c r="I7896" s="156"/>
      <c r="J7896" s="156"/>
    </row>
    <row r="7897" spans="8:10">
      <c r="H7897" s="156"/>
      <c r="I7897" s="156"/>
      <c r="J7897" s="156"/>
    </row>
    <row r="7898" spans="8:10">
      <c r="H7898" s="156"/>
      <c r="I7898" s="156"/>
      <c r="J7898" s="156"/>
    </row>
    <row r="7899" spans="8:10">
      <c r="H7899" s="156"/>
      <c r="I7899" s="156"/>
      <c r="J7899" s="156"/>
    </row>
    <row r="7900" spans="8:10">
      <c r="H7900" s="156"/>
      <c r="I7900" s="156"/>
      <c r="J7900" s="156"/>
    </row>
    <row r="7901" spans="8:10">
      <c r="H7901" s="156"/>
      <c r="I7901" s="156"/>
      <c r="J7901" s="156"/>
    </row>
    <row r="7902" spans="8:10">
      <c r="H7902" s="156"/>
      <c r="I7902" s="156"/>
      <c r="J7902" s="156"/>
    </row>
    <row r="7903" spans="8:10">
      <c r="H7903" s="156"/>
      <c r="I7903" s="156"/>
      <c r="J7903" s="156"/>
    </row>
    <row r="7904" spans="8:10">
      <c r="H7904" s="156"/>
      <c r="I7904" s="156"/>
      <c r="J7904" s="156"/>
    </row>
    <row r="7905" spans="8:10">
      <c r="H7905" s="156"/>
      <c r="I7905" s="156"/>
      <c r="J7905" s="156"/>
    </row>
    <row r="7906" spans="8:10">
      <c r="H7906" s="156"/>
      <c r="I7906" s="156"/>
      <c r="J7906" s="156"/>
    </row>
    <row r="7907" spans="8:10">
      <c r="H7907" s="156"/>
      <c r="I7907" s="156"/>
      <c r="J7907" s="156"/>
    </row>
    <row r="7908" spans="8:10">
      <c r="H7908" s="156"/>
      <c r="I7908" s="156"/>
      <c r="J7908" s="156"/>
    </row>
    <row r="7909" spans="8:10">
      <c r="H7909" s="156"/>
      <c r="I7909" s="156"/>
      <c r="J7909" s="156"/>
    </row>
    <row r="7910" spans="8:10">
      <c r="H7910" s="156"/>
      <c r="I7910" s="156"/>
      <c r="J7910" s="156"/>
    </row>
    <row r="7911" spans="8:10">
      <c r="H7911" s="156"/>
      <c r="I7911" s="156"/>
      <c r="J7911" s="156"/>
    </row>
    <row r="7912" spans="8:10">
      <c r="H7912" s="156"/>
      <c r="I7912" s="156"/>
      <c r="J7912" s="156"/>
    </row>
    <row r="7913" spans="8:10">
      <c r="H7913" s="156"/>
      <c r="I7913" s="156"/>
      <c r="J7913" s="156"/>
    </row>
    <row r="7914" spans="8:10">
      <c r="H7914" s="156"/>
      <c r="I7914" s="156"/>
      <c r="J7914" s="156"/>
    </row>
    <row r="7915" spans="8:10">
      <c r="H7915" s="156"/>
      <c r="I7915" s="156"/>
      <c r="J7915" s="156"/>
    </row>
    <row r="7916" spans="8:10">
      <c r="H7916" s="156"/>
      <c r="I7916" s="156"/>
      <c r="J7916" s="156"/>
    </row>
    <row r="7917" spans="8:10">
      <c r="H7917" s="156"/>
      <c r="I7917" s="156"/>
      <c r="J7917" s="156"/>
    </row>
    <row r="7918" spans="8:10">
      <c r="H7918" s="156"/>
      <c r="I7918" s="156"/>
      <c r="J7918" s="156"/>
    </row>
    <row r="7919" spans="8:10">
      <c r="H7919" s="156"/>
      <c r="I7919" s="156"/>
      <c r="J7919" s="156"/>
    </row>
    <row r="7920" spans="8:10">
      <c r="H7920" s="156"/>
      <c r="I7920" s="156"/>
      <c r="J7920" s="156"/>
    </row>
    <row r="7921" spans="8:10">
      <c r="H7921" s="156"/>
      <c r="I7921" s="156"/>
      <c r="J7921" s="156"/>
    </row>
    <row r="7922" spans="8:10">
      <c r="H7922" s="156"/>
      <c r="I7922" s="156"/>
      <c r="J7922" s="156"/>
    </row>
    <row r="7923" spans="8:10">
      <c r="H7923" s="156"/>
      <c r="I7923" s="156"/>
      <c r="J7923" s="156"/>
    </row>
    <row r="7924" spans="8:10">
      <c r="H7924" s="156"/>
      <c r="I7924" s="156"/>
      <c r="J7924" s="156"/>
    </row>
    <row r="7925" spans="8:10">
      <c r="H7925" s="156"/>
      <c r="I7925" s="156"/>
      <c r="J7925" s="156"/>
    </row>
    <row r="7926" spans="8:10">
      <c r="H7926" s="156"/>
      <c r="I7926" s="156"/>
      <c r="J7926" s="156"/>
    </row>
    <row r="7927" spans="8:10">
      <c r="H7927" s="156"/>
      <c r="I7927" s="156"/>
      <c r="J7927" s="156"/>
    </row>
    <row r="7928" spans="8:10">
      <c r="H7928" s="156"/>
      <c r="I7928" s="156"/>
      <c r="J7928" s="156"/>
    </row>
    <row r="7929" spans="8:10">
      <c r="H7929" s="156"/>
      <c r="I7929" s="156"/>
      <c r="J7929" s="156"/>
    </row>
    <row r="7930" spans="8:10">
      <c r="H7930" s="156"/>
      <c r="I7930" s="156"/>
      <c r="J7930" s="156"/>
    </row>
    <row r="7931" spans="8:10">
      <c r="H7931" s="156"/>
      <c r="I7931" s="156"/>
      <c r="J7931" s="156"/>
    </row>
    <row r="7932" spans="8:10">
      <c r="H7932" s="156"/>
      <c r="I7932" s="156"/>
      <c r="J7932" s="156"/>
    </row>
    <row r="7933" spans="8:10">
      <c r="H7933" s="156"/>
      <c r="I7933" s="156"/>
      <c r="J7933" s="156"/>
    </row>
    <row r="7934" spans="8:10">
      <c r="H7934" s="156"/>
      <c r="I7934" s="156"/>
      <c r="J7934" s="156"/>
    </row>
    <row r="7935" spans="8:10">
      <c r="H7935" s="156"/>
      <c r="I7935" s="156"/>
      <c r="J7935" s="156"/>
    </row>
    <row r="7936" spans="8:10">
      <c r="H7936" s="156"/>
      <c r="I7936" s="156"/>
      <c r="J7936" s="156"/>
    </row>
    <row r="7937" spans="8:10">
      <c r="H7937" s="156"/>
      <c r="I7937" s="156"/>
      <c r="J7937" s="156"/>
    </row>
    <row r="7938" spans="8:10">
      <c r="H7938" s="156"/>
      <c r="I7938" s="156"/>
      <c r="J7938" s="156"/>
    </row>
    <row r="7939" spans="8:10">
      <c r="H7939" s="156"/>
      <c r="I7939" s="156"/>
      <c r="J7939" s="156"/>
    </row>
    <row r="7940" spans="8:10">
      <c r="H7940" s="156"/>
      <c r="I7940" s="156"/>
      <c r="J7940" s="156"/>
    </row>
    <row r="7941" spans="8:10">
      <c r="H7941" s="156"/>
      <c r="I7941" s="156"/>
      <c r="J7941" s="156"/>
    </row>
    <row r="7942" spans="8:10">
      <c r="H7942" s="156"/>
      <c r="I7942" s="156"/>
      <c r="J7942" s="156"/>
    </row>
    <row r="7943" spans="8:10">
      <c r="H7943" s="156"/>
      <c r="I7943" s="156"/>
      <c r="J7943" s="156"/>
    </row>
    <row r="7944" spans="8:10">
      <c r="H7944" s="156"/>
      <c r="I7944" s="156"/>
      <c r="J7944" s="156"/>
    </row>
    <row r="7945" spans="8:10">
      <c r="H7945" s="156"/>
      <c r="I7945" s="156"/>
      <c r="J7945" s="156"/>
    </row>
    <row r="7946" spans="8:10">
      <c r="H7946" s="156"/>
      <c r="I7946" s="156"/>
      <c r="J7946" s="156"/>
    </row>
    <row r="7947" spans="8:10">
      <c r="H7947" s="156"/>
      <c r="I7947" s="156"/>
      <c r="J7947" s="156"/>
    </row>
    <row r="7948" spans="8:10">
      <c r="H7948" s="156"/>
      <c r="I7948" s="156"/>
      <c r="J7948" s="156"/>
    </row>
    <row r="7949" spans="8:10">
      <c r="H7949" s="156"/>
      <c r="I7949" s="156"/>
      <c r="J7949" s="156"/>
    </row>
    <row r="7950" spans="8:10">
      <c r="H7950" s="156"/>
      <c r="I7950" s="156"/>
      <c r="J7950" s="156"/>
    </row>
    <row r="7951" spans="8:10">
      <c r="H7951" s="156"/>
      <c r="I7951" s="156"/>
      <c r="J7951" s="156"/>
    </row>
    <row r="7952" spans="8:10">
      <c r="H7952" s="156"/>
      <c r="I7952" s="156"/>
      <c r="J7952" s="156"/>
    </row>
    <row r="7953" spans="8:10">
      <c r="H7953" s="156"/>
      <c r="I7953" s="156"/>
      <c r="J7953" s="156"/>
    </row>
    <row r="7954" spans="8:10">
      <c r="H7954" s="156"/>
      <c r="I7954" s="156"/>
      <c r="J7954" s="156"/>
    </row>
    <row r="7955" spans="8:10">
      <c r="H7955" s="156"/>
      <c r="I7955" s="156"/>
      <c r="J7955" s="156"/>
    </row>
    <row r="7956" spans="8:10">
      <c r="H7956" s="156"/>
      <c r="I7956" s="156"/>
      <c r="J7956" s="156"/>
    </row>
    <row r="7957" spans="8:10">
      <c r="H7957" s="156"/>
      <c r="I7957" s="156"/>
      <c r="J7957" s="156"/>
    </row>
    <row r="7958" spans="8:10">
      <c r="H7958" s="156"/>
      <c r="I7958" s="156"/>
      <c r="J7958" s="156"/>
    </row>
    <row r="7959" spans="8:10">
      <c r="H7959" s="156"/>
      <c r="I7959" s="156"/>
      <c r="J7959" s="156"/>
    </row>
    <row r="7960" spans="8:10">
      <c r="H7960" s="156"/>
      <c r="I7960" s="156"/>
      <c r="J7960" s="156"/>
    </row>
    <row r="7961" spans="8:10">
      <c r="H7961" s="156"/>
      <c r="I7961" s="156"/>
      <c r="J7961" s="156"/>
    </row>
    <row r="7962" spans="8:10">
      <c r="H7962" s="156"/>
      <c r="I7962" s="156"/>
      <c r="J7962" s="156"/>
    </row>
    <row r="7963" spans="8:10">
      <c r="H7963" s="156"/>
      <c r="I7963" s="156"/>
      <c r="J7963" s="156"/>
    </row>
    <row r="7964" spans="8:10">
      <c r="H7964" s="156"/>
      <c r="I7964" s="156"/>
      <c r="J7964" s="156"/>
    </row>
    <row r="7965" spans="8:10">
      <c r="H7965" s="156"/>
      <c r="I7965" s="156"/>
      <c r="J7965" s="156"/>
    </row>
    <row r="7966" spans="8:10">
      <c r="H7966" s="156"/>
      <c r="I7966" s="156"/>
      <c r="J7966" s="156"/>
    </row>
    <row r="7967" spans="8:10">
      <c r="H7967" s="156"/>
      <c r="I7967" s="156"/>
      <c r="J7967" s="156"/>
    </row>
    <row r="7968" spans="8:10">
      <c r="H7968" s="156"/>
      <c r="I7968" s="156"/>
      <c r="J7968" s="156"/>
    </row>
    <row r="7969" spans="8:10">
      <c r="H7969" s="156"/>
      <c r="I7969" s="156"/>
      <c r="J7969" s="156"/>
    </row>
    <row r="7970" spans="8:10">
      <c r="H7970" s="156"/>
      <c r="I7970" s="156"/>
      <c r="J7970" s="156"/>
    </row>
    <row r="7971" spans="8:10">
      <c r="H7971" s="156"/>
      <c r="I7971" s="156"/>
      <c r="J7971" s="156"/>
    </row>
    <row r="7972" spans="8:10">
      <c r="H7972" s="156"/>
      <c r="I7972" s="156"/>
      <c r="J7972" s="156"/>
    </row>
    <row r="7973" spans="8:10">
      <c r="H7973" s="156"/>
      <c r="I7973" s="156"/>
      <c r="J7973" s="156"/>
    </row>
    <row r="7974" spans="8:10">
      <c r="H7974" s="156"/>
      <c r="I7974" s="156"/>
      <c r="J7974" s="156"/>
    </row>
    <row r="7975" spans="8:10">
      <c r="H7975" s="156"/>
      <c r="I7975" s="156"/>
      <c r="J7975" s="156"/>
    </row>
    <row r="7976" spans="8:10">
      <c r="H7976" s="156"/>
      <c r="I7976" s="156"/>
      <c r="J7976" s="156"/>
    </row>
    <row r="7977" spans="8:10">
      <c r="H7977" s="156"/>
      <c r="I7977" s="156"/>
      <c r="J7977" s="156"/>
    </row>
    <row r="7978" spans="8:10">
      <c r="H7978" s="156"/>
      <c r="I7978" s="156"/>
      <c r="J7978" s="156"/>
    </row>
    <row r="7979" spans="8:10">
      <c r="H7979" s="156"/>
      <c r="I7979" s="156"/>
      <c r="J7979" s="156"/>
    </row>
    <row r="7980" spans="8:10">
      <c r="H7980" s="156"/>
      <c r="I7980" s="156"/>
      <c r="J7980" s="156"/>
    </row>
    <row r="7981" spans="8:10">
      <c r="H7981" s="156"/>
      <c r="I7981" s="156"/>
      <c r="J7981" s="156"/>
    </row>
    <row r="7982" spans="8:10">
      <c r="H7982" s="156"/>
      <c r="I7982" s="156"/>
      <c r="J7982" s="156"/>
    </row>
    <row r="7983" spans="8:10">
      <c r="H7983" s="156"/>
      <c r="I7983" s="156"/>
      <c r="J7983" s="156"/>
    </row>
    <row r="7984" spans="8:10">
      <c r="H7984" s="156"/>
      <c r="I7984" s="156"/>
      <c r="J7984" s="156"/>
    </row>
    <row r="7985" spans="8:10">
      <c r="H7985" s="156"/>
      <c r="I7985" s="156"/>
      <c r="J7985" s="156"/>
    </row>
    <row r="7986" spans="8:10">
      <c r="H7986" s="156"/>
      <c r="I7986" s="156"/>
      <c r="J7986" s="156"/>
    </row>
    <row r="7987" spans="8:10">
      <c r="H7987" s="156"/>
      <c r="I7987" s="156"/>
      <c r="J7987" s="156"/>
    </row>
    <row r="7988" spans="8:10">
      <c r="H7988" s="156"/>
      <c r="I7988" s="156"/>
      <c r="J7988" s="156"/>
    </row>
    <row r="7989" spans="8:10">
      <c r="H7989" s="156"/>
      <c r="I7989" s="156"/>
      <c r="J7989" s="156"/>
    </row>
    <row r="7990" spans="8:10">
      <c r="H7990" s="156"/>
      <c r="I7990" s="156"/>
      <c r="J7990" s="156"/>
    </row>
    <row r="7991" spans="8:10">
      <c r="H7991" s="156"/>
      <c r="I7991" s="156"/>
      <c r="J7991" s="156"/>
    </row>
    <row r="7992" spans="8:10">
      <c r="H7992" s="156"/>
      <c r="I7992" s="156"/>
      <c r="J7992" s="156"/>
    </row>
    <row r="7993" spans="8:10">
      <c r="H7993" s="156"/>
      <c r="I7993" s="156"/>
      <c r="J7993" s="156"/>
    </row>
    <row r="7994" spans="8:10">
      <c r="H7994" s="156"/>
      <c r="I7994" s="156"/>
      <c r="J7994" s="156"/>
    </row>
    <row r="7995" spans="8:10">
      <c r="H7995" s="156"/>
      <c r="I7995" s="156"/>
      <c r="J7995" s="156"/>
    </row>
    <row r="7996" spans="8:10">
      <c r="H7996" s="156"/>
      <c r="I7996" s="156"/>
      <c r="J7996" s="156"/>
    </row>
    <row r="7997" spans="8:10">
      <c r="H7997" s="156"/>
      <c r="I7997" s="156"/>
      <c r="J7997" s="156"/>
    </row>
    <row r="7998" spans="8:10">
      <c r="H7998" s="156"/>
      <c r="I7998" s="156"/>
      <c r="J7998" s="156"/>
    </row>
    <row r="7999" spans="8:10">
      <c r="H7999" s="156"/>
      <c r="I7999" s="156"/>
      <c r="J7999" s="156"/>
    </row>
    <row r="8000" spans="8:10">
      <c r="H8000" s="156"/>
      <c r="I8000" s="156"/>
      <c r="J8000" s="156"/>
    </row>
    <row r="8001" spans="8:10">
      <c r="H8001" s="156"/>
      <c r="I8001" s="156"/>
      <c r="J8001" s="156"/>
    </row>
    <row r="8002" spans="8:10">
      <c r="H8002" s="156"/>
      <c r="I8002" s="156"/>
      <c r="J8002" s="156"/>
    </row>
    <row r="8003" spans="8:10">
      <c r="H8003" s="156"/>
      <c r="I8003" s="156"/>
      <c r="J8003" s="156"/>
    </row>
    <row r="8004" spans="8:10">
      <c r="H8004" s="156"/>
      <c r="I8004" s="156"/>
      <c r="J8004" s="156"/>
    </row>
    <row r="8005" spans="8:10">
      <c r="H8005" s="156"/>
      <c r="I8005" s="156"/>
      <c r="J8005" s="156"/>
    </row>
    <row r="8006" spans="8:10">
      <c r="H8006" s="156"/>
      <c r="I8006" s="156"/>
      <c r="J8006" s="156"/>
    </row>
    <row r="8007" spans="8:10">
      <c r="H8007" s="156"/>
      <c r="I8007" s="156"/>
      <c r="J8007" s="156"/>
    </row>
    <row r="8008" spans="8:10">
      <c r="H8008" s="156"/>
      <c r="I8008" s="156"/>
      <c r="J8008" s="156"/>
    </row>
    <row r="8009" spans="8:10">
      <c r="H8009" s="156"/>
      <c r="I8009" s="156"/>
      <c r="J8009" s="156"/>
    </row>
    <row r="8010" spans="8:10">
      <c r="H8010" s="156"/>
      <c r="I8010" s="156"/>
      <c r="J8010" s="156"/>
    </row>
    <row r="8011" spans="8:10">
      <c r="H8011" s="156"/>
      <c r="I8011" s="156"/>
      <c r="J8011" s="156"/>
    </row>
    <row r="8012" spans="8:10">
      <c r="H8012" s="156"/>
      <c r="I8012" s="156"/>
      <c r="J8012" s="156"/>
    </row>
    <row r="8013" spans="8:10">
      <c r="H8013" s="156"/>
      <c r="I8013" s="156"/>
      <c r="J8013" s="156"/>
    </row>
    <row r="8014" spans="8:10">
      <c r="H8014" s="156"/>
      <c r="I8014" s="156"/>
      <c r="J8014" s="156"/>
    </row>
    <row r="8015" spans="8:10">
      <c r="H8015" s="156"/>
      <c r="I8015" s="156"/>
      <c r="J8015" s="156"/>
    </row>
    <row r="8016" spans="8:10">
      <c r="H8016" s="156"/>
      <c r="I8016" s="156"/>
      <c r="J8016" s="156"/>
    </row>
    <row r="8017" spans="8:10">
      <c r="H8017" s="156"/>
      <c r="I8017" s="156"/>
      <c r="J8017" s="156"/>
    </row>
    <row r="8018" spans="8:10">
      <c r="H8018" s="156"/>
      <c r="I8018" s="156"/>
      <c r="J8018" s="156"/>
    </row>
    <row r="8019" spans="8:10">
      <c r="H8019" s="156"/>
      <c r="I8019" s="156"/>
      <c r="J8019" s="156"/>
    </row>
    <row r="8020" spans="8:10">
      <c r="H8020" s="156"/>
      <c r="I8020" s="156"/>
      <c r="J8020" s="156"/>
    </row>
    <row r="8021" spans="8:10">
      <c r="H8021" s="156"/>
      <c r="I8021" s="156"/>
      <c r="J8021" s="156"/>
    </row>
    <row r="8022" spans="8:10">
      <c r="H8022" s="156"/>
      <c r="I8022" s="156"/>
      <c r="J8022" s="156"/>
    </row>
    <row r="8023" spans="8:10">
      <c r="H8023" s="156"/>
      <c r="I8023" s="156"/>
      <c r="J8023" s="156"/>
    </row>
    <row r="8024" spans="8:10">
      <c r="H8024" s="156"/>
      <c r="I8024" s="156"/>
      <c r="J8024" s="156"/>
    </row>
    <row r="8025" spans="8:10">
      <c r="H8025" s="156"/>
      <c r="I8025" s="156"/>
      <c r="J8025" s="156"/>
    </row>
    <row r="8026" spans="8:10">
      <c r="H8026" s="156"/>
      <c r="I8026" s="156"/>
      <c r="J8026" s="156"/>
    </row>
    <row r="8027" spans="8:10">
      <c r="H8027" s="156"/>
      <c r="I8027" s="156"/>
      <c r="J8027" s="156"/>
    </row>
    <row r="8028" spans="8:10">
      <c r="H8028" s="156"/>
      <c r="I8028" s="156"/>
      <c r="J8028" s="156"/>
    </row>
    <row r="8029" spans="8:10">
      <c r="H8029" s="156"/>
      <c r="I8029" s="156"/>
      <c r="J8029" s="156"/>
    </row>
    <row r="8030" spans="8:10">
      <c r="H8030" s="156"/>
      <c r="I8030" s="156"/>
      <c r="J8030" s="156"/>
    </row>
    <row r="8031" spans="8:10">
      <c r="H8031" s="156"/>
      <c r="I8031" s="156"/>
      <c r="J8031" s="156"/>
    </row>
    <row r="8032" spans="8:10">
      <c r="H8032" s="156"/>
      <c r="I8032" s="156"/>
      <c r="J8032" s="156"/>
    </row>
    <row r="8033" spans="8:10">
      <c r="H8033" s="156"/>
      <c r="I8033" s="156"/>
      <c r="J8033" s="156"/>
    </row>
    <row r="8034" spans="8:10">
      <c r="H8034" s="156"/>
      <c r="I8034" s="156"/>
      <c r="J8034" s="156"/>
    </row>
    <row r="8035" spans="8:10">
      <c r="H8035" s="156"/>
      <c r="I8035" s="156"/>
      <c r="J8035" s="156"/>
    </row>
    <row r="8036" spans="8:10">
      <c r="H8036" s="156"/>
      <c r="I8036" s="156"/>
      <c r="J8036" s="156"/>
    </row>
    <row r="8037" spans="8:10">
      <c r="H8037" s="156"/>
      <c r="I8037" s="156"/>
      <c r="J8037" s="156"/>
    </row>
    <row r="8038" spans="8:10">
      <c r="H8038" s="156"/>
      <c r="I8038" s="156"/>
      <c r="J8038" s="156"/>
    </row>
    <row r="8039" spans="8:10">
      <c r="H8039" s="156"/>
      <c r="I8039" s="156"/>
      <c r="J8039" s="156"/>
    </row>
    <row r="8040" spans="8:10">
      <c r="H8040" s="156"/>
      <c r="I8040" s="156"/>
      <c r="J8040" s="156"/>
    </row>
    <row r="8041" spans="8:10">
      <c r="H8041" s="156"/>
      <c r="I8041" s="156"/>
      <c r="J8041" s="156"/>
    </row>
    <row r="8042" spans="8:10">
      <c r="H8042" s="156"/>
      <c r="I8042" s="156"/>
      <c r="J8042" s="156"/>
    </row>
    <row r="8043" spans="8:10">
      <c r="H8043" s="156"/>
      <c r="I8043" s="156"/>
      <c r="J8043" s="156"/>
    </row>
    <row r="8044" spans="8:10">
      <c r="H8044" s="156"/>
      <c r="I8044" s="156"/>
      <c r="J8044" s="156"/>
    </row>
    <row r="8045" spans="8:10">
      <c r="H8045" s="156"/>
      <c r="I8045" s="156"/>
      <c r="J8045" s="156"/>
    </row>
    <row r="8046" spans="8:10">
      <c r="H8046" s="156"/>
      <c r="I8046" s="156"/>
      <c r="J8046" s="156"/>
    </row>
    <row r="8047" spans="8:10">
      <c r="H8047" s="156"/>
      <c r="I8047" s="156"/>
      <c r="J8047" s="156"/>
    </row>
    <row r="8048" spans="8:10">
      <c r="H8048" s="156"/>
      <c r="I8048" s="156"/>
      <c r="J8048" s="156"/>
    </row>
    <row r="8049" spans="8:10">
      <c r="H8049" s="156"/>
      <c r="I8049" s="156"/>
      <c r="J8049" s="156"/>
    </row>
    <row r="8050" spans="8:10">
      <c r="H8050" s="156"/>
      <c r="I8050" s="156"/>
      <c r="J8050" s="156"/>
    </row>
    <row r="8051" spans="8:10">
      <c r="H8051" s="156"/>
      <c r="I8051" s="156"/>
      <c r="J8051" s="156"/>
    </row>
    <row r="8052" spans="8:10">
      <c r="H8052" s="156"/>
      <c r="I8052" s="156"/>
      <c r="J8052" s="156"/>
    </row>
    <row r="8053" spans="8:10">
      <c r="H8053" s="156"/>
      <c r="I8053" s="156"/>
      <c r="J8053" s="156"/>
    </row>
    <row r="8054" spans="8:10">
      <c r="H8054" s="156"/>
      <c r="I8054" s="156"/>
      <c r="J8054" s="156"/>
    </row>
    <row r="8055" spans="8:10">
      <c r="H8055" s="156"/>
      <c r="I8055" s="156"/>
      <c r="J8055" s="156"/>
    </row>
    <row r="8056" spans="8:10">
      <c r="H8056" s="156"/>
      <c r="I8056" s="156"/>
      <c r="J8056" s="156"/>
    </row>
    <row r="8057" spans="8:10">
      <c r="H8057" s="156"/>
      <c r="I8057" s="156"/>
      <c r="J8057" s="156"/>
    </row>
    <row r="8058" spans="8:10">
      <c r="H8058" s="156"/>
      <c r="I8058" s="156"/>
      <c r="J8058" s="156"/>
    </row>
    <row r="8059" spans="8:10">
      <c r="H8059" s="156"/>
      <c r="I8059" s="156"/>
      <c r="J8059" s="156"/>
    </row>
    <row r="8060" spans="8:10">
      <c r="H8060" s="156"/>
      <c r="I8060" s="156"/>
      <c r="J8060" s="156"/>
    </row>
    <row r="8061" spans="8:10">
      <c r="H8061" s="156"/>
      <c r="I8061" s="156"/>
      <c r="J8061" s="156"/>
    </row>
    <row r="8062" spans="8:10">
      <c r="H8062" s="156"/>
      <c r="I8062" s="156"/>
      <c r="J8062" s="156"/>
    </row>
    <row r="8063" spans="8:10">
      <c r="H8063" s="156"/>
      <c r="I8063" s="156"/>
      <c r="J8063" s="156"/>
    </row>
    <row r="8064" spans="8:10">
      <c r="H8064" s="156"/>
      <c r="I8064" s="156"/>
      <c r="J8064" s="156"/>
    </row>
    <row r="8065" spans="8:10">
      <c r="H8065" s="156"/>
      <c r="I8065" s="156"/>
      <c r="J8065" s="156"/>
    </row>
    <row r="8066" spans="8:10">
      <c r="H8066" s="156"/>
      <c r="I8066" s="156"/>
      <c r="J8066" s="156"/>
    </row>
    <row r="8067" spans="8:10">
      <c r="H8067" s="156"/>
      <c r="I8067" s="156"/>
      <c r="J8067" s="156"/>
    </row>
    <row r="8068" spans="8:10">
      <c r="H8068" s="156"/>
      <c r="I8068" s="156"/>
      <c r="J8068" s="156"/>
    </row>
    <row r="8069" spans="8:10">
      <c r="H8069" s="156"/>
      <c r="I8069" s="156"/>
      <c r="J8069" s="156"/>
    </row>
    <row r="8070" spans="8:10">
      <c r="H8070" s="156"/>
      <c r="I8070" s="156"/>
      <c r="J8070" s="156"/>
    </row>
    <row r="8071" spans="8:10">
      <c r="H8071" s="156"/>
      <c r="I8071" s="156"/>
      <c r="J8071" s="156"/>
    </row>
    <row r="8072" spans="8:10">
      <c r="H8072" s="156"/>
      <c r="I8072" s="156"/>
      <c r="J8072" s="156"/>
    </row>
    <row r="8073" spans="8:10">
      <c r="H8073" s="156"/>
      <c r="I8073" s="156"/>
      <c r="J8073" s="156"/>
    </row>
    <row r="8074" spans="8:10">
      <c r="H8074" s="156"/>
      <c r="I8074" s="156"/>
      <c r="J8074" s="156"/>
    </row>
    <row r="8075" spans="8:10">
      <c r="H8075" s="156"/>
      <c r="I8075" s="156"/>
      <c r="J8075" s="156"/>
    </row>
    <row r="8076" spans="8:10">
      <c r="H8076" s="156"/>
      <c r="I8076" s="156"/>
      <c r="J8076" s="156"/>
    </row>
    <row r="8077" spans="8:10">
      <c r="H8077" s="156"/>
      <c r="I8077" s="156"/>
      <c r="J8077" s="156"/>
    </row>
    <row r="8078" spans="8:10">
      <c r="H8078" s="156"/>
      <c r="I8078" s="156"/>
      <c r="J8078" s="156"/>
    </row>
    <row r="8079" spans="8:10">
      <c r="H8079" s="156"/>
      <c r="I8079" s="156"/>
      <c r="J8079" s="156"/>
    </row>
    <row r="8080" spans="8:10">
      <c r="H8080" s="156"/>
      <c r="I8080" s="156"/>
      <c r="J8080" s="156"/>
    </row>
    <row r="8081" spans="8:10">
      <c r="H8081" s="156"/>
      <c r="I8081" s="156"/>
      <c r="J8081" s="156"/>
    </row>
    <row r="8082" spans="8:10">
      <c r="H8082" s="156"/>
      <c r="I8082" s="156"/>
      <c r="J8082" s="156"/>
    </row>
    <row r="8083" spans="8:10">
      <c r="H8083" s="156"/>
      <c r="I8083" s="156"/>
      <c r="J8083" s="156"/>
    </row>
    <row r="8084" spans="8:10">
      <c r="H8084" s="156"/>
      <c r="I8084" s="156"/>
      <c r="J8084" s="156"/>
    </row>
    <row r="8085" spans="8:10">
      <c r="H8085" s="156"/>
      <c r="I8085" s="156"/>
      <c r="J8085" s="156"/>
    </row>
    <row r="8086" spans="8:10">
      <c r="H8086" s="156"/>
      <c r="I8086" s="156"/>
      <c r="J8086" s="156"/>
    </row>
    <row r="8087" spans="8:10">
      <c r="H8087" s="156"/>
      <c r="I8087" s="156"/>
      <c r="J8087" s="156"/>
    </row>
    <row r="8088" spans="8:10">
      <c r="H8088" s="156"/>
      <c r="I8088" s="156"/>
      <c r="J8088" s="156"/>
    </row>
    <row r="8089" spans="8:10">
      <c r="H8089" s="156"/>
      <c r="I8089" s="156"/>
      <c r="J8089" s="156"/>
    </row>
    <row r="8090" spans="8:10">
      <c r="H8090" s="156"/>
      <c r="I8090" s="156"/>
      <c r="J8090" s="156"/>
    </row>
    <row r="8091" spans="8:10">
      <c r="H8091" s="156"/>
      <c r="I8091" s="156"/>
      <c r="J8091" s="156"/>
    </row>
    <row r="8092" spans="8:10">
      <c r="H8092" s="156"/>
      <c r="I8092" s="156"/>
      <c r="J8092" s="156"/>
    </row>
    <row r="8093" spans="8:10">
      <c r="H8093" s="156"/>
      <c r="I8093" s="156"/>
      <c r="J8093" s="156"/>
    </row>
    <row r="8094" spans="8:10">
      <c r="H8094" s="156"/>
      <c r="I8094" s="156"/>
      <c r="J8094" s="156"/>
    </row>
    <row r="8095" spans="8:10">
      <c r="H8095" s="156"/>
      <c r="I8095" s="156"/>
      <c r="J8095" s="156"/>
    </row>
    <row r="8096" spans="8:10">
      <c r="H8096" s="156"/>
      <c r="I8096" s="156"/>
      <c r="J8096" s="156"/>
    </row>
    <row r="8097" spans="8:10">
      <c r="H8097" s="156"/>
      <c r="I8097" s="156"/>
      <c r="J8097" s="156"/>
    </row>
    <row r="8098" spans="8:10">
      <c r="H8098" s="156"/>
      <c r="I8098" s="156"/>
      <c r="J8098" s="156"/>
    </row>
    <row r="8099" spans="8:10">
      <c r="H8099" s="156"/>
      <c r="I8099" s="156"/>
      <c r="J8099" s="156"/>
    </row>
    <row r="8100" spans="8:10">
      <c r="H8100" s="156"/>
      <c r="I8100" s="156"/>
      <c r="J8100" s="156"/>
    </row>
    <row r="8101" spans="8:10">
      <c r="H8101" s="156"/>
      <c r="I8101" s="156"/>
      <c r="J8101" s="156"/>
    </row>
    <row r="8102" spans="8:10">
      <c r="H8102" s="156"/>
      <c r="I8102" s="156"/>
      <c r="J8102" s="156"/>
    </row>
    <row r="8103" spans="8:10">
      <c r="H8103" s="156"/>
      <c r="I8103" s="156"/>
      <c r="J8103" s="156"/>
    </row>
    <row r="8104" spans="8:10">
      <c r="H8104" s="156"/>
      <c r="I8104" s="156"/>
      <c r="J8104" s="156"/>
    </row>
    <row r="8105" spans="8:10">
      <c r="H8105" s="156"/>
      <c r="I8105" s="156"/>
      <c r="J8105" s="156"/>
    </row>
    <row r="8106" spans="8:10">
      <c r="H8106" s="156"/>
      <c r="I8106" s="156"/>
      <c r="J8106" s="156"/>
    </row>
    <row r="8107" spans="8:10">
      <c r="H8107" s="156"/>
      <c r="I8107" s="156"/>
      <c r="J8107" s="156"/>
    </row>
    <row r="8108" spans="8:10">
      <c r="H8108" s="156"/>
      <c r="I8108" s="156"/>
      <c r="J8108" s="156"/>
    </row>
    <row r="8109" spans="8:10">
      <c r="H8109" s="156"/>
      <c r="I8109" s="156"/>
      <c r="J8109" s="156"/>
    </row>
    <row r="8110" spans="8:10">
      <c r="H8110" s="156"/>
      <c r="I8110" s="156"/>
      <c r="J8110" s="156"/>
    </row>
    <row r="8111" spans="8:10">
      <c r="H8111" s="156"/>
      <c r="I8111" s="156"/>
      <c r="J8111" s="156"/>
    </row>
    <row r="8112" spans="8:10">
      <c r="H8112" s="156"/>
      <c r="I8112" s="156"/>
      <c r="J8112" s="156"/>
    </row>
    <row r="8113" spans="8:10">
      <c r="H8113" s="156"/>
      <c r="I8113" s="156"/>
      <c r="J8113" s="156"/>
    </row>
    <row r="8114" spans="8:10">
      <c r="H8114" s="156"/>
      <c r="I8114" s="156"/>
      <c r="J8114" s="156"/>
    </row>
    <row r="8115" spans="8:10">
      <c r="H8115" s="156"/>
      <c r="I8115" s="156"/>
      <c r="J8115" s="156"/>
    </row>
    <row r="8116" spans="8:10">
      <c r="H8116" s="156"/>
      <c r="I8116" s="156"/>
      <c r="J8116" s="156"/>
    </row>
    <row r="8117" spans="8:10">
      <c r="H8117" s="156"/>
      <c r="I8117" s="156"/>
      <c r="J8117" s="156"/>
    </row>
    <row r="8118" spans="8:10">
      <c r="H8118" s="156"/>
      <c r="I8118" s="156"/>
      <c r="J8118" s="156"/>
    </row>
    <row r="8119" spans="8:10">
      <c r="H8119" s="156"/>
      <c r="I8119" s="156"/>
      <c r="J8119" s="156"/>
    </row>
    <row r="8120" spans="8:10">
      <c r="H8120" s="156"/>
      <c r="I8120" s="156"/>
      <c r="J8120" s="156"/>
    </row>
    <row r="8121" spans="8:10">
      <c r="H8121" s="156"/>
      <c r="I8121" s="156"/>
      <c r="J8121" s="156"/>
    </row>
    <row r="8122" spans="8:10">
      <c r="H8122" s="156"/>
      <c r="I8122" s="156"/>
      <c r="J8122" s="156"/>
    </row>
    <row r="8123" spans="8:10">
      <c r="H8123" s="156"/>
      <c r="I8123" s="156"/>
      <c r="J8123" s="156"/>
    </row>
    <row r="8124" spans="8:10">
      <c r="H8124" s="156"/>
      <c r="I8124" s="156"/>
      <c r="J8124" s="156"/>
    </row>
    <row r="8125" spans="8:10">
      <c r="H8125" s="156"/>
      <c r="I8125" s="156"/>
      <c r="J8125" s="156"/>
    </row>
    <row r="8126" spans="8:10">
      <c r="H8126" s="156"/>
      <c r="I8126" s="156"/>
      <c r="J8126" s="156"/>
    </row>
    <row r="8127" spans="8:10">
      <c r="H8127" s="156"/>
      <c r="I8127" s="156"/>
      <c r="J8127" s="156"/>
    </row>
    <row r="8128" spans="8:10">
      <c r="H8128" s="156"/>
      <c r="I8128" s="156"/>
      <c r="J8128" s="156"/>
    </row>
    <row r="8129" spans="8:10">
      <c r="H8129" s="156"/>
      <c r="I8129" s="156"/>
      <c r="J8129" s="156"/>
    </row>
    <row r="8130" spans="8:10">
      <c r="H8130" s="156"/>
      <c r="I8130" s="156"/>
      <c r="J8130" s="156"/>
    </row>
    <row r="8131" spans="8:10">
      <c r="H8131" s="156"/>
      <c r="I8131" s="156"/>
      <c r="J8131" s="156"/>
    </row>
    <row r="8132" spans="8:10">
      <c r="H8132" s="156"/>
      <c r="I8132" s="156"/>
      <c r="J8132" s="156"/>
    </row>
    <row r="8133" spans="8:10">
      <c r="H8133" s="156"/>
      <c r="I8133" s="156"/>
      <c r="J8133" s="156"/>
    </row>
    <row r="8134" spans="8:10">
      <c r="H8134" s="156"/>
      <c r="I8134" s="156"/>
      <c r="J8134" s="156"/>
    </row>
    <row r="8135" spans="8:10">
      <c r="H8135" s="156"/>
      <c r="I8135" s="156"/>
      <c r="J8135" s="156"/>
    </row>
    <row r="8136" spans="8:10">
      <c r="H8136" s="156"/>
      <c r="I8136" s="156"/>
      <c r="J8136" s="156"/>
    </row>
    <row r="8137" spans="8:10">
      <c r="H8137" s="156"/>
      <c r="I8137" s="156"/>
      <c r="J8137" s="156"/>
    </row>
    <row r="8138" spans="8:10">
      <c r="H8138" s="156"/>
      <c r="I8138" s="156"/>
      <c r="J8138" s="156"/>
    </row>
    <row r="8139" spans="8:10">
      <c r="H8139" s="156"/>
      <c r="I8139" s="156"/>
      <c r="J8139" s="156"/>
    </row>
    <row r="8140" spans="8:10">
      <c r="H8140" s="156"/>
      <c r="I8140" s="156"/>
      <c r="J8140" s="156"/>
    </row>
    <row r="8141" spans="8:10">
      <c r="H8141" s="156"/>
      <c r="I8141" s="156"/>
      <c r="J8141" s="156"/>
    </row>
    <row r="8142" spans="8:10">
      <c r="H8142" s="156"/>
      <c r="I8142" s="156"/>
      <c r="J8142" s="156"/>
    </row>
    <row r="8143" spans="8:10">
      <c r="H8143" s="156"/>
      <c r="I8143" s="156"/>
      <c r="J8143" s="156"/>
    </row>
    <row r="8144" spans="8:10">
      <c r="H8144" s="156"/>
      <c r="I8144" s="156"/>
      <c r="J8144" s="156"/>
    </row>
    <row r="8145" spans="8:10">
      <c r="H8145" s="156"/>
      <c r="I8145" s="156"/>
      <c r="J8145" s="156"/>
    </row>
    <row r="8146" spans="8:10">
      <c r="H8146" s="156"/>
      <c r="I8146" s="156"/>
      <c r="J8146" s="156"/>
    </row>
    <row r="8147" spans="8:10">
      <c r="H8147" s="156"/>
      <c r="I8147" s="156"/>
      <c r="J8147" s="156"/>
    </row>
    <row r="8148" spans="8:10">
      <c r="H8148" s="156"/>
      <c r="I8148" s="156"/>
      <c r="J8148" s="156"/>
    </row>
    <row r="8149" spans="8:10">
      <c r="H8149" s="156"/>
      <c r="I8149" s="156"/>
      <c r="J8149" s="156"/>
    </row>
    <row r="8150" spans="8:10">
      <c r="H8150" s="156"/>
      <c r="I8150" s="156"/>
      <c r="J8150" s="156"/>
    </row>
    <row r="8151" spans="8:10">
      <c r="H8151" s="156"/>
      <c r="I8151" s="156"/>
      <c r="J8151" s="156"/>
    </row>
    <row r="8152" spans="8:10">
      <c r="H8152" s="156"/>
      <c r="I8152" s="156"/>
      <c r="J8152" s="156"/>
    </row>
    <row r="8153" spans="8:10">
      <c r="H8153" s="156"/>
      <c r="I8153" s="156"/>
      <c r="J8153" s="156"/>
    </row>
    <row r="8154" spans="8:10">
      <c r="H8154" s="156"/>
      <c r="I8154" s="156"/>
      <c r="J8154" s="156"/>
    </row>
    <row r="8155" spans="8:10">
      <c r="H8155" s="156"/>
      <c r="I8155" s="156"/>
      <c r="J8155" s="156"/>
    </row>
    <row r="8156" spans="8:10">
      <c r="H8156" s="156"/>
      <c r="I8156" s="156"/>
      <c r="J8156" s="156"/>
    </row>
    <row r="8157" spans="8:10">
      <c r="H8157" s="156"/>
      <c r="I8157" s="156"/>
      <c r="J8157" s="156"/>
    </row>
    <row r="8158" spans="8:10">
      <c r="H8158" s="156"/>
      <c r="I8158" s="156"/>
      <c r="J8158" s="156"/>
    </row>
    <row r="8159" spans="8:10">
      <c r="H8159" s="156"/>
      <c r="I8159" s="156"/>
      <c r="J8159" s="156"/>
    </row>
    <row r="8160" spans="8:10">
      <c r="H8160" s="156"/>
      <c r="I8160" s="156"/>
      <c r="J8160" s="156"/>
    </row>
    <row r="8161" spans="8:10">
      <c r="H8161" s="156"/>
      <c r="I8161" s="156"/>
      <c r="J8161" s="156"/>
    </row>
    <row r="8162" spans="8:10">
      <c r="H8162" s="156"/>
      <c r="I8162" s="156"/>
      <c r="J8162" s="156"/>
    </row>
    <row r="8163" spans="8:10">
      <c r="H8163" s="156"/>
      <c r="I8163" s="156"/>
      <c r="J8163" s="156"/>
    </row>
    <row r="8164" spans="8:10">
      <c r="H8164" s="156"/>
      <c r="I8164" s="156"/>
      <c r="J8164" s="156"/>
    </row>
    <row r="8165" spans="8:10">
      <c r="H8165" s="156"/>
      <c r="I8165" s="156"/>
      <c r="J8165" s="156"/>
    </row>
    <row r="8166" spans="8:10">
      <c r="H8166" s="156"/>
      <c r="I8166" s="156"/>
      <c r="J8166" s="156"/>
    </row>
    <row r="8167" spans="8:10">
      <c r="H8167" s="156"/>
      <c r="I8167" s="156"/>
      <c r="J8167" s="156"/>
    </row>
    <row r="8168" spans="8:10">
      <c r="H8168" s="156"/>
      <c r="I8168" s="156"/>
      <c r="J8168" s="156"/>
    </row>
    <row r="8169" spans="8:10">
      <c r="H8169" s="156"/>
      <c r="I8169" s="156"/>
      <c r="J8169" s="156"/>
    </row>
    <row r="8170" spans="8:10">
      <c r="H8170" s="156"/>
      <c r="I8170" s="156"/>
      <c r="J8170" s="156"/>
    </row>
    <row r="8171" spans="8:10">
      <c r="H8171" s="156"/>
      <c r="I8171" s="156"/>
      <c r="J8171" s="156"/>
    </row>
    <row r="8172" spans="8:10">
      <c r="H8172" s="156"/>
      <c r="I8172" s="156"/>
      <c r="J8172" s="156"/>
    </row>
    <row r="8173" spans="8:10">
      <c r="H8173" s="156"/>
      <c r="I8173" s="156"/>
      <c r="J8173" s="156"/>
    </row>
    <row r="8174" spans="8:10">
      <c r="H8174" s="156"/>
      <c r="I8174" s="156"/>
      <c r="J8174" s="156"/>
    </row>
    <row r="8175" spans="8:10">
      <c r="H8175" s="156"/>
      <c r="I8175" s="156"/>
      <c r="J8175" s="156"/>
    </row>
    <row r="8176" spans="8:10">
      <c r="H8176" s="156"/>
      <c r="I8176" s="156"/>
      <c r="J8176" s="156"/>
    </row>
    <row r="8177" spans="8:10">
      <c r="H8177" s="156"/>
      <c r="I8177" s="156"/>
      <c r="J8177" s="156"/>
    </row>
    <row r="8178" spans="8:10">
      <c r="H8178" s="156"/>
      <c r="I8178" s="156"/>
      <c r="J8178" s="156"/>
    </row>
    <row r="8179" spans="8:10">
      <c r="H8179" s="156"/>
      <c r="I8179" s="156"/>
      <c r="J8179" s="156"/>
    </row>
    <row r="8180" spans="8:10">
      <c r="H8180" s="156"/>
      <c r="I8180" s="156"/>
      <c r="J8180" s="156"/>
    </row>
    <row r="8181" spans="8:10">
      <c r="H8181" s="156"/>
      <c r="I8181" s="156"/>
      <c r="J8181" s="156"/>
    </row>
    <row r="8182" spans="8:10">
      <c r="H8182" s="156"/>
      <c r="I8182" s="156"/>
      <c r="J8182" s="156"/>
    </row>
    <row r="8183" spans="8:10">
      <c r="H8183" s="156"/>
      <c r="I8183" s="156"/>
      <c r="J8183" s="156"/>
    </row>
    <row r="8184" spans="8:10">
      <c r="H8184" s="156"/>
      <c r="I8184" s="156"/>
      <c r="J8184" s="156"/>
    </row>
    <row r="8185" spans="8:10">
      <c r="H8185" s="156"/>
      <c r="I8185" s="156"/>
      <c r="J8185" s="156"/>
    </row>
    <row r="8186" spans="8:10">
      <c r="H8186" s="156"/>
      <c r="I8186" s="156"/>
      <c r="J8186" s="156"/>
    </row>
    <row r="8187" spans="8:10">
      <c r="H8187" s="156"/>
      <c r="I8187" s="156"/>
      <c r="J8187" s="156"/>
    </row>
    <row r="8188" spans="8:10">
      <c r="H8188" s="156"/>
      <c r="I8188" s="156"/>
      <c r="J8188" s="156"/>
    </row>
    <row r="8189" spans="8:10">
      <c r="H8189" s="156"/>
      <c r="I8189" s="156"/>
      <c r="J8189" s="156"/>
    </row>
    <row r="8190" spans="8:10">
      <c r="H8190" s="156"/>
      <c r="I8190" s="156"/>
      <c r="J8190" s="156"/>
    </row>
    <row r="8191" spans="8:10">
      <c r="H8191" s="156"/>
      <c r="I8191" s="156"/>
      <c r="J8191" s="156"/>
    </row>
    <row r="8192" spans="8:10">
      <c r="H8192" s="156"/>
      <c r="I8192" s="156"/>
      <c r="J8192" s="156"/>
    </row>
    <row r="8193" spans="8:10">
      <c r="H8193" s="156"/>
      <c r="I8193" s="156"/>
      <c r="J8193" s="156"/>
    </row>
    <row r="8194" spans="8:10">
      <c r="H8194" s="156"/>
      <c r="I8194" s="156"/>
      <c r="J8194" s="156"/>
    </row>
    <row r="8195" spans="8:10">
      <c r="H8195" s="156"/>
      <c r="I8195" s="156"/>
      <c r="J8195" s="156"/>
    </row>
    <row r="8196" spans="8:10">
      <c r="H8196" s="156"/>
      <c r="I8196" s="156"/>
      <c r="J8196" s="156"/>
    </row>
    <row r="8197" spans="8:10">
      <c r="H8197" s="156"/>
      <c r="I8197" s="156"/>
      <c r="J8197" s="156"/>
    </row>
    <row r="8198" spans="8:10">
      <c r="H8198" s="156"/>
      <c r="I8198" s="156"/>
      <c r="J8198" s="156"/>
    </row>
    <row r="8199" spans="8:10">
      <c r="H8199" s="156"/>
      <c r="I8199" s="156"/>
      <c r="J8199" s="156"/>
    </row>
    <row r="8200" spans="8:10">
      <c r="H8200" s="156"/>
      <c r="I8200" s="156"/>
      <c r="J8200" s="156"/>
    </row>
    <row r="8201" spans="8:10">
      <c r="H8201" s="156"/>
      <c r="I8201" s="156"/>
      <c r="J8201" s="156"/>
    </row>
    <row r="8202" spans="8:10">
      <c r="H8202" s="156"/>
      <c r="I8202" s="156"/>
      <c r="J8202" s="156"/>
    </row>
    <row r="8203" spans="8:10">
      <c r="H8203" s="156"/>
      <c r="I8203" s="156"/>
      <c r="J8203" s="156"/>
    </row>
    <row r="8204" spans="8:10">
      <c r="H8204" s="156"/>
      <c r="I8204" s="156"/>
      <c r="J8204" s="156"/>
    </row>
    <row r="8205" spans="8:10">
      <c r="H8205" s="156"/>
      <c r="I8205" s="156"/>
      <c r="J8205" s="156"/>
    </row>
    <row r="8206" spans="8:10">
      <c r="H8206" s="156"/>
      <c r="I8206" s="156"/>
      <c r="J8206" s="156"/>
    </row>
    <row r="8207" spans="8:10">
      <c r="H8207" s="156"/>
      <c r="I8207" s="156"/>
      <c r="J8207" s="156"/>
    </row>
    <row r="8208" spans="8:10">
      <c r="H8208" s="156"/>
      <c r="I8208" s="156"/>
      <c r="J8208" s="156"/>
    </row>
    <row r="8209" spans="8:10">
      <c r="H8209" s="156"/>
      <c r="I8209" s="156"/>
      <c r="J8209" s="156"/>
    </row>
    <row r="8210" spans="8:10">
      <c r="H8210" s="156"/>
      <c r="I8210" s="156"/>
      <c r="J8210" s="156"/>
    </row>
    <row r="8211" spans="8:10">
      <c r="H8211" s="156"/>
      <c r="I8211" s="156"/>
      <c r="J8211" s="156"/>
    </row>
    <row r="8212" spans="8:10">
      <c r="H8212" s="156"/>
      <c r="I8212" s="156"/>
      <c r="J8212" s="156"/>
    </row>
    <row r="8213" spans="8:10">
      <c r="H8213" s="156"/>
      <c r="I8213" s="156"/>
      <c r="J8213" s="156"/>
    </row>
    <row r="8214" spans="8:10">
      <c r="H8214" s="156"/>
      <c r="I8214" s="156"/>
      <c r="J8214" s="156"/>
    </row>
    <row r="8215" spans="8:10">
      <c r="H8215" s="156"/>
      <c r="I8215" s="156"/>
      <c r="J8215" s="156"/>
    </row>
    <row r="8216" spans="8:10">
      <c r="H8216" s="156"/>
      <c r="I8216" s="156"/>
      <c r="J8216" s="156"/>
    </row>
    <row r="8217" spans="8:10">
      <c r="H8217" s="156"/>
      <c r="I8217" s="156"/>
      <c r="J8217" s="156"/>
    </row>
    <row r="8218" spans="8:10">
      <c r="H8218" s="156"/>
      <c r="I8218" s="156"/>
      <c r="J8218" s="156"/>
    </row>
    <row r="8219" spans="8:10">
      <c r="H8219" s="156"/>
      <c r="I8219" s="156"/>
      <c r="J8219" s="156"/>
    </row>
    <row r="8220" spans="8:10">
      <c r="H8220" s="156"/>
      <c r="I8220" s="156"/>
      <c r="J8220" s="156"/>
    </row>
    <row r="8221" spans="8:10">
      <c r="H8221" s="156"/>
      <c r="I8221" s="156"/>
      <c r="J8221" s="156"/>
    </row>
    <row r="8222" spans="8:10">
      <c r="H8222" s="156"/>
      <c r="I8222" s="156"/>
      <c r="J8222" s="156"/>
    </row>
    <row r="8223" spans="8:10">
      <c r="H8223" s="156"/>
      <c r="I8223" s="156"/>
      <c r="J8223" s="156"/>
    </row>
    <row r="8224" spans="8:10">
      <c r="H8224" s="156"/>
      <c r="I8224" s="156"/>
      <c r="J8224" s="156"/>
    </row>
    <row r="8225" spans="8:10">
      <c r="H8225" s="156"/>
      <c r="I8225" s="156"/>
      <c r="J8225" s="156"/>
    </row>
    <row r="8226" spans="8:10">
      <c r="H8226" s="156"/>
      <c r="I8226" s="156"/>
      <c r="J8226" s="156"/>
    </row>
    <row r="8227" spans="8:10">
      <c r="H8227" s="156"/>
      <c r="I8227" s="156"/>
      <c r="J8227" s="156"/>
    </row>
    <row r="8228" spans="8:10">
      <c r="H8228" s="156"/>
      <c r="I8228" s="156"/>
      <c r="J8228" s="156"/>
    </row>
    <row r="8229" spans="8:10">
      <c r="H8229" s="156"/>
      <c r="I8229" s="156"/>
      <c r="J8229" s="156"/>
    </row>
    <row r="8230" spans="8:10">
      <c r="H8230" s="156"/>
      <c r="I8230" s="156"/>
      <c r="J8230" s="156"/>
    </row>
    <row r="8231" spans="8:10">
      <c r="H8231" s="156"/>
      <c r="I8231" s="156"/>
      <c r="J8231" s="156"/>
    </row>
    <row r="8232" spans="8:10">
      <c r="H8232" s="156"/>
      <c r="I8232" s="156"/>
      <c r="J8232" s="156"/>
    </row>
    <row r="8233" spans="8:10">
      <c r="H8233" s="156"/>
      <c r="I8233" s="156"/>
      <c r="J8233" s="156"/>
    </row>
    <row r="8234" spans="8:10">
      <c r="H8234" s="156"/>
      <c r="I8234" s="156"/>
      <c r="J8234" s="156"/>
    </row>
    <row r="8235" spans="8:10">
      <c r="H8235" s="156"/>
      <c r="I8235" s="156"/>
      <c r="J8235" s="156"/>
    </row>
    <row r="8236" spans="8:10">
      <c r="H8236" s="156"/>
      <c r="I8236" s="156"/>
      <c r="J8236" s="156"/>
    </row>
    <row r="8237" spans="8:10">
      <c r="H8237" s="156"/>
      <c r="I8237" s="156"/>
      <c r="J8237" s="156"/>
    </row>
    <row r="8238" spans="8:10">
      <c r="H8238" s="156"/>
      <c r="I8238" s="156"/>
      <c r="J8238" s="156"/>
    </row>
    <row r="8239" spans="8:10">
      <c r="H8239" s="156"/>
      <c r="I8239" s="156"/>
      <c r="J8239" s="156"/>
    </row>
    <row r="8240" spans="8:10">
      <c r="H8240" s="156"/>
      <c r="I8240" s="156"/>
      <c r="J8240" s="156"/>
    </row>
    <row r="8241" spans="8:10">
      <c r="H8241" s="156"/>
      <c r="I8241" s="156"/>
      <c r="J8241" s="156"/>
    </row>
    <row r="8242" spans="8:10">
      <c r="H8242" s="156"/>
      <c r="I8242" s="156"/>
      <c r="J8242" s="156"/>
    </row>
    <row r="8243" spans="8:10">
      <c r="H8243" s="156"/>
      <c r="I8243" s="156"/>
      <c r="J8243" s="156"/>
    </row>
    <row r="8244" spans="8:10">
      <c r="H8244" s="156"/>
      <c r="I8244" s="156"/>
      <c r="J8244" s="156"/>
    </row>
    <row r="8245" spans="8:10">
      <c r="H8245" s="156"/>
      <c r="I8245" s="156"/>
      <c r="J8245" s="156"/>
    </row>
    <row r="8246" spans="8:10">
      <c r="H8246" s="156"/>
      <c r="I8246" s="156"/>
      <c r="J8246" s="156"/>
    </row>
    <row r="8247" spans="8:10">
      <c r="H8247" s="156"/>
      <c r="I8247" s="156"/>
      <c r="J8247" s="156"/>
    </row>
    <row r="8248" spans="8:10">
      <c r="H8248" s="156"/>
      <c r="I8248" s="156"/>
      <c r="J8248" s="156"/>
    </row>
    <row r="8249" spans="8:10">
      <c r="H8249" s="156"/>
      <c r="I8249" s="156"/>
      <c r="J8249" s="156"/>
    </row>
    <row r="8250" spans="8:10">
      <c r="H8250" s="156"/>
      <c r="I8250" s="156"/>
      <c r="J8250" s="156"/>
    </row>
    <row r="8251" spans="8:10">
      <c r="H8251" s="156"/>
      <c r="I8251" s="156"/>
      <c r="J8251" s="156"/>
    </row>
    <row r="8252" spans="8:10">
      <c r="H8252" s="156"/>
      <c r="I8252" s="156"/>
      <c r="J8252" s="156"/>
    </row>
    <row r="8253" spans="8:10">
      <c r="H8253" s="156"/>
      <c r="I8253" s="156"/>
      <c r="J8253" s="156"/>
    </row>
    <row r="8254" spans="8:10">
      <c r="H8254" s="156"/>
      <c r="I8254" s="156"/>
      <c r="J8254" s="156"/>
    </row>
    <row r="8255" spans="8:10">
      <c r="H8255" s="156"/>
      <c r="I8255" s="156"/>
      <c r="J8255" s="156"/>
    </row>
    <row r="8256" spans="8:10">
      <c r="H8256" s="156"/>
      <c r="I8256" s="156"/>
      <c r="J8256" s="156"/>
    </row>
    <row r="8257" spans="8:10">
      <c r="H8257" s="156"/>
      <c r="I8257" s="156"/>
      <c r="J8257" s="156"/>
    </row>
    <row r="8258" spans="8:10">
      <c r="H8258" s="156"/>
      <c r="I8258" s="156"/>
      <c r="J8258" s="156"/>
    </row>
    <row r="8259" spans="8:10">
      <c r="H8259" s="156"/>
      <c r="I8259" s="156"/>
      <c r="J8259" s="156"/>
    </row>
    <row r="8260" spans="8:10">
      <c r="H8260" s="156"/>
      <c r="I8260" s="156"/>
      <c r="J8260" s="156"/>
    </row>
    <row r="8261" spans="8:10">
      <c r="H8261" s="156"/>
      <c r="I8261" s="156"/>
      <c r="J8261" s="156"/>
    </row>
    <row r="8262" spans="8:10">
      <c r="H8262" s="156"/>
      <c r="I8262" s="156"/>
      <c r="J8262" s="156"/>
    </row>
    <row r="8263" spans="8:10">
      <c r="H8263" s="156"/>
      <c r="I8263" s="156"/>
      <c r="J8263" s="156"/>
    </row>
    <row r="8264" spans="8:10">
      <c r="H8264" s="156"/>
      <c r="I8264" s="156"/>
      <c r="J8264" s="156"/>
    </row>
    <row r="8265" spans="8:10">
      <c r="H8265" s="156"/>
      <c r="I8265" s="156"/>
      <c r="J8265" s="156"/>
    </row>
    <row r="8266" spans="8:10">
      <c r="H8266" s="156"/>
      <c r="I8266" s="156"/>
      <c r="J8266" s="156"/>
    </row>
    <row r="8267" spans="8:10">
      <c r="H8267" s="156"/>
      <c r="I8267" s="156"/>
      <c r="J8267" s="156"/>
    </row>
    <row r="8268" spans="8:10">
      <c r="H8268" s="156"/>
      <c r="I8268" s="156"/>
      <c r="J8268" s="156"/>
    </row>
    <row r="8269" spans="8:10">
      <c r="H8269" s="156"/>
      <c r="I8269" s="156"/>
      <c r="J8269" s="156"/>
    </row>
    <row r="8270" spans="8:10">
      <c r="H8270" s="156"/>
      <c r="I8270" s="156"/>
      <c r="J8270" s="156"/>
    </row>
    <row r="8271" spans="8:10">
      <c r="H8271" s="156"/>
      <c r="I8271" s="156"/>
      <c r="J8271" s="156"/>
    </row>
    <row r="8272" spans="8:10">
      <c r="H8272" s="156"/>
      <c r="I8272" s="156"/>
      <c r="J8272" s="156"/>
    </row>
    <row r="8273" spans="8:10">
      <c r="H8273" s="156"/>
      <c r="I8273" s="156"/>
      <c r="J8273" s="156"/>
    </row>
    <row r="8274" spans="8:10">
      <c r="H8274" s="156"/>
      <c r="I8274" s="156"/>
      <c r="J8274" s="156"/>
    </row>
    <row r="8275" spans="8:10">
      <c r="H8275" s="156"/>
      <c r="I8275" s="156"/>
      <c r="J8275" s="156"/>
    </row>
    <row r="8276" spans="8:10">
      <c r="H8276" s="156"/>
      <c r="I8276" s="156"/>
      <c r="J8276" s="156"/>
    </row>
    <row r="8277" spans="8:10">
      <c r="H8277" s="156"/>
      <c r="I8277" s="156"/>
      <c r="J8277" s="156"/>
    </row>
    <row r="8278" spans="8:10">
      <c r="H8278" s="156"/>
      <c r="I8278" s="156"/>
      <c r="J8278" s="156"/>
    </row>
    <row r="8279" spans="8:10">
      <c r="H8279" s="156"/>
      <c r="I8279" s="156"/>
      <c r="J8279" s="156"/>
    </row>
    <row r="8280" spans="8:10">
      <c r="H8280" s="156"/>
      <c r="I8280" s="156"/>
      <c r="J8280" s="156"/>
    </row>
    <row r="8281" spans="8:10">
      <c r="H8281" s="156"/>
      <c r="I8281" s="156"/>
      <c r="J8281" s="156"/>
    </row>
    <row r="8282" spans="8:10">
      <c r="H8282" s="156"/>
      <c r="I8282" s="156"/>
      <c r="J8282" s="156"/>
    </row>
    <row r="8283" spans="8:10">
      <c r="H8283" s="156"/>
      <c r="I8283" s="156"/>
      <c r="J8283" s="156"/>
    </row>
    <row r="8284" spans="8:10">
      <c r="H8284" s="156"/>
      <c r="I8284" s="156"/>
      <c r="J8284" s="156"/>
    </row>
    <row r="8285" spans="8:10">
      <c r="H8285" s="156"/>
      <c r="I8285" s="156"/>
      <c r="J8285" s="156"/>
    </row>
    <row r="8286" spans="8:10">
      <c r="H8286" s="156"/>
      <c r="I8286" s="156"/>
      <c r="J8286" s="156"/>
    </row>
    <row r="8287" spans="8:10">
      <c r="H8287" s="156"/>
      <c r="I8287" s="156"/>
      <c r="J8287" s="156"/>
    </row>
    <row r="8288" spans="8:10">
      <c r="H8288" s="156"/>
      <c r="I8288" s="156"/>
      <c r="J8288" s="156"/>
    </row>
    <row r="8289" spans="8:10">
      <c r="H8289" s="156"/>
      <c r="I8289" s="156"/>
      <c r="J8289" s="156"/>
    </row>
    <row r="8290" spans="8:10">
      <c r="H8290" s="156"/>
      <c r="I8290" s="156"/>
      <c r="J8290" s="156"/>
    </row>
    <row r="8291" spans="8:10">
      <c r="H8291" s="156"/>
      <c r="I8291" s="156"/>
      <c r="J8291" s="156"/>
    </row>
    <row r="8292" spans="8:10">
      <c r="H8292" s="156"/>
      <c r="I8292" s="156"/>
      <c r="J8292" s="156"/>
    </row>
    <row r="8293" spans="8:10">
      <c r="H8293" s="156"/>
      <c r="I8293" s="156"/>
      <c r="J8293" s="156"/>
    </row>
    <row r="8294" spans="8:10">
      <c r="H8294" s="156"/>
      <c r="I8294" s="156"/>
      <c r="J8294" s="156"/>
    </row>
    <row r="8295" spans="8:10">
      <c r="H8295" s="156"/>
      <c r="I8295" s="156"/>
      <c r="J8295" s="156"/>
    </row>
    <row r="8296" spans="8:10">
      <c r="H8296" s="156"/>
      <c r="I8296" s="156"/>
      <c r="J8296" s="156"/>
    </row>
    <row r="8297" spans="8:10">
      <c r="H8297" s="156"/>
      <c r="I8297" s="156"/>
      <c r="J8297" s="156"/>
    </row>
    <row r="8298" spans="8:10">
      <c r="H8298" s="156"/>
      <c r="I8298" s="156"/>
      <c r="J8298" s="156"/>
    </row>
    <row r="8299" spans="8:10">
      <c r="H8299" s="156"/>
      <c r="I8299" s="156"/>
      <c r="J8299" s="156"/>
    </row>
    <row r="8300" spans="8:10">
      <c r="H8300" s="156"/>
      <c r="I8300" s="156"/>
      <c r="J8300" s="156"/>
    </row>
    <row r="8301" spans="8:10">
      <c r="H8301" s="156"/>
      <c r="I8301" s="156"/>
      <c r="J8301" s="156"/>
    </row>
    <row r="8302" spans="8:10">
      <c r="H8302" s="156"/>
      <c r="I8302" s="156"/>
      <c r="J8302" s="156"/>
    </row>
    <row r="8303" spans="8:10">
      <c r="H8303" s="156"/>
      <c r="I8303" s="156"/>
      <c r="J8303" s="156"/>
    </row>
    <row r="8304" spans="8:10">
      <c r="H8304" s="156"/>
      <c r="I8304" s="156"/>
      <c r="J8304" s="156"/>
    </row>
    <row r="8305" spans="8:10">
      <c r="H8305" s="156"/>
      <c r="I8305" s="156"/>
      <c r="J8305" s="156"/>
    </row>
    <row r="8306" spans="8:10">
      <c r="H8306" s="156"/>
      <c r="I8306" s="156"/>
      <c r="J8306" s="156"/>
    </row>
    <row r="8307" spans="8:10">
      <c r="H8307" s="156"/>
      <c r="I8307" s="156"/>
      <c r="J8307" s="156"/>
    </row>
    <row r="8308" spans="8:10">
      <c r="H8308" s="156"/>
      <c r="I8308" s="156"/>
      <c r="J8308" s="156"/>
    </row>
    <row r="8309" spans="8:10">
      <c r="H8309" s="156"/>
      <c r="I8309" s="156"/>
      <c r="J8309" s="156"/>
    </row>
    <row r="8310" spans="8:10">
      <c r="H8310" s="156"/>
      <c r="I8310" s="156"/>
      <c r="J8310" s="156"/>
    </row>
    <row r="8311" spans="8:10">
      <c r="H8311" s="156"/>
      <c r="I8311" s="156"/>
      <c r="J8311" s="156"/>
    </row>
    <row r="8312" spans="8:10">
      <c r="H8312" s="156"/>
      <c r="I8312" s="156"/>
      <c r="J8312" s="156"/>
    </row>
    <row r="8313" spans="8:10">
      <c r="H8313" s="156"/>
      <c r="I8313" s="156"/>
      <c r="J8313" s="156"/>
    </row>
    <row r="8314" spans="8:10">
      <c r="H8314" s="156"/>
      <c r="I8314" s="156"/>
      <c r="J8314" s="156"/>
    </row>
    <row r="8315" spans="8:10">
      <c r="H8315" s="156"/>
      <c r="I8315" s="156"/>
      <c r="J8315" s="156"/>
    </row>
    <row r="8316" spans="8:10">
      <c r="H8316" s="156"/>
      <c r="I8316" s="156"/>
      <c r="J8316" s="156"/>
    </row>
    <row r="8317" spans="8:10">
      <c r="H8317" s="156"/>
      <c r="I8317" s="156"/>
      <c r="J8317" s="156"/>
    </row>
    <row r="8318" spans="8:10">
      <c r="H8318" s="156"/>
      <c r="I8318" s="156"/>
      <c r="J8318" s="156"/>
    </row>
    <row r="8319" spans="8:10">
      <c r="H8319" s="156"/>
      <c r="I8319" s="156"/>
      <c r="J8319" s="156"/>
    </row>
    <row r="8320" spans="8:10">
      <c r="H8320" s="156"/>
      <c r="I8320" s="156"/>
      <c r="J8320" s="156"/>
    </row>
    <row r="8321" spans="8:10">
      <c r="H8321" s="156"/>
      <c r="I8321" s="156"/>
      <c r="J8321" s="156"/>
    </row>
    <row r="8322" spans="8:10">
      <c r="H8322" s="156"/>
      <c r="I8322" s="156"/>
      <c r="J8322" s="156"/>
    </row>
    <row r="8323" spans="8:10">
      <c r="H8323" s="156"/>
      <c r="I8323" s="156"/>
      <c r="J8323" s="156"/>
    </row>
    <row r="8324" spans="8:10">
      <c r="H8324" s="156"/>
      <c r="I8324" s="156"/>
      <c r="J8324" s="156"/>
    </row>
    <row r="8325" spans="8:10">
      <c r="H8325" s="156"/>
      <c r="I8325" s="156"/>
      <c r="J8325" s="156"/>
    </row>
    <row r="8326" spans="8:10">
      <c r="H8326" s="156"/>
      <c r="I8326" s="156"/>
      <c r="J8326" s="156"/>
    </row>
    <row r="8327" spans="8:10">
      <c r="H8327" s="156"/>
      <c r="I8327" s="156"/>
      <c r="J8327" s="156"/>
    </row>
    <row r="8328" spans="8:10">
      <c r="H8328" s="156"/>
      <c r="I8328" s="156"/>
      <c r="J8328" s="156"/>
    </row>
    <row r="8329" spans="8:10">
      <c r="H8329" s="156"/>
      <c r="I8329" s="156"/>
      <c r="J8329" s="156"/>
    </row>
    <row r="8330" spans="8:10">
      <c r="H8330" s="156"/>
      <c r="I8330" s="156"/>
      <c r="J8330" s="156"/>
    </row>
    <row r="8331" spans="8:10">
      <c r="H8331" s="156"/>
      <c r="I8331" s="156"/>
      <c r="J8331" s="156"/>
    </row>
    <row r="8332" spans="8:10">
      <c r="H8332" s="156"/>
      <c r="I8332" s="156"/>
      <c r="J8332" s="156"/>
    </row>
    <row r="8333" spans="8:10">
      <c r="H8333" s="156"/>
      <c r="I8333" s="156"/>
      <c r="J8333" s="156"/>
    </row>
    <row r="8334" spans="8:10">
      <c r="H8334" s="156"/>
      <c r="I8334" s="156"/>
      <c r="J8334" s="156"/>
    </row>
    <row r="8335" spans="8:10">
      <c r="H8335" s="156"/>
      <c r="I8335" s="156"/>
      <c r="J8335" s="156"/>
    </row>
    <row r="8336" spans="8:10">
      <c r="H8336" s="156"/>
      <c r="I8336" s="156"/>
      <c r="J8336" s="156"/>
    </row>
    <row r="8337" spans="8:10">
      <c r="H8337" s="156"/>
      <c r="I8337" s="156"/>
      <c r="J8337" s="156"/>
    </row>
    <row r="8338" spans="8:10">
      <c r="H8338" s="156"/>
      <c r="I8338" s="156"/>
      <c r="J8338" s="156"/>
    </row>
    <row r="8339" spans="8:10">
      <c r="H8339" s="156"/>
      <c r="I8339" s="156"/>
      <c r="J8339" s="156"/>
    </row>
    <row r="8340" spans="8:10">
      <c r="H8340" s="156"/>
      <c r="I8340" s="156"/>
      <c r="J8340" s="156"/>
    </row>
    <row r="8341" spans="8:10">
      <c r="H8341" s="156"/>
      <c r="I8341" s="156"/>
      <c r="J8341" s="156"/>
    </row>
    <row r="8342" spans="8:10">
      <c r="H8342" s="156"/>
      <c r="I8342" s="156"/>
      <c r="J8342" s="156"/>
    </row>
    <row r="8343" spans="8:10">
      <c r="H8343" s="156"/>
      <c r="I8343" s="156"/>
      <c r="J8343" s="156"/>
    </row>
    <row r="8344" spans="8:10">
      <c r="H8344" s="156"/>
      <c r="I8344" s="156"/>
      <c r="J8344" s="156"/>
    </row>
    <row r="8345" spans="8:10">
      <c r="H8345" s="156"/>
      <c r="I8345" s="156"/>
      <c r="J8345" s="156"/>
    </row>
    <row r="8346" spans="8:10">
      <c r="H8346" s="156"/>
      <c r="I8346" s="156"/>
      <c r="J8346" s="156"/>
    </row>
    <row r="8347" spans="8:10">
      <c r="H8347" s="156"/>
      <c r="I8347" s="156"/>
      <c r="J8347" s="156"/>
    </row>
    <row r="8348" spans="8:10">
      <c r="H8348" s="156"/>
      <c r="I8348" s="156"/>
      <c r="J8348" s="156"/>
    </row>
    <row r="8349" spans="8:10">
      <c r="H8349" s="156"/>
      <c r="I8349" s="156"/>
      <c r="J8349" s="156"/>
    </row>
    <row r="8350" spans="8:10">
      <c r="H8350" s="156"/>
      <c r="I8350" s="156"/>
      <c r="J8350" s="156"/>
    </row>
    <row r="8351" spans="8:10">
      <c r="H8351" s="156"/>
      <c r="I8351" s="156"/>
      <c r="J8351" s="156"/>
    </row>
    <row r="8352" spans="8:10">
      <c r="H8352" s="156"/>
      <c r="I8352" s="156"/>
      <c r="J8352" s="156"/>
    </row>
    <row r="8353" spans="8:10">
      <c r="H8353" s="156"/>
      <c r="I8353" s="156"/>
      <c r="J8353" s="156"/>
    </row>
    <row r="8354" spans="8:10">
      <c r="H8354" s="156"/>
      <c r="I8354" s="156"/>
      <c r="J8354" s="156"/>
    </row>
    <row r="8355" spans="8:10">
      <c r="H8355" s="156"/>
      <c r="I8355" s="156"/>
      <c r="J8355" s="156"/>
    </row>
    <row r="8356" spans="8:10">
      <c r="H8356" s="156"/>
      <c r="I8356" s="156"/>
      <c r="J8356" s="156"/>
    </row>
    <row r="8357" spans="8:10">
      <c r="H8357" s="156"/>
      <c r="I8357" s="156"/>
      <c r="J8357" s="156"/>
    </row>
    <row r="8358" spans="8:10">
      <c r="H8358" s="156"/>
      <c r="I8358" s="156"/>
      <c r="J8358" s="156"/>
    </row>
    <row r="8359" spans="8:10">
      <c r="H8359" s="156"/>
      <c r="I8359" s="156"/>
      <c r="J8359" s="156"/>
    </row>
    <row r="8360" spans="8:10">
      <c r="H8360" s="156"/>
      <c r="I8360" s="156"/>
      <c r="J8360" s="156"/>
    </row>
    <row r="8361" spans="8:10">
      <c r="H8361" s="156"/>
      <c r="I8361" s="156"/>
      <c r="J8361" s="156"/>
    </row>
    <row r="8362" spans="8:10">
      <c r="H8362" s="156"/>
      <c r="I8362" s="156"/>
      <c r="J8362" s="156"/>
    </row>
    <row r="8363" spans="8:10">
      <c r="H8363" s="156"/>
      <c r="I8363" s="156"/>
      <c r="J8363" s="156"/>
    </row>
    <row r="8364" spans="8:10">
      <c r="H8364" s="156"/>
      <c r="I8364" s="156"/>
      <c r="J8364" s="156"/>
    </row>
    <row r="8365" spans="8:10">
      <c r="H8365" s="156"/>
      <c r="I8365" s="156"/>
      <c r="J8365" s="156"/>
    </row>
    <row r="8366" spans="8:10">
      <c r="H8366" s="156"/>
      <c r="I8366" s="156"/>
      <c r="J8366" s="156"/>
    </row>
    <row r="8367" spans="8:10">
      <c r="H8367" s="156"/>
      <c r="I8367" s="156"/>
      <c r="J8367" s="156"/>
    </row>
    <row r="8368" spans="8:10">
      <c r="H8368" s="156"/>
      <c r="I8368" s="156"/>
      <c r="J8368" s="156"/>
    </row>
    <row r="8369" spans="8:10">
      <c r="H8369" s="156"/>
      <c r="I8369" s="156"/>
      <c r="J8369" s="156"/>
    </row>
    <row r="8370" spans="8:10">
      <c r="H8370" s="156"/>
      <c r="I8370" s="156"/>
      <c r="J8370" s="156"/>
    </row>
    <row r="8371" spans="8:10">
      <c r="H8371" s="156"/>
      <c r="I8371" s="156"/>
      <c r="J8371" s="156"/>
    </row>
    <row r="8372" spans="8:10">
      <c r="H8372" s="156"/>
      <c r="I8372" s="156"/>
      <c r="J8372" s="156"/>
    </row>
    <row r="8373" spans="8:10">
      <c r="H8373" s="156"/>
      <c r="I8373" s="156"/>
      <c r="J8373" s="156"/>
    </row>
    <row r="8374" spans="8:10">
      <c r="H8374" s="156"/>
      <c r="I8374" s="156"/>
      <c r="J8374" s="156"/>
    </row>
    <row r="8375" spans="8:10">
      <c r="H8375" s="156"/>
      <c r="I8375" s="156"/>
      <c r="J8375" s="156"/>
    </row>
    <row r="8376" spans="8:10">
      <c r="H8376" s="156"/>
      <c r="I8376" s="156"/>
      <c r="J8376" s="156"/>
    </row>
    <row r="8377" spans="8:10">
      <c r="H8377" s="156"/>
      <c r="I8377" s="156"/>
      <c r="J8377" s="156"/>
    </row>
    <row r="8378" spans="8:10">
      <c r="H8378" s="156"/>
      <c r="I8378" s="156"/>
      <c r="J8378" s="156"/>
    </row>
    <row r="8379" spans="8:10">
      <c r="H8379" s="156"/>
      <c r="I8379" s="156"/>
      <c r="J8379" s="156"/>
    </row>
    <row r="8380" spans="8:10">
      <c r="H8380" s="156"/>
      <c r="I8380" s="156"/>
      <c r="J8380" s="156"/>
    </row>
    <row r="8381" spans="8:10">
      <c r="H8381" s="156"/>
      <c r="I8381" s="156"/>
      <c r="J8381" s="156"/>
    </row>
    <row r="8382" spans="8:10">
      <c r="H8382" s="156"/>
      <c r="I8382" s="156"/>
      <c r="J8382" s="156"/>
    </row>
    <row r="8383" spans="8:10">
      <c r="H8383" s="156"/>
      <c r="I8383" s="156"/>
      <c r="J8383" s="156"/>
    </row>
    <row r="8384" spans="8:10">
      <c r="H8384" s="156"/>
      <c r="I8384" s="156"/>
      <c r="J8384" s="156"/>
    </row>
    <row r="8385" spans="8:10">
      <c r="H8385" s="156"/>
      <c r="I8385" s="156"/>
      <c r="J8385" s="156"/>
    </row>
    <row r="8386" spans="8:10">
      <c r="H8386" s="156"/>
      <c r="I8386" s="156"/>
      <c r="J8386" s="156"/>
    </row>
    <row r="8387" spans="8:10">
      <c r="H8387" s="156"/>
      <c r="I8387" s="156"/>
      <c r="J8387" s="156"/>
    </row>
    <row r="8388" spans="8:10">
      <c r="H8388" s="156"/>
      <c r="I8388" s="156"/>
      <c r="J8388" s="156"/>
    </row>
    <row r="8389" spans="8:10">
      <c r="H8389" s="156"/>
      <c r="I8389" s="156"/>
      <c r="J8389" s="156"/>
    </row>
    <row r="8390" spans="8:10">
      <c r="H8390" s="156"/>
      <c r="I8390" s="156"/>
      <c r="J8390" s="156"/>
    </row>
    <row r="8391" spans="8:10">
      <c r="H8391" s="156"/>
      <c r="I8391" s="156"/>
      <c r="J8391" s="156"/>
    </row>
    <row r="8392" spans="8:10">
      <c r="H8392" s="156"/>
      <c r="I8392" s="156"/>
      <c r="J8392" s="156"/>
    </row>
    <row r="8393" spans="8:10">
      <c r="H8393" s="156"/>
      <c r="I8393" s="156"/>
      <c r="J8393" s="156"/>
    </row>
    <row r="8394" spans="8:10">
      <c r="H8394" s="156"/>
      <c r="I8394" s="156"/>
      <c r="J8394" s="156"/>
    </row>
    <row r="8395" spans="8:10">
      <c r="H8395" s="156"/>
      <c r="I8395" s="156"/>
      <c r="J8395" s="156"/>
    </row>
    <row r="8396" spans="8:10">
      <c r="H8396" s="156"/>
      <c r="I8396" s="156"/>
      <c r="J8396" s="156"/>
    </row>
    <row r="8397" spans="8:10">
      <c r="H8397" s="156"/>
      <c r="I8397" s="156"/>
      <c r="J8397" s="156"/>
    </row>
    <row r="8398" spans="8:10">
      <c r="H8398" s="156"/>
      <c r="I8398" s="156"/>
      <c r="J8398" s="156"/>
    </row>
    <row r="8399" spans="8:10">
      <c r="H8399" s="156"/>
      <c r="I8399" s="156"/>
      <c r="J8399" s="156"/>
    </row>
    <row r="8400" spans="8:10">
      <c r="H8400" s="156"/>
      <c r="I8400" s="156"/>
      <c r="J8400" s="156"/>
    </row>
    <row r="8401" spans="8:10">
      <c r="H8401" s="156"/>
      <c r="I8401" s="156"/>
      <c r="J8401" s="156"/>
    </row>
    <row r="8402" spans="8:10">
      <c r="H8402" s="156"/>
      <c r="I8402" s="156"/>
      <c r="J8402" s="156"/>
    </row>
    <row r="8403" spans="8:10">
      <c r="H8403" s="156"/>
      <c r="I8403" s="156"/>
      <c r="J8403" s="156"/>
    </row>
    <row r="8404" spans="8:10">
      <c r="H8404" s="156"/>
      <c r="I8404" s="156"/>
      <c r="J8404" s="156"/>
    </row>
    <row r="8405" spans="8:10">
      <c r="H8405" s="156"/>
      <c r="I8405" s="156"/>
      <c r="J8405" s="156"/>
    </row>
    <row r="8406" spans="8:10">
      <c r="H8406" s="156"/>
      <c r="I8406" s="156"/>
      <c r="J8406" s="156"/>
    </row>
    <row r="8407" spans="8:10">
      <c r="H8407" s="156"/>
      <c r="I8407" s="156"/>
      <c r="J8407" s="156"/>
    </row>
    <row r="8408" spans="8:10">
      <c r="H8408" s="156"/>
      <c r="I8408" s="156"/>
      <c r="J8408" s="156"/>
    </row>
    <row r="8409" spans="8:10">
      <c r="H8409" s="156"/>
      <c r="I8409" s="156"/>
      <c r="J8409" s="156"/>
    </row>
    <row r="8410" spans="8:10">
      <c r="H8410" s="156"/>
      <c r="I8410" s="156"/>
      <c r="J8410" s="156"/>
    </row>
    <row r="8411" spans="8:10">
      <c r="H8411" s="156"/>
      <c r="I8411" s="156"/>
      <c r="J8411" s="156"/>
    </row>
    <row r="8412" spans="8:10">
      <c r="H8412" s="156"/>
      <c r="I8412" s="156"/>
      <c r="J8412" s="156"/>
    </row>
    <row r="8413" spans="8:10">
      <c r="H8413" s="156"/>
      <c r="I8413" s="156"/>
      <c r="J8413" s="156"/>
    </row>
    <row r="8414" spans="8:10">
      <c r="H8414" s="156"/>
      <c r="I8414" s="156"/>
      <c r="J8414" s="156"/>
    </row>
    <row r="8415" spans="8:10">
      <c r="H8415" s="156"/>
      <c r="I8415" s="156"/>
      <c r="J8415" s="156"/>
    </row>
    <row r="8416" spans="8:10">
      <c r="H8416" s="156"/>
      <c r="I8416" s="156"/>
      <c r="J8416" s="156"/>
    </row>
    <row r="8417" spans="8:10">
      <c r="H8417" s="156"/>
      <c r="I8417" s="156"/>
      <c r="J8417" s="156"/>
    </row>
    <row r="8418" spans="8:10">
      <c r="H8418" s="156"/>
      <c r="I8418" s="156"/>
      <c r="J8418" s="156"/>
    </row>
    <row r="8419" spans="8:10">
      <c r="H8419" s="156"/>
      <c r="I8419" s="156"/>
      <c r="J8419" s="156"/>
    </row>
    <row r="8420" spans="8:10">
      <c r="H8420" s="156"/>
      <c r="I8420" s="156"/>
      <c r="J8420" s="156"/>
    </row>
    <row r="8421" spans="8:10">
      <c r="H8421" s="156"/>
      <c r="I8421" s="156"/>
      <c r="J8421" s="156"/>
    </row>
    <row r="8422" spans="8:10">
      <c r="H8422" s="156"/>
      <c r="I8422" s="156"/>
      <c r="J8422" s="156"/>
    </row>
    <row r="8423" spans="8:10">
      <c r="H8423" s="156"/>
      <c r="I8423" s="156"/>
      <c r="J8423" s="156"/>
    </row>
    <row r="8424" spans="8:10">
      <c r="H8424" s="156"/>
      <c r="I8424" s="156"/>
      <c r="J8424" s="156"/>
    </row>
    <row r="8425" spans="8:10">
      <c r="H8425" s="156"/>
      <c r="I8425" s="156"/>
      <c r="J8425" s="156"/>
    </row>
    <row r="8426" spans="8:10">
      <c r="H8426" s="156"/>
      <c r="I8426" s="156"/>
      <c r="J8426" s="156"/>
    </row>
    <row r="8427" spans="8:10">
      <c r="H8427" s="156"/>
      <c r="I8427" s="156"/>
      <c r="J8427" s="156"/>
    </row>
    <row r="8428" spans="8:10">
      <c r="H8428" s="156"/>
      <c r="I8428" s="156"/>
      <c r="J8428" s="156"/>
    </row>
    <row r="8429" spans="8:10">
      <c r="H8429" s="156"/>
      <c r="I8429" s="156"/>
      <c r="J8429" s="156"/>
    </row>
    <row r="8430" spans="8:10">
      <c r="H8430" s="156"/>
      <c r="I8430" s="156"/>
      <c r="J8430" s="156"/>
    </row>
    <row r="8431" spans="8:10">
      <c r="H8431" s="156"/>
      <c r="I8431" s="156"/>
      <c r="J8431" s="156"/>
    </row>
    <row r="8432" spans="8:10">
      <c r="H8432" s="156"/>
      <c r="I8432" s="156"/>
      <c r="J8432" s="156"/>
    </row>
    <row r="8433" spans="8:10">
      <c r="H8433" s="156"/>
      <c r="I8433" s="156"/>
      <c r="J8433" s="156"/>
    </row>
    <row r="8434" spans="8:10">
      <c r="H8434" s="156"/>
      <c r="I8434" s="156"/>
      <c r="J8434" s="156"/>
    </row>
    <row r="8435" spans="8:10">
      <c r="H8435" s="156"/>
      <c r="I8435" s="156"/>
      <c r="J8435" s="156"/>
    </row>
    <row r="8436" spans="8:10">
      <c r="H8436" s="156"/>
      <c r="I8436" s="156"/>
      <c r="J8436" s="156"/>
    </row>
    <row r="8437" spans="8:10">
      <c r="H8437" s="156"/>
      <c r="I8437" s="156"/>
      <c r="J8437" s="156"/>
    </row>
    <row r="8438" spans="8:10">
      <c r="H8438" s="156"/>
      <c r="I8438" s="156"/>
      <c r="J8438" s="156"/>
    </row>
    <row r="8439" spans="8:10">
      <c r="H8439" s="156"/>
      <c r="I8439" s="156"/>
      <c r="J8439" s="156"/>
    </row>
    <row r="8440" spans="8:10">
      <c r="H8440" s="156"/>
      <c r="I8440" s="156"/>
      <c r="J8440" s="156"/>
    </row>
    <row r="8441" spans="8:10">
      <c r="H8441" s="156"/>
      <c r="I8441" s="156"/>
      <c r="J8441" s="156"/>
    </row>
    <row r="8442" spans="8:10">
      <c r="H8442" s="156"/>
      <c r="I8442" s="156"/>
      <c r="J8442" s="156"/>
    </row>
    <row r="8443" spans="8:10">
      <c r="H8443" s="156"/>
      <c r="I8443" s="156"/>
      <c r="J8443" s="156"/>
    </row>
    <row r="8444" spans="8:10">
      <c r="H8444" s="156"/>
      <c r="I8444" s="156"/>
      <c r="J8444" s="156"/>
    </row>
    <row r="8445" spans="8:10">
      <c r="H8445" s="156"/>
      <c r="I8445" s="156"/>
      <c r="J8445" s="156"/>
    </row>
    <row r="8446" spans="8:10">
      <c r="H8446" s="156"/>
      <c r="I8446" s="156"/>
      <c r="J8446" s="156"/>
    </row>
    <row r="8447" spans="8:10">
      <c r="H8447" s="156"/>
      <c r="I8447" s="156"/>
      <c r="J8447" s="156"/>
    </row>
    <row r="8448" spans="8:10">
      <c r="H8448" s="156"/>
      <c r="I8448" s="156"/>
      <c r="J8448" s="156"/>
    </row>
    <row r="8449" spans="8:10">
      <c r="H8449" s="156"/>
      <c r="I8449" s="156"/>
      <c r="J8449" s="156"/>
    </row>
    <row r="8450" spans="8:10">
      <c r="H8450" s="156"/>
      <c r="I8450" s="156"/>
      <c r="J8450" s="156"/>
    </row>
    <row r="8451" spans="8:10">
      <c r="H8451" s="156"/>
      <c r="I8451" s="156"/>
      <c r="J8451" s="156"/>
    </row>
    <row r="8452" spans="8:10">
      <c r="H8452" s="156"/>
      <c r="I8452" s="156"/>
      <c r="J8452" s="156"/>
    </row>
    <row r="8453" spans="8:10">
      <c r="H8453" s="156"/>
      <c r="I8453" s="156"/>
      <c r="J8453" s="156"/>
    </row>
    <row r="8454" spans="8:10">
      <c r="H8454" s="156"/>
      <c r="I8454" s="156"/>
      <c r="J8454" s="156"/>
    </row>
    <row r="8455" spans="8:10">
      <c r="H8455" s="156"/>
      <c r="I8455" s="156"/>
      <c r="J8455" s="156"/>
    </row>
    <row r="8456" spans="8:10">
      <c r="H8456" s="156"/>
      <c r="I8456" s="156"/>
      <c r="J8456" s="156"/>
    </row>
    <row r="8457" spans="8:10">
      <c r="H8457" s="156"/>
      <c r="I8457" s="156"/>
      <c r="J8457" s="156"/>
    </row>
    <row r="8458" spans="8:10">
      <c r="H8458" s="156"/>
      <c r="I8458" s="156"/>
      <c r="J8458" s="156"/>
    </row>
    <row r="8459" spans="8:10">
      <c r="H8459" s="156"/>
      <c r="I8459" s="156"/>
      <c r="J8459" s="156"/>
    </row>
    <row r="8460" spans="8:10">
      <c r="H8460" s="156"/>
      <c r="I8460" s="156"/>
      <c r="J8460" s="156"/>
    </row>
    <row r="8461" spans="8:10">
      <c r="H8461" s="156"/>
      <c r="I8461" s="156"/>
      <c r="J8461" s="156"/>
    </row>
    <row r="8462" spans="8:10">
      <c r="H8462" s="156"/>
      <c r="I8462" s="156"/>
      <c r="J8462" s="156"/>
    </row>
    <row r="8463" spans="8:10">
      <c r="H8463" s="156"/>
      <c r="I8463" s="156"/>
      <c r="J8463" s="156"/>
    </row>
    <row r="8464" spans="8:10">
      <c r="H8464" s="156"/>
      <c r="I8464" s="156"/>
      <c r="J8464" s="156"/>
    </row>
    <row r="8465" spans="8:10">
      <c r="H8465" s="156"/>
      <c r="I8465" s="156"/>
      <c r="J8465" s="156"/>
    </row>
    <row r="8466" spans="8:10">
      <c r="H8466" s="156"/>
      <c r="I8466" s="156"/>
      <c r="J8466" s="156"/>
    </row>
    <row r="8467" spans="8:10">
      <c r="H8467" s="156"/>
      <c r="I8467" s="156"/>
      <c r="J8467" s="156"/>
    </row>
    <row r="8468" spans="8:10">
      <c r="H8468" s="156"/>
      <c r="I8468" s="156"/>
      <c r="J8468" s="156"/>
    </row>
    <row r="8469" spans="8:10">
      <c r="H8469" s="156"/>
      <c r="I8469" s="156"/>
      <c r="J8469" s="156"/>
    </row>
    <row r="8470" spans="8:10">
      <c r="H8470" s="156"/>
      <c r="I8470" s="156"/>
      <c r="J8470" s="156"/>
    </row>
    <row r="8471" spans="8:10">
      <c r="H8471" s="156"/>
      <c r="I8471" s="156"/>
      <c r="J8471" s="156"/>
    </row>
    <row r="8472" spans="8:10">
      <c r="H8472" s="156"/>
      <c r="I8472" s="156"/>
      <c r="J8472" s="156"/>
    </row>
    <row r="8473" spans="8:10">
      <c r="H8473" s="156"/>
      <c r="I8473" s="156"/>
      <c r="J8473" s="156"/>
    </row>
    <row r="8474" spans="8:10">
      <c r="H8474" s="156"/>
      <c r="I8474" s="156"/>
      <c r="J8474" s="156"/>
    </row>
    <row r="8475" spans="8:10">
      <c r="H8475" s="156"/>
      <c r="I8475" s="156"/>
      <c r="J8475" s="156"/>
    </row>
    <row r="8476" spans="8:10">
      <c r="H8476" s="156"/>
      <c r="I8476" s="156"/>
      <c r="J8476" s="156"/>
    </row>
    <row r="8477" spans="8:10">
      <c r="H8477" s="156"/>
      <c r="I8477" s="156"/>
      <c r="J8477" s="156"/>
    </row>
    <row r="8478" spans="8:10">
      <c r="H8478" s="156"/>
      <c r="I8478" s="156"/>
      <c r="J8478" s="156"/>
    </row>
    <row r="8479" spans="8:10">
      <c r="H8479" s="156"/>
      <c r="I8479" s="156"/>
      <c r="J8479" s="156"/>
    </row>
    <row r="8480" spans="8:10">
      <c r="H8480" s="156"/>
      <c r="I8480" s="156"/>
      <c r="J8480" s="156"/>
    </row>
    <row r="8481" spans="8:10">
      <c r="H8481" s="156"/>
      <c r="I8481" s="156"/>
      <c r="J8481" s="156"/>
    </row>
    <row r="8482" spans="8:10">
      <c r="H8482" s="156"/>
      <c r="I8482" s="156"/>
      <c r="J8482" s="156"/>
    </row>
    <row r="8483" spans="8:10">
      <c r="H8483" s="156"/>
      <c r="I8483" s="156"/>
      <c r="J8483" s="156"/>
    </row>
    <row r="8484" spans="8:10">
      <c r="H8484" s="156"/>
      <c r="I8484" s="156"/>
      <c r="J8484" s="156"/>
    </row>
    <row r="8485" spans="8:10">
      <c r="H8485" s="156"/>
      <c r="I8485" s="156"/>
      <c r="J8485" s="156"/>
    </row>
    <row r="8486" spans="8:10">
      <c r="H8486" s="156"/>
      <c r="I8486" s="156"/>
      <c r="J8486" s="156"/>
    </row>
    <row r="8487" spans="8:10">
      <c r="H8487" s="156"/>
      <c r="I8487" s="156"/>
      <c r="J8487" s="156"/>
    </row>
    <row r="8488" spans="8:10">
      <c r="H8488" s="156"/>
      <c r="I8488" s="156"/>
      <c r="J8488" s="156"/>
    </row>
    <row r="8489" spans="8:10">
      <c r="H8489" s="156"/>
      <c r="I8489" s="156"/>
      <c r="J8489" s="156"/>
    </row>
    <row r="8490" spans="8:10">
      <c r="H8490" s="156"/>
      <c r="I8490" s="156"/>
      <c r="J8490" s="156"/>
    </row>
    <row r="8491" spans="8:10">
      <c r="H8491" s="156"/>
      <c r="I8491" s="156"/>
      <c r="J8491" s="156"/>
    </row>
    <row r="8492" spans="8:10">
      <c r="H8492" s="156"/>
      <c r="I8492" s="156"/>
      <c r="J8492" s="156"/>
    </row>
    <row r="8493" spans="8:10">
      <c r="H8493" s="156"/>
      <c r="I8493" s="156"/>
      <c r="J8493" s="156"/>
    </row>
    <row r="8494" spans="8:10">
      <c r="H8494" s="156"/>
      <c r="I8494" s="156"/>
      <c r="J8494" s="156"/>
    </row>
    <row r="8495" spans="8:10">
      <c r="H8495" s="156"/>
      <c r="I8495" s="156"/>
      <c r="J8495" s="156"/>
    </row>
    <row r="8496" spans="8:10">
      <c r="H8496" s="156"/>
      <c r="I8496" s="156"/>
      <c r="J8496" s="156"/>
    </row>
    <row r="8497" spans="8:10">
      <c r="H8497" s="156"/>
      <c r="I8497" s="156"/>
      <c r="J8497" s="156"/>
    </row>
    <row r="8498" spans="8:10">
      <c r="H8498" s="156"/>
      <c r="I8498" s="156"/>
      <c r="J8498" s="156"/>
    </row>
    <row r="8499" spans="8:10">
      <c r="H8499" s="156"/>
      <c r="I8499" s="156"/>
      <c r="J8499" s="156"/>
    </row>
    <row r="8500" spans="8:10">
      <c r="H8500" s="156"/>
      <c r="I8500" s="156"/>
      <c r="J8500" s="156"/>
    </row>
    <row r="8501" spans="8:10">
      <c r="H8501" s="156"/>
      <c r="I8501" s="156"/>
      <c r="J8501" s="156"/>
    </row>
    <row r="8502" spans="8:10">
      <c r="H8502" s="156"/>
      <c r="I8502" s="156"/>
      <c r="J8502" s="156"/>
    </row>
    <row r="8503" spans="8:10">
      <c r="H8503" s="156"/>
      <c r="I8503" s="156"/>
      <c r="J8503" s="156"/>
    </row>
    <row r="8504" spans="8:10">
      <c r="H8504" s="156"/>
      <c r="I8504" s="156"/>
      <c r="J8504" s="156"/>
    </row>
    <row r="8505" spans="8:10">
      <c r="H8505" s="156"/>
      <c r="I8505" s="156"/>
      <c r="J8505" s="156"/>
    </row>
    <row r="8506" spans="8:10">
      <c r="H8506" s="156"/>
      <c r="I8506" s="156"/>
      <c r="J8506" s="156"/>
    </row>
    <row r="8507" spans="8:10">
      <c r="H8507" s="156"/>
      <c r="I8507" s="156"/>
      <c r="J8507" s="156"/>
    </row>
    <row r="8508" spans="8:10">
      <c r="H8508" s="156"/>
      <c r="I8508" s="156"/>
      <c r="J8508" s="156"/>
    </row>
    <row r="8509" spans="8:10">
      <c r="H8509" s="156"/>
      <c r="I8509" s="156"/>
      <c r="J8509" s="156"/>
    </row>
    <row r="8510" spans="8:10">
      <c r="H8510" s="156"/>
      <c r="I8510" s="156"/>
      <c r="J8510" s="156"/>
    </row>
    <row r="8511" spans="8:10">
      <c r="H8511" s="156"/>
      <c r="I8511" s="156"/>
      <c r="J8511" s="156"/>
    </row>
    <row r="8512" spans="8:10">
      <c r="H8512" s="156"/>
      <c r="I8512" s="156"/>
      <c r="J8512" s="156"/>
    </row>
    <row r="8513" spans="8:10">
      <c r="H8513" s="156"/>
      <c r="I8513" s="156"/>
      <c r="J8513" s="156"/>
    </row>
    <row r="8514" spans="8:10">
      <c r="H8514" s="156"/>
      <c r="I8514" s="156"/>
      <c r="J8514" s="156"/>
    </row>
    <row r="8515" spans="8:10">
      <c r="H8515" s="156"/>
      <c r="I8515" s="156"/>
      <c r="J8515" s="156"/>
    </row>
    <row r="8516" spans="8:10">
      <c r="H8516" s="156"/>
      <c r="I8516" s="156"/>
      <c r="J8516" s="156"/>
    </row>
    <row r="8517" spans="8:10">
      <c r="H8517" s="156"/>
      <c r="I8517" s="156"/>
      <c r="J8517" s="156"/>
    </row>
    <row r="8518" spans="8:10">
      <c r="H8518" s="156"/>
      <c r="I8518" s="156"/>
      <c r="J8518" s="156"/>
    </row>
    <row r="8519" spans="8:10">
      <c r="H8519" s="156"/>
      <c r="I8519" s="156"/>
      <c r="J8519" s="156"/>
    </row>
    <row r="8520" spans="8:10">
      <c r="H8520" s="156"/>
      <c r="I8520" s="156"/>
      <c r="J8520" s="156"/>
    </row>
    <row r="8521" spans="8:10">
      <c r="H8521" s="156"/>
      <c r="I8521" s="156"/>
      <c r="J8521" s="156"/>
    </row>
    <row r="8522" spans="8:10">
      <c r="H8522" s="156"/>
      <c r="I8522" s="156"/>
      <c r="J8522" s="156"/>
    </row>
    <row r="8523" spans="8:10">
      <c r="H8523" s="156"/>
      <c r="I8523" s="156"/>
      <c r="J8523" s="156"/>
    </row>
    <row r="8524" spans="8:10">
      <c r="H8524" s="156"/>
      <c r="I8524" s="156"/>
      <c r="J8524" s="156"/>
    </row>
    <row r="8525" spans="8:10">
      <c r="H8525" s="156"/>
      <c r="I8525" s="156"/>
      <c r="J8525" s="156"/>
    </row>
    <row r="8526" spans="8:10">
      <c r="H8526" s="156"/>
      <c r="I8526" s="156"/>
      <c r="J8526" s="156"/>
    </row>
    <row r="8527" spans="8:10">
      <c r="H8527" s="156"/>
      <c r="I8527" s="156"/>
      <c r="J8527" s="156"/>
    </row>
    <row r="8528" spans="8:10">
      <c r="H8528" s="156"/>
      <c r="I8528" s="156"/>
      <c r="J8528" s="156"/>
    </row>
    <row r="8529" spans="8:10">
      <c r="H8529" s="156"/>
      <c r="I8529" s="156"/>
      <c r="J8529" s="156"/>
    </row>
    <row r="8530" spans="8:10">
      <c r="H8530" s="156"/>
      <c r="I8530" s="156"/>
      <c r="J8530" s="156"/>
    </row>
    <row r="8531" spans="8:10">
      <c r="H8531" s="156"/>
      <c r="I8531" s="156"/>
      <c r="J8531" s="156"/>
    </row>
    <row r="8532" spans="8:10">
      <c r="H8532" s="156"/>
      <c r="I8532" s="156"/>
      <c r="J8532" s="156"/>
    </row>
    <row r="8533" spans="8:10">
      <c r="H8533" s="156"/>
      <c r="I8533" s="156"/>
      <c r="J8533" s="156"/>
    </row>
    <row r="8534" spans="8:10">
      <c r="H8534" s="156"/>
      <c r="I8534" s="156"/>
      <c r="J8534" s="156"/>
    </row>
    <row r="8535" spans="8:10">
      <c r="H8535" s="156"/>
      <c r="I8535" s="156"/>
      <c r="J8535" s="156"/>
    </row>
    <row r="8536" spans="8:10">
      <c r="H8536" s="156"/>
      <c r="I8536" s="156"/>
      <c r="J8536" s="156"/>
    </row>
    <row r="8537" spans="8:10">
      <c r="H8537" s="156"/>
      <c r="I8537" s="156"/>
      <c r="J8537" s="156"/>
    </row>
    <row r="8538" spans="8:10">
      <c r="H8538" s="156"/>
      <c r="I8538" s="156"/>
      <c r="J8538" s="156"/>
    </row>
    <row r="8539" spans="8:10">
      <c r="H8539" s="156"/>
      <c r="I8539" s="156"/>
      <c r="J8539" s="156"/>
    </row>
    <row r="8540" spans="8:10">
      <c r="H8540" s="156"/>
      <c r="I8540" s="156"/>
      <c r="J8540" s="156"/>
    </row>
    <row r="8541" spans="8:10">
      <c r="H8541" s="156"/>
      <c r="I8541" s="156"/>
      <c r="J8541" s="156"/>
    </row>
    <row r="8542" spans="8:10">
      <c r="H8542" s="156"/>
      <c r="I8542" s="156"/>
      <c r="J8542" s="156"/>
    </row>
    <row r="8543" spans="8:10">
      <c r="H8543" s="156"/>
      <c r="I8543" s="156"/>
      <c r="J8543" s="156"/>
    </row>
    <row r="8544" spans="8:10">
      <c r="H8544" s="156"/>
      <c r="I8544" s="156"/>
      <c r="J8544" s="156"/>
    </row>
    <row r="8545" spans="8:10">
      <c r="H8545" s="156"/>
      <c r="I8545" s="156"/>
      <c r="J8545" s="156"/>
    </row>
    <row r="8546" spans="8:10">
      <c r="H8546" s="156"/>
      <c r="I8546" s="156"/>
      <c r="J8546" s="156"/>
    </row>
    <row r="8547" spans="8:10">
      <c r="H8547" s="156"/>
      <c r="I8547" s="156"/>
      <c r="J8547" s="156"/>
    </row>
    <row r="8548" spans="8:10">
      <c r="H8548" s="156"/>
      <c r="I8548" s="156"/>
      <c r="J8548" s="156"/>
    </row>
    <row r="8549" spans="8:10">
      <c r="H8549" s="156"/>
      <c r="I8549" s="156"/>
      <c r="J8549" s="156"/>
    </row>
    <row r="8550" spans="8:10">
      <c r="H8550" s="156"/>
      <c r="I8550" s="156"/>
      <c r="J8550" s="156"/>
    </row>
    <row r="8551" spans="8:10">
      <c r="H8551" s="156"/>
      <c r="I8551" s="156"/>
      <c r="J8551" s="156"/>
    </row>
    <row r="8552" spans="8:10">
      <c r="H8552" s="156"/>
      <c r="I8552" s="156"/>
      <c r="J8552" s="156"/>
    </row>
    <row r="8553" spans="8:10">
      <c r="H8553" s="156"/>
      <c r="I8553" s="156"/>
      <c r="J8553" s="156"/>
    </row>
    <row r="8554" spans="8:10">
      <c r="H8554" s="156"/>
      <c r="I8554" s="156"/>
      <c r="J8554" s="156"/>
    </row>
    <row r="8555" spans="8:10">
      <c r="H8555" s="156"/>
      <c r="I8555" s="156"/>
      <c r="J8555" s="156"/>
    </row>
    <row r="8556" spans="8:10">
      <c r="H8556" s="156"/>
      <c r="I8556" s="156"/>
      <c r="J8556" s="156"/>
    </row>
    <row r="8557" spans="8:10">
      <c r="H8557" s="156"/>
      <c r="I8557" s="156"/>
      <c r="J8557" s="156"/>
    </row>
    <row r="8558" spans="8:10">
      <c r="H8558" s="156"/>
      <c r="I8558" s="156"/>
      <c r="J8558" s="156"/>
    </row>
    <row r="8559" spans="8:10">
      <c r="H8559" s="156"/>
      <c r="I8559" s="156"/>
      <c r="J8559" s="156"/>
    </row>
    <row r="8560" spans="8:10">
      <c r="H8560" s="156"/>
      <c r="I8560" s="156"/>
      <c r="J8560" s="156"/>
    </row>
    <row r="8561" spans="8:10">
      <c r="H8561" s="156"/>
      <c r="I8561" s="156"/>
      <c r="J8561" s="156"/>
    </row>
    <row r="8562" spans="8:10">
      <c r="H8562" s="156"/>
      <c r="I8562" s="156"/>
      <c r="J8562" s="156"/>
    </row>
    <row r="8563" spans="8:10">
      <c r="H8563" s="156"/>
      <c r="I8563" s="156"/>
      <c r="J8563" s="156"/>
    </row>
    <row r="8564" spans="8:10">
      <c r="H8564" s="156"/>
      <c r="I8564" s="156"/>
      <c r="J8564" s="156"/>
    </row>
    <row r="8565" spans="8:10">
      <c r="H8565" s="156"/>
      <c r="I8565" s="156"/>
      <c r="J8565" s="156"/>
    </row>
    <row r="8566" spans="8:10">
      <c r="H8566" s="156"/>
      <c r="I8566" s="156"/>
      <c r="J8566" s="156"/>
    </row>
    <row r="8567" spans="8:10">
      <c r="H8567" s="156"/>
      <c r="I8567" s="156"/>
      <c r="J8567" s="156"/>
    </row>
    <row r="8568" spans="8:10">
      <c r="H8568" s="156"/>
      <c r="I8568" s="156"/>
      <c r="J8568" s="156"/>
    </row>
    <row r="8569" spans="8:10">
      <c r="H8569" s="156"/>
      <c r="I8569" s="156"/>
      <c r="J8569" s="156"/>
    </row>
    <row r="8570" spans="8:10">
      <c r="H8570" s="156"/>
      <c r="I8570" s="156"/>
      <c r="J8570" s="156"/>
    </row>
    <row r="8571" spans="8:10">
      <c r="H8571" s="156"/>
      <c r="I8571" s="156"/>
      <c r="J8571" s="156"/>
    </row>
    <row r="8572" spans="8:10">
      <c r="H8572" s="156"/>
      <c r="I8572" s="156"/>
      <c r="J8572" s="156"/>
    </row>
    <row r="8573" spans="8:10">
      <c r="H8573" s="156"/>
      <c r="I8573" s="156"/>
      <c r="J8573" s="156"/>
    </row>
    <row r="8574" spans="8:10">
      <c r="H8574" s="156"/>
      <c r="I8574" s="156"/>
      <c r="J8574" s="156"/>
    </row>
    <row r="8575" spans="8:10">
      <c r="H8575" s="156"/>
      <c r="I8575" s="156"/>
      <c r="J8575" s="156"/>
    </row>
    <row r="8576" spans="8:10">
      <c r="H8576" s="156"/>
      <c r="I8576" s="156"/>
      <c r="J8576" s="156"/>
    </row>
    <row r="8577" spans="8:10">
      <c r="H8577" s="156"/>
      <c r="I8577" s="156"/>
      <c r="J8577" s="156"/>
    </row>
    <row r="8578" spans="8:10">
      <c r="H8578" s="156"/>
      <c r="I8578" s="156"/>
      <c r="J8578" s="156"/>
    </row>
    <row r="8579" spans="8:10">
      <c r="H8579" s="156"/>
      <c r="I8579" s="156"/>
      <c r="J8579" s="156"/>
    </row>
    <row r="8580" spans="8:10">
      <c r="H8580" s="156"/>
      <c r="I8580" s="156"/>
      <c r="J8580" s="156"/>
    </row>
    <row r="8581" spans="8:10">
      <c r="H8581" s="156"/>
      <c r="I8581" s="156"/>
      <c r="J8581" s="156"/>
    </row>
    <row r="8582" spans="8:10">
      <c r="H8582" s="156"/>
      <c r="I8582" s="156"/>
      <c r="J8582" s="156"/>
    </row>
    <row r="8583" spans="8:10">
      <c r="H8583" s="156"/>
      <c r="I8583" s="156"/>
      <c r="J8583" s="156"/>
    </row>
    <row r="8584" spans="8:10">
      <c r="H8584" s="156"/>
      <c r="I8584" s="156"/>
      <c r="J8584" s="156"/>
    </row>
    <row r="8585" spans="8:10">
      <c r="H8585" s="156"/>
      <c r="I8585" s="156"/>
      <c r="J8585" s="156"/>
    </row>
    <row r="8586" spans="8:10">
      <c r="H8586" s="156"/>
      <c r="I8586" s="156"/>
      <c r="J8586" s="156"/>
    </row>
    <row r="8587" spans="8:10">
      <c r="H8587" s="156"/>
      <c r="I8587" s="156"/>
      <c r="J8587" s="156"/>
    </row>
    <row r="8588" spans="8:10">
      <c r="H8588" s="156"/>
      <c r="I8588" s="156"/>
      <c r="J8588" s="156"/>
    </row>
    <row r="8589" spans="8:10">
      <c r="H8589" s="156"/>
      <c r="I8589" s="156"/>
      <c r="J8589" s="156"/>
    </row>
    <row r="8590" spans="8:10">
      <c r="H8590" s="156"/>
      <c r="I8590" s="156"/>
      <c r="J8590" s="156"/>
    </row>
    <row r="8591" spans="8:10">
      <c r="H8591" s="156"/>
      <c r="I8591" s="156"/>
      <c r="J8591" s="156"/>
    </row>
    <row r="8592" spans="8:10">
      <c r="H8592" s="156"/>
      <c r="I8592" s="156"/>
      <c r="J8592" s="156"/>
    </row>
    <row r="8593" spans="8:10">
      <c r="H8593" s="156"/>
      <c r="I8593" s="156"/>
      <c r="J8593" s="156"/>
    </row>
    <row r="8594" spans="8:10">
      <c r="H8594" s="156"/>
      <c r="I8594" s="156"/>
      <c r="J8594" s="156"/>
    </row>
    <row r="8595" spans="8:10">
      <c r="H8595" s="156"/>
      <c r="I8595" s="156"/>
      <c r="J8595" s="156"/>
    </row>
    <row r="8596" spans="8:10">
      <c r="H8596" s="156"/>
      <c r="I8596" s="156"/>
      <c r="J8596" s="156"/>
    </row>
    <row r="8597" spans="8:10">
      <c r="H8597" s="156"/>
      <c r="I8597" s="156"/>
      <c r="J8597" s="156"/>
    </row>
    <row r="8598" spans="8:10">
      <c r="H8598" s="156"/>
      <c r="I8598" s="156"/>
      <c r="J8598" s="156"/>
    </row>
    <row r="8599" spans="8:10">
      <c r="H8599" s="156"/>
      <c r="I8599" s="156"/>
      <c r="J8599" s="156"/>
    </row>
    <row r="8600" spans="8:10">
      <c r="H8600" s="156"/>
      <c r="I8600" s="156"/>
      <c r="J8600" s="156"/>
    </row>
    <row r="8601" spans="8:10">
      <c r="H8601" s="156"/>
      <c r="I8601" s="156"/>
      <c r="J8601" s="156"/>
    </row>
    <row r="8602" spans="8:10">
      <c r="H8602" s="156"/>
      <c r="I8602" s="156"/>
      <c r="J8602" s="156"/>
    </row>
    <row r="8603" spans="8:10">
      <c r="H8603" s="156"/>
      <c r="I8603" s="156"/>
      <c r="J8603" s="156"/>
    </row>
    <row r="8604" spans="8:10">
      <c r="H8604" s="156"/>
      <c r="I8604" s="156"/>
      <c r="J8604" s="156"/>
    </row>
    <row r="8605" spans="8:10">
      <c r="H8605" s="156"/>
      <c r="I8605" s="156"/>
      <c r="J8605" s="156"/>
    </row>
    <row r="8606" spans="8:10">
      <c r="H8606" s="156"/>
      <c r="I8606" s="156"/>
      <c r="J8606" s="156"/>
    </row>
    <row r="8607" spans="8:10">
      <c r="H8607" s="156"/>
      <c r="I8607" s="156"/>
      <c r="J8607" s="156"/>
    </row>
    <row r="8608" spans="8:10">
      <c r="H8608" s="156"/>
      <c r="I8608" s="156"/>
      <c r="J8608" s="156"/>
    </row>
    <row r="8609" spans="8:10">
      <c r="H8609" s="156"/>
      <c r="I8609" s="156"/>
      <c r="J8609" s="156"/>
    </row>
    <row r="8610" spans="8:10">
      <c r="H8610" s="156"/>
      <c r="I8610" s="156"/>
      <c r="J8610" s="156"/>
    </row>
    <row r="8611" spans="8:10">
      <c r="H8611" s="156"/>
      <c r="I8611" s="156"/>
      <c r="J8611" s="156"/>
    </row>
    <row r="8612" spans="8:10">
      <c r="H8612" s="156"/>
      <c r="I8612" s="156"/>
      <c r="J8612" s="156"/>
    </row>
    <row r="8613" spans="8:10">
      <c r="H8613" s="156"/>
      <c r="I8613" s="156"/>
      <c r="J8613" s="156"/>
    </row>
    <row r="8614" spans="8:10">
      <c r="H8614" s="156"/>
      <c r="I8614" s="156"/>
      <c r="J8614" s="156"/>
    </row>
    <row r="8615" spans="8:10">
      <c r="H8615" s="156"/>
      <c r="I8615" s="156"/>
      <c r="J8615" s="156"/>
    </row>
    <row r="8616" spans="8:10">
      <c r="H8616" s="156"/>
      <c r="I8616" s="156"/>
      <c r="J8616" s="156"/>
    </row>
    <row r="8617" spans="8:10">
      <c r="H8617" s="156"/>
      <c r="I8617" s="156"/>
      <c r="J8617" s="156"/>
    </row>
    <row r="8618" spans="8:10">
      <c r="H8618" s="156"/>
      <c r="I8618" s="156"/>
      <c r="J8618" s="156"/>
    </row>
    <row r="8619" spans="8:10">
      <c r="H8619" s="156"/>
      <c r="I8619" s="156"/>
      <c r="J8619" s="156"/>
    </row>
    <row r="8620" spans="8:10">
      <c r="H8620" s="156"/>
      <c r="I8620" s="156"/>
      <c r="J8620" s="156"/>
    </row>
    <row r="8621" spans="8:10">
      <c r="H8621" s="156"/>
      <c r="I8621" s="156"/>
      <c r="J8621" s="156"/>
    </row>
    <row r="8622" spans="8:10">
      <c r="H8622" s="156"/>
      <c r="I8622" s="156"/>
      <c r="J8622" s="156"/>
    </row>
    <row r="8623" spans="8:10">
      <c r="H8623" s="156"/>
      <c r="I8623" s="156"/>
      <c r="J8623" s="156"/>
    </row>
    <row r="8624" spans="8:10">
      <c r="H8624" s="156"/>
      <c r="I8624" s="156"/>
      <c r="J8624" s="156"/>
    </row>
    <row r="8625" spans="8:10">
      <c r="H8625" s="156"/>
      <c r="I8625" s="156"/>
      <c r="J8625" s="156"/>
    </row>
    <row r="8626" spans="8:10">
      <c r="H8626" s="156"/>
      <c r="I8626" s="156"/>
      <c r="J8626" s="156"/>
    </row>
    <row r="8627" spans="8:10">
      <c r="H8627" s="156"/>
      <c r="I8627" s="156"/>
      <c r="J8627" s="156"/>
    </row>
    <row r="8628" spans="8:10">
      <c r="H8628" s="156"/>
      <c r="I8628" s="156"/>
      <c r="J8628" s="156"/>
    </row>
    <row r="8629" spans="8:10">
      <c r="H8629" s="156"/>
      <c r="I8629" s="156"/>
      <c r="J8629" s="156"/>
    </row>
    <row r="8630" spans="8:10">
      <c r="H8630" s="156"/>
      <c r="I8630" s="156"/>
      <c r="J8630" s="156"/>
    </row>
    <row r="8631" spans="8:10">
      <c r="H8631" s="156"/>
      <c r="I8631" s="156"/>
      <c r="J8631" s="156"/>
    </row>
    <row r="8632" spans="8:10">
      <c r="H8632" s="156"/>
      <c r="I8632" s="156"/>
      <c r="J8632" s="156"/>
    </row>
    <row r="8633" spans="8:10">
      <c r="H8633" s="156"/>
      <c r="I8633" s="156"/>
      <c r="J8633" s="156"/>
    </row>
    <row r="8634" spans="8:10">
      <c r="H8634" s="156"/>
      <c r="I8634" s="156"/>
      <c r="J8634" s="156"/>
    </row>
    <row r="8635" spans="8:10">
      <c r="H8635" s="156"/>
      <c r="I8635" s="156"/>
      <c r="J8635" s="156"/>
    </row>
    <row r="8636" spans="8:10">
      <c r="H8636" s="156"/>
      <c r="I8636" s="156"/>
      <c r="J8636" s="156"/>
    </row>
    <row r="8637" spans="8:10">
      <c r="H8637" s="156"/>
      <c r="I8637" s="156"/>
      <c r="J8637" s="156"/>
    </row>
    <row r="8638" spans="8:10">
      <c r="H8638" s="156"/>
      <c r="I8638" s="156"/>
      <c r="J8638" s="156"/>
    </row>
    <row r="8639" spans="8:10">
      <c r="H8639" s="156"/>
      <c r="I8639" s="156"/>
      <c r="J8639" s="156"/>
    </row>
    <row r="8640" spans="8:10">
      <c r="H8640" s="156"/>
      <c r="I8640" s="156"/>
      <c r="J8640" s="156"/>
    </row>
    <row r="8641" spans="8:10">
      <c r="H8641" s="156"/>
      <c r="I8641" s="156"/>
      <c r="J8641" s="156"/>
    </row>
    <row r="8642" spans="8:10">
      <c r="H8642" s="156"/>
      <c r="I8642" s="156"/>
      <c r="J8642" s="156"/>
    </row>
    <row r="8643" spans="8:10">
      <c r="H8643" s="156"/>
      <c r="I8643" s="156"/>
      <c r="J8643" s="156"/>
    </row>
    <row r="8644" spans="8:10">
      <c r="H8644" s="156"/>
      <c r="I8644" s="156"/>
      <c r="J8644" s="156"/>
    </row>
    <row r="8645" spans="8:10">
      <c r="H8645" s="156"/>
      <c r="I8645" s="156"/>
      <c r="J8645" s="156"/>
    </row>
    <row r="8646" spans="8:10">
      <c r="H8646" s="156"/>
      <c r="I8646" s="156"/>
      <c r="J8646" s="156"/>
    </row>
    <row r="8647" spans="8:10">
      <c r="H8647" s="156"/>
      <c r="I8647" s="156"/>
      <c r="J8647" s="156"/>
    </row>
    <row r="8648" spans="8:10">
      <c r="H8648" s="156"/>
      <c r="I8648" s="156"/>
      <c r="J8648" s="156"/>
    </row>
    <row r="8649" spans="8:10">
      <c r="H8649" s="156"/>
      <c r="I8649" s="156"/>
      <c r="J8649" s="156"/>
    </row>
    <row r="8650" spans="8:10">
      <c r="H8650" s="156"/>
      <c r="I8650" s="156"/>
      <c r="J8650" s="156"/>
    </row>
    <row r="8651" spans="8:10">
      <c r="H8651" s="156"/>
      <c r="I8651" s="156"/>
      <c r="J8651" s="156"/>
    </row>
    <row r="8652" spans="8:10">
      <c r="H8652" s="156"/>
      <c r="I8652" s="156"/>
      <c r="J8652" s="156"/>
    </row>
    <row r="8653" spans="8:10">
      <c r="H8653" s="156"/>
      <c r="I8653" s="156"/>
      <c r="J8653" s="156"/>
    </row>
    <row r="8654" spans="8:10">
      <c r="H8654" s="156"/>
      <c r="I8654" s="156"/>
      <c r="J8654" s="156"/>
    </row>
    <row r="8655" spans="8:10">
      <c r="H8655" s="156"/>
      <c r="I8655" s="156"/>
      <c r="J8655" s="156"/>
    </row>
    <row r="8656" spans="8:10">
      <c r="H8656" s="156"/>
      <c r="I8656" s="156"/>
      <c r="J8656" s="156"/>
    </row>
    <row r="8657" spans="8:10">
      <c r="H8657" s="156"/>
      <c r="I8657" s="156"/>
      <c r="J8657" s="156"/>
    </row>
    <row r="8658" spans="8:10">
      <c r="H8658" s="156"/>
      <c r="I8658" s="156"/>
      <c r="J8658" s="156"/>
    </row>
    <row r="8659" spans="8:10">
      <c r="H8659" s="156"/>
      <c r="I8659" s="156"/>
      <c r="J8659" s="156"/>
    </row>
    <row r="8660" spans="8:10">
      <c r="H8660" s="156"/>
      <c r="I8660" s="156"/>
      <c r="J8660" s="156"/>
    </row>
    <row r="8661" spans="8:10">
      <c r="H8661" s="156"/>
      <c r="I8661" s="156"/>
      <c r="J8661" s="156"/>
    </row>
    <row r="8662" spans="8:10">
      <c r="H8662" s="156"/>
      <c r="I8662" s="156"/>
      <c r="J8662" s="156"/>
    </row>
    <row r="8663" spans="8:10">
      <c r="H8663" s="156"/>
      <c r="I8663" s="156"/>
      <c r="J8663" s="156"/>
    </row>
    <row r="8664" spans="8:10">
      <c r="H8664" s="156"/>
      <c r="I8664" s="156"/>
      <c r="J8664" s="156"/>
    </row>
    <row r="8665" spans="8:10">
      <c r="H8665" s="156"/>
      <c r="I8665" s="156"/>
      <c r="J8665" s="156"/>
    </row>
    <row r="8666" spans="8:10">
      <c r="H8666" s="156"/>
      <c r="I8666" s="156"/>
      <c r="J8666" s="156"/>
    </row>
    <row r="8667" spans="8:10">
      <c r="H8667" s="156"/>
      <c r="I8667" s="156"/>
      <c r="J8667" s="156"/>
    </row>
    <row r="8668" spans="8:10">
      <c r="H8668" s="156"/>
      <c r="I8668" s="156"/>
      <c r="J8668" s="156"/>
    </row>
    <row r="8669" spans="8:10">
      <c r="H8669" s="156"/>
      <c r="I8669" s="156"/>
      <c r="J8669" s="156"/>
    </row>
    <row r="8670" spans="8:10">
      <c r="H8670" s="156"/>
      <c r="I8670" s="156"/>
      <c r="J8670" s="156"/>
    </row>
    <row r="8671" spans="8:10">
      <c r="H8671" s="156"/>
      <c r="I8671" s="156"/>
      <c r="J8671" s="156"/>
    </row>
    <row r="8672" spans="8:10">
      <c r="H8672" s="156"/>
      <c r="I8672" s="156"/>
      <c r="J8672" s="156"/>
    </row>
    <row r="8673" spans="8:10">
      <c r="H8673" s="156"/>
      <c r="I8673" s="156"/>
      <c r="J8673" s="156"/>
    </row>
    <row r="8674" spans="8:10">
      <c r="H8674" s="156"/>
      <c r="I8674" s="156"/>
      <c r="J8674" s="156"/>
    </row>
    <row r="8675" spans="8:10">
      <c r="H8675" s="156"/>
      <c r="I8675" s="156"/>
      <c r="J8675" s="156"/>
    </row>
    <row r="8676" spans="8:10">
      <c r="H8676" s="156"/>
      <c r="I8676" s="156"/>
      <c r="J8676" s="156"/>
    </row>
    <row r="8677" spans="8:10">
      <c r="H8677" s="156"/>
      <c r="I8677" s="156"/>
      <c r="J8677" s="156"/>
    </row>
    <row r="8678" spans="8:10">
      <c r="H8678" s="156"/>
      <c r="I8678" s="156"/>
      <c r="J8678" s="156"/>
    </row>
    <row r="8679" spans="8:10">
      <c r="H8679" s="156"/>
      <c r="I8679" s="156"/>
      <c r="J8679" s="156"/>
    </row>
    <row r="8680" spans="8:10">
      <c r="H8680" s="156"/>
      <c r="I8680" s="156"/>
      <c r="J8680" s="156"/>
    </row>
    <row r="8681" spans="8:10">
      <c r="H8681" s="156"/>
      <c r="I8681" s="156"/>
      <c r="J8681" s="156"/>
    </row>
    <row r="8682" spans="8:10">
      <c r="H8682" s="156"/>
      <c r="I8682" s="156"/>
      <c r="J8682" s="156"/>
    </row>
    <row r="8683" spans="8:10">
      <c r="H8683" s="156"/>
      <c r="I8683" s="156"/>
      <c r="J8683" s="156"/>
    </row>
    <row r="8684" spans="8:10">
      <c r="H8684" s="156"/>
      <c r="I8684" s="156"/>
      <c r="J8684" s="156"/>
    </row>
    <row r="8685" spans="8:10">
      <c r="H8685" s="156"/>
      <c r="I8685" s="156"/>
      <c r="J8685" s="156"/>
    </row>
    <row r="8686" spans="8:10">
      <c r="H8686" s="156"/>
      <c r="I8686" s="156"/>
      <c r="J8686" s="156"/>
    </row>
    <row r="8687" spans="8:10">
      <c r="H8687" s="156"/>
      <c r="I8687" s="156"/>
      <c r="J8687" s="156"/>
    </row>
    <row r="8688" spans="8:10">
      <c r="H8688" s="156"/>
      <c r="I8688" s="156"/>
      <c r="J8688" s="156"/>
    </row>
    <row r="8689" spans="8:10">
      <c r="H8689" s="156"/>
      <c r="I8689" s="156"/>
      <c r="J8689" s="156"/>
    </row>
    <row r="8690" spans="8:10">
      <c r="H8690" s="156"/>
      <c r="I8690" s="156"/>
      <c r="J8690" s="156"/>
    </row>
    <row r="8691" spans="8:10">
      <c r="H8691" s="156"/>
      <c r="I8691" s="156"/>
      <c r="J8691" s="156"/>
    </row>
    <row r="8692" spans="8:10">
      <c r="H8692" s="156"/>
      <c r="I8692" s="156"/>
      <c r="J8692" s="156"/>
    </row>
    <row r="8693" spans="8:10">
      <c r="H8693" s="156"/>
      <c r="I8693" s="156"/>
      <c r="J8693" s="156"/>
    </row>
    <row r="8694" spans="8:10">
      <c r="H8694" s="156"/>
      <c r="I8694" s="156"/>
      <c r="J8694" s="156"/>
    </row>
    <row r="8695" spans="8:10">
      <c r="H8695" s="156"/>
      <c r="I8695" s="156"/>
      <c r="J8695" s="156"/>
    </row>
    <row r="8696" spans="8:10">
      <c r="H8696" s="156"/>
      <c r="I8696" s="156"/>
      <c r="J8696" s="156"/>
    </row>
    <row r="8697" spans="8:10">
      <c r="H8697" s="156"/>
      <c r="I8697" s="156"/>
      <c r="J8697" s="156"/>
    </row>
    <row r="8698" spans="8:10">
      <c r="H8698" s="156"/>
      <c r="I8698" s="156"/>
      <c r="J8698" s="156"/>
    </row>
    <row r="8699" spans="8:10">
      <c r="H8699" s="156"/>
      <c r="I8699" s="156"/>
      <c r="J8699" s="156"/>
    </row>
    <row r="8700" spans="8:10">
      <c r="H8700" s="156"/>
      <c r="I8700" s="156"/>
      <c r="J8700" s="156"/>
    </row>
    <row r="8701" spans="8:10">
      <c r="H8701" s="156"/>
      <c r="I8701" s="156"/>
      <c r="J8701" s="156"/>
    </row>
    <row r="8702" spans="8:10">
      <c r="H8702" s="156"/>
      <c r="I8702" s="156"/>
      <c r="J8702" s="156"/>
    </row>
    <row r="8703" spans="8:10">
      <c r="H8703" s="156"/>
      <c r="I8703" s="156"/>
      <c r="J8703" s="156"/>
    </row>
    <row r="8704" spans="8:10">
      <c r="H8704" s="156"/>
      <c r="I8704" s="156"/>
      <c r="J8704" s="156"/>
    </row>
    <row r="8705" spans="8:10">
      <c r="H8705" s="156"/>
      <c r="I8705" s="156"/>
      <c r="J8705" s="156"/>
    </row>
    <row r="8706" spans="8:10">
      <c r="H8706" s="156"/>
      <c r="I8706" s="156"/>
      <c r="J8706" s="156"/>
    </row>
    <row r="8707" spans="8:10">
      <c r="H8707" s="156"/>
      <c r="I8707" s="156"/>
      <c r="J8707" s="156"/>
    </row>
    <row r="8708" spans="8:10">
      <c r="H8708" s="156"/>
      <c r="I8708" s="156"/>
      <c r="J8708" s="156"/>
    </row>
    <row r="8709" spans="8:10">
      <c r="H8709" s="156"/>
      <c r="I8709" s="156"/>
      <c r="J8709" s="156"/>
    </row>
    <row r="8710" spans="8:10">
      <c r="H8710" s="156"/>
      <c r="I8710" s="156"/>
      <c r="J8710" s="156"/>
    </row>
    <row r="8711" spans="8:10">
      <c r="H8711" s="156"/>
      <c r="I8711" s="156"/>
      <c r="J8711" s="156"/>
    </row>
    <row r="8712" spans="8:10">
      <c r="H8712" s="156"/>
      <c r="I8712" s="156"/>
      <c r="J8712" s="156"/>
    </row>
    <row r="8713" spans="8:10">
      <c r="H8713" s="156"/>
      <c r="I8713" s="156"/>
      <c r="J8713" s="156"/>
    </row>
    <row r="8714" spans="8:10">
      <c r="H8714" s="156"/>
      <c r="I8714" s="156"/>
      <c r="J8714" s="156"/>
    </row>
    <row r="8715" spans="8:10">
      <c r="H8715" s="156"/>
      <c r="I8715" s="156"/>
      <c r="J8715" s="156"/>
    </row>
    <row r="8716" spans="8:10">
      <c r="H8716" s="156"/>
      <c r="I8716" s="156"/>
      <c r="J8716" s="156"/>
    </row>
    <row r="8717" spans="8:10">
      <c r="H8717" s="156"/>
      <c r="I8717" s="156"/>
      <c r="J8717" s="156"/>
    </row>
    <row r="8718" spans="8:10">
      <c r="H8718" s="156"/>
      <c r="I8718" s="156"/>
      <c r="J8718" s="156"/>
    </row>
    <row r="8719" spans="8:10">
      <c r="H8719" s="156"/>
      <c r="I8719" s="156"/>
      <c r="J8719" s="156"/>
    </row>
    <row r="8720" spans="8:10">
      <c r="H8720" s="156"/>
      <c r="I8720" s="156"/>
      <c r="J8720" s="156"/>
    </row>
    <row r="8721" spans="8:10">
      <c r="H8721" s="156"/>
      <c r="I8721" s="156"/>
      <c r="J8721" s="156"/>
    </row>
    <row r="8722" spans="8:10">
      <c r="H8722" s="156"/>
      <c r="I8722" s="156"/>
      <c r="J8722" s="156"/>
    </row>
    <row r="8723" spans="8:10">
      <c r="H8723" s="156"/>
      <c r="I8723" s="156"/>
      <c r="J8723" s="156"/>
    </row>
    <row r="8724" spans="8:10">
      <c r="H8724" s="156"/>
      <c r="I8724" s="156"/>
      <c r="J8724" s="156"/>
    </row>
    <row r="8725" spans="8:10">
      <c r="H8725" s="156"/>
      <c r="I8725" s="156"/>
      <c r="J8725" s="156"/>
    </row>
    <row r="8726" spans="8:10">
      <c r="H8726" s="156"/>
      <c r="I8726" s="156"/>
      <c r="J8726" s="156"/>
    </row>
    <row r="8727" spans="8:10">
      <c r="H8727" s="156"/>
      <c r="I8727" s="156"/>
      <c r="J8727" s="156"/>
    </row>
    <row r="8728" spans="8:10">
      <c r="H8728" s="156"/>
      <c r="I8728" s="156"/>
      <c r="J8728" s="156"/>
    </row>
    <row r="8729" spans="8:10">
      <c r="H8729" s="156"/>
      <c r="I8729" s="156"/>
      <c r="J8729" s="156"/>
    </row>
    <row r="8730" spans="8:10">
      <c r="H8730" s="156"/>
      <c r="I8730" s="156"/>
      <c r="J8730" s="156"/>
    </row>
    <row r="8731" spans="8:10">
      <c r="H8731" s="156"/>
      <c r="I8731" s="156"/>
      <c r="J8731" s="156"/>
    </row>
    <row r="8732" spans="8:10">
      <c r="H8732" s="156"/>
      <c r="I8732" s="156"/>
      <c r="J8732" s="156"/>
    </row>
    <row r="8733" spans="8:10">
      <c r="H8733" s="156"/>
      <c r="I8733" s="156"/>
      <c r="J8733" s="156"/>
    </row>
    <row r="8734" spans="8:10">
      <c r="H8734" s="156"/>
      <c r="I8734" s="156"/>
      <c r="J8734" s="156"/>
    </row>
    <row r="8735" spans="8:10">
      <c r="H8735" s="156"/>
      <c r="I8735" s="156"/>
      <c r="J8735" s="156"/>
    </row>
    <row r="8736" spans="8:10">
      <c r="H8736" s="156"/>
      <c r="I8736" s="156"/>
      <c r="J8736" s="156"/>
    </row>
    <row r="8737" spans="8:10">
      <c r="H8737" s="156"/>
      <c r="I8737" s="156"/>
      <c r="J8737" s="156"/>
    </row>
    <row r="8738" spans="8:10">
      <c r="H8738" s="156"/>
      <c r="I8738" s="156"/>
      <c r="J8738" s="156"/>
    </row>
    <row r="8739" spans="8:10">
      <c r="H8739" s="156"/>
      <c r="I8739" s="156"/>
      <c r="J8739" s="156"/>
    </row>
    <row r="8740" spans="8:10">
      <c r="H8740" s="156"/>
      <c r="I8740" s="156"/>
      <c r="J8740" s="156"/>
    </row>
    <row r="8741" spans="8:10">
      <c r="H8741" s="156"/>
      <c r="I8741" s="156"/>
      <c r="J8741" s="156"/>
    </row>
    <row r="8742" spans="8:10">
      <c r="H8742" s="156"/>
      <c r="I8742" s="156"/>
      <c r="J8742" s="156"/>
    </row>
    <row r="8743" spans="8:10">
      <c r="H8743" s="156"/>
      <c r="I8743" s="156"/>
      <c r="J8743" s="156"/>
    </row>
    <row r="8744" spans="8:10">
      <c r="H8744" s="156"/>
      <c r="I8744" s="156"/>
      <c r="J8744" s="156"/>
    </row>
    <row r="8745" spans="8:10">
      <c r="H8745" s="156"/>
      <c r="I8745" s="156"/>
      <c r="J8745" s="156"/>
    </row>
    <row r="8746" spans="8:10">
      <c r="H8746" s="156"/>
      <c r="I8746" s="156"/>
      <c r="J8746" s="156"/>
    </row>
    <row r="8747" spans="8:10">
      <c r="H8747" s="156"/>
      <c r="I8747" s="156"/>
      <c r="J8747" s="156"/>
    </row>
    <row r="8748" spans="8:10">
      <c r="H8748" s="156"/>
      <c r="I8748" s="156"/>
      <c r="J8748" s="156"/>
    </row>
    <row r="8749" spans="8:10">
      <c r="H8749" s="156"/>
      <c r="I8749" s="156"/>
      <c r="J8749" s="156"/>
    </row>
    <row r="8750" spans="8:10">
      <c r="H8750" s="156"/>
      <c r="I8750" s="156"/>
      <c r="J8750" s="156"/>
    </row>
    <row r="8751" spans="8:10">
      <c r="H8751" s="156"/>
      <c r="I8751" s="156"/>
      <c r="J8751" s="156"/>
    </row>
    <row r="8752" spans="8:10">
      <c r="H8752" s="156"/>
      <c r="I8752" s="156"/>
      <c r="J8752" s="156"/>
    </row>
    <row r="8753" spans="8:10">
      <c r="H8753" s="156"/>
      <c r="I8753" s="156"/>
      <c r="J8753" s="156"/>
    </row>
    <row r="8754" spans="8:10">
      <c r="H8754" s="156"/>
      <c r="I8754" s="156"/>
      <c r="J8754" s="156"/>
    </row>
    <row r="8755" spans="8:10">
      <c r="H8755" s="156"/>
      <c r="I8755" s="156"/>
      <c r="J8755" s="156"/>
    </row>
    <row r="8756" spans="8:10">
      <c r="H8756" s="156"/>
      <c r="I8756" s="156"/>
      <c r="J8756" s="156"/>
    </row>
    <row r="8757" spans="8:10">
      <c r="H8757" s="156"/>
      <c r="I8757" s="156"/>
      <c r="J8757" s="156"/>
    </row>
    <row r="8758" spans="8:10">
      <c r="H8758" s="156"/>
      <c r="I8758" s="156"/>
      <c r="J8758" s="156"/>
    </row>
    <row r="8759" spans="8:10">
      <c r="H8759" s="156"/>
      <c r="I8759" s="156"/>
      <c r="J8759" s="156"/>
    </row>
    <row r="8760" spans="8:10">
      <c r="H8760" s="156"/>
      <c r="I8760" s="156"/>
      <c r="J8760" s="156"/>
    </row>
    <row r="8761" spans="8:10">
      <c r="H8761" s="156"/>
      <c r="I8761" s="156"/>
      <c r="J8761" s="156"/>
    </row>
    <row r="8762" spans="8:10">
      <c r="H8762" s="156"/>
      <c r="I8762" s="156"/>
      <c r="J8762" s="156"/>
    </row>
    <row r="8763" spans="8:10">
      <c r="H8763" s="156"/>
      <c r="I8763" s="156"/>
      <c r="J8763" s="156"/>
    </row>
    <row r="8764" spans="8:10">
      <c r="H8764" s="156"/>
      <c r="I8764" s="156"/>
      <c r="J8764" s="156"/>
    </row>
    <row r="8765" spans="8:10">
      <c r="H8765" s="156"/>
      <c r="I8765" s="156"/>
      <c r="J8765" s="156"/>
    </row>
    <row r="8766" spans="8:10">
      <c r="H8766" s="156"/>
      <c r="I8766" s="156"/>
      <c r="J8766" s="156"/>
    </row>
    <row r="8767" spans="8:10">
      <c r="H8767" s="156"/>
      <c r="I8767" s="156"/>
      <c r="J8767" s="156"/>
    </row>
    <row r="8768" spans="8:10">
      <c r="H8768" s="156"/>
      <c r="I8768" s="156"/>
      <c r="J8768" s="156"/>
    </row>
    <row r="8769" spans="8:10">
      <c r="H8769" s="156"/>
      <c r="I8769" s="156"/>
      <c r="J8769" s="156"/>
    </row>
    <row r="8770" spans="8:10">
      <c r="H8770" s="156"/>
      <c r="I8770" s="156"/>
      <c r="J8770" s="156"/>
    </row>
    <row r="8771" spans="8:10">
      <c r="H8771" s="156"/>
      <c r="I8771" s="156"/>
      <c r="J8771" s="156"/>
    </row>
    <row r="8772" spans="8:10">
      <c r="H8772" s="156"/>
      <c r="I8772" s="156"/>
      <c r="J8772" s="156"/>
    </row>
    <row r="8773" spans="8:10">
      <c r="H8773" s="156"/>
      <c r="I8773" s="156"/>
      <c r="J8773" s="156"/>
    </row>
    <row r="8774" spans="8:10">
      <c r="H8774" s="156"/>
      <c r="I8774" s="156"/>
      <c r="J8774" s="156"/>
    </row>
    <row r="8775" spans="8:10">
      <c r="H8775" s="156"/>
      <c r="I8775" s="156"/>
      <c r="J8775" s="156"/>
    </row>
    <row r="8776" spans="8:10">
      <c r="H8776" s="156"/>
      <c r="I8776" s="156"/>
      <c r="J8776" s="156"/>
    </row>
    <row r="8777" spans="8:10">
      <c r="H8777" s="156"/>
      <c r="I8777" s="156"/>
      <c r="J8777" s="156"/>
    </row>
    <row r="8778" spans="8:10">
      <c r="H8778" s="156"/>
      <c r="I8778" s="156"/>
      <c r="J8778" s="156"/>
    </row>
    <row r="8779" spans="8:10">
      <c r="H8779" s="156"/>
      <c r="I8779" s="156"/>
      <c r="J8779" s="156"/>
    </row>
    <row r="8780" spans="8:10">
      <c r="H8780" s="156"/>
      <c r="I8780" s="156"/>
      <c r="J8780" s="156"/>
    </row>
    <row r="8781" spans="8:10">
      <c r="H8781" s="156"/>
      <c r="I8781" s="156"/>
      <c r="J8781" s="156"/>
    </row>
    <row r="8782" spans="8:10">
      <c r="H8782" s="156"/>
      <c r="I8782" s="156"/>
      <c r="J8782" s="156"/>
    </row>
    <row r="8783" spans="8:10">
      <c r="H8783" s="156"/>
      <c r="I8783" s="156"/>
      <c r="J8783" s="156"/>
    </row>
    <row r="8784" spans="8:10">
      <c r="H8784" s="156"/>
      <c r="I8784" s="156"/>
      <c r="J8784" s="156"/>
    </row>
    <row r="8785" spans="8:10">
      <c r="H8785" s="156"/>
      <c r="I8785" s="156"/>
      <c r="J8785" s="156"/>
    </row>
    <row r="8786" spans="8:10">
      <c r="H8786" s="156"/>
      <c r="I8786" s="156"/>
      <c r="J8786" s="156"/>
    </row>
    <row r="8787" spans="8:10">
      <c r="H8787" s="156"/>
      <c r="I8787" s="156"/>
      <c r="J8787" s="156"/>
    </row>
    <row r="8788" spans="8:10">
      <c r="H8788" s="156"/>
      <c r="I8788" s="156"/>
      <c r="J8788" s="156"/>
    </row>
    <row r="8789" spans="8:10">
      <c r="H8789" s="156"/>
      <c r="I8789" s="156"/>
      <c r="J8789" s="156"/>
    </row>
    <row r="8790" spans="8:10">
      <c r="H8790" s="156"/>
      <c r="I8790" s="156"/>
      <c r="J8790" s="156"/>
    </row>
    <row r="8791" spans="8:10">
      <c r="H8791" s="156"/>
      <c r="I8791" s="156"/>
      <c r="J8791" s="156"/>
    </row>
    <row r="8792" spans="8:10">
      <c r="H8792" s="156"/>
      <c r="I8792" s="156"/>
      <c r="J8792" s="156"/>
    </row>
    <row r="8793" spans="8:10">
      <c r="H8793" s="156"/>
      <c r="I8793" s="156"/>
      <c r="J8793" s="156"/>
    </row>
    <row r="8794" spans="8:10">
      <c r="H8794" s="156"/>
      <c r="I8794" s="156"/>
      <c r="J8794" s="156"/>
    </row>
    <row r="8795" spans="8:10">
      <c r="H8795" s="156"/>
      <c r="I8795" s="156"/>
      <c r="J8795" s="156"/>
    </row>
    <row r="8796" spans="8:10">
      <c r="H8796" s="156"/>
      <c r="I8796" s="156"/>
      <c r="J8796" s="156"/>
    </row>
    <row r="8797" spans="8:10">
      <c r="H8797" s="156"/>
      <c r="I8797" s="156"/>
      <c r="J8797" s="156"/>
    </row>
    <row r="8798" spans="8:10">
      <c r="H8798" s="156"/>
      <c r="I8798" s="156"/>
      <c r="J8798" s="156"/>
    </row>
    <row r="8799" spans="8:10">
      <c r="H8799" s="156"/>
      <c r="I8799" s="156"/>
      <c r="J8799" s="156"/>
    </row>
    <row r="8800" spans="8:10">
      <c r="H8800" s="156"/>
      <c r="I8800" s="156"/>
      <c r="J8800" s="156"/>
    </row>
    <row r="8801" spans="8:10">
      <c r="H8801" s="156"/>
      <c r="I8801" s="156"/>
      <c r="J8801" s="156"/>
    </row>
    <row r="8802" spans="8:10">
      <c r="H8802" s="156"/>
      <c r="I8802" s="156"/>
      <c r="J8802" s="156"/>
    </row>
    <row r="8803" spans="8:10">
      <c r="H8803" s="156"/>
      <c r="I8803" s="156"/>
      <c r="J8803" s="156"/>
    </row>
    <row r="8804" spans="8:10">
      <c r="H8804" s="156"/>
      <c r="I8804" s="156"/>
      <c r="J8804" s="156"/>
    </row>
    <row r="8805" spans="8:10">
      <c r="H8805" s="156"/>
      <c r="I8805" s="156"/>
      <c r="J8805" s="156"/>
    </row>
    <row r="8806" spans="8:10">
      <c r="H8806" s="156"/>
      <c r="I8806" s="156"/>
      <c r="J8806" s="156"/>
    </row>
    <row r="8807" spans="8:10">
      <c r="H8807" s="156"/>
      <c r="I8807" s="156"/>
      <c r="J8807" s="156"/>
    </row>
    <row r="8808" spans="8:10">
      <c r="H8808" s="156"/>
      <c r="I8808" s="156"/>
      <c r="J8808" s="156"/>
    </row>
    <row r="8809" spans="8:10">
      <c r="H8809" s="156"/>
      <c r="I8809" s="156"/>
      <c r="J8809" s="156"/>
    </row>
    <row r="8810" spans="8:10">
      <c r="H8810" s="156"/>
      <c r="I8810" s="156"/>
      <c r="J8810" s="156"/>
    </row>
    <row r="8811" spans="8:10">
      <c r="H8811" s="156"/>
      <c r="I8811" s="156"/>
      <c r="J8811" s="156"/>
    </row>
    <row r="8812" spans="8:10">
      <c r="H8812" s="156"/>
      <c r="I8812" s="156"/>
      <c r="J8812" s="156"/>
    </row>
    <row r="8813" spans="8:10">
      <c r="H8813" s="156"/>
      <c r="I8813" s="156"/>
      <c r="J8813" s="156"/>
    </row>
    <row r="8814" spans="8:10">
      <c r="H8814" s="156"/>
      <c r="I8814" s="156"/>
      <c r="J8814" s="156"/>
    </row>
    <row r="8815" spans="8:10">
      <c r="H8815" s="156"/>
      <c r="I8815" s="156"/>
      <c r="J8815" s="156"/>
    </row>
    <row r="8816" spans="8:10">
      <c r="H8816" s="156"/>
      <c r="I8816" s="156"/>
      <c r="J8816" s="156"/>
    </row>
    <row r="8817" spans="8:10">
      <c r="H8817" s="156"/>
      <c r="I8817" s="156"/>
      <c r="J8817" s="156"/>
    </row>
    <row r="8818" spans="8:10">
      <c r="H8818" s="156"/>
      <c r="I8818" s="156"/>
      <c r="J8818" s="156"/>
    </row>
    <row r="8819" spans="8:10">
      <c r="H8819" s="156"/>
      <c r="I8819" s="156"/>
      <c r="J8819" s="156"/>
    </row>
    <row r="8820" spans="8:10">
      <c r="H8820" s="156"/>
      <c r="I8820" s="156"/>
      <c r="J8820" s="156"/>
    </row>
    <row r="8821" spans="8:10">
      <c r="H8821" s="156"/>
      <c r="I8821" s="156"/>
      <c r="J8821" s="156"/>
    </row>
    <row r="8822" spans="8:10">
      <c r="H8822" s="156"/>
      <c r="I8822" s="156"/>
      <c r="J8822" s="156"/>
    </row>
    <row r="8823" spans="8:10">
      <c r="H8823" s="156"/>
      <c r="I8823" s="156"/>
      <c r="J8823" s="156"/>
    </row>
    <row r="8824" spans="8:10">
      <c r="H8824" s="156"/>
      <c r="I8824" s="156"/>
      <c r="J8824" s="156"/>
    </row>
    <row r="8825" spans="8:10">
      <c r="H8825" s="156"/>
      <c r="I8825" s="156"/>
      <c r="J8825" s="156"/>
    </row>
    <row r="8826" spans="8:10">
      <c r="H8826" s="156"/>
      <c r="I8826" s="156"/>
      <c r="J8826" s="156"/>
    </row>
    <row r="8827" spans="8:10">
      <c r="H8827" s="156"/>
      <c r="I8827" s="156"/>
      <c r="J8827" s="156"/>
    </row>
    <row r="8828" spans="8:10">
      <c r="H8828" s="156"/>
      <c r="I8828" s="156"/>
      <c r="J8828" s="156"/>
    </row>
    <row r="8829" spans="8:10">
      <c r="H8829" s="156"/>
      <c r="I8829" s="156"/>
      <c r="J8829" s="156"/>
    </row>
    <row r="8830" spans="8:10">
      <c r="H8830" s="156"/>
      <c r="I8830" s="156"/>
      <c r="J8830" s="156"/>
    </row>
    <row r="8831" spans="8:10">
      <c r="H8831" s="156"/>
      <c r="I8831" s="156"/>
      <c r="J8831" s="156"/>
    </row>
    <row r="8832" spans="8:10">
      <c r="H8832" s="156"/>
      <c r="I8832" s="156"/>
      <c r="J8832" s="156"/>
    </row>
    <row r="8833" spans="8:10">
      <c r="H8833" s="156"/>
      <c r="I8833" s="156"/>
      <c r="J8833" s="156"/>
    </row>
    <row r="8834" spans="8:10">
      <c r="H8834" s="156"/>
      <c r="I8834" s="156"/>
      <c r="J8834" s="156"/>
    </row>
    <row r="8835" spans="8:10">
      <c r="H8835" s="156"/>
      <c r="I8835" s="156"/>
      <c r="J8835" s="156"/>
    </row>
    <row r="8836" spans="8:10">
      <c r="H8836" s="156"/>
      <c r="I8836" s="156"/>
      <c r="J8836" s="156"/>
    </row>
    <row r="8837" spans="8:10">
      <c r="H8837" s="156"/>
      <c r="I8837" s="156"/>
      <c r="J8837" s="156"/>
    </row>
    <row r="8838" spans="8:10">
      <c r="H8838" s="156"/>
      <c r="I8838" s="156"/>
      <c r="J8838" s="156"/>
    </row>
    <row r="8839" spans="8:10">
      <c r="H8839" s="156"/>
      <c r="I8839" s="156"/>
      <c r="J8839" s="156"/>
    </row>
    <row r="8840" spans="8:10">
      <c r="H8840" s="156"/>
      <c r="I8840" s="156"/>
      <c r="J8840" s="156"/>
    </row>
    <row r="8841" spans="8:10">
      <c r="H8841" s="156"/>
      <c r="I8841" s="156"/>
      <c r="J8841" s="156"/>
    </row>
    <row r="8842" spans="8:10">
      <c r="H8842" s="156"/>
      <c r="I8842" s="156"/>
      <c r="J8842" s="156"/>
    </row>
    <row r="8843" spans="8:10">
      <c r="H8843" s="156"/>
      <c r="I8843" s="156"/>
      <c r="J8843" s="156"/>
    </row>
    <row r="8844" spans="8:10">
      <c r="H8844" s="156"/>
      <c r="I8844" s="156"/>
      <c r="J8844" s="156"/>
    </row>
    <row r="8845" spans="8:10">
      <c r="H8845" s="156"/>
      <c r="I8845" s="156"/>
      <c r="J8845" s="156"/>
    </row>
    <row r="8846" spans="8:10">
      <c r="H8846" s="156"/>
      <c r="I8846" s="156"/>
      <c r="J8846" s="156"/>
    </row>
    <row r="8847" spans="8:10">
      <c r="H8847" s="156"/>
      <c r="I8847" s="156"/>
      <c r="J8847" s="156"/>
    </row>
    <row r="8848" spans="8:10">
      <c r="H8848" s="156"/>
      <c r="I8848" s="156"/>
      <c r="J8848" s="156"/>
    </row>
    <row r="8849" spans="8:10">
      <c r="H8849" s="156"/>
      <c r="I8849" s="156"/>
      <c r="J8849" s="156"/>
    </row>
    <row r="8850" spans="8:10">
      <c r="H8850" s="156"/>
      <c r="I8850" s="156"/>
      <c r="J8850" s="156"/>
    </row>
    <row r="8851" spans="8:10">
      <c r="H8851" s="156"/>
      <c r="I8851" s="156"/>
      <c r="J8851" s="156"/>
    </row>
    <row r="8852" spans="8:10">
      <c r="H8852" s="156"/>
      <c r="I8852" s="156"/>
      <c r="J8852" s="156"/>
    </row>
    <row r="8853" spans="8:10">
      <c r="H8853" s="156"/>
      <c r="I8853" s="156"/>
      <c r="J8853" s="156"/>
    </row>
    <row r="8854" spans="8:10">
      <c r="H8854" s="156"/>
      <c r="I8854" s="156"/>
      <c r="J8854" s="156"/>
    </row>
    <row r="8855" spans="8:10">
      <c r="H8855" s="156"/>
      <c r="I8855" s="156"/>
      <c r="J8855" s="156"/>
    </row>
    <row r="8856" spans="8:10">
      <c r="H8856" s="156"/>
      <c r="I8856" s="156"/>
      <c r="J8856" s="156"/>
    </row>
    <row r="8857" spans="8:10">
      <c r="H8857" s="156"/>
      <c r="I8857" s="156"/>
      <c r="J8857" s="156"/>
    </row>
    <row r="8858" spans="8:10">
      <c r="H8858" s="156"/>
      <c r="I8858" s="156"/>
      <c r="J8858" s="156"/>
    </row>
    <row r="8859" spans="8:10">
      <c r="H8859" s="156"/>
      <c r="I8859" s="156"/>
      <c r="J8859" s="156"/>
    </row>
    <row r="8860" spans="8:10">
      <c r="H8860" s="156"/>
      <c r="I8860" s="156"/>
      <c r="J8860" s="156"/>
    </row>
    <row r="8861" spans="8:10">
      <c r="H8861" s="156"/>
      <c r="I8861" s="156"/>
      <c r="J8861" s="156"/>
    </row>
    <row r="8862" spans="8:10">
      <c r="H8862" s="156"/>
      <c r="I8862" s="156"/>
      <c r="J8862" s="156"/>
    </row>
    <row r="8863" spans="8:10">
      <c r="H8863" s="156"/>
      <c r="I8863" s="156"/>
      <c r="J8863" s="156"/>
    </row>
    <row r="8864" spans="8:10">
      <c r="H8864" s="156"/>
      <c r="I8864" s="156"/>
      <c r="J8864" s="156"/>
    </row>
    <row r="8865" spans="8:10">
      <c r="H8865" s="156"/>
      <c r="I8865" s="156"/>
      <c r="J8865" s="156"/>
    </row>
    <row r="8866" spans="8:10">
      <c r="H8866" s="156"/>
      <c r="I8866" s="156"/>
      <c r="J8866" s="156"/>
    </row>
    <row r="8867" spans="8:10">
      <c r="H8867" s="156"/>
      <c r="I8867" s="156"/>
      <c r="J8867" s="156"/>
    </row>
    <row r="8868" spans="8:10">
      <c r="H8868" s="156"/>
      <c r="I8868" s="156"/>
      <c r="J8868" s="156"/>
    </row>
    <row r="8869" spans="8:10">
      <c r="H8869" s="156"/>
      <c r="I8869" s="156"/>
      <c r="J8869" s="156"/>
    </row>
    <row r="8870" spans="8:10">
      <c r="H8870" s="156"/>
      <c r="I8870" s="156"/>
      <c r="J8870" s="156"/>
    </row>
    <row r="8871" spans="8:10">
      <c r="H8871" s="156"/>
      <c r="I8871" s="156"/>
      <c r="J8871" s="156"/>
    </row>
    <row r="8872" spans="8:10">
      <c r="H8872" s="156"/>
      <c r="I8872" s="156"/>
      <c r="J8872" s="156"/>
    </row>
    <row r="8873" spans="8:10">
      <c r="H8873" s="156"/>
      <c r="I8873" s="156"/>
      <c r="J8873" s="156"/>
    </row>
    <row r="8874" spans="8:10">
      <c r="H8874" s="156"/>
      <c r="I8874" s="156"/>
      <c r="J8874" s="156"/>
    </row>
    <row r="8875" spans="8:10">
      <c r="H8875" s="156"/>
      <c r="I8875" s="156"/>
      <c r="J8875" s="156"/>
    </row>
    <row r="8876" spans="8:10">
      <c r="H8876" s="156"/>
      <c r="I8876" s="156"/>
      <c r="J8876" s="156"/>
    </row>
    <row r="8877" spans="8:10">
      <c r="H8877" s="156"/>
      <c r="I8877" s="156"/>
      <c r="J8877" s="156"/>
    </row>
    <row r="8878" spans="8:10">
      <c r="H8878" s="156"/>
      <c r="I8878" s="156"/>
      <c r="J8878" s="156"/>
    </row>
    <row r="8879" spans="8:10">
      <c r="H8879" s="156"/>
      <c r="I8879" s="156"/>
      <c r="J8879" s="156"/>
    </row>
    <row r="8880" spans="8:10">
      <c r="H8880" s="156"/>
      <c r="I8880" s="156"/>
      <c r="J8880" s="156"/>
    </row>
    <row r="8881" spans="8:10">
      <c r="H8881" s="156"/>
      <c r="I8881" s="156"/>
      <c r="J8881" s="156"/>
    </row>
    <row r="8882" spans="8:10">
      <c r="H8882" s="156"/>
      <c r="I8882" s="156"/>
      <c r="J8882" s="156"/>
    </row>
    <row r="8883" spans="8:10">
      <c r="H8883" s="156"/>
      <c r="I8883" s="156"/>
      <c r="J8883" s="156"/>
    </row>
    <row r="8884" spans="8:10">
      <c r="H8884" s="156"/>
      <c r="I8884" s="156"/>
      <c r="J8884" s="156"/>
    </row>
    <row r="8885" spans="8:10">
      <c r="H8885" s="156"/>
      <c r="I8885" s="156"/>
      <c r="J8885" s="156"/>
    </row>
    <row r="8886" spans="8:10">
      <c r="H8886" s="156"/>
      <c r="I8886" s="156"/>
      <c r="J8886" s="156"/>
    </row>
    <row r="8887" spans="8:10">
      <c r="H8887" s="156"/>
      <c r="I8887" s="156"/>
      <c r="J8887" s="156"/>
    </row>
    <row r="8888" spans="8:10">
      <c r="H8888" s="156"/>
      <c r="I8888" s="156"/>
      <c r="J8888" s="156"/>
    </row>
    <row r="8889" spans="8:10">
      <c r="H8889" s="156"/>
      <c r="I8889" s="156"/>
      <c r="J8889" s="156"/>
    </row>
    <row r="8890" spans="8:10">
      <c r="H8890" s="156"/>
      <c r="I8890" s="156"/>
      <c r="J8890" s="156"/>
    </row>
    <row r="8891" spans="8:10">
      <c r="H8891" s="156"/>
      <c r="I8891" s="156"/>
      <c r="J8891" s="156"/>
    </row>
    <row r="8892" spans="8:10">
      <c r="H8892" s="156"/>
      <c r="I8892" s="156"/>
      <c r="J8892" s="156"/>
    </row>
    <row r="8893" spans="8:10">
      <c r="H8893" s="156"/>
      <c r="I8893" s="156"/>
      <c r="J8893" s="156"/>
    </row>
    <row r="8894" spans="8:10">
      <c r="H8894" s="156"/>
      <c r="I8894" s="156"/>
      <c r="J8894" s="156"/>
    </row>
    <row r="8895" spans="8:10">
      <c r="H8895" s="156"/>
      <c r="I8895" s="156"/>
      <c r="J8895" s="156"/>
    </row>
    <row r="8896" spans="8:10">
      <c r="H8896" s="156"/>
      <c r="I8896" s="156"/>
      <c r="J8896" s="156"/>
    </row>
    <row r="8897" spans="8:10">
      <c r="H8897" s="156"/>
      <c r="I8897" s="156"/>
      <c r="J8897" s="156"/>
    </row>
    <row r="8898" spans="8:10">
      <c r="H8898" s="156"/>
      <c r="I8898" s="156"/>
      <c r="J8898" s="156"/>
    </row>
    <row r="8899" spans="8:10">
      <c r="H8899" s="156"/>
      <c r="I8899" s="156"/>
      <c r="J8899" s="156"/>
    </row>
    <row r="8900" spans="8:10">
      <c r="H8900" s="156"/>
      <c r="I8900" s="156"/>
      <c r="J8900" s="156"/>
    </row>
    <row r="8901" spans="8:10">
      <c r="H8901" s="156"/>
      <c r="I8901" s="156"/>
      <c r="J8901" s="156"/>
    </row>
    <row r="8902" spans="8:10">
      <c r="H8902" s="156"/>
      <c r="I8902" s="156"/>
      <c r="J8902" s="156"/>
    </row>
    <row r="8903" spans="8:10">
      <c r="H8903" s="156"/>
      <c r="I8903" s="156"/>
      <c r="J8903" s="156"/>
    </row>
    <row r="8904" spans="8:10">
      <c r="H8904" s="156"/>
      <c r="I8904" s="156"/>
      <c r="J8904" s="156"/>
    </row>
    <row r="8905" spans="8:10">
      <c r="H8905" s="156"/>
      <c r="I8905" s="156"/>
      <c r="J8905" s="156"/>
    </row>
    <row r="8906" spans="8:10">
      <c r="H8906" s="156"/>
      <c r="I8906" s="156"/>
      <c r="J8906" s="156"/>
    </row>
    <row r="8907" spans="8:10">
      <c r="H8907" s="156"/>
      <c r="I8907" s="156"/>
      <c r="J8907" s="156"/>
    </row>
    <row r="8908" spans="8:10">
      <c r="H8908" s="156"/>
      <c r="I8908" s="156"/>
      <c r="J8908" s="156"/>
    </row>
    <row r="8909" spans="8:10">
      <c r="H8909" s="156"/>
      <c r="I8909" s="156"/>
      <c r="J8909" s="156"/>
    </row>
    <row r="8910" spans="8:10">
      <c r="H8910" s="156"/>
      <c r="I8910" s="156"/>
      <c r="J8910" s="156"/>
    </row>
    <row r="8911" spans="8:10">
      <c r="H8911" s="156"/>
      <c r="I8911" s="156"/>
      <c r="J8911" s="156"/>
    </row>
    <row r="8912" spans="8:10">
      <c r="H8912" s="156"/>
      <c r="I8912" s="156"/>
      <c r="J8912" s="156"/>
    </row>
    <row r="8913" spans="8:10">
      <c r="H8913" s="156"/>
      <c r="I8913" s="156"/>
      <c r="J8913" s="156"/>
    </row>
    <row r="8914" spans="8:10">
      <c r="H8914" s="156"/>
      <c r="I8914" s="156"/>
      <c r="J8914" s="156"/>
    </row>
    <row r="8915" spans="8:10">
      <c r="H8915" s="156"/>
      <c r="I8915" s="156"/>
      <c r="J8915" s="156"/>
    </row>
    <row r="8916" spans="8:10">
      <c r="H8916" s="156"/>
      <c r="I8916" s="156"/>
      <c r="J8916" s="156"/>
    </row>
    <row r="8917" spans="8:10">
      <c r="H8917" s="156"/>
      <c r="I8917" s="156"/>
      <c r="J8917" s="156"/>
    </row>
    <row r="8918" spans="8:10">
      <c r="H8918" s="156"/>
      <c r="I8918" s="156"/>
      <c r="J8918" s="156"/>
    </row>
    <row r="8919" spans="8:10">
      <c r="H8919" s="156"/>
      <c r="I8919" s="156"/>
      <c r="J8919" s="156"/>
    </row>
    <row r="8920" spans="8:10">
      <c r="H8920" s="156"/>
      <c r="I8920" s="156"/>
      <c r="J8920" s="156"/>
    </row>
    <row r="8921" spans="8:10">
      <c r="H8921" s="156"/>
      <c r="I8921" s="156"/>
      <c r="J8921" s="156"/>
    </row>
    <row r="8922" spans="8:10">
      <c r="H8922" s="156"/>
      <c r="I8922" s="156"/>
      <c r="J8922" s="156"/>
    </row>
    <row r="8923" spans="8:10">
      <c r="H8923" s="156"/>
      <c r="I8923" s="156"/>
      <c r="J8923" s="156"/>
    </row>
    <row r="8924" spans="8:10">
      <c r="H8924" s="156"/>
      <c r="I8924" s="156"/>
      <c r="J8924" s="156"/>
    </row>
    <row r="8925" spans="8:10">
      <c r="H8925" s="156"/>
      <c r="I8925" s="156"/>
      <c r="J8925" s="156"/>
    </row>
    <row r="8926" spans="8:10">
      <c r="H8926" s="156"/>
      <c r="I8926" s="156"/>
      <c r="J8926" s="156"/>
    </row>
    <row r="8927" spans="8:10">
      <c r="H8927" s="156"/>
      <c r="I8927" s="156"/>
      <c r="J8927" s="156"/>
    </row>
    <row r="8928" spans="8:10">
      <c r="H8928" s="156"/>
      <c r="I8928" s="156"/>
      <c r="J8928" s="156"/>
    </row>
    <row r="8929" spans="8:10">
      <c r="H8929" s="156"/>
      <c r="I8929" s="156"/>
      <c r="J8929" s="156"/>
    </row>
    <row r="8930" spans="8:10">
      <c r="H8930" s="156"/>
      <c r="I8930" s="156"/>
      <c r="J8930" s="156"/>
    </row>
    <row r="8931" spans="8:10">
      <c r="H8931" s="156"/>
      <c r="I8931" s="156"/>
      <c r="J8931" s="156"/>
    </row>
    <row r="8932" spans="8:10">
      <c r="H8932" s="156"/>
      <c r="I8932" s="156"/>
      <c r="J8932" s="156"/>
    </row>
    <row r="8933" spans="8:10">
      <c r="H8933" s="156"/>
      <c r="I8933" s="156"/>
      <c r="J8933" s="156"/>
    </row>
    <row r="8934" spans="8:10">
      <c r="H8934" s="156"/>
      <c r="I8934" s="156"/>
      <c r="J8934" s="156"/>
    </row>
    <row r="8935" spans="8:10">
      <c r="H8935" s="156"/>
      <c r="I8935" s="156"/>
      <c r="J8935" s="156"/>
    </row>
    <row r="8936" spans="8:10">
      <c r="H8936" s="156"/>
      <c r="I8936" s="156"/>
      <c r="J8936" s="156"/>
    </row>
    <row r="8937" spans="8:10">
      <c r="H8937" s="156"/>
      <c r="I8937" s="156"/>
      <c r="J8937" s="156"/>
    </row>
    <row r="8938" spans="8:10">
      <c r="H8938" s="156"/>
      <c r="I8938" s="156"/>
      <c r="J8938" s="156"/>
    </row>
    <row r="8939" spans="8:10">
      <c r="H8939" s="156"/>
      <c r="I8939" s="156"/>
      <c r="J8939" s="156"/>
    </row>
    <row r="8940" spans="8:10">
      <c r="H8940" s="156"/>
      <c r="I8940" s="156"/>
      <c r="J8940" s="156"/>
    </row>
    <row r="8941" spans="8:10">
      <c r="H8941" s="156"/>
      <c r="I8941" s="156"/>
      <c r="J8941" s="156"/>
    </row>
    <row r="8942" spans="8:10">
      <c r="H8942" s="156"/>
      <c r="I8942" s="156"/>
      <c r="J8942" s="156"/>
    </row>
    <row r="8943" spans="8:10">
      <c r="H8943" s="156"/>
      <c r="I8943" s="156"/>
      <c r="J8943" s="156"/>
    </row>
    <row r="8944" spans="8:10">
      <c r="H8944" s="156"/>
      <c r="I8944" s="156"/>
      <c r="J8944" s="156"/>
    </row>
    <row r="8945" spans="8:10">
      <c r="H8945" s="156"/>
      <c r="I8945" s="156"/>
      <c r="J8945" s="156"/>
    </row>
    <row r="8946" spans="8:10">
      <c r="H8946" s="156"/>
      <c r="I8946" s="156"/>
      <c r="J8946" s="156"/>
    </row>
    <row r="8947" spans="8:10">
      <c r="H8947" s="156"/>
      <c r="I8947" s="156"/>
      <c r="J8947" s="156"/>
    </row>
    <row r="8948" spans="8:10">
      <c r="H8948" s="156"/>
      <c r="I8948" s="156"/>
      <c r="J8948" s="156"/>
    </row>
    <row r="8949" spans="8:10">
      <c r="H8949" s="156"/>
      <c r="I8949" s="156"/>
      <c r="J8949" s="156"/>
    </row>
    <row r="8950" spans="8:10">
      <c r="H8950" s="156"/>
      <c r="I8950" s="156"/>
      <c r="J8950" s="156"/>
    </row>
    <row r="8951" spans="8:10">
      <c r="H8951" s="156"/>
      <c r="I8951" s="156"/>
      <c r="J8951" s="156"/>
    </row>
    <row r="8952" spans="8:10">
      <c r="H8952" s="156"/>
      <c r="I8952" s="156"/>
      <c r="J8952" s="156"/>
    </row>
    <row r="8953" spans="8:10">
      <c r="H8953" s="156"/>
      <c r="I8953" s="156"/>
      <c r="J8953" s="156"/>
    </row>
    <row r="8954" spans="8:10">
      <c r="H8954" s="156"/>
      <c r="I8954" s="156"/>
      <c r="J8954" s="156"/>
    </row>
    <row r="8955" spans="8:10">
      <c r="H8955" s="156"/>
      <c r="I8955" s="156"/>
      <c r="J8955" s="156"/>
    </row>
    <row r="8956" spans="8:10">
      <c r="H8956" s="156"/>
      <c r="I8956" s="156"/>
      <c r="J8956" s="156"/>
    </row>
    <row r="8957" spans="8:10">
      <c r="H8957" s="156"/>
      <c r="I8957" s="156"/>
      <c r="J8957" s="156"/>
    </row>
    <row r="8958" spans="8:10">
      <c r="H8958" s="156"/>
      <c r="I8958" s="156"/>
      <c r="J8958" s="156"/>
    </row>
    <row r="8959" spans="8:10">
      <c r="H8959" s="156"/>
      <c r="I8959" s="156"/>
      <c r="J8959" s="156"/>
    </row>
    <row r="8960" spans="8:10">
      <c r="H8960" s="156"/>
      <c r="I8960" s="156"/>
      <c r="J8960" s="156"/>
    </row>
    <row r="8961" spans="8:10">
      <c r="H8961" s="156"/>
      <c r="I8961" s="156"/>
      <c r="J8961" s="156"/>
    </row>
    <row r="8962" spans="8:10">
      <c r="H8962" s="156"/>
      <c r="I8962" s="156"/>
      <c r="J8962" s="156"/>
    </row>
    <row r="8963" spans="8:10">
      <c r="H8963" s="156"/>
      <c r="I8963" s="156"/>
      <c r="J8963" s="156"/>
    </row>
    <row r="8964" spans="8:10">
      <c r="H8964" s="156"/>
      <c r="I8964" s="156"/>
      <c r="J8964" s="156"/>
    </row>
    <row r="8965" spans="8:10">
      <c r="H8965" s="156"/>
      <c r="I8965" s="156"/>
      <c r="J8965" s="156"/>
    </row>
    <row r="8966" spans="8:10">
      <c r="H8966" s="156"/>
      <c r="I8966" s="156"/>
      <c r="J8966" s="156"/>
    </row>
    <row r="8967" spans="8:10">
      <c r="H8967" s="156"/>
      <c r="I8967" s="156"/>
      <c r="J8967" s="156"/>
    </row>
    <row r="8968" spans="8:10">
      <c r="H8968" s="156"/>
      <c r="I8968" s="156"/>
      <c r="J8968" s="156"/>
    </row>
    <row r="8969" spans="8:10">
      <c r="H8969" s="156"/>
      <c r="I8969" s="156"/>
      <c r="J8969" s="156"/>
    </row>
    <row r="8970" spans="8:10">
      <c r="H8970" s="156"/>
      <c r="I8970" s="156"/>
      <c r="J8970" s="156"/>
    </row>
    <row r="8971" spans="8:10">
      <c r="H8971" s="156"/>
      <c r="I8971" s="156"/>
      <c r="J8971" s="156"/>
    </row>
    <row r="8972" spans="8:10">
      <c r="H8972" s="156"/>
      <c r="I8972" s="156"/>
      <c r="J8972" s="156"/>
    </row>
    <row r="8973" spans="8:10">
      <c r="H8973" s="156"/>
      <c r="I8973" s="156"/>
      <c r="J8973" s="156"/>
    </row>
    <row r="8974" spans="8:10">
      <c r="H8974" s="156"/>
      <c r="I8974" s="156"/>
      <c r="J8974" s="156"/>
    </row>
    <row r="8975" spans="8:10">
      <c r="H8975" s="156"/>
      <c r="I8975" s="156"/>
      <c r="J8975" s="156"/>
    </row>
    <row r="8976" spans="8:10">
      <c r="H8976" s="156"/>
      <c r="I8976" s="156"/>
      <c r="J8976" s="156"/>
    </row>
    <row r="8977" spans="8:10">
      <c r="H8977" s="156"/>
      <c r="I8977" s="156"/>
      <c r="J8977" s="156"/>
    </row>
    <row r="8978" spans="8:10">
      <c r="H8978" s="156"/>
      <c r="I8978" s="156"/>
      <c r="J8978" s="156"/>
    </row>
    <row r="8979" spans="8:10">
      <c r="H8979" s="156"/>
      <c r="I8979" s="156"/>
      <c r="J8979" s="156"/>
    </row>
    <row r="8980" spans="8:10">
      <c r="H8980" s="156"/>
      <c r="I8980" s="156"/>
      <c r="J8980" s="156"/>
    </row>
    <row r="8981" spans="8:10">
      <c r="H8981" s="156"/>
      <c r="I8981" s="156"/>
      <c r="J8981" s="156"/>
    </row>
    <row r="8982" spans="8:10">
      <c r="H8982" s="156"/>
      <c r="I8982" s="156"/>
      <c r="J8982" s="156"/>
    </row>
    <row r="8983" spans="8:10">
      <c r="H8983" s="156"/>
      <c r="I8983" s="156"/>
      <c r="J8983" s="156"/>
    </row>
    <row r="8984" spans="8:10">
      <c r="H8984" s="156"/>
      <c r="I8984" s="156"/>
      <c r="J8984" s="156"/>
    </row>
    <row r="8985" spans="8:10">
      <c r="H8985" s="156"/>
      <c r="I8985" s="156"/>
      <c r="J8985" s="156"/>
    </row>
    <row r="8986" spans="8:10">
      <c r="H8986" s="156"/>
      <c r="I8986" s="156"/>
      <c r="J8986" s="156"/>
    </row>
    <row r="8987" spans="8:10">
      <c r="H8987" s="156"/>
      <c r="I8987" s="156"/>
      <c r="J8987" s="156"/>
    </row>
    <row r="8988" spans="8:10">
      <c r="H8988" s="156"/>
      <c r="I8988" s="156"/>
      <c r="J8988" s="156"/>
    </row>
    <row r="8989" spans="8:10">
      <c r="H8989" s="156"/>
      <c r="I8989" s="156"/>
      <c r="J8989" s="156"/>
    </row>
    <row r="8990" spans="8:10">
      <c r="H8990" s="156"/>
      <c r="I8990" s="156"/>
      <c r="J8990" s="156"/>
    </row>
    <row r="8991" spans="8:10">
      <c r="H8991" s="156"/>
      <c r="I8991" s="156"/>
      <c r="J8991" s="156"/>
    </row>
    <row r="8992" spans="8:10">
      <c r="H8992" s="156"/>
      <c r="I8992" s="156"/>
      <c r="J8992" s="156"/>
    </row>
    <row r="8993" spans="8:10">
      <c r="H8993" s="156"/>
      <c r="I8993" s="156"/>
      <c r="J8993" s="156"/>
    </row>
    <row r="8994" spans="8:10">
      <c r="H8994" s="156"/>
      <c r="I8994" s="156"/>
      <c r="J8994" s="156"/>
    </row>
    <row r="8995" spans="8:10">
      <c r="H8995" s="156"/>
      <c r="I8995" s="156"/>
      <c r="J8995" s="156"/>
    </row>
    <row r="8996" spans="8:10">
      <c r="H8996" s="156"/>
      <c r="I8996" s="156"/>
      <c r="J8996" s="156"/>
    </row>
    <row r="8997" spans="8:10">
      <c r="H8997" s="156"/>
      <c r="I8997" s="156"/>
      <c r="J8997" s="156"/>
    </row>
    <row r="8998" spans="8:10">
      <c r="H8998" s="156"/>
      <c r="I8998" s="156"/>
      <c r="J8998" s="156"/>
    </row>
    <row r="8999" spans="8:10">
      <c r="H8999" s="156"/>
      <c r="I8999" s="156"/>
      <c r="J8999" s="156"/>
    </row>
    <row r="9000" spans="8:10">
      <c r="H9000" s="156"/>
      <c r="I9000" s="156"/>
      <c r="J9000" s="156"/>
    </row>
    <row r="9001" spans="8:10">
      <c r="H9001" s="156"/>
      <c r="I9001" s="156"/>
      <c r="J9001" s="156"/>
    </row>
    <row r="9002" spans="8:10">
      <c r="H9002" s="156"/>
      <c r="I9002" s="156"/>
      <c r="J9002" s="156"/>
    </row>
    <row r="9003" spans="8:10">
      <c r="H9003" s="156"/>
      <c r="I9003" s="156"/>
      <c r="J9003" s="156"/>
    </row>
    <row r="9004" spans="8:10">
      <c r="H9004" s="156"/>
      <c r="I9004" s="156"/>
      <c r="J9004" s="156"/>
    </row>
    <row r="9005" spans="8:10">
      <c r="H9005" s="156"/>
      <c r="I9005" s="156"/>
      <c r="J9005" s="156"/>
    </row>
    <row r="9006" spans="8:10">
      <c r="H9006" s="156"/>
      <c r="I9006" s="156"/>
      <c r="J9006" s="156"/>
    </row>
    <row r="9007" spans="8:10">
      <c r="H9007" s="156"/>
      <c r="I9007" s="156"/>
      <c r="J9007" s="156"/>
    </row>
    <row r="9008" spans="8:10">
      <c r="H9008" s="156"/>
      <c r="I9008" s="156"/>
      <c r="J9008" s="156"/>
    </row>
    <row r="9009" spans="8:10">
      <c r="H9009" s="156"/>
      <c r="I9009" s="156"/>
      <c r="J9009" s="156"/>
    </row>
    <row r="9010" spans="8:10">
      <c r="H9010" s="156"/>
      <c r="I9010" s="156"/>
      <c r="J9010" s="156"/>
    </row>
    <row r="9011" spans="8:10">
      <c r="H9011" s="156"/>
      <c r="I9011" s="156"/>
      <c r="J9011" s="156"/>
    </row>
    <row r="9012" spans="8:10">
      <c r="H9012" s="156"/>
      <c r="I9012" s="156"/>
      <c r="J9012" s="156"/>
    </row>
    <row r="9013" spans="8:10">
      <c r="H9013" s="156"/>
      <c r="I9013" s="156"/>
      <c r="J9013" s="156"/>
    </row>
    <row r="9014" spans="8:10">
      <c r="H9014" s="156"/>
      <c r="I9014" s="156"/>
      <c r="J9014" s="156"/>
    </row>
    <row r="9015" spans="8:10">
      <c r="H9015" s="156"/>
      <c r="I9015" s="156"/>
      <c r="J9015" s="156"/>
    </row>
    <row r="9016" spans="8:10">
      <c r="H9016" s="156"/>
      <c r="I9016" s="156"/>
      <c r="J9016" s="156"/>
    </row>
    <row r="9017" spans="8:10">
      <c r="H9017" s="156"/>
      <c r="I9017" s="156"/>
      <c r="J9017" s="156"/>
    </row>
    <row r="9018" spans="8:10">
      <c r="H9018" s="156"/>
      <c r="I9018" s="156"/>
      <c r="J9018" s="156"/>
    </row>
    <row r="9019" spans="8:10">
      <c r="H9019" s="156"/>
      <c r="I9019" s="156"/>
      <c r="J9019" s="156"/>
    </row>
    <row r="9020" spans="8:10">
      <c r="H9020" s="156"/>
      <c r="I9020" s="156"/>
      <c r="J9020" s="156"/>
    </row>
    <row r="9021" spans="8:10">
      <c r="H9021" s="156"/>
      <c r="I9021" s="156"/>
      <c r="J9021" s="156"/>
    </row>
    <row r="9022" spans="8:10">
      <c r="H9022" s="156"/>
      <c r="I9022" s="156"/>
      <c r="J9022" s="156"/>
    </row>
    <row r="9023" spans="8:10">
      <c r="H9023" s="156"/>
      <c r="I9023" s="156"/>
      <c r="J9023" s="156"/>
    </row>
    <row r="9024" spans="8:10">
      <c r="H9024" s="156"/>
      <c r="I9024" s="156"/>
      <c r="J9024" s="156"/>
    </row>
    <row r="9025" spans="8:10">
      <c r="H9025" s="156"/>
      <c r="I9025" s="156"/>
      <c r="J9025" s="156"/>
    </row>
    <row r="9026" spans="8:10">
      <c r="H9026" s="156"/>
      <c r="I9026" s="156"/>
      <c r="J9026" s="156"/>
    </row>
    <row r="9027" spans="8:10">
      <c r="H9027" s="156"/>
      <c r="I9027" s="156"/>
      <c r="J9027" s="156"/>
    </row>
    <row r="9028" spans="8:10">
      <c r="H9028" s="156"/>
      <c r="I9028" s="156"/>
      <c r="J9028" s="156"/>
    </row>
    <row r="9029" spans="8:10">
      <c r="H9029" s="156"/>
      <c r="I9029" s="156"/>
      <c r="J9029" s="156"/>
    </row>
    <row r="9030" spans="8:10">
      <c r="H9030" s="156"/>
      <c r="I9030" s="156"/>
      <c r="J9030" s="156"/>
    </row>
    <row r="9031" spans="8:10">
      <c r="H9031" s="156"/>
      <c r="I9031" s="156"/>
      <c r="J9031" s="156"/>
    </row>
    <row r="9032" spans="8:10">
      <c r="H9032" s="156"/>
      <c r="I9032" s="156"/>
      <c r="J9032" s="156"/>
    </row>
    <row r="9033" spans="8:10">
      <c r="H9033" s="156"/>
      <c r="I9033" s="156"/>
      <c r="J9033" s="156"/>
    </row>
    <row r="9034" spans="8:10">
      <c r="H9034" s="156"/>
      <c r="I9034" s="156"/>
      <c r="J9034" s="156"/>
    </row>
    <row r="9035" spans="8:10">
      <c r="H9035" s="156"/>
      <c r="I9035" s="156"/>
      <c r="J9035" s="156"/>
    </row>
    <row r="9036" spans="8:10">
      <c r="H9036" s="156"/>
      <c r="I9036" s="156"/>
      <c r="J9036" s="156"/>
    </row>
    <row r="9037" spans="8:10">
      <c r="H9037" s="156"/>
      <c r="I9037" s="156"/>
      <c r="J9037" s="156"/>
    </row>
    <row r="9038" spans="8:10">
      <c r="H9038" s="156"/>
      <c r="I9038" s="156"/>
      <c r="J9038" s="156"/>
    </row>
    <row r="9039" spans="8:10">
      <c r="H9039" s="156"/>
      <c r="I9039" s="156"/>
      <c r="J9039" s="156"/>
    </row>
    <row r="9040" spans="8:10">
      <c r="H9040" s="156"/>
      <c r="I9040" s="156"/>
      <c r="J9040" s="156"/>
    </row>
    <row r="9041" spans="8:10">
      <c r="H9041" s="156"/>
      <c r="I9041" s="156"/>
      <c r="J9041" s="156"/>
    </row>
    <row r="9042" spans="8:10">
      <c r="H9042" s="156"/>
      <c r="I9042" s="156"/>
      <c r="J9042" s="156"/>
    </row>
    <row r="9043" spans="8:10">
      <c r="H9043" s="156"/>
      <c r="I9043" s="156"/>
      <c r="J9043" s="156"/>
    </row>
    <row r="9044" spans="8:10">
      <c r="H9044" s="156"/>
      <c r="I9044" s="156"/>
      <c r="J9044" s="156"/>
    </row>
    <row r="9045" spans="8:10">
      <c r="H9045" s="156"/>
      <c r="I9045" s="156"/>
      <c r="J9045" s="156"/>
    </row>
    <row r="9046" spans="8:10">
      <c r="H9046" s="156"/>
      <c r="I9046" s="156"/>
      <c r="J9046" s="156"/>
    </row>
    <row r="9047" spans="8:10">
      <c r="H9047" s="156"/>
      <c r="I9047" s="156"/>
      <c r="J9047" s="156"/>
    </row>
    <row r="9048" spans="8:10">
      <c r="H9048" s="156"/>
      <c r="I9048" s="156"/>
      <c r="J9048" s="156"/>
    </row>
    <row r="9049" spans="8:10">
      <c r="H9049" s="156"/>
      <c r="I9049" s="156"/>
      <c r="J9049" s="156"/>
    </row>
    <row r="9050" spans="8:10">
      <c r="H9050" s="156"/>
      <c r="I9050" s="156"/>
      <c r="J9050" s="156"/>
    </row>
    <row r="9051" spans="8:10">
      <c r="H9051" s="156"/>
      <c r="I9051" s="156"/>
      <c r="J9051" s="156"/>
    </row>
    <row r="9052" spans="8:10">
      <c r="H9052" s="156"/>
      <c r="I9052" s="156"/>
      <c r="J9052" s="156"/>
    </row>
    <row r="9053" spans="8:10">
      <c r="H9053" s="156"/>
      <c r="I9053" s="156"/>
      <c r="J9053" s="156"/>
    </row>
    <row r="9054" spans="8:10">
      <c r="H9054" s="156"/>
      <c r="I9054" s="156"/>
      <c r="J9054" s="156"/>
    </row>
    <row r="9055" spans="8:10">
      <c r="H9055" s="156"/>
      <c r="I9055" s="156"/>
      <c r="J9055" s="156"/>
    </row>
    <row r="9056" spans="8:10">
      <c r="H9056" s="156"/>
      <c r="I9056" s="156"/>
      <c r="J9056" s="156"/>
    </row>
    <row r="9057" spans="8:10">
      <c r="H9057" s="156"/>
      <c r="I9057" s="156"/>
      <c r="J9057" s="156"/>
    </row>
    <row r="9058" spans="8:10">
      <c r="H9058" s="156"/>
      <c r="I9058" s="156"/>
      <c r="J9058" s="156"/>
    </row>
    <row r="9059" spans="8:10">
      <c r="H9059" s="156"/>
      <c r="I9059" s="156"/>
      <c r="J9059" s="156"/>
    </row>
    <row r="9060" spans="8:10">
      <c r="H9060" s="156"/>
      <c r="I9060" s="156"/>
      <c r="J9060" s="156"/>
    </row>
    <row r="9061" spans="8:10">
      <c r="H9061" s="156"/>
      <c r="I9061" s="156"/>
      <c r="J9061" s="156"/>
    </row>
    <row r="9062" spans="8:10">
      <c r="H9062" s="156"/>
      <c r="I9062" s="156"/>
      <c r="J9062" s="156"/>
    </row>
    <row r="9063" spans="8:10">
      <c r="H9063" s="156"/>
      <c r="I9063" s="156"/>
      <c r="J9063" s="156"/>
    </row>
    <row r="9064" spans="8:10">
      <c r="H9064" s="156"/>
      <c r="I9064" s="156"/>
      <c r="J9064" s="156"/>
    </row>
    <row r="9065" spans="8:10">
      <c r="H9065" s="156"/>
      <c r="I9065" s="156"/>
      <c r="J9065" s="156"/>
    </row>
    <row r="9066" spans="8:10">
      <c r="H9066" s="156"/>
      <c r="I9066" s="156"/>
      <c r="J9066" s="156"/>
    </row>
    <row r="9067" spans="8:10">
      <c r="H9067" s="156"/>
      <c r="I9067" s="156"/>
      <c r="J9067" s="156"/>
    </row>
    <row r="9068" spans="8:10">
      <c r="H9068" s="156"/>
      <c r="I9068" s="156"/>
      <c r="J9068" s="156"/>
    </row>
    <row r="9069" spans="8:10">
      <c r="H9069" s="156"/>
      <c r="I9069" s="156"/>
      <c r="J9069" s="156"/>
    </row>
    <row r="9070" spans="8:10">
      <c r="H9070" s="156"/>
      <c r="I9070" s="156"/>
      <c r="J9070" s="156"/>
    </row>
    <row r="9071" spans="8:10">
      <c r="H9071" s="156"/>
      <c r="I9071" s="156"/>
      <c r="J9071" s="156"/>
    </row>
    <row r="9072" spans="8:10">
      <c r="H9072" s="156"/>
      <c r="I9072" s="156"/>
      <c r="J9072" s="156"/>
    </row>
    <row r="9073" spans="8:10">
      <c r="H9073" s="156"/>
      <c r="I9073" s="156"/>
      <c r="J9073" s="156"/>
    </row>
    <row r="9074" spans="8:10">
      <c r="H9074" s="156"/>
      <c r="I9074" s="156"/>
      <c r="J9074" s="156"/>
    </row>
    <row r="9075" spans="8:10">
      <c r="H9075" s="156"/>
      <c r="I9075" s="156"/>
      <c r="J9075" s="156"/>
    </row>
    <row r="9076" spans="8:10">
      <c r="H9076" s="156"/>
      <c r="I9076" s="156"/>
      <c r="J9076" s="156"/>
    </row>
    <row r="9077" spans="8:10">
      <c r="H9077" s="156"/>
      <c r="I9077" s="156"/>
      <c r="J9077" s="156"/>
    </row>
    <row r="9078" spans="8:10">
      <c r="H9078" s="156"/>
      <c r="I9078" s="156"/>
      <c r="J9078" s="156"/>
    </row>
    <row r="9079" spans="8:10">
      <c r="H9079" s="156"/>
      <c r="I9079" s="156"/>
      <c r="J9079" s="156"/>
    </row>
    <row r="9080" spans="8:10">
      <c r="H9080" s="156"/>
      <c r="I9080" s="156"/>
      <c r="J9080" s="156"/>
    </row>
    <row r="9081" spans="8:10">
      <c r="H9081" s="156"/>
      <c r="I9081" s="156"/>
      <c r="J9081" s="156"/>
    </row>
    <row r="9082" spans="8:10">
      <c r="H9082" s="156"/>
      <c r="I9082" s="156"/>
      <c r="J9082" s="156"/>
    </row>
    <row r="9083" spans="8:10">
      <c r="H9083" s="156"/>
      <c r="I9083" s="156"/>
      <c r="J9083" s="156"/>
    </row>
    <row r="9084" spans="8:10">
      <c r="H9084" s="156"/>
      <c r="I9084" s="156"/>
      <c r="J9084" s="156"/>
    </row>
    <row r="9085" spans="8:10">
      <c r="H9085" s="156"/>
      <c r="I9085" s="156"/>
      <c r="J9085" s="156"/>
    </row>
    <row r="9086" spans="8:10">
      <c r="H9086" s="156"/>
      <c r="I9086" s="156"/>
      <c r="J9086" s="156"/>
    </row>
    <row r="9087" spans="8:10">
      <c r="H9087" s="156"/>
      <c r="I9087" s="156"/>
      <c r="J9087" s="156"/>
    </row>
    <row r="9088" spans="8:10">
      <c r="H9088" s="156"/>
      <c r="I9088" s="156"/>
      <c r="J9088" s="156"/>
    </row>
    <row r="9089" spans="8:10">
      <c r="H9089" s="156"/>
      <c r="I9089" s="156"/>
      <c r="J9089" s="156"/>
    </row>
    <row r="9090" spans="8:10">
      <c r="H9090" s="156"/>
      <c r="I9090" s="156"/>
      <c r="J9090" s="156"/>
    </row>
    <row r="9091" spans="8:10">
      <c r="H9091" s="156"/>
      <c r="I9091" s="156"/>
      <c r="J9091" s="156"/>
    </row>
    <row r="9092" spans="8:10">
      <c r="H9092" s="156"/>
      <c r="I9092" s="156"/>
      <c r="J9092" s="156"/>
    </row>
    <row r="9093" spans="8:10">
      <c r="H9093" s="156"/>
      <c r="I9093" s="156"/>
      <c r="J9093" s="156"/>
    </row>
    <row r="9094" spans="8:10">
      <c r="H9094" s="156"/>
      <c r="I9094" s="156"/>
      <c r="J9094" s="156"/>
    </row>
    <row r="9095" spans="8:10">
      <c r="H9095" s="156"/>
      <c r="I9095" s="156"/>
      <c r="J9095" s="156"/>
    </row>
    <row r="9096" spans="8:10">
      <c r="H9096" s="156"/>
      <c r="I9096" s="156"/>
      <c r="J9096" s="156"/>
    </row>
    <row r="9097" spans="8:10">
      <c r="H9097" s="156"/>
      <c r="I9097" s="156"/>
      <c r="J9097" s="156"/>
    </row>
    <row r="9098" spans="8:10">
      <c r="H9098" s="156"/>
      <c r="I9098" s="156"/>
      <c r="J9098" s="156"/>
    </row>
    <row r="9099" spans="8:10">
      <c r="H9099" s="156"/>
      <c r="I9099" s="156"/>
      <c r="J9099" s="156"/>
    </row>
    <row r="9100" spans="8:10">
      <c r="H9100" s="156"/>
      <c r="I9100" s="156"/>
      <c r="J9100" s="156"/>
    </row>
    <row r="9101" spans="8:10">
      <c r="H9101" s="156"/>
      <c r="I9101" s="156"/>
      <c r="J9101" s="156"/>
    </row>
    <row r="9102" spans="8:10">
      <c r="H9102" s="156"/>
      <c r="I9102" s="156"/>
      <c r="J9102" s="156"/>
    </row>
    <row r="9103" spans="8:10">
      <c r="H9103" s="156"/>
      <c r="I9103" s="156"/>
      <c r="J9103" s="156"/>
    </row>
    <row r="9104" spans="8:10">
      <c r="H9104" s="156"/>
      <c r="I9104" s="156"/>
      <c r="J9104" s="156"/>
    </row>
    <row r="9105" spans="8:10">
      <c r="H9105" s="156"/>
      <c r="I9105" s="156"/>
      <c r="J9105" s="156"/>
    </row>
    <row r="9106" spans="8:10">
      <c r="H9106" s="156"/>
      <c r="I9106" s="156"/>
      <c r="J9106" s="156"/>
    </row>
    <row r="9107" spans="8:10">
      <c r="H9107" s="156"/>
      <c r="I9107" s="156"/>
      <c r="J9107" s="156"/>
    </row>
    <row r="9108" spans="8:10">
      <c r="H9108" s="156"/>
      <c r="I9108" s="156"/>
      <c r="J9108" s="156"/>
    </row>
    <row r="9109" spans="8:10">
      <c r="H9109" s="156"/>
      <c r="I9109" s="156"/>
      <c r="J9109" s="156"/>
    </row>
    <row r="9110" spans="8:10">
      <c r="H9110" s="156"/>
      <c r="I9110" s="156"/>
      <c r="J9110" s="156"/>
    </row>
    <row r="9111" spans="8:10">
      <c r="H9111" s="156"/>
      <c r="I9111" s="156"/>
      <c r="J9111" s="156"/>
    </row>
    <row r="9112" spans="8:10">
      <c r="H9112" s="156"/>
      <c r="I9112" s="156"/>
      <c r="J9112" s="156"/>
    </row>
    <row r="9113" spans="8:10">
      <c r="H9113" s="156"/>
      <c r="I9113" s="156"/>
      <c r="J9113" s="156"/>
    </row>
    <row r="9114" spans="8:10">
      <c r="H9114" s="156"/>
      <c r="I9114" s="156"/>
      <c r="J9114" s="156"/>
    </row>
    <row r="9115" spans="8:10">
      <c r="H9115" s="156"/>
      <c r="I9115" s="156"/>
      <c r="J9115" s="156"/>
    </row>
    <row r="9116" spans="8:10">
      <c r="H9116" s="156"/>
      <c r="I9116" s="156"/>
      <c r="J9116" s="156"/>
    </row>
    <row r="9117" spans="8:10">
      <c r="H9117" s="156"/>
      <c r="I9117" s="156"/>
      <c r="J9117" s="156"/>
    </row>
    <row r="9118" spans="8:10">
      <c r="H9118" s="156"/>
      <c r="I9118" s="156"/>
      <c r="J9118" s="156"/>
    </row>
    <row r="9119" spans="8:10">
      <c r="H9119" s="156"/>
      <c r="I9119" s="156"/>
      <c r="J9119" s="156"/>
    </row>
    <row r="9120" spans="8:10">
      <c r="H9120" s="156"/>
      <c r="I9120" s="156"/>
      <c r="J9120" s="156"/>
    </row>
    <row r="9121" spans="8:10">
      <c r="H9121" s="156"/>
      <c r="I9121" s="156"/>
      <c r="J9121" s="156"/>
    </row>
    <row r="9122" spans="8:10">
      <c r="H9122" s="156"/>
      <c r="I9122" s="156"/>
      <c r="J9122" s="156"/>
    </row>
    <row r="9123" spans="8:10">
      <c r="H9123" s="156"/>
      <c r="I9123" s="156"/>
      <c r="J9123" s="156"/>
    </row>
    <row r="9124" spans="8:10">
      <c r="H9124" s="156"/>
      <c r="I9124" s="156"/>
      <c r="J9124" s="156"/>
    </row>
    <row r="9125" spans="8:10">
      <c r="H9125" s="156"/>
      <c r="I9125" s="156"/>
      <c r="J9125" s="156"/>
    </row>
    <row r="9126" spans="8:10">
      <c r="H9126" s="156"/>
      <c r="I9126" s="156"/>
      <c r="J9126" s="156"/>
    </row>
    <row r="9127" spans="8:10">
      <c r="H9127" s="156"/>
      <c r="I9127" s="156"/>
      <c r="J9127" s="156"/>
    </row>
    <row r="9128" spans="8:10">
      <c r="H9128" s="156"/>
      <c r="I9128" s="156"/>
      <c r="J9128" s="156"/>
    </row>
    <row r="9129" spans="8:10">
      <c r="H9129" s="156"/>
      <c r="I9129" s="156"/>
      <c r="J9129" s="156"/>
    </row>
    <row r="9130" spans="8:10">
      <c r="H9130" s="156"/>
      <c r="I9130" s="156"/>
      <c r="J9130" s="156"/>
    </row>
    <row r="9131" spans="8:10">
      <c r="H9131" s="156"/>
      <c r="I9131" s="156"/>
      <c r="J9131" s="156"/>
    </row>
    <row r="9132" spans="8:10">
      <c r="H9132" s="156"/>
      <c r="I9132" s="156"/>
      <c r="J9132" s="156"/>
    </row>
    <row r="9133" spans="8:10">
      <c r="H9133" s="156"/>
      <c r="I9133" s="156"/>
      <c r="J9133" s="156"/>
    </row>
    <row r="9134" spans="8:10">
      <c r="H9134" s="156"/>
      <c r="I9134" s="156"/>
      <c r="J9134" s="156"/>
    </row>
    <row r="9135" spans="8:10">
      <c r="H9135" s="156"/>
      <c r="I9135" s="156"/>
      <c r="J9135" s="156"/>
    </row>
    <row r="9136" spans="8:10">
      <c r="H9136" s="156"/>
      <c r="I9136" s="156"/>
      <c r="J9136" s="156"/>
    </row>
    <row r="9137" spans="8:10">
      <c r="H9137" s="156"/>
      <c r="I9137" s="156"/>
      <c r="J9137" s="156"/>
    </row>
    <row r="9138" spans="8:10">
      <c r="H9138" s="156"/>
      <c r="I9138" s="156"/>
      <c r="J9138" s="156"/>
    </row>
    <row r="9139" spans="8:10">
      <c r="H9139" s="156"/>
      <c r="I9139" s="156"/>
      <c r="J9139" s="156"/>
    </row>
    <row r="9140" spans="8:10">
      <c r="H9140" s="156"/>
      <c r="I9140" s="156"/>
      <c r="J9140" s="156"/>
    </row>
    <row r="9141" spans="8:10">
      <c r="H9141" s="156"/>
      <c r="I9141" s="156"/>
      <c r="J9141" s="156"/>
    </row>
    <row r="9142" spans="8:10">
      <c r="H9142" s="156"/>
      <c r="I9142" s="156"/>
      <c r="J9142" s="156"/>
    </row>
    <row r="9143" spans="8:10">
      <c r="H9143" s="156"/>
      <c r="I9143" s="156"/>
      <c r="J9143" s="156"/>
    </row>
    <row r="9144" spans="8:10">
      <c r="H9144" s="156"/>
      <c r="I9144" s="156"/>
      <c r="J9144" s="156"/>
    </row>
    <row r="9145" spans="8:10">
      <c r="H9145" s="156"/>
      <c r="I9145" s="156"/>
      <c r="J9145" s="156"/>
    </row>
    <row r="9146" spans="8:10">
      <c r="H9146" s="156"/>
      <c r="I9146" s="156"/>
      <c r="J9146" s="156"/>
    </row>
    <row r="9147" spans="8:10">
      <c r="H9147" s="156"/>
      <c r="I9147" s="156"/>
      <c r="J9147" s="156"/>
    </row>
    <row r="9148" spans="8:10">
      <c r="H9148" s="156"/>
      <c r="I9148" s="156"/>
      <c r="J9148" s="156"/>
    </row>
    <row r="9149" spans="8:10">
      <c r="H9149" s="156"/>
      <c r="I9149" s="156"/>
      <c r="J9149" s="156"/>
    </row>
    <row r="9150" spans="8:10">
      <c r="H9150" s="156"/>
      <c r="I9150" s="156"/>
      <c r="J9150" s="156"/>
    </row>
    <row r="9151" spans="8:10">
      <c r="H9151" s="156"/>
      <c r="I9151" s="156"/>
      <c r="J9151" s="156"/>
    </row>
    <row r="9152" spans="8:10">
      <c r="H9152" s="156"/>
      <c r="I9152" s="156"/>
      <c r="J9152" s="156"/>
    </row>
    <row r="9153" spans="8:10">
      <c r="H9153" s="156"/>
      <c r="I9153" s="156"/>
      <c r="J9153" s="156"/>
    </row>
    <row r="9154" spans="8:10">
      <c r="H9154" s="156"/>
      <c r="I9154" s="156"/>
      <c r="J9154" s="156"/>
    </row>
    <row r="9155" spans="8:10">
      <c r="H9155" s="156"/>
      <c r="I9155" s="156"/>
      <c r="J9155" s="156"/>
    </row>
    <row r="9156" spans="8:10">
      <c r="H9156" s="156"/>
      <c r="I9156" s="156"/>
      <c r="J9156" s="156"/>
    </row>
    <row r="9157" spans="8:10">
      <c r="H9157" s="156"/>
      <c r="I9157" s="156"/>
      <c r="J9157" s="156"/>
    </row>
    <row r="9158" spans="8:10">
      <c r="H9158" s="156"/>
      <c r="I9158" s="156"/>
      <c r="J9158" s="156"/>
    </row>
    <row r="9159" spans="8:10">
      <c r="H9159" s="156"/>
      <c r="I9159" s="156"/>
      <c r="J9159" s="156"/>
    </row>
    <row r="9160" spans="8:10">
      <c r="H9160" s="156"/>
      <c r="I9160" s="156"/>
      <c r="J9160" s="156"/>
    </row>
    <row r="9161" spans="8:10">
      <c r="H9161" s="156"/>
      <c r="I9161" s="156"/>
      <c r="J9161" s="156"/>
    </row>
    <row r="9162" spans="8:10">
      <c r="H9162" s="156"/>
      <c r="I9162" s="156"/>
      <c r="J9162" s="156"/>
    </row>
    <row r="9163" spans="8:10">
      <c r="H9163" s="156"/>
      <c r="I9163" s="156"/>
      <c r="J9163" s="156"/>
    </row>
    <row r="9164" spans="8:10">
      <c r="H9164" s="156"/>
      <c r="I9164" s="156"/>
      <c r="J9164" s="156"/>
    </row>
    <row r="9165" spans="8:10">
      <c r="H9165" s="156"/>
      <c r="I9165" s="156"/>
      <c r="J9165" s="156"/>
    </row>
    <row r="9166" spans="8:10">
      <c r="H9166" s="156"/>
      <c r="I9166" s="156"/>
      <c r="J9166" s="156"/>
    </row>
    <row r="9167" spans="8:10">
      <c r="H9167" s="156"/>
      <c r="I9167" s="156"/>
      <c r="J9167" s="156"/>
    </row>
    <row r="9168" spans="8:10">
      <c r="H9168" s="156"/>
      <c r="I9168" s="156"/>
      <c r="J9168" s="156"/>
    </row>
    <row r="9169" spans="8:10">
      <c r="H9169" s="156"/>
      <c r="I9169" s="156"/>
      <c r="J9169" s="156"/>
    </row>
    <row r="9170" spans="8:10">
      <c r="H9170" s="156"/>
      <c r="I9170" s="156"/>
      <c r="J9170" s="156"/>
    </row>
    <row r="9171" spans="8:10">
      <c r="H9171" s="156"/>
      <c r="I9171" s="156"/>
      <c r="J9171" s="156"/>
    </row>
    <row r="9172" spans="8:10">
      <c r="H9172" s="156"/>
      <c r="I9172" s="156"/>
      <c r="J9172" s="156"/>
    </row>
    <row r="9173" spans="8:10">
      <c r="H9173" s="156"/>
      <c r="I9173" s="156"/>
      <c r="J9173" s="156"/>
    </row>
    <row r="9174" spans="8:10">
      <c r="H9174" s="156"/>
      <c r="I9174" s="156"/>
      <c r="J9174" s="156"/>
    </row>
    <row r="9175" spans="8:10">
      <c r="H9175" s="156"/>
      <c r="I9175" s="156"/>
      <c r="J9175" s="156"/>
    </row>
    <row r="9176" spans="8:10">
      <c r="H9176" s="156"/>
      <c r="I9176" s="156"/>
      <c r="J9176" s="156"/>
    </row>
    <row r="9177" spans="8:10">
      <c r="H9177" s="156"/>
      <c r="I9177" s="156"/>
      <c r="J9177" s="156"/>
    </row>
    <row r="9178" spans="8:10">
      <c r="H9178" s="156"/>
      <c r="I9178" s="156"/>
      <c r="J9178" s="156"/>
    </row>
    <row r="9179" spans="8:10">
      <c r="H9179" s="156"/>
      <c r="I9179" s="156"/>
      <c r="J9179" s="156"/>
    </row>
    <row r="9180" spans="8:10">
      <c r="H9180" s="156"/>
      <c r="I9180" s="156"/>
      <c r="J9180" s="156"/>
    </row>
    <row r="9181" spans="8:10">
      <c r="H9181" s="156"/>
      <c r="I9181" s="156"/>
      <c r="J9181" s="156"/>
    </row>
    <row r="9182" spans="8:10">
      <c r="H9182" s="156"/>
      <c r="I9182" s="156"/>
      <c r="J9182" s="156"/>
    </row>
    <row r="9183" spans="8:10">
      <c r="H9183" s="156"/>
      <c r="I9183" s="156"/>
      <c r="J9183" s="156"/>
    </row>
    <row r="9184" spans="8:10">
      <c r="H9184" s="156"/>
      <c r="I9184" s="156"/>
      <c r="J9184" s="156"/>
    </row>
    <row r="9185" spans="8:10">
      <c r="H9185" s="156"/>
      <c r="I9185" s="156"/>
      <c r="J9185" s="156"/>
    </row>
    <row r="9186" spans="8:10">
      <c r="H9186" s="156"/>
      <c r="I9186" s="156"/>
      <c r="J9186" s="156"/>
    </row>
    <row r="9187" spans="8:10">
      <c r="H9187" s="156"/>
      <c r="I9187" s="156"/>
      <c r="J9187" s="156"/>
    </row>
    <row r="9188" spans="8:10">
      <c r="H9188" s="156"/>
      <c r="I9188" s="156"/>
      <c r="J9188" s="156"/>
    </row>
    <row r="9189" spans="8:10">
      <c r="H9189" s="156"/>
      <c r="I9189" s="156"/>
      <c r="J9189" s="156"/>
    </row>
    <row r="9190" spans="8:10">
      <c r="H9190" s="156"/>
      <c r="I9190" s="156"/>
      <c r="J9190" s="156"/>
    </row>
    <row r="9191" spans="8:10">
      <c r="H9191" s="156"/>
      <c r="I9191" s="156"/>
      <c r="J9191" s="156"/>
    </row>
    <row r="9192" spans="8:10">
      <c r="H9192" s="156"/>
      <c r="I9192" s="156"/>
      <c r="J9192" s="156"/>
    </row>
    <row r="9193" spans="8:10">
      <c r="H9193" s="156"/>
      <c r="I9193" s="156"/>
      <c r="J9193" s="156"/>
    </row>
    <row r="9194" spans="8:10">
      <c r="H9194" s="156"/>
      <c r="I9194" s="156"/>
      <c r="J9194" s="156"/>
    </row>
    <row r="9195" spans="8:10">
      <c r="H9195" s="156"/>
      <c r="I9195" s="156"/>
      <c r="J9195" s="156"/>
    </row>
    <row r="9196" spans="8:10">
      <c r="H9196" s="156"/>
      <c r="I9196" s="156"/>
      <c r="J9196" s="156"/>
    </row>
    <row r="9197" spans="8:10">
      <c r="H9197" s="156"/>
      <c r="I9197" s="156"/>
      <c r="J9197" s="156"/>
    </row>
    <row r="9198" spans="8:10">
      <c r="H9198" s="156"/>
      <c r="I9198" s="156"/>
      <c r="J9198" s="156"/>
    </row>
    <row r="9199" spans="8:10">
      <c r="H9199" s="156"/>
      <c r="I9199" s="156"/>
      <c r="J9199" s="156"/>
    </row>
    <row r="9200" spans="8:10">
      <c r="H9200" s="156"/>
      <c r="I9200" s="156"/>
      <c r="J9200" s="156"/>
    </row>
    <row r="9201" spans="8:10">
      <c r="H9201" s="156"/>
      <c r="I9201" s="156"/>
      <c r="J9201" s="156"/>
    </row>
    <row r="9202" spans="8:10">
      <c r="H9202" s="156"/>
      <c r="I9202" s="156"/>
      <c r="J9202" s="156"/>
    </row>
    <row r="9203" spans="8:10">
      <c r="H9203" s="156"/>
      <c r="I9203" s="156"/>
      <c r="J9203" s="156"/>
    </row>
    <row r="9204" spans="8:10">
      <c r="H9204" s="156"/>
      <c r="I9204" s="156"/>
      <c r="J9204" s="156"/>
    </row>
    <row r="9205" spans="8:10">
      <c r="H9205" s="156"/>
      <c r="I9205" s="156"/>
      <c r="J9205" s="156"/>
    </row>
    <row r="9206" spans="8:10">
      <c r="H9206" s="156"/>
      <c r="I9206" s="156"/>
      <c r="J9206" s="156"/>
    </row>
    <row r="9207" spans="8:10">
      <c r="H9207" s="156"/>
      <c r="I9207" s="156"/>
      <c r="J9207" s="156"/>
    </row>
    <row r="9208" spans="8:10">
      <c r="H9208" s="156"/>
      <c r="I9208" s="156"/>
      <c r="J9208" s="156"/>
    </row>
    <row r="9209" spans="8:10">
      <c r="H9209" s="156"/>
      <c r="I9209" s="156"/>
      <c r="J9209" s="156"/>
    </row>
    <row r="9210" spans="8:10">
      <c r="H9210" s="156"/>
      <c r="I9210" s="156"/>
      <c r="J9210" s="156"/>
    </row>
    <row r="9211" spans="8:10">
      <c r="H9211" s="156"/>
      <c r="I9211" s="156"/>
      <c r="J9211" s="156"/>
    </row>
    <row r="9212" spans="8:10">
      <c r="H9212" s="156"/>
      <c r="I9212" s="156"/>
      <c r="J9212" s="156"/>
    </row>
    <row r="9213" spans="8:10">
      <c r="H9213" s="156"/>
      <c r="I9213" s="156"/>
      <c r="J9213" s="156"/>
    </row>
    <row r="9214" spans="8:10">
      <c r="H9214" s="156"/>
      <c r="I9214" s="156"/>
      <c r="J9214" s="156"/>
    </row>
    <row r="9215" spans="8:10">
      <c r="H9215" s="156"/>
      <c r="I9215" s="156"/>
      <c r="J9215" s="156"/>
    </row>
    <row r="9216" spans="8:10">
      <c r="H9216" s="156"/>
      <c r="I9216" s="156"/>
      <c r="J9216" s="156"/>
    </row>
    <row r="9217" spans="8:10">
      <c r="H9217" s="156"/>
      <c r="I9217" s="156"/>
      <c r="J9217" s="156"/>
    </row>
    <row r="9218" spans="8:10">
      <c r="H9218" s="156"/>
      <c r="I9218" s="156"/>
      <c r="J9218" s="156"/>
    </row>
    <row r="9219" spans="8:10">
      <c r="H9219" s="156"/>
      <c r="I9219" s="156"/>
      <c r="J9219" s="156"/>
    </row>
    <row r="9220" spans="8:10">
      <c r="H9220" s="156"/>
      <c r="I9220" s="156"/>
      <c r="J9220" s="156"/>
    </row>
    <row r="9221" spans="8:10">
      <c r="H9221" s="156"/>
      <c r="I9221" s="156"/>
      <c r="J9221" s="156"/>
    </row>
    <row r="9222" spans="8:10">
      <c r="H9222" s="156"/>
      <c r="I9222" s="156"/>
      <c r="J9222" s="156"/>
    </row>
    <row r="9223" spans="8:10">
      <c r="H9223" s="156"/>
      <c r="I9223" s="156"/>
      <c r="J9223" s="156"/>
    </row>
    <row r="9224" spans="8:10">
      <c r="H9224" s="156"/>
      <c r="I9224" s="156"/>
      <c r="J9224" s="156"/>
    </row>
    <row r="9225" spans="8:10">
      <c r="H9225" s="156"/>
      <c r="I9225" s="156"/>
      <c r="J9225" s="156"/>
    </row>
    <row r="9226" spans="8:10">
      <c r="H9226" s="156"/>
      <c r="I9226" s="156"/>
      <c r="J9226" s="156"/>
    </row>
    <row r="9227" spans="8:10">
      <c r="H9227" s="156"/>
      <c r="I9227" s="156"/>
      <c r="J9227" s="156"/>
    </row>
    <row r="9228" spans="8:10">
      <c r="H9228" s="156"/>
      <c r="I9228" s="156"/>
      <c r="J9228" s="156"/>
    </row>
    <row r="9229" spans="8:10">
      <c r="H9229" s="156"/>
      <c r="I9229" s="156"/>
      <c r="J9229" s="156"/>
    </row>
    <row r="9230" spans="8:10">
      <c r="H9230" s="156"/>
      <c r="I9230" s="156"/>
      <c r="J9230" s="156"/>
    </row>
    <row r="9231" spans="8:10">
      <c r="H9231" s="156"/>
      <c r="I9231" s="156"/>
      <c r="J9231" s="156"/>
    </row>
    <row r="9232" spans="8:10">
      <c r="H9232" s="156"/>
      <c r="I9232" s="156"/>
      <c r="J9232" s="156"/>
    </row>
    <row r="9233" spans="8:10">
      <c r="H9233" s="156"/>
      <c r="I9233" s="156"/>
      <c r="J9233" s="156"/>
    </row>
    <row r="9234" spans="8:10">
      <c r="H9234" s="156"/>
      <c r="I9234" s="156"/>
      <c r="J9234" s="156"/>
    </row>
    <row r="9235" spans="8:10">
      <c r="H9235" s="156"/>
      <c r="I9235" s="156"/>
      <c r="J9235" s="156"/>
    </row>
    <row r="9236" spans="8:10">
      <c r="H9236" s="156"/>
      <c r="I9236" s="156"/>
      <c r="J9236" s="156"/>
    </row>
    <row r="9237" spans="8:10">
      <c r="H9237" s="156"/>
      <c r="I9237" s="156"/>
      <c r="J9237" s="156"/>
    </row>
    <row r="9238" spans="8:10">
      <c r="H9238" s="156"/>
      <c r="I9238" s="156"/>
      <c r="J9238" s="156"/>
    </row>
    <row r="9239" spans="8:10">
      <c r="H9239" s="156"/>
      <c r="I9239" s="156"/>
      <c r="J9239" s="156"/>
    </row>
    <row r="9240" spans="8:10">
      <c r="H9240" s="156"/>
      <c r="I9240" s="156"/>
      <c r="J9240" s="156"/>
    </row>
    <row r="9241" spans="8:10">
      <c r="H9241" s="156"/>
      <c r="I9241" s="156"/>
      <c r="J9241" s="156"/>
    </row>
    <row r="9242" spans="8:10">
      <c r="H9242" s="156"/>
      <c r="I9242" s="156"/>
      <c r="J9242" s="156"/>
    </row>
    <row r="9243" spans="8:10">
      <c r="H9243" s="156"/>
      <c r="I9243" s="156"/>
      <c r="J9243" s="156"/>
    </row>
    <row r="9244" spans="8:10">
      <c r="H9244" s="156"/>
      <c r="I9244" s="156"/>
      <c r="J9244" s="156"/>
    </row>
    <row r="9245" spans="8:10">
      <c r="H9245" s="156"/>
      <c r="I9245" s="156"/>
      <c r="J9245" s="156"/>
    </row>
    <row r="9246" spans="8:10">
      <c r="H9246" s="156"/>
      <c r="I9246" s="156"/>
      <c r="J9246" s="156"/>
    </row>
    <row r="9247" spans="8:10">
      <c r="H9247" s="156"/>
      <c r="I9247" s="156"/>
      <c r="J9247" s="156"/>
    </row>
    <row r="9248" spans="8:10">
      <c r="H9248" s="156"/>
      <c r="I9248" s="156"/>
      <c r="J9248" s="156"/>
    </row>
    <row r="9249" spans="8:10">
      <c r="H9249" s="156"/>
      <c r="I9249" s="156"/>
      <c r="J9249" s="156"/>
    </row>
    <row r="9250" spans="8:10">
      <c r="H9250" s="156"/>
      <c r="I9250" s="156"/>
      <c r="J9250" s="156"/>
    </row>
    <row r="9251" spans="8:10">
      <c r="H9251" s="156"/>
      <c r="I9251" s="156"/>
      <c r="J9251" s="156"/>
    </row>
    <row r="9252" spans="8:10">
      <c r="H9252" s="156"/>
      <c r="I9252" s="156"/>
      <c r="J9252" s="156"/>
    </row>
    <row r="9253" spans="8:10">
      <c r="H9253" s="156"/>
      <c r="I9253" s="156"/>
      <c r="J9253" s="156"/>
    </row>
    <row r="9254" spans="8:10">
      <c r="H9254" s="156"/>
      <c r="I9254" s="156"/>
      <c r="J9254" s="156"/>
    </row>
    <row r="9255" spans="8:10">
      <c r="H9255" s="156"/>
      <c r="I9255" s="156"/>
      <c r="J9255" s="156"/>
    </row>
    <row r="9256" spans="8:10">
      <c r="H9256" s="156"/>
      <c r="I9256" s="156"/>
      <c r="J9256" s="156"/>
    </row>
    <row r="9257" spans="8:10">
      <c r="H9257" s="156"/>
      <c r="I9257" s="156"/>
      <c r="J9257" s="156"/>
    </row>
    <row r="9258" spans="8:10">
      <c r="H9258" s="156"/>
      <c r="I9258" s="156"/>
      <c r="J9258" s="156"/>
    </row>
    <row r="9259" spans="8:10">
      <c r="H9259" s="156"/>
      <c r="I9259" s="156"/>
      <c r="J9259" s="156"/>
    </row>
    <row r="9260" spans="8:10">
      <c r="H9260" s="156"/>
      <c r="I9260" s="156"/>
      <c r="J9260" s="156"/>
    </row>
    <row r="9261" spans="8:10">
      <c r="H9261" s="156"/>
      <c r="I9261" s="156"/>
      <c r="J9261" s="156"/>
    </row>
    <row r="9262" spans="8:10">
      <c r="H9262" s="156"/>
      <c r="I9262" s="156"/>
      <c r="J9262" s="156"/>
    </row>
    <row r="9263" spans="8:10">
      <c r="H9263" s="156"/>
      <c r="I9263" s="156"/>
      <c r="J9263" s="156"/>
    </row>
    <row r="9264" spans="8:10">
      <c r="H9264" s="156"/>
      <c r="I9264" s="156"/>
      <c r="J9264" s="156"/>
    </row>
    <row r="9265" spans="8:10">
      <c r="H9265" s="156"/>
      <c r="I9265" s="156"/>
      <c r="J9265" s="156"/>
    </row>
    <row r="9266" spans="8:10">
      <c r="H9266" s="156"/>
      <c r="I9266" s="156"/>
      <c r="J9266" s="156"/>
    </row>
    <row r="9267" spans="8:10">
      <c r="H9267" s="156"/>
      <c r="I9267" s="156"/>
      <c r="J9267" s="156"/>
    </row>
    <row r="9268" spans="8:10">
      <c r="H9268" s="156"/>
      <c r="I9268" s="156"/>
      <c r="J9268" s="156"/>
    </row>
    <row r="9269" spans="8:10">
      <c r="H9269" s="156"/>
      <c r="I9269" s="156"/>
      <c r="J9269" s="156"/>
    </row>
    <row r="9270" spans="8:10">
      <c r="H9270" s="156"/>
      <c r="I9270" s="156"/>
      <c r="J9270" s="156"/>
    </row>
    <row r="9271" spans="8:10">
      <c r="H9271" s="156"/>
      <c r="I9271" s="156"/>
      <c r="J9271" s="156"/>
    </row>
    <row r="9272" spans="8:10">
      <c r="H9272" s="156"/>
      <c r="I9272" s="156"/>
      <c r="J9272" s="156"/>
    </row>
    <row r="9273" spans="8:10">
      <c r="H9273" s="156"/>
      <c r="I9273" s="156"/>
      <c r="J9273" s="156"/>
    </row>
    <row r="9274" spans="8:10">
      <c r="H9274" s="156"/>
      <c r="I9274" s="156"/>
      <c r="J9274" s="156"/>
    </row>
    <row r="9275" spans="8:10">
      <c r="H9275" s="156"/>
      <c r="I9275" s="156"/>
      <c r="J9275" s="156"/>
    </row>
    <row r="9276" spans="8:10">
      <c r="H9276" s="156"/>
      <c r="I9276" s="156"/>
      <c r="J9276" s="156"/>
    </row>
    <row r="9277" spans="8:10">
      <c r="H9277" s="156"/>
      <c r="I9277" s="156"/>
      <c r="J9277" s="156"/>
    </row>
    <row r="9278" spans="8:10">
      <c r="H9278" s="156"/>
      <c r="I9278" s="156"/>
      <c r="J9278" s="156"/>
    </row>
    <row r="9279" spans="8:10">
      <c r="H9279" s="156"/>
      <c r="I9279" s="156"/>
      <c r="J9279" s="156"/>
    </row>
    <row r="9280" spans="8:10">
      <c r="H9280" s="156"/>
      <c r="I9280" s="156"/>
      <c r="J9280" s="156"/>
    </row>
    <row r="9281" spans="8:10">
      <c r="H9281" s="156"/>
      <c r="I9281" s="156"/>
      <c r="J9281" s="156"/>
    </row>
    <row r="9282" spans="8:10">
      <c r="H9282" s="156"/>
      <c r="I9282" s="156"/>
      <c r="J9282" s="156"/>
    </row>
    <row r="9283" spans="8:10">
      <c r="H9283" s="156"/>
      <c r="I9283" s="156"/>
      <c r="J9283" s="156"/>
    </row>
    <row r="9284" spans="8:10">
      <c r="H9284" s="156"/>
      <c r="I9284" s="156"/>
      <c r="J9284" s="156"/>
    </row>
    <row r="9285" spans="8:10">
      <c r="H9285" s="156"/>
      <c r="I9285" s="156"/>
      <c r="J9285" s="156"/>
    </row>
    <row r="9286" spans="8:10">
      <c r="H9286" s="156"/>
      <c r="I9286" s="156"/>
      <c r="J9286" s="156"/>
    </row>
    <row r="9287" spans="8:10">
      <c r="H9287" s="156"/>
      <c r="I9287" s="156"/>
      <c r="J9287" s="156"/>
    </row>
    <row r="9288" spans="8:10">
      <c r="H9288" s="156"/>
      <c r="I9288" s="156"/>
      <c r="J9288" s="156"/>
    </row>
    <row r="9289" spans="8:10">
      <c r="H9289" s="156"/>
      <c r="I9289" s="156"/>
      <c r="J9289" s="156"/>
    </row>
    <row r="9290" spans="8:10">
      <c r="H9290" s="156"/>
      <c r="I9290" s="156"/>
      <c r="J9290" s="156"/>
    </row>
    <row r="9291" spans="8:10">
      <c r="H9291" s="156"/>
      <c r="I9291" s="156"/>
      <c r="J9291" s="156"/>
    </row>
    <row r="9292" spans="8:10">
      <c r="H9292" s="156"/>
      <c r="I9292" s="156"/>
      <c r="J9292" s="156"/>
    </row>
    <row r="9293" spans="8:10">
      <c r="H9293" s="156"/>
      <c r="I9293" s="156"/>
      <c r="J9293" s="156"/>
    </row>
    <row r="9294" spans="8:10">
      <c r="H9294" s="156"/>
      <c r="I9294" s="156"/>
      <c r="J9294" s="156"/>
    </row>
    <row r="9295" spans="8:10">
      <c r="H9295" s="156"/>
      <c r="I9295" s="156"/>
      <c r="J9295" s="156"/>
    </row>
    <row r="9296" spans="8:10">
      <c r="H9296" s="156"/>
      <c r="I9296" s="156"/>
      <c r="J9296" s="156"/>
    </row>
    <row r="9297" spans="8:10">
      <c r="H9297" s="156"/>
      <c r="I9297" s="156"/>
      <c r="J9297" s="156"/>
    </row>
    <row r="9298" spans="8:10">
      <c r="H9298" s="156"/>
      <c r="I9298" s="156"/>
      <c r="J9298" s="156"/>
    </row>
    <row r="9299" spans="8:10">
      <c r="H9299" s="156"/>
      <c r="I9299" s="156"/>
      <c r="J9299" s="156"/>
    </row>
    <row r="9300" spans="8:10">
      <c r="H9300" s="156"/>
      <c r="I9300" s="156"/>
      <c r="J9300" s="156"/>
    </row>
    <row r="9301" spans="8:10">
      <c r="H9301" s="156"/>
      <c r="I9301" s="156"/>
      <c r="J9301" s="156"/>
    </row>
    <row r="9302" spans="8:10">
      <c r="H9302" s="156"/>
      <c r="I9302" s="156"/>
      <c r="J9302" s="156"/>
    </row>
    <row r="9303" spans="8:10">
      <c r="H9303" s="156"/>
      <c r="I9303" s="156"/>
      <c r="J9303" s="156"/>
    </row>
    <row r="9304" spans="8:10">
      <c r="H9304" s="156"/>
      <c r="I9304" s="156"/>
      <c r="J9304" s="156"/>
    </row>
    <row r="9305" spans="8:10">
      <c r="H9305" s="156"/>
      <c r="I9305" s="156"/>
      <c r="J9305" s="156"/>
    </row>
    <row r="9306" spans="8:10">
      <c r="H9306" s="156"/>
      <c r="I9306" s="156"/>
      <c r="J9306" s="156"/>
    </row>
    <row r="9307" spans="8:10">
      <c r="H9307" s="156"/>
      <c r="I9307" s="156"/>
      <c r="J9307" s="156"/>
    </row>
    <row r="9308" spans="8:10">
      <c r="H9308" s="156"/>
      <c r="I9308" s="156"/>
      <c r="J9308" s="156"/>
    </row>
    <row r="9309" spans="8:10">
      <c r="H9309" s="156"/>
      <c r="I9309" s="156"/>
      <c r="J9309" s="156"/>
    </row>
    <row r="9310" spans="8:10">
      <c r="H9310" s="156"/>
      <c r="I9310" s="156"/>
      <c r="J9310" s="156"/>
    </row>
    <row r="9311" spans="8:10">
      <c r="H9311" s="156"/>
      <c r="I9311" s="156"/>
      <c r="J9311" s="156"/>
    </row>
    <row r="9312" spans="8:10">
      <c r="H9312" s="156"/>
      <c r="I9312" s="156"/>
      <c r="J9312" s="156"/>
    </row>
    <row r="9313" spans="8:10">
      <c r="H9313" s="156"/>
      <c r="I9313" s="156"/>
      <c r="J9313" s="156"/>
    </row>
    <row r="9314" spans="8:10">
      <c r="H9314" s="156"/>
      <c r="I9314" s="156"/>
      <c r="J9314" s="156"/>
    </row>
    <row r="9315" spans="8:10">
      <c r="H9315" s="156"/>
      <c r="I9315" s="156"/>
      <c r="J9315" s="156"/>
    </row>
    <row r="9316" spans="8:10">
      <c r="H9316" s="156"/>
      <c r="I9316" s="156"/>
      <c r="J9316" s="156"/>
    </row>
    <row r="9317" spans="8:10">
      <c r="H9317" s="156"/>
      <c r="I9317" s="156"/>
      <c r="J9317" s="156"/>
    </row>
    <row r="9318" spans="8:10">
      <c r="H9318" s="156"/>
      <c r="I9318" s="156"/>
      <c r="J9318" s="156"/>
    </row>
    <row r="9319" spans="8:10">
      <c r="H9319" s="156"/>
      <c r="I9319" s="156"/>
      <c r="J9319" s="156"/>
    </row>
    <row r="9320" spans="8:10">
      <c r="H9320" s="156"/>
      <c r="I9320" s="156"/>
      <c r="J9320" s="156"/>
    </row>
    <row r="9321" spans="8:10">
      <c r="H9321" s="156"/>
      <c r="I9321" s="156"/>
      <c r="J9321" s="156"/>
    </row>
    <row r="9322" spans="8:10">
      <c r="H9322" s="156"/>
      <c r="I9322" s="156"/>
      <c r="J9322" s="156"/>
    </row>
    <row r="9323" spans="8:10">
      <c r="H9323" s="156"/>
      <c r="I9323" s="156"/>
      <c r="J9323" s="156"/>
    </row>
    <row r="9324" spans="8:10">
      <c r="H9324" s="156"/>
      <c r="I9324" s="156"/>
      <c r="J9324" s="156"/>
    </row>
    <row r="9325" spans="8:10">
      <c r="H9325" s="156"/>
      <c r="I9325" s="156"/>
      <c r="J9325" s="156"/>
    </row>
    <row r="9326" spans="8:10">
      <c r="H9326" s="156"/>
      <c r="I9326" s="156"/>
      <c r="J9326" s="156"/>
    </row>
    <row r="9327" spans="8:10">
      <c r="H9327" s="156"/>
      <c r="I9327" s="156"/>
      <c r="J9327" s="156"/>
    </row>
    <row r="9328" spans="8:10">
      <c r="H9328" s="156"/>
      <c r="I9328" s="156"/>
      <c r="J9328" s="156"/>
    </row>
    <row r="9329" spans="8:10">
      <c r="H9329" s="156"/>
      <c r="I9329" s="156"/>
      <c r="J9329" s="156"/>
    </row>
    <row r="9330" spans="8:10">
      <c r="H9330" s="156"/>
      <c r="I9330" s="156"/>
      <c r="J9330" s="156"/>
    </row>
    <row r="9331" spans="8:10">
      <c r="H9331" s="156"/>
      <c r="I9331" s="156"/>
      <c r="J9331" s="156"/>
    </row>
    <row r="9332" spans="8:10">
      <c r="H9332" s="156"/>
      <c r="I9332" s="156"/>
      <c r="J9332" s="156"/>
    </row>
    <row r="9333" spans="8:10">
      <c r="H9333" s="156"/>
      <c r="I9333" s="156"/>
      <c r="J9333" s="156"/>
    </row>
    <row r="9334" spans="8:10">
      <c r="H9334" s="156"/>
      <c r="I9334" s="156"/>
      <c r="J9334" s="156"/>
    </row>
    <row r="9335" spans="8:10">
      <c r="H9335" s="156"/>
      <c r="I9335" s="156"/>
      <c r="J9335" s="156"/>
    </row>
    <row r="9336" spans="8:10">
      <c r="H9336" s="156"/>
      <c r="I9336" s="156"/>
      <c r="J9336" s="156"/>
    </row>
    <row r="9337" spans="8:10">
      <c r="H9337" s="156"/>
      <c r="I9337" s="156"/>
      <c r="J9337" s="156"/>
    </row>
    <row r="9338" spans="8:10">
      <c r="H9338" s="156"/>
      <c r="I9338" s="156"/>
      <c r="J9338" s="156"/>
    </row>
    <row r="9339" spans="8:10">
      <c r="H9339" s="156"/>
      <c r="I9339" s="156"/>
      <c r="J9339" s="156"/>
    </row>
    <row r="9340" spans="8:10">
      <c r="H9340" s="156"/>
      <c r="I9340" s="156"/>
      <c r="J9340" s="156"/>
    </row>
    <row r="9341" spans="8:10">
      <c r="H9341" s="156"/>
      <c r="I9341" s="156"/>
      <c r="J9341" s="156"/>
    </row>
    <row r="9342" spans="8:10">
      <c r="H9342" s="156"/>
      <c r="I9342" s="156"/>
      <c r="J9342" s="156"/>
    </row>
    <row r="9343" spans="8:10">
      <c r="H9343" s="156"/>
      <c r="I9343" s="156"/>
      <c r="J9343" s="156"/>
    </row>
    <row r="9344" spans="8:10">
      <c r="H9344" s="156"/>
      <c r="I9344" s="156"/>
      <c r="J9344" s="156"/>
    </row>
    <row r="9345" spans="8:10">
      <c r="H9345" s="156"/>
      <c r="I9345" s="156"/>
      <c r="J9345" s="156"/>
    </row>
    <row r="9346" spans="8:10">
      <c r="H9346" s="156"/>
      <c r="I9346" s="156"/>
      <c r="J9346" s="156"/>
    </row>
    <row r="9347" spans="8:10">
      <c r="H9347" s="156"/>
      <c r="I9347" s="156"/>
      <c r="J9347" s="156"/>
    </row>
    <row r="9348" spans="8:10">
      <c r="H9348" s="156"/>
      <c r="I9348" s="156"/>
      <c r="J9348" s="156"/>
    </row>
    <row r="9349" spans="8:10">
      <c r="H9349" s="156"/>
      <c r="I9349" s="156"/>
      <c r="J9349" s="156"/>
    </row>
    <row r="9350" spans="8:10">
      <c r="H9350" s="156"/>
      <c r="I9350" s="156"/>
      <c r="J9350" s="156"/>
    </row>
    <row r="9351" spans="8:10">
      <c r="H9351" s="156"/>
      <c r="I9351" s="156"/>
      <c r="J9351" s="156"/>
    </row>
    <row r="9352" spans="8:10">
      <c r="H9352" s="156"/>
      <c r="I9352" s="156"/>
      <c r="J9352" s="156"/>
    </row>
    <row r="9353" spans="8:10">
      <c r="H9353" s="156"/>
      <c r="I9353" s="156"/>
      <c r="J9353" s="156"/>
    </row>
    <row r="9354" spans="8:10">
      <c r="H9354" s="156"/>
      <c r="I9354" s="156"/>
      <c r="J9354" s="156"/>
    </row>
    <row r="9355" spans="8:10">
      <c r="H9355" s="156"/>
      <c r="I9355" s="156"/>
      <c r="J9355" s="156"/>
    </row>
    <row r="9356" spans="8:10">
      <c r="H9356" s="156"/>
      <c r="I9356" s="156"/>
      <c r="J9356" s="156"/>
    </row>
    <row r="9357" spans="8:10">
      <c r="H9357" s="156"/>
      <c r="I9357" s="156"/>
      <c r="J9357" s="156"/>
    </row>
    <row r="9358" spans="8:10">
      <c r="H9358" s="156"/>
      <c r="I9358" s="156"/>
      <c r="J9358" s="156"/>
    </row>
    <row r="9359" spans="8:10">
      <c r="H9359" s="156"/>
      <c r="I9359" s="156"/>
      <c r="J9359" s="156"/>
    </row>
    <row r="9360" spans="8:10">
      <c r="H9360" s="156"/>
      <c r="I9360" s="156"/>
      <c r="J9360" s="156"/>
    </row>
    <row r="9361" spans="8:10">
      <c r="H9361" s="156"/>
      <c r="I9361" s="156"/>
      <c r="J9361" s="156"/>
    </row>
    <row r="9362" spans="8:10">
      <c r="H9362" s="156"/>
      <c r="I9362" s="156"/>
      <c r="J9362" s="156"/>
    </row>
    <row r="9363" spans="8:10">
      <c r="H9363" s="156"/>
      <c r="I9363" s="156"/>
      <c r="J9363" s="156"/>
    </row>
    <row r="9364" spans="8:10">
      <c r="H9364" s="156"/>
      <c r="I9364" s="156"/>
      <c r="J9364" s="156"/>
    </row>
    <row r="9365" spans="8:10">
      <c r="H9365" s="156"/>
      <c r="I9365" s="156"/>
      <c r="J9365" s="156"/>
    </row>
    <row r="9366" spans="8:10">
      <c r="H9366" s="156"/>
      <c r="I9366" s="156"/>
      <c r="J9366" s="156"/>
    </row>
    <row r="9367" spans="8:10">
      <c r="H9367" s="156"/>
      <c r="I9367" s="156"/>
      <c r="J9367" s="156"/>
    </row>
    <row r="9368" spans="8:10">
      <c r="H9368" s="156"/>
      <c r="I9368" s="156"/>
      <c r="J9368" s="156"/>
    </row>
    <row r="9369" spans="8:10">
      <c r="H9369" s="156"/>
      <c r="I9369" s="156"/>
      <c r="J9369" s="156"/>
    </row>
    <row r="9370" spans="8:10">
      <c r="H9370" s="156"/>
      <c r="I9370" s="156"/>
      <c r="J9370" s="156"/>
    </row>
    <row r="9371" spans="8:10">
      <c r="H9371" s="156"/>
      <c r="I9371" s="156"/>
      <c r="J9371" s="156"/>
    </row>
    <row r="9372" spans="8:10">
      <c r="H9372" s="156"/>
      <c r="I9372" s="156"/>
      <c r="J9372" s="156"/>
    </row>
    <row r="9373" spans="8:10">
      <c r="H9373" s="156"/>
      <c r="I9373" s="156"/>
      <c r="J9373" s="156"/>
    </row>
    <row r="9374" spans="8:10">
      <c r="H9374" s="156"/>
      <c r="I9374" s="156"/>
      <c r="J9374" s="156"/>
    </row>
    <row r="9375" spans="8:10">
      <c r="H9375" s="156"/>
      <c r="I9375" s="156"/>
      <c r="J9375" s="156"/>
    </row>
    <row r="9376" spans="8:10">
      <c r="H9376" s="156"/>
      <c r="I9376" s="156"/>
      <c r="J9376" s="156"/>
    </row>
    <row r="9377" spans="8:10">
      <c r="H9377" s="156"/>
      <c r="I9377" s="156"/>
      <c r="J9377" s="156"/>
    </row>
    <row r="9378" spans="8:10">
      <c r="H9378" s="156"/>
      <c r="I9378" s="156"/>
      <c r="J9378" s="156"/>
    </row>
    <row r="9379" spans="8:10">
      <c r="H9379" s="156"/>
      <c r="I9379" s="156"/>
      <c r="J9379" s="156"/>
    </row>
    <row r="9380" spans="8:10">
      <c r="H9380" s="156"/>
      <c r="I9380" s="156"/>
      <c r="J9380" s="156"/>
    </row>
    <row r="9381" spans="8:10">
      <c r="H9381" s="156"/>
      <c r="I9381" s="156"/>
      <c r="J9381" s="156"/>
    </row>
    <row r="9382" spans="8:10">
      <c r="H9382" s="156"/>
      <c r="I9382" s="156"/>
      <c r="J9382" s="156"/>
    </row>
    <row r="9383" spans="8:10">
      <c r="H9383" s="156"/>
      <c r="I9383" s="156"/>
      <c r="J9383" s="156"/>
    </row>
    <row r="9384" spans="8:10">
      <c r="H9384" s="156"/>
      <c r="I9384" s="156"/>
      <c r="J9384" s="156"/>
    </row>
    <row r="9385" spans="8:10">
      <c r="H9385" s="156"/>
      <c r="I9385" s="156"/>
      <c r="J9385" s="156"/>
    </row>
    <row r="9386" spans="8:10">
      <c r="H9386" s="156"/>
      <c r="I9386" s="156"/>
      <c r="J9386" s="156"/>
    </row>
    <row r="9387" spans="8:10">
      <c r="H9387" s="156"/>
      <c r="I9387" s="156"/>
      <c r="J9387" s="156"/>
    </row>
    <row r="9388" spans="8:10">
      <c r="H9388" s="156"/>
      <c r="I9388" s="156"/>
      <c r="J9388" s="156"/>
    </row>
    <row r="9389" spans="8:10">
      <c r="H9389" s="156"/>
      <c r="I9389" s="156"/>
      <c r="J9389" s="156"/>
    </row>
    <row r="9390" spans="8:10">
      <c r="H9390" s="156"/>
      <c r="I9390" s="156"/>
      <c r="J9390" s="156"/>
    </row>
    <row r="9391" spans="8:10">
      <c r="H9391" s="156"/>
      <c r="I9391" s="156"/>
      <c r="J9391" s="156"/>
    </row>
    <row r="9392" spans="8:10">
      <c r="H9392" s="156"/>
      <c r="I9392" s="156"/>
      <c r="J9392" s="156"/>
    </row>
    <row r="9393" spans="8:10">
      <c r="H9393" s="156"/>
      <c r="I9393" s="156"/>
      <c r="J9393" s="156"/>
    </row>
    <row r="9394" spans="8:10">
      <c r="H9394" s="156"/>
      <c r="I9394" s="156"/>
      <c r="J9394" s="156"/>
    </row>
    <row r="9395" spans="8:10">
      <c r="H9395" s="156"/>
      <c r="I9395" s="156"/>
      <c r="J9395" s="156"/>
    </row>
    <row r="9396" spans="8:10">
      <c r="H9396" s="156"/>
      <c r="I9396" s="156"/>
      <c r="J9396" s="156"/>
    </row>
    <row r="9397" spans="8:10">
      <c r="H9397" s="156"/>
      <c r="I9397" s="156"/>
      <c r="J9397" s="156"/>
    </row>
    <row r="9398" spans="8:10">
      <c r="H9398" s="156"/>
      <c r="I9398" s="156"/>
      <c r="J9398" s="156"/>
    </row>
    <row r="9399" spans="8:10">
      <c r="H9399" s="156"/>
      <c r="I9399" s="156"/>
      <c r="J9399" s="156"/>
    </row>
    <row r="9400" spans="8:10">
      <c r="H9400" s="156"/>
      <c r="I9400" s="156"/>
      <c r="J9400" s="156"/>
    </row>
    <row r="9401" spans="8:10">
      <c r="H9401" s="156"/>
      <c r="I9401" s="156"/>
      <c r="J9401" s="156"/>
    </row>
    <row r="9402" spans="8:10">
      <c r="H9402" s="156"/>
      <c r="I9402" s="156"/>
      <c r="J9402" s="156"/>
    </row>
    <row r="9403" spans="8:10">
      <c r="H9403" s="156"/>
      <c r="I9403" s="156"/>
      <c r="J9403" s="156"/>
    </row>
    <row r="9404" spans="8:10">
      <c r="H9404" s="156"/>
      <c r="I9404" s="156"/>
      <c r="J9404" s="156"/>
    </row>
    <row r="9405" spans="8:10">
      <c r="H9405" s="156"/>
      <c r="I9405" s="156"/>
      <c r="J9405" s="156"/>
    </row>
    <row r="9406" spans="8:10">
      <c r="H9406" s="156"/>
      <c r="I9406" s="156"/>
      <c r="J9406" s="156"/>
    </row>
    <row r="9407" spans="8:10">
      <c r="H9407" s="156"/>
      <c r="I9407" s="156"/>
      <c r="J9407" s="156"/>
    </row>
    <row r="9408" spans="8:10">
      <c r="H9408" s="156"/>
      <c r="I9408" s="156"/>
      <c r="J9408" s="156"/>
    </row>
    <row r="9409" spans="8:10">
      <c r="H9409" s="156"/>
      <c r="I9409" s="156"/>
      <c r="J9409" s="156"/>
    </row>
    <row r="9410" spans="8:10">
      <c r="H9410" s="156"/>
      <c r="I9410" s="156"/>
      <c r="J9410" s="156"/>
    </row>
    <row r="9411" spans="8:10">
      <c r="H9411" s="156"/>
      <c r="I9411" s="156"/>
      <c r="J9411" s="156"/>
    </row>
    <row r="9412" spans="8:10">
      <c r="H9412" s="156"/>
      <c r="I9412" s="156"/>
      <c r="J9412" s="156"/>
    </row>
    <row r="9413" spans="8:10">
      <c r="H9413" s="156"/>
      <c r="I9413" s="156"/>
      <c r="J9413" s="156"/>
    </row>
    <row r="9414" spans="8:10">
      <c r="H9414" s="156"/>
      <c r="I9414" s="156"/>
      <c r="J9414" s="156"/>
    </row>
    <row r="9415" spans="8:10">
      <c r="H9415" s="156"/>
      <c r="I9415" s="156"/>
      <c r="J9415" s="156"/>
    </row>
    <row r="9416" spans="8:10">
      <c r="H9416" s="156"/>
      <c r="I9416" s="156"/>
      <c r="J9416" s="156"/>
    </row>
    <row r="9417" spans="8:10">
      <c r="H9417" s="156"/>
      <c r="I9417" s="156"/>
      <c r="J9417" s="156"/>
    </row>
    <row r="9418" spans="8:10">
      <c r="H9418" s="156"/>
      <c r="I9418" s="156"/>
      <c r="J9418" s="156"/>
    </row>
    <row r="9419" spans="8:10">
      <c r="H9419" s="156"/>
      <c r="I9419" s="156"/>
      <c r="J9419" s="156"/>
    </row>
    <row r="9420" spans="8:10">
      <c r="H9420" s="156"/>
      <c r="I9420" s="156"/>
      <c r="J9420" s="156"/>
    </row>
    <row r="9421" spans="8:10">
      <c r="H9421" s="156"/>
      <c r="I9421" s="156"/>
      <c r="J9421" s="156"/>
    </row>
    <row r="9422" spans="8:10">
      <c r="H9422" s="156"/>
      <c r="I9422" s="156"/>
      <c r="J9422" s="156"/>
    </row>
    <row r="9423" spans="8:10">
      <c r="H9423" s="156"/>
      <c r="I9423" s="156"/>
      <c r="J9423" s="156"/>
    </row>
    <row r="9424" spans="8:10">
      <c r="H9424" s="156"/>
      <c r="I9424" s="156"/>
      <c r="J9424" s="156"/>
    </row>
    <row r="9425" spans="8:10">
      <c r="H9425" s="156"/>
      <c r="I9425" s="156"/>
      <c r="J9425" s="156"/>
    </row>
    <row r="9426" spans="8:10">
      <c r="H9426" s="156"/>
      <c r="I9426" s="156"/>
      <c r="J9426" s="156"/>
    </row>
    <row r="9427" spans="8:10">
      <c r="H9427" s="156"/>
      <c r="I9427" s="156"/>
      <c r="J9427" s="156"/>
    </row>
    <row r="9428" spans="8:10">
      <c r="H9428" s="156"/>
      <c r="I9428" s="156"/>
      <c r="J9428" s="156"/>
    </row>
    <row r="9429" spans="8:10">
      <c r="H9429" s="156"/>
      <c r="I9429" s="156"/>
      <c r="J9429" s="156"/>
    </row>
    <row r="9430" spans="8:10">
      <c r="H9430" s="156"/>
      <c r="I9430" s="156"/>
      <c r="J9430" s="156"/>
    </row>
    <row r="9431" spans="8:10">
      <c r="H9431" s="156"/>
      <c r="I9431" s="156"/>
      <c r="J9431" s="156"/>
    </row>
    <row r="9432" spans="8:10">
      <c r="H9432" s="156"/>
      <c r="I9432" s="156"/>
      <c r="J9432" s="156"/>
    </row>
    <row r="9433" spans="8:10">
      <c r="H9433" s="156"/>
      <c r="I9433" s="156"/>
      <c r="J9433" s="156"/>
    </row>
    <row r="9434" spans="8:10">
      <c r="H9434" s="156"/>
      <c r="I9434" s="156"/>
      <c r="J9434" s="156"/>
    </row>
    <row r="9435" spans="8:10">
      <c r="H9435" s="156"/>
      <c r="I9435" s="156"/>
      <c r="J9435" s="156"/>
    </row>
    <row r="9436" spans="8:10">
      <c r="H9436" s="156"/>
      <c r="I9436" s="156"/>
      <c r="J9436" s="156"/>
    </row>
    <row r="9437" spans="8:10">
      <c r="H9437" s="156"/>
      <c r="I9437" s="156"/>
      <c r="J9437" s="156"/>
    </row>
    <row r="9438" spans="8:10">
      <c r="H9438" s="156"/>
      <c r="I9438" s="156"/>
      <c r="J9438" s="156"/>
    </row>
    <row r="9439" spans="8:10">
      <c r="H9439" s="156"/>
      <c r="I9439" s="156"/>
      <c r="J9439" s="156"/>
    </row>
    <row r="9440" spans="8:10">
      <c r="H9440" s="156"/>
      <c r="I9440" s="156"/>
      <c r="J9440" s="156"/>
    </row>
    <row r="9441" spans="8:10">
      <c r="H9441" s="156"/>
      <c r="I9441" s="156"/>
      <c r="J9441" s="156"/>
    </row>
    <row r="9442" spans="8:10">
      <c r="H9442" s="156"/>
      <c r="I9442" s="156"/>
      <c r="J9442" s="156"/>
    </row>
    <row r="9443" spans="8:10">
      <c r="H9443" s="156"/>
      <c r="I9443" s="156"/>
      <c r="J9443" s="156"/>
    </row>
    <row r="9444" spans="8:10">
      <c r="H9444" s="156"/>
      <c r="I9444" s="156"/>
      <c r="J9444" s="156"/>
    </row>
    <row r="9445" spans="8:10">
      <c r="H9445" s="156"/>
      <c r="I9445" s="156"/>
      <c r="J9445" s="156"/>
    </row>
    <row r="9446" spans="8:10">
      <c r="H9446" s="156"/>
      <c r="I9446" s="156"/>
      <c r="J9446" s="156"/>
    </row>
    <row r="9447" spans="8:10">
      <c r="H9447" s="156"/>
      <c r="I9447" s="156"/>
      <c r="J9447" s="156"/>
    </row>
    <row r="9448" spans="8:10">
      <c r="H9448" s="156"/>
      <c r="I9448" s="156"/>
      <c r="J9448" s="156"/>
    </row>
    <row r="9449" spans="8:10">
      <c r="H9449" s="156"/>
      <c r="I9449" s="156"/>
      <c r="J9449" s="156"/>
    </row>
    <row r="9450" spans="8:10">
      <c r="H9450" s="156"/>
      <c r="I9450" s="156"/>
      <c r="J9450" s="156"/>
    </row>
    <row r="9451" spans="8:10">
      <c r="H9451" s="156"/>
      <c r="I9451" s="156"/>
      <c r="J9451" s="156"/>
    </row>
    <row r="9452" spans="8:10">
      <c r="H9452" s="156"/>
      <c r="I9452" s="156"/>
      <c r="J9452" s="156"/>
    </row>
    <row r="9453" spans="8:10">
      <c r="H9453" s="156"/>
      <c r="I9453" s="156"/>
      <c r="J9453" s="156"/>
    </row>
    <row r="9454" spans="8:10">
      <c r="H9454" s="156"/>
      <c r="I9454" s="156"/>
      <c r="J9454" s="156"/>
    </row>
    <row r="9455" spans="8:10">
      <c r="H9455" s="156"/>
      <c r="I9455" s="156"/>
      <c r="J9455" s="156"/>
    </row>
    <row r="9456" spans="8:10">
      <c r="H9456" s="156"/>
      <c r="I9456" s="156"/>
      <c r="J9456" s="156"/>
    </row>
    <row r="9457" spans="8:10">
      <c r="H9457" s="156"/>
      <c r="I9457" s="156"/>
      <c r="J9457" s="156"/>
    </row>
    <row r="9458" spans="8:10">
      <c r="H9458" s="156"/>
      <c r="I9458" s="156"/>
      <c r="J9458" s="156"/>
    </row>
    <row r="9459" spans="8:10">
      <c r="H9459" s="156"/>
      <c r="I9459" s="156"/>
      <c r="J9459" s="156"/>
    </row>
    <row r="9460" spans="8:10">
      <c r="H9460" s="156"/>
      <c r="I9460" s="156"/>
      <c r="J9460" s="156"/>
    </row>
    <row r="9461" spans="8:10">
      <c r="H9461" s="156"/>
      <c r="I9461" s="156"/>
      <c r="J9461" s="156"/>
    </row>
    <row r="9462" spans="8:10">
      <c r="H9462" s="156"/>
      <c r="I9462" s="156"/>
      <c r="J9462" s="156"/>
    </row>
    <row r="9463" spans="8:10">
      <c r="H9463" s="156"/>
      <c r="I9463" s="156"/>
      <c r="J9463" s="156"/>
    </row>
    <row r="9464" spans="8:10">
      <c r="H9464" s="156"/>
      <c r="I9464" s="156"/>
      <c r="J9464" s="156"/>
    </row>
    <row r="9465" spans="8:10">
      <c r="H9465" s="156"/>
      <c r="I9465" s="156"/>
      <c r="J9465" s="156"/>
    </row>
    <row r="9466" spans="8:10">
      <c r="H9466" s="156"/>
      <c r="I9466" s="156"/>
      <c r="J9466" s="156"/>
    </row>
    <row r="9467" spans="8:10">
      <c r="H9467" s="156"/>
      <c r="I9467" s="156"/>
      <c r="J9467" s="156"/>
    </row>
    <row r="9468" spans="8:10">
      <c r="H9468" s="156"/>
      <c r="I9468" s="156"/>
      <c r="J9468" s="156"/>
    </row>
    <row r="9469" spans="8:10">
      <c r="H9469" s="156"/>
      <c r="I9469" s="156"/>
      <c r="J9469" s="156"/>
    </row>
    <row r="9470" spans="8:10">
      <c r="H9470" s="156"/>
      <c r="I9470" s="156"/>
      <c r="J9470" s="156"/>
    </row>
    <row r="9471" spans="8:10">
      <c r="H9471" s="156"/>
      <c r="I9471" s="156"/>
      <c r="J9471" s="156"/>
    </row>
    <row r="9472" spans="8:10">
      <c r="H9472" s="156"/>
      <c r="I9472" s="156"/>
      <c r="J9472" s="156"/>
    </row>
    <row r="9473" spans="8:10">
      <c r="H9473" s="156"/>
      <c r="I9473" s="156"/>
      <c r="J9473" s="156"/>
    </row>
    <row r="9474" spans="8:10">
      <c r="H9474" s="156"/>
      <c r="I9474" s="156"/>
      <c r="J9474" s="156"/>
    </row>
    <row r="9475" spans="8:10">
      <c r="H9475" s="156"/>
      <c r="I9475" s="156"/>
      <c r="J9475" s="156"/>
    </row>
    <row r="9476" spans="8:10">
      <c r="H9476" s="156"/>
      <c r="I9476" s="156"/>
      <c r="J9476" s="156"/>
    </row>
    <row r="9477" spans="8:10">
      <c r="H9477" s="156"/>
      <c r="I9477" s="156"/>
      <c r="J9477" s="156"/>
    </row>
    <row r="9478" spans="8:10">
      <c r="H9478" s="156"/>
      <c r="I9478" s="156"/>
      <c r="J9478" s="156"/>
    </row>
    <row r="9479" spans="8:10">
      <c r="H9479" s="156"/>
      <c r="I9479" s="156"/>
      <c r="J9479" s="156"/>
    </row>
    <row r="9480" spans="8:10">
      <c r="H9480" s="156"/>
      <c r="I9480" s="156"/>
      <c r="J9480" s="156"/>
    </row>
    <row r="9481" spans="8:10">
      <c r="H9481" s="156"/>
      <c r="I9481" s="156"/>
      <c r="J9481" s="156"/>
    </row>
    <row r="9482" spans="8:10">
      <c r="H9482" s="156"/>
      <c r="I9482" s="156"/>
      <c r="J9482" s="156"/>
    </row>
    <row r="9483" spans="8:10">
      <c r="H9483" s="156"/>
      <c r="I9483" s="156"/>
      <c r="J9483" s="156"/>
    </row>
    <row r="9484" spans="8:10">
      <c r="H9484" s="156"/>
      <c r="I9484" s="156"/>
      <c r="J9484" s="156"/>
    </row>
    <row r="9485" spans="8:10">
      <c r="H9485" s="156"/>
      <c r="I9485" s="156"/>
      <c r="J9485" s="156"/>
    </row>
    <row r="9486" spans="8:10">
      <c r="H9486" s="156"/>
      <c r="I9486" s="156"/>
      <c r="J9486" s="156"/>
    </row>
    <row r="9487" spans="8:10">
      <c r="H9487" s="156"/>
      <c r="I9487" s="156"/>
      <c r="J9487" s="156"/>
    </row>
    <row r="9488" spans="8:10">
      <c r="H9488" s="156"/>
      <c r="I9488" s="156"/>
      <c r="J9488" s="156"/>
    </row>
    <row r="9489" spans="8:10">
      <c r="H9489" s="156"/>
      <c r="I9489" s="156"/>
      <c r="J9489" s="156"/>
    </row>
    <row r="9490" spans="8:10">
      <c r="H9490" s="156"/>
      <c r="I9490" s="156"/>
      <c r="J9490" s="156"/>
    </row>
    <row r="9491" spans="8:10">
      <c r="H9491" s="156"/>
      <c r="I9491" s="156"/>
      <c r="J9491" s="156"/>
    </row>
    <row r="9492" spans="8:10">
      <c r="H9492" s="156"/>
      <c r="I9492" s="156"/>
      <c r="J9492" s="156"/>
    </row>
    <row r="9493" spans="8:10">
      <c r="H9493" s="156"/>
      <c r="I9493" s="156"/>
      <c r="J9493" s="156"/>
    </row>
    <row r="9494" spans="8:10">
      <c r="H9494" s="156"/>
      <c r="I9494" s="156"/>
      <c r="J9494" s="156"/>
    </row>
    <row r="9495" spans="8:10">
      <c r="H9495" s="156"/>
      <c r="I9495" s="156"/>
      <c r="J9495" s="156"/>
    </row>
    <row r="9496" spans="8:10">
      <c r="H9496" s="156"/>
      <c r="I9496" s="156"/>
      <c r="J9496" s="156"/>
    </row>
    <row r="9497" spans="8:10">
      <c r="H9497" s="156"/>
      <c r="I9497" s="156"/>
      <c r="J9497" s="156"/>
    </row>
    <row r="9498" spans="8:10">
      <c r="H9498" s="156"/>
      <c r="I9498" s="156"/>
      <c r="J9498" s="156"/>
    </row>
    <row r="9499" spans="8:10">
      <c r="H9499" s="156"/>
      <c r="I9499" s="156"/>
      <c r="J9499" s="156"/>
    </row>
    <row r="9500" spans="8:10">
      <c r="H9500" s="156"/>
      <c r="I9500" s="156"/>
      <c r="J9500" s="156"/>
    </row>
    <row r="9501" spans="8:10">
      <c r="H9501" s="156"/>
      <c r="I9501" s="156"/>
      <c r="J9501" s="156"/>
    </row>
    <row r="9502" spans="8:10">
      <c r="H9502" s="156"/>
      <c r="I9502" s="156"/>
      <c r="J9502" s="156"/>
    </row>
    <row r="9503" spans="8:10">
      <c r="H9503" s="156"/>
      <c r="I9503" s="156"/>
      <c r="J9503" s="156"/>
    </row>
    <row r="9504" spans="8:10">
      <c r="H9504" s="156"/>
      <c r="I9504" s="156"/>
      <c r="J9504" s="156"/>
    </row>
    <row r="9505" spans="8:10">
      <c r="H9505" s="156"/>
      <c r="I9505" s="156"/>
      <c r="J9505" s="156"/>
    </row>
    <row r="9506" spans="8:10">
      <c r="H9506" s="156"/>
      <c r="I9506" s="156"/>
      <c r="J9506" s="156"/>
    </row>
    <row r="9507" spans="8:10">
      <c r="H9507" s="156"/>
      <c r="I9507" s="156"/>
      <c r="J9507" s="156"/>
    </row>
    <row r="9508" spans="8:10">
      <c r="H9508" s="156"/>
      <c r="I9508" s="156"/>
      <c r="J9508" s="156"/>
    </row>
    <row r="9509" spans="8:10">
      <c r="H9509" s="156"/>
      <c r="I9509" s="156"/>
      <c r="J9509" s="156"/>
    </row>
    <row r="9510" spans="8:10">
      <c r="H9510" s="156"/>
      <c r="I9510" s="156"/>
      <c r="J9510" s="156"/>
    </row>
    <row r="9511" spans="8:10">
      <c r="H9511" s="156"/>
      <c r="I9511" s="156"/>
      <c r="J9511" s="156"/>
    </row>
    <row r="9512" spans="8:10">
      <c r="H9512" s="156"/>
      <c r="I9512" s="156"/>
      <c r="J9512" s="156"/>
    </row>
    <row r="9513" spans="8:10">
      <c r="H9513" s="156"/>
      <c r="I9513" s="156"/>
      <c r="J9513" s="156"/>
    </row>
    <row r="9514" spans="8:10">
      <c r="H9514" s="156"/>
      <c r="I9514" s="156"/>
      <c r="J9514" s="156"/>
    </row>
    <row r="9515" spans="8:10">
      <c r="H9515" s="156"/>
      <c r="I9515" s="156"/>
      <c r="J9515" s="156"/>
    </row>
    <row r="9516" spans="8:10">
      <c r="H9516" s="156"/>
      <c r="I9516" s="156"/>
      <c r="J9516" s="156"/>
    </row>
    <row r="9517" spans="8:10">
      <c r="H9517" s="156"/>
      <c r="I9517" s="156"/>
      <c r="J9517" s="156"/>
    </row>
    <row r="9518" spans="8:10">
      <c r="H9518" s="156"/>
      <c r="I9518" s="156"/>
      <c r="J9518" s="156"/>
    </row>
    <row r="9519" spans="8:10">
      <c r="H9519" s="156"/>
      <c r="I9519" s="156"/>
      <c r="J9519" s="156"/>
    </row>
    <row r="9520" spans="8:10">
      <c r="H9520" s="156"/>
      <c r="I9520" s="156"/>
      <c r="J9520" s="156"/>
    </row>
    <row r="9521" spans="8:10">
      <c r="H9521" s="156"/>
      <c r="I9521" s="156"/>
      <c r="J9521" s="156"/>
    </row>
    <row r="9522" spans="8:10">
      <c r="H9522" s="156"/>
      <c r="I9522" s="156"/>
      <c r="J9522" s="156"/>
    </row>
    <row r="9523" spans="8:10">
      <c r="H9523" s="156"/>
      <c r="I9523" s="156"/>
      <c r="J9523" s="156"/>
    </row>
    <row r="9524" spans="8:10">
      <c r="H9524" s="156"/>
      <c r="I9524" s="156"/>
      <c r="J9524" s="156"/>
    </row>
    <row r="9525" spans="8:10">
      <c r="H9525" s="156"/>
      <c r="I9525" s="156"/>
      <c r="J9525" s="156"/>
    </row>
    <row r="9526" spans="8:10">
      <c r="H9526" s="156"/>
      <c r="I9526" s="156"/>
      <c r="J9526" s="156"/>
    </row>
    <row r="9527" spans="8:10">
      <c r="H9527" s="156"/>
      <c r="I9527" s="156"/>
      <c r="J9527" s="156"/>
    </row>
    <row r="9528" spans="8:10">
      <c r="H9528" s="156"/>
      <c r="I9528" s="156"/>
      <c r="J9528" s="156"/>
    </row>
    <row r="9529" spans="8:10">
      <c r="H9529" s="156"/>
      <c r="I9529" s="156"/>
      <c r="J9529" s="156"/>
    </row>
    <row r="9530" spans="8:10">
      <c r="H9530" s="156"/>
      <c r="I9530" s="156"/>
      <c r="J9530" s="156"/>
    </row>
    <row r="9531" spans="8:10">
      <c r="H9531" s="156"/>
      <c r="I9531" s="156"/>
      <c r="J9531" s="156"/>
    </row>
    <row r="9532" spans="8:10">
      <c r="H9532" s="156"/>
      <c r="I9532" s="156"/>
      <c r="J9532" s="156"/>
    </row>
    <row r="9533" spans="8:10">
      <c r="H9533" s="156"/>
      <c r="I9533" s="156"/>
      <c r="J9533" s="156"/>
    </row>
    <row r="9534" spans="8:10">
      <c r="H9534" s="156"/>
      <c r="I9534" s="156"/>
      <c r="J9534" s="156"/>
    </row>
    <row r="9535" spans="8:10">
      <c r="H9535" s="156"/>
      <c r="I9535" s="156"/>
      <c r="J9535" s="156"/>
    </row>
    <row r="9536" spans="8:10">
      <c r="H9536" s="156"/>
      <c r="I9536" s="156"/>
      <c r="J9536" s="156"/>
    </row>
    <row r="9537" spans="8:10">
      <c r="H9537" s="156"/>
      <c r="I9537" s="156"/>
      <c r="J9537" s="156"/>
    </row>
    <row r="9538" spans="8:10">
      <c r="H9538" s="156"/>
      <c r="I9538" s="156"/>
      <c r="J9538" s="156"/>
    </row>
    <row r="9539" spans="8:10">
      <c r="H9539" s="156"/>
      <c r="I9539" s="156"/>
      <c r="J9539" s="156"/>
    </row>
    <row r="9540" spans="8:10">
      <c r="H9540" s="156"/>
      <c r="I9540" s="156"/>
      <c r="J9540" s="156"/>
    </row>
    <row r="9541" spans="8:10">
      <c r="H9541" s="156"/>
      <c r="I9541" s="156"/>
      <c r="J9541" s="156"/>
    </row>
    <row r="9542" spans="8:10">
      <c r="H9542" s="156"/>
      <c r="I9542" s="156"/>
      <c r="J9542" s="156"/>
    </row>
    <row r="9543" spans="8:10">
      <c r="H9543" s="156"/>
      <c r="I9543" s="156"/>
      <c r="J9543" s="156"/>
    </row>
    <row r="9544" spans="8:10">
      <c r="H9544" s="156"/>
      <c r="I9544" s="156"/>
      <c r="J9544" s="156"/>
    </row>
    <row r="9545" spans="8:10">
      <c r="H9545" s="156"/>
      <c r="I9545" s="156"/>
      <c r="J9545" s="156"/>
    </row>
    <row r="9546" spans="8:10">
      <c r="H9546" s="156"/>
      <c r="I9546" s="156"/>
      <c r="J9546" s="156"/>
    </row>
    <row r="9547" spans="8:10">
      <c r="H9547" s="156"/>
      <c r="I9547" s="156"/>
      <c r="J9547" s="156"/>
    </row>
    <row r="9548" spans="8:10">
      <c r="H9548" s="156"/>
      <c r="I9548" s="156"/>
      <c r="J9548" s="156"/>
    </row>
    <row r="9549" spans="8:10">
      <c r="H9549" s="156"/>
      <c r="I9549" s="156"/>
      <c r="J9549" s="156"/>
    </row>
    <row r="9550" spans="8:10">
      <c r="H9550" s="156"/>
      <c r="I9550" s="156"/>
      <c r="J9550" s="156"/>
    </row>
    <row r="9551" spans="8:10">
      <c r="H9551" s="156"/>
      <c r="I9551" s="156"/>
      <c r="J9551" s="156"/>
    </row>
    <row r="9552" spans="8:10">
      <c r="H9552" s="156"/>
      <c r="I9552" s="156"/>
      <c r="J9552" s="156"/>
    </row>
    <row r="9553" spans="8:10">
      <c r="H9553" s="156"/>
      <c r="I9553" s="156"/>
      <c r="J9553" s="156"/>
    </row>
    <row r="9554" spans="8:10">
      <c r="H9554" s="156"/>
      <c r="I9554" s="156"/>
      <c r="J9554" s="156"/>
    </row>
    <row r="9555" spans="8:10">
      <c r="H9555" s="156"/>
      <c r="I9555" s="156"/>
      <c r="J9555" s="156"/>
    </row>
    <row r="9556" spans="8:10">
      <c r="H9556" s="156"/>
      <c r="I9556" s="156"/>
      <c r="J9556" s="156"/>
    </row>
    <row r="9557" spans="8:10">
      <c r="H9557" s="156"/>
      <c r="I9557" s="156"/>
      <c r="J9557" s="156"/>
    </row>
    <row r="9558" spans="8:10">
      <c r="H9558" s="156"/>
      <c r="I9558" s="156"/>
      <c r="J9558" s="156"/>
    </row>
    <row r="9559" spans="8:10">
      <c r="H9559" s="156"/>
      <c r="I9559" s="156"/>
      <c r="J9559" s="156"/>
    </row>
    <row r="9560" spans="8:10">
      <c r="H9560" s="156"/>
      <c r="I9560" s="156"/>
      <c r="J9560" s="156"/>
    </row>
    <row r="9561" spans="8:10">
      <c r="H9561" s="156"/>
      <c r="I9561" s="156"/>
      <c r="J9561" s="156"/>
    </row>
    <row r="9562" spans="8:10">
      <c r="H9562" s="156"/>
      <c r="I9562" s="156"/>
      <c r="J9562" s="156"/>
    </row>
    <row r="9563" spans="8:10">
      <c r="H9563" s="156"/>
      <c r="I9563" s="156"/>
      <c r="J9563" s="156"/>
    </row>
    <row r="9564" spans="8:10">
      <c r="H9564" s="156"/>
      <c r="I9564" s="156"/>
      <c r="J9564" s="156"/>
    </row>
    <row r="9565" spans="8:10">
      <c r="H9565" s="156"/>
      <c r="I9565" s="156"/>
      <c r="J9565" s="156"/>
    </row>
    <row r="9566" spans="8:10">
      <c r="H9566" s="156"/>
      <c r="I9566" s="156"/>
      <c r="J9566" s="156"/>
    </row>
    <row r="9567" spans="8:10">
      <c r="H9567" s="156"/>
      <c r="I9567" s="156"/>
      <c r="J9567" s="156"/>
    </row>
    <row r="9568" spans="8:10">
      <c r="H9568" s="156"/>
      <c r="I9568" s="156"/>
      <c r="J9568" s="156"/>
    </row>
    <row r="9569" spans="8:10">
      <c r="H9569" s="156"/>
      <c r="I9569" s="156"/>
      <c r="J9569" s="156"/>
    </row>
    <row r="9570" spans="8:10">
      <c r="H9570" s="156"/>
      <c r="I9570" s="156"/>
      <c r="J9570" s="156"/>
    </row>
    <row r="9571" spans="8:10">
      <c r="H9571" s="156"/>
      <c r="I9571" s="156"/>
      <c r="J9571" s="156"/>
    </row>
    <row r="9572" spans="8:10">
      <c r="H9572" s="156"/>
      <c r="I9572" s="156"/>
      <c r="J9572" s="156"/>
    </row>
    <row r="9573" spans="8:10">
      <c r="H9573" s="156"/>
      <c r="I9573" s="156"/>
      <c r="J9573" s="156"/>
    </row>
    <row r="9574" spans="8:10">
      <c r="H9574" s="156"/>
      <c r="I9574" s="156"/>
      <c r="J9574" s="156"/>
    </row>
    <row r="9575" spans="8:10">
      <c r="H9575" s="156"/>
      <c r="I9575" s="156"/>
      <c r="J9575" s="156"/>
    </row>
    <row r="9576" spans="8:10">
      <c r="H9576" s="156"/>
      <c r="I9576" s="156"/>
      <c r="J9576" s="156"/>
    </row>
    <row r="9577" spans="8:10">
      <c r="H9577" s="156"/>
      <c r="I9577" s="156"/>
      <c r="J9577" s="156"/>
    </row>
    <row r="9578" spans="8:10">
      <c r="H9578" s="156"/>
      <c r="I9578" s="156"/>
      <c r="J9578" s="156"/>
    </row>
    <row r="9579" spans="8:10">
      <c r="H9579" s="156"/>
      <c r="I9579" s="156"/>
      <c r="J9579" s="156"/>
    </row>
    <row r="9580" spans="8:10">
      <c r="H9580" s="156"/>
      <c r="I9580" s="156"/>
      <c r="J9580" s="156"/>
    </row>
    <row r="9581" spans="8:10">
      <c r="H9581" s="156"/>
      <c r="I9581" s="156"/>
      <c r="J9581" s="156"/>
    </row>
    <row r="9582" spans="8:10">
      <c r="H9582" s="156"/>
      <c r="I9582" s="156"/>
      <c r="J9582" s="156"/>
    </row>
    <row r="9583" spans="8:10">
      <c r="H9583" s="156"/>
      <c r="I9583" s="156"/>
      <c r="J9583" s="156"/>
    </row>
    <row r="9584" spans="8:10">
      <c r="H9584" s="156"/>
      <c r="I9584" s="156"/>
      <c r="J9584" s="156"/>
    </row>
    <row r="9585" spans="8:10">
      <c r="H9585" s="156"/>
      <c r="I9585" s="156"/>
      <c r="J9585" s="156"/>
    </row>
    <row r="9586" spans="8:10">
      <c r="H9586" s="156"/>
      <c r="I9586" s="156"/>
      <c r="J9586" s="156"/>
    </row>
    <row r="9587" spans="8:10">
      <c r="H9587" s="156"/>
      <c r="I9587" s="156"/>
      <c r="J9587" s="156"/>
    </row>
    <row r="9588" spans="8:10">
      <c r="H9588" s="156"/>
      <c r="I9588" s="156"/>
      <c r="J9588" s="156"/>
    </row>
    <row r="9589" spans="8:10">
      <c r="H9589" s="156"/>
      <c r="I9589" s="156"/>
      <c r="J9589" s="156"/>
    </row>
    <row r="9590" spans="8:10">
      <c r="H9590" s="156"/>
      <c r="I9590" s="156"/>
      <c r="J9590" s="156"/>
    </row>
    <row r="9591" spans="8:10">
      <c r="H9591" s="156"/>
      <c r="I9591" s="156"/>
      <c r="J9591" s="156"/>
    </row>
    <row r="9592" spans="8:10">
      <c r="H9592" s="156"/>
      <c r="I9592" s="156"/>
      <c r="J9592" s="156"/>
    </row>
    <row r="9593" spans="8:10">
      <c r="H9593" s="156"/>
      <c r="I9593" s="156"/>
      <c r="J9593" s="156"/>
    </row>
    <row r="9594" spans="8:10">
      <c r="H9594" s="156"/>
      <c r="I9594" s="156"/>
      <c r="J9594" s="156"/>
    </row>
    <row r="9595" spans="8:10">
      <c r="H9595" s="156"/>
      <c r="I9595" s="156"/>
      <c r="J9595" s="156"/>
    </row>
    <row r="9596" spans="8:10">
      <c r="H9596" s="156"/>
      <c r="I9596" s="156"/>
      <c r="J9596" s="156"/>
    </row>
    <row r="9597" spans="8:10">
      <c r="H9597" s="156"/>
      <c r="I9597" s="156"/>
      <c r="J9597" s="156"/>
    </row>
    <row r="9598" spans="8:10">
      <c r="H9598" s="156"/>
      <c r="I9598" s="156"/>
      <c r="J9598" s="156"/>
    </row>
    <row r="9599" spans="8:10">
      <c r="H9599" s="156"/>
      <c r="I9599" s="156"/>
      <c r="J9599" s="156"/>
    </row>
    <row r="9600" spans="8:10">
      <c r="H9600" s="156"/>
      <c r="I9600" s="156"/>
      <c r="J9600" s="156"/>
    </row>
    <row r="9601" spans="8:10">
      <c r="H9601" s="156"/>
      <c r="I9601" s="156"/>
      <c r="J9601" s="156"/>
    </row>
    <row r="9602" spans="8:10">
      <c r="H9602" s="156"/>
      <c r="I9602" s="156"/>
      <c r="J9602" s="156"/>
    </row>
    <row r="9603" spans="8:10">
      <c r="H9603" s="156"/>
      <c r="I9603" s="156"/>
      <c r="J9603" s="156"/>
    </row>
    <row r="9604" spans="8:10">
      <c r="H9604" s="156"/>
      <c r="I9604" s="156"/>
      <c r="J9604" s="156"/>
    </row>
    <row r="9605" spans="8:10">
      <c r="H9605" s="156"/>
      <c r="I9605" s="156"/>
      <c r="J9605" s="156"/>
    </row>
    <row r="9606" spans="8:10">
      <c r="H9606" s="156"/>
      <c r="I9606" s="156"/>
      <c r="J9606" s="156"/>
    </row>
    <row r="9607" spans="8:10">
      <c r="H9607" s="156"/>
      <c r="I9607" s="156"/>
      <c r="J9607" s="156"/>
    </row>
    <row r="9608" spans="8:10">
      <c r="H9608" s="156"/>
      <c r="I9608" s="156"/>
      <c r="J9608" s="156"/>
    </row>
    <row r="9609" spans="8:10">
      <c r="H9609" s="156"/>
      <c r="I9609" s="156"/>
      <c r="J9609" s="156"/>
    </row>
    <row r="9610" spans="8:10">
      <c r="H9610" s="156"/>
      <c r="I9610" s="156"/>
      <c r="J9610" s="156"/>
    </row>
    <row r="9611" spans="8:10">
      <c r="H9611" s="156"/>
      <c r="I9611" s="156"/>
      <c r="J9611" s="156"/>
    </row>
    <row r="9612" spans="8:10">
      <c r="H9612" s="156"/>
      <c r="I9612" s="156"/>
      <c r="J9612" s="156"/>
    </row>
    <row r="9613" spans="8:10">
      <c r="H9613" s="156"/>
      <c r="I9613" s="156"/>
      <c r="J9613" s="156"/>
    </row>
    <row r="9614" spans="8:10">
      <c r="H9614" s="156"/>
      <c r="I9614" s="156"/>
      <c r="J9614" s="156"/>
    </row>
    <row r="9615" spans="8:10">
      <c r="H9615" s="156"/>
      <c r="I9615" s="156"/>
      <c r="J9615" s="156"/>
    </row>
    <row r="9616" spans="8:10">
      <c r="H9616" s="156"/>
      <c r="I9616" s="156"/>
      <c r="J9616" s="156"/>
    </row>
    <row r="9617" spans="8:10">
      <c r="H9617" s="156"/>
      <c r="I9617" s="156"/>
      <c r="J9617" s="156"/>
    </row>
    <row r="9618" spans="8:10">
      <c r="H9618" s="156"/>
      <c r="I9618" s="156"/>
      <c r="J9618" s="156"/>
    </row>
    <row r="9619" spans="8:10">
      <c r="H9619" s="156"/>
      <c r="I9619" s="156"/>
      <c r="J9619" s="156"/>
    </row>
    <row r="9620" spans="8:10">
      <c r="H9620" s="156"/>
      <c r="I9620" s="156"/>
      <c r="J9620" s="156"/>
    </row>
    <row r="9621" spans="8:10">
      <c r="H9621" s="156"/>
      <c r="I9621" s="156"/>
      <c r="J9621" s="156"/>
    </row>
    <row r="9622" spans="8:10">
      <c r="H9622" s="156"/>
      <c r="I9622" s="156"/>
      <c r="J9622" s="156"/>
    </row>
    <row r="9623" spans="8:10">
      <c r="H9623" s="156"/>
      <c r="I9623" s="156"/>
      <c r="J9623" s="156"/>
    </row>
    <row r="9624" spans="8:10">
      <c r="H9624" s="156"/>
      <c r="I9624" s="156"/>
      <c r="J9624" s="156"/>
    </row>
    <row r="9625" spans="8:10">
      <c r="H9625" s="156"/>
      <c r="I9625" s="156"/>
      <c r="J9625" s="156"/>
    </row>
    <row r="9626" spans="8:10">
      <c r="H9626" s="156"/>
      <c r="I9626" s="156"/>
      <c r="J9626" s="156"/>
    </row>
    <row r="9627" spans="8:10">
      <c r="H9627" s="156"/>
      <c r="I9627" s="156"/>
      <c r="J9627" s="156"/>
    </row>
    <row r="9628" spans="8:10">
      <c r="H9628" s="156"/>
      <c r="I9628" s="156"/>
      <c r="J9628" s="156"/>
    </row>
    <row r="9629" spans="8:10">
      <c r="H9629" s="156"/>
      <c r="I9629" s="156"/>
      <c r="J9629" s="156"/>
    </row>
    <row r="9630" spans="8:10">
      <c r="H9630" s="156"/>
      <c r="I9630" s="156"/>
      <c r="J9630" s="156"/>
    </row>
    <row r="9631" spans="8:10">
      <c r="H9631" s="156"/>
      <c r="I9631" s="156"/>
      <c r="J9631" s="156"/>
    </row>
    <row r="9632" spans="8:10">
      <c r="H9632" s="156"/>
      <c r="I9632" s="156"/>
      <c r="J9632" s="156"/>
    </row>
    <row r="9633" spans="8:10">
      <c r="H9633" s="156"/>
      <c r="I9633" s="156"/>
      <c r="J9633" s="156"/>
    </row>
    <row r="9634" spans="8:10">
      <c r="H9634" s="156"/>
      <c r="I9634" s="156"/>
      <c r="J9634" s="156"/>
    </row>
    <row r="9635" spans="8:10">
      <c r="H9635" s="156"/>
      <c r="I9635" s="156"/>
      <c r="J9635" s="156"/>
    </row>
    <row r="9636" spans="8:10">
      <c r="H9636" s="156"/>
      <c r="I9636" s="156"/>
      <c r="J9636" s="156"/>
    </row>
    <row r="9637" spans="8:10">
      <c r="H9637" s="156"/>
      <c r="I9637" s="156"/>
      <c r="J9637" s="156"/>
    </row>
    <row r="9638" spans="8:10">
      <c r="H9638" s="156"/>
      <c r="I9638" s="156"/>
      <c r="J9638" s="156"/>
    </row>
    <row r="9639" spans="8:10">
      <c r="H9639" s="156"/>
      <c r="I9639" s="156"/>
      <c r="J9639" s="156"/>
    </row>
    <row r="9640" spans="8:10">
      <c r="H9640" s="156"/>
      <c r="I9640" s="156"/>
      <c r="J9640" s="156"/>
    </row>
    <row r="9641" spans="8:10">
      <c r="H9641" s="156"/>
      <c r="I9641" s="156"/>
      <c r="J9641" s="156"/>
    </row>
    <row r="9642" spans="8:10">
      <c r="H9642" s="156"/>
      <c r="I9642" s="156"/>
      <c r="J9642" s="156"/>
    </row>
    <row r="9643" spans="8:10">
      <c r="H9643" s="156"/>
      <c r="I9643" s="156"/>
      <c r="J9643" s="156"/>
    </row>
    <row r="9644" spans="8:10">
      <c r="H9644" s="156"/>
      <c r="I9644" s="156"/>
      <c r="J9644" s="156"/>
    </row>
    <row r="9645" spans="8:10">
      <c r="H9645" s="156"/>
      <c r="I9645" s="156"/>
      <c r="J9645" s="156"/>
    </row>
    <row r="9646" spans="8:10">
      <c r="H9646" s="156"/>
      <c r="I9646" s="156"/>
      <c r="J9646" s="156"/>
    </row>
    <row r="9647" spans="8:10">
      <c r="H9647" s="156"/>
      <c r="I9647" s="156"/>
      <c r="J9647" s="156"/>
    </row>
    <row r="9648" spans="8:10">
      <c r="H9648" s="156"/>
      <c r="I9648" s="156"/>
      <c r="J9648" s="156"/>
    </row>
    <row r="9649" spans="8:10">
      <c r="H9649" s="156"/>
      <c r="I9649" s="156"/>
      <c r="J9649" s="156"/>
    </row>
    <row r="9650" spans="8:10">
      <c r="H9650" s="156"/>
      <c r="I9650" s="156"/>
      <c r="J9650" s="156"/>
    </row>
    <row r="9651" spans="8:10">
      <c r="H9651" s="156"/>
      <c r="I9651" s="156"/>
      <c r="J9651" s="156"/>
    </row>
    <row r="9652" spans="8:10">
      <c r="H9652" s="156"/>
      <c r="I9652" s="156"/>
      <c r="J9652" s="156"/>
    </row>
    <row r="9653" spans="8:10">
      <c r="H9653" s="156"/>
      <c r="I9653" s="156"/>
      <c r="J9653" s="156"/>
    </row>
    <row r="9654" spans="8:10">
      <c r="H9654" s="156"/>
      <c r="I9654" s="156"/>
      <c r="J9654" s="156"/>
    </row>
    <row r="9655" spans="8:10">
      <c r="H9655" s="156"/>
      <c r="I9655" s="156"/>
      <c r="J9655" s="156"/>
    </row>
    <row r="9656" spans="8:10">
      <c r="H9656" s="156"/>
      <c r="I9656" s="156"/>
      <c r="J9656" s="156"/>
    </row>
    <row r="9657" spans="8:10">
      <c r="H9657" s="156"/>
      <c r="I9657" s="156"/>
      <c r="J9657" s="156"/>
    </row>
    <row r="9658" spans="8:10">
      <c r="H9658" s="156"/>
      <c r="I9658" s="156"/>
      <c r="J9658" s="156"/>
    </row>
    <row r="9659" spans="8:10">
      <c r="H9659" s="156"/>
      <c r="I9659" s="156"/>
      <c r="J9659" s="156"/>
    </row>
    <row r="9660" spans="8:10">
      <c r="H9660" s="156"/>
      <c r="I9660" s="156"/>
      <c r="J9660" s="156"/>
    </row>
    <row r="9661" spans="8:10">
      <c r="H9661" s="156"/>
      <c r="I9661" s="156"/>
      <c r="J9661" s="156"/>
    </row>
    <row r="9662" spans="8:10">
      <c r="H9662" s="156"/>
      <c r="I9662" s="156"/>
      <c r="J9662" s="156"/>
    </row>
    <row r="9663" spans="8:10">
      <c r="H9663" s="156"/>
      <c r="I9663" s="156"/>
      <c r="J9663" s="156"/>
    </row>
    <row r="9664" spans="8:10">
      <c r="H9664" s="156"/>
      <c r="I9664" s="156"/>
      <c r="J9664" s="156"/>
    </row>
    <row r="9665" spans="8:10">
      <c r="H9665" s="156"/>
      <c r="I9665" s="156"/>
      <c r="J9665" s="156"/>
    </row>
    <row r="9666" spans="8:10">
      <c r="H9666" s="156"/>
      <c r="I9666" s="156"/>
      <c r="J9666" s="156"/>
    </row>
    <row r="9667" spans="8:10">
      <c r="H9667" s="156"/>
      <c r="I9667" s="156"/>
      <c r="J9667" s="156"/>
    </row>
    <row r="9668" spans="8:10">
      <c r="H9668" s="156"/>
      <c r="I9668" s="156"/>
      <c r="J9668" s="156"/>
    </row>
    <row r="9669" spans="8:10">
      <c r="H9669" s="156"/>
      <c r="I9669" s="156"/>
      <c r="J9669" s="156"/>
    </row>
    <row r="9670" spans="8:10">
      <c r="H9670" s="156"/>
      <c r="I9670" s="156"/>
      <c r="J9670" s="156"/>
    </row>
    <row r="9671" spans="8:10">
      <c r="H9671" s="156"/>
      <c r="I9671" s="156"/>
      <c r="J9671" s="156"/>
    </row>
    <row r="9672" spans="8:10">
      <c r="H9672" s="156"/>
      <c r="I9672" s="156"/>
      <c r="J9672" s="156"/>
    </row>
    <row r="9673" spans="8:10">
      <c r="H9673" s="156"/>
      <c r="I9673" s="156"/>
      <c r="J9673" s="156"/>
    </row>
    <row r="9674" spans="8:10">
      <c r="H9674" s="156"/>
      <c r="I9674" s="156"/>
      <c r="J9674" s="156"/>
    </row>
    <row r="9675" spans="8:10">
      <c r="H9675" s="156"/>
      <c r="I9675" s="156"/>
      <c r="J9675" s="156"/>
    </row>
    <row r="9676" spans="8:10">
      <c r="H9676" s="156"/>
      <c r="I9676" s="156"/>
      <c r="J9676" s="156"/>
    </row>
    <row r="9677" spans="8:10">
      <c r="H9677" s="156"/>
      <c r="I9677" s="156"/>
      <c r="J9677" s="156"/>
    </row>
    <row r="9678" spans="8:10">
      <c r="H9678" s="156"/>
      <c r="I9678" s="156"/>
      <c r="J9678" s="156"/>
    </row>
    <row r="9679" spans="8:10">
      <c r="H9679" s="156"/>
      <c r="I9679" s="156"/>
      <c r="J9679" s="156"/>
    </row>
    <row r="9680" spans="8:10">
      <c r="H9680" s="156"/>
      <c r="I9680" s="156"/>
      <c r="J9680" s="156"/>
    </row>
    <row r="9681" spans="8:10">
      <c r="H9681" s="156"/>
      <c r="I9681" s="156"/>
      <c r="J9681" s="156"/>
    </row>
    <row r="9682" spans="8:10">
      <c r="H9682" s="156"/>
      <c r="I9682" s="156"/>
      <c r="J9682" s="156"/>
    </row>
    <row r="9683" spans="8:10">
      <c r="H9683" s="156"/>
      <c r="I9683" s="156"/>
      <c r="J9683" s="156"/>
    </row>
    <row r="9684" spans="8:10">
      <c r="H9684" s="156"/>
      <c r="I9684" s="156"/>
      <c r="J9684" s="156"/>
    </row>
    <row r="9685" spans="8:10">
      <c r="H9685" s="156"/>
      <c r="I9685" s="156"/>
      <c r="J9685" s="156"/>
    </row>
    <row r="9686" spans="8:10">
      <c r="H9686" s="156"/>
      <c r="I9686" s="156"/>
      <c r="J9686" s="156"/>
    </row>
    <row r="9687" spans="8:10">
      <c r="H9687" s="156"/>
      <c r="I9687" s="156"/>
      <c r="J9687" s="156"/>
    </row>
    <row r="9688" spans="8:10">
      <c r="H9688" s="156"/>
      <c r="I9688" s="156"/>
      <c r="J9688" s="156"/>
    </row>
    <row r="9689" spans="8:10">
      <c r="H9689" s="156"/>
      <c r="I9689" s="156"/>
      <c r="J9689" s="156"/>
    </row>
    <row r="9690" spans="8:10">
      <c r="H9690" s="156"/>
      <c r="I9690" s="156"/>
      <c r="J9690" s="156"/>
    </row>
    <row r="9691" spans="8:10">
      <c r="H9691" s="156"/>
      <c r="I9691" s="156"/>
      <c r="J9691" s="156"/>
    </row>
    <row r="9692" spans="8:10">
      <c r="H9692" s="156"/>
      <c r="I9692" s="156"/>
      <c r="J9692" s="156"/>
    </row>
    <row r="9693" spans="8:10">
      <c r="H9693" s="156"/>
      <c r="I9693" s="156"/>
      <c r="J9693" s="156"/>
    </row>
    <row r="9694" spans="8:10">
      <c r="H9694" s="156"/>
      <c r="I9694" s="156"/>
      <c r="J9694" s="156"/>
    </row>
    <row r="9695" spans="8:10">
      <c r="H9695" s="156"/>
      <c r="I9695" s="156"/>
      <c r="J9695" s="156"/>
    </row>
    <row r="9696" spans="8:10">
      <c r="H9696" s="156"/>
      <c r="I9696" s="156"/>
      <c r="J9696" s="156"/>
    </row>
    <row r="9697" spans="8:10">
      <c r="H9697" s="156"/>
      <c r="I9697" s="156"/>
      <c r="J9697" s="156"/>
    </row>
    <row r="9698" spans="8:10">
      <c r="H9698" s="156"/>
      <c r="I9698" s="156"/>
      <c r="J9698" s="156"/>
    </row>
    <row r="9699" spans="8:10">
      <c r="H9699" s="156"/>
      <c r="I9699" s="156"/>
      <c r="J9699" s="156"/>
    </row>
    <row r="9700" spans="8:10">
      <c r="H9700" s="156"/>
      <c r="I9700" s="156"/>
      <c r="J9700" s="156"/>
    </row>
    <row r="9701" spans="8:10">
      <c r="H9701" s="156"/>
      <c r="I9701" s="156"/>
      <c r="J9701" s="156"/>
    </row>
    <row r="9702" spans="8:10">
      <c r="H9702" s="156"/>
      <c r="I9702" s="156"/>
      <c r="J9702" s="156"/>
    </row>
    <row r="9703" spans="8:10">
      <c r="H9703" s="156"/>
      <c r="I9703" s="156"/>
      <c r="J9703" s="156"/>
    </row>
    <row r="9704" spans="8:10">
      <c r="H9704" s="156"/>
      <c r="I9704" s="156"/>
      <c r="J9704" s="156"/>
    </row>
    <row r="9705" spans="8:10">
      <c r="H9705" s="156"/>
      <c r="I9705" s="156"/>
      <c r="J9705" s="156"/>
    </row>
    <row r="9706" spans="8:10">
      <c r="H9706" s="156"/>
      <c r="I9706" s="156"/>
      <c r="J9706" s="156"/>
    </row>
    <row r="9707" spans="8:10">
      <c r="H9707" s="156"/>
      <c r="I9707" s="156"/>
      <c r="J9707" s="156"/>
    </row>
    <row r="9708" spans="8:10">
      <c r="H9708" s="156"/>
      <c r="I9708" s="156"/>
      <c r="J9708" s="156"/>
    </row>
    <row r="9709" spans="8:10">
      <c r="H9709" s="156"/>
      <c r="I9709" s="156"/>
      <c r="J9709" s="156"/>
    </row>
    <row r="9710" spans="8:10">
      <c r="H9710" s="156"/>
      <c r="I9710" s="156"/>
      <c r="J9710" s="156"/>
    </row>
    <row r="9711" spans="8:10">
      <c r="H9711" s="156"/>
      <c r="I9711" s="156"/>
      <c r="J9711" s="156"/>
    </row>
    <row r="9712" spans="8:10">
      <c r="H9712" s="156"/>
      <c r="I9712" s="156"/>
      <c r="J9712" s="156"/>
    </row>
    <row r="9713" spans="8:10">
      <c r="H9713" s="156"/>
      <c r="I9713" s="156"/>
      <c r="J9713" s="156"/>
    </row>
    <row r="9714" spans="8:10">
      <c r="H9714" s="156"/>
      <c r="I9714" s="156"/>
      <c r="J9714" s="156"/>
    </row>
    <row r="9715" spans="8:10">
      <c r="H9715" s="156"/>
      <c r="I9715" s="156"/>
      <c r="J9715" s="156"/>
    </row>
    <row r="9716" spans="8:10">
      <c r="H9716" s="156"/>
      <c r="I9716" s="156"/>
      <c r="J9716" s="156"/>
    </row>
    <row r="9717" spans="8:10">
      <c r="H9717" s="156"/>
      <c r="I9717" s="156"/>
      <c r="J9717" s="156"/>
    </row>
    <row r="9718" spans="8:10">
      <c r="H9718" s="156"/>
      <c r="I9718" s="156"/>
      <c r="J9718" s="156"/>
    </row>
    <row r="9719" spans="8:10">
      <c r="H9719" s="156"/>
      <c r="I9719" s="156"/>
      <c r="J9719" s="156"/>
    </row>
    <row r="9720" spans="8:10">
      <c r="H9720" s="156"/>
      <c r="I9720" s="156"/>
      <c r="J9720" s="156"/>
    </row>
    <row r="9721" spans="8:10">
      <c r="H9721" s="156"/>
      <c r="I9721" s="156"/>
      <c r="J9721" s="156"/>
    </row>
    <row r="9722" spans="8:10">
      <c r="H9722" s="156"/>
      <c r="I9722" s="156"/>
      <c r="J9722" s="156"/>
    </row>
    <row r="9723" spans="8:10">
      <c r="H9723" s="156"/>
      <c r="I9723" s="156"/>
      <c r="J9723" s="156"/>
    </row>
    <row r="9724" spans="8:10">
      <c r="H9724" s="156"/>
      <c r="I9724" s="156"/>
      <c r="J9724" s="156"/>
    </row>
    <row r="9725" spans="8:10">
      <c r="H9725" s="156"/>
      <c r="I9725" s="156"/>
      <c r="J9725" s="156"/>
    </row>
    <row r="9726" spans="8:10">
      <c r="H9726" s="156"/>
      <c r="I9726" s="156"/>
      <c r="J9726" s="156"/>
    </row>
    <row r="9727" spans="8:10">
      <c r="H9727" s="156"/>
      <c r="I9727" s="156"/>
      <c r="J9727" s="156"/>
    </row>
    <row r="9728" spans="8:10">
      <c r="H9728" s="156"/>
      <c r="I9728" s="156"/>
      <c r="J9728" s="156"/>
    </row>
    <row r="9729" spans="8:10">
      <c r="H9729" s="156"/>
      <c r="I9729" s="156"/>
      <c r="J9729" s="156"/>
    </row>
    <row r="9730" spans="8:10">
      <c r="H9730" s="156"/>
      <c r="I9730" s="156"/>
      <c r="J9730" s="156"/>
    </row>
    <row r="9731" spans="8:10">
      <c r="H9731" s="156"/>
      <c r="I9731" s="156"/>
      <c r="J9731" s="156"/>
    </row>
    <row r="9732" spans="8:10">
      <c r="H9732" s="156"/>
      <c r="I9732" s="156"/>
      <c r="J9732" s="156"/>
    </row>
    <row r="9733" spans="8:10">
      <c r="H9733" s="156"/>
      <c r="I9733" s="156"/>
      <c r="J9733" s="156"/>
    </row>
    <row r="9734" spans="8:10">
      <c r="H9734" s="156"/>
      <c r="I9734" s="156"/>
      <c r="J9734" s="156"/>
    </row>
    <row r="9735" spans="8:10">
      <c r="H9735" s="156"/>
      <c r="I9735" s="156"/>
      <c r="J9735" s="156"/>
    </row>
    <row r="9736" spans="8:10">
      <c r="H9736" s="156"/>
      <c r="I9736" s="156"/>
      <c r="J9736" s="156"/>
    </row>
    <row r="9737" spans="8:10">
      <c r="H9737" s="156"/>
      <c r="I9737" s="156"/>
      <c r="J9737" s="156"/>
    </row>
    <row r="9738" spans="8:10">
      <c r="H9738" s="156"/>
      <c r="I9738" s="156"/>
      <c r="J9738" s="156"/>
    </row>
    <row r="9739" spans="8:10">
      <c r="H9739" s="156"/>
      <c r="I9739" s="156"/>
      <c r="J9739" s="156"/>
    </row>
    <row r="9740" spans="8:10">
      <c r="H9740" s="156"/>
      <c r="I9740" s="156"/>
      <c r="J9740" s="156"/>
    </row>
    <row r="9741" spans="8:10">
      <c r="H9741" s="156"/>
      <c r="I9741" s="156"/>
      <c r="J9741" s="156"/>
    </row>
    <row r="9742" spans="8:10">
      <c r="H9742" s="156"/>
      <c r="I9742" s="156"/>
      <c r="J9742" s="156"/>
    </row>
    <row r="9743" spans="8:10">
      <c r="H9743" s="156"/>
      <c r="I9743" s="156"/>
      <c r="J9743" s="156"/>
    </row>
    <row r="9744" spans="8:10">
      <c r="H9744" s="156"/>
      <c r="I9744" s="156"/>
      <c r="J9744" s="156"/>
    </row>
    <row r="9745" spans="8:10">
      <c r="H9745" s="156"/>
      <c r="I9745" s="156"/>
      <c r="J9745" s="156"/>
    </row>
    <row r="9746" spans="8:10">
      <c r="H9746" s="156"/>
      <c r="I9746" s="156"/>
      <c r="J9746" s="156"/>
    </row>
    <row r="9747" spans="8:10">
      <c r="H9747" s="156"/>
      <c r="I9747" s="156"/>
      <c r="J9747" s="156"/>
    </row>
    <row r="9748" spans="8:10">
      <c r="H9748" s="156"/>
      <c r="I9748" s="156"/>
      <c r="J9748" s="156"/>
    </row>
    <row r="9749" spans="8:10">
      <c r="H9749" s="156"/>
      <c r="I9749" s="156"/>
      <c r="J9749" s="156"/>
    </row>
    <row r="9750" spans="8:10">
      <c r="H9750" s="156"/>
      <c r="I9750" s="156"/>
      <c r="J9750" s="156"/>
    </row>
    <row r="9751" spans="8:10">
      <c r="H9751" s="156"/>
      <c r="I9751" s="156"/>
      <c r="J9751" s="156"/>
    </row>
    <row r="9752" spans="8:10">
      <c r="H9752" s="156"/>
      <c r="I9752" s="156"/>
      <c r="J9752" s="156"/>
    </row>
    <row r="9753" spans="8:10">
      <c r="H9753" s="156"/>
      <c r="I9753" s="156"/>
      <c r="J9753" s="156"/>
    </row>
    <row r="9754" spans="8:10">
      <c r="H9754" s="156"/>
      <c r="I9754" s="156"/>
      <c r="J9754" s="156"/>
    </row>
    <row r="9755" spans="8:10">
      <c r="H9755" s="156"/>
      <c r="I9755" s="156"/>
      <c r="J9755" s="156"/>
    </row>
    <row r="9756" spans="8:10">
      <c r="H9756" s="156"/>
      <c r="I9756" s="156"/>
      <c r="J9756" s="156"/>
    </row>
    <row r="9757" spans="8:10">
      <c r="H9757" s="156"/>
      <c r="I9757" s="156"/>
      <c r="J9757" s="156"/>
    </row>
    <row r="9758" spans="8:10">
      <c r="H9758" s="156"/>
      <c r="I9758" s="156"/>
      <c r="J9758" s="156"/>
    </row>
    <row r="9759" spans="8:10">
      <c r="H9759" s="156"/>
      <c r="I9759" s="156"/>
      <c r="J9759" s="156"/>
    </row>
    <row r="9760" spans="8:10">
      <c r="H9760" s="156"/>
      <c r="I9760" s="156"/>
      <c r="J9760" s="156"/>
    </row>
    <row r="9761" spans="8:10">
      <c r="H9761" s="156"/>
      <c r="I9761" s="156"/>
      <c r="J9761" s="156"/>
    </row>
    <row r="9762" spans="8:10">
      <c r="H9762" s="156"/>
      <c r="I9762" s="156"/>
      <c r="J9762" s="156"/>
    </row>
    <row r="9763" spans="8:10">
      <c r="H9763" s="156"/>
      <c r="I9763" s="156"/>
      <c r="J9763" s="156"/>
    </row>
    <row r="9764" spans="8:10">
      <c r="H9764" s="156"/>
      <c r="I9764" s="156"/>
      <c r="J9764" s="156"/>
    </row>
    <row r="9765" spans="8:10">
      <c r="H9765" s="156"/>
      <c r="I9765" s="156"/>
      <c r="J9765" s="156"/>
    </row>
    <row r="9766" spans="8:10">
      <c r="H9766" s="156"/>
      <c r="I9766" s="156"/>
      <c r="J9766" s="156"/>
    </row>
    <row r="9767" spans="8:10">
      <c r="H9767" s="156"/>
      <c r="I9767" s="156"/>
      <c r="J9767" s="156"/>
    </row>
    <row r="9768" spans="8:10">
      <c r="H9768" s="156"/>
      <c r="I9768" s="156"/>
      <c r="J9768" s="156"/>
    </row>
    <row r="9769" spans="8:10">
      <c r="H9769" s="156"/>
      <c r="I9769" s="156"/>
      <c r="J9769" s="156"/>
    </row>
    <row r="9770" spans="8:10">
      <c r="H9770" s="156"/>
      <c r="I9770" s="156"/>
      <c r="J9770" s="156"/>
    </row>
    <row r="9771" spans="8:10">
      <c r="H9771" s="156"/>
      <c r="I9771" s="156"/>
      <c r="J9771" s="156"/>
    </row>
    <row r="9772" spans="8:10">
      <c r="H9772" s="156"/>
      <c r="I9772" s="156"/>
      <c r="J9772" s="156"/>
    </row>
    <row r="9773" spans="8:10">
      <c r="H9773" s="156"/>
      <c r="I9773" s="156"/>
      <c r="J9773" s="156"/>
    </row>
    <row r="9774" spans="8:10">
      <c r="H9774" s="156"/>
      <c r="I9774" s="156"/>
      <c r="J9774" s="156"/>
    </row>
    <row r="9775" spans="8:10">
      <c r="H9775" s="156"/>
      <c r="I9775" s="156"/>
      <c r="J9775" s="156"/>
    </row>
    <row r="9776" spans="8:10">
      <c r="H9776" s="156"/>
      <c r="I9776" s="156"/>
      <c r="J9776" s="156"/>
    </row>
    <row r="9777" spans="8:10">
      <c r="H9777" s="156"/>
      <c r="I9777" s="156"/>
      <c r="J9777" s="156"/>
    </row>
    <row r="9778" spans="8:10">
      <c r="H9778" s="156"/>
      <c r="I9778" s="156"/>
      <c r="J9778" s="156"/>
    </row>
    <row r="9779" spans="8:10">
      <c r="H9779" s="156"/>
      <c r="I9779" s="156"/>
      <c r="J9779" s="156"/>
    </row>
    <row r="9780" spans="8:10">
      <c r="H9780" s="156"/>
      <c r="I9780" s="156"/>
      <c r="J9780" s="156"/>
    </row>
    <row r="9781" spans="8:10">
      <c r="H9781" s="156"/>
      <c r="I9781" s="156"/>
      <c r="J9781" s="156"/>
    </row>
    <row r="9782" spans="8:10">
      <c r="H9782" s="156"/>
      <c r="I9782" s="156"/>
      <c r="J9782" s="156"/>
    </row>
    <row r="9783" spans="8:10">
      <c r="H9783" s="156"/>
      <c r="I9783" s="156"/>
      <c r="J9783" s="156"/>
    </row>
    <row r="9784" spans="8:10">
      <c r="H9784" s="156"/>
      <c r="I9784" s="156"/>
      <c r="J9784" s="156"/>
    </row>
    <row r="9785" spans="8:10">
      <c r="H9785" s="156"/>
      <c r="I9785" s="156"/>
      <c r="J9785" s="156"/>
    </row>
    <row r="9786" spans="8:10">
      <c r="H9786" s="156"/>
      <c r="I9786" s="156"/>
      <c r="J9786" s="156"/>
    </row>
    <row r="9787" spans="8:10">
      <c r="H9787" s="156"/>
      <c r="I9787" s="156"/>
      <c r="J9787" s="156"/>
    </row>
    <row r="9788" spans="8:10">
      <c r="H9788" s="156"/>
      <c r="I9788" s="156"/>
      <c r="J9788" s="156"/>
    </row>
    <row r="9789" spans="8:10">
      <c r="H9789" s="156"/>
      <c r="I9789" s="156"/>
      <c r="J9789" s="156"/>
    </row>
    <row r="9790" spans="8:10">
      <c r="H9790" s="156"/>
      <c r="I9790" s="156"/>
      <c r="J9790" s="156"/>
    </row>
    <row r="9791" spans="8:10">
      <c r="H9791" s="156"/>
      <c r="I9791" s="156"/>
      <c r="J9791" s="156"/>
    </row>
    <row r="9792" spans="8:10">
      <c r="H9792" s="156"/>
      <c r="I9792" s="156"/>
      <c r="J9792" s="156"/>
    </row>
    <row r="9793" spans="8:10">
      <c r="H9793" s="156"/>
      <c r="I9793" s="156"/>
      <c r="J9793" s="156"/>
    </row>
    <row r="9794" spans="8:10">
      <c r="H9794" s="156"/>
      <c r="I9794" s="156"/>
      <c r="J9794" s="156"/>
    </row>
    <row r="9795" spans="8:10">
      <c r="H9795" s="156"/>
      <c r="I9795" s="156"/>
      <c r="J9795" s="156"/>
    </row>
    <row r="9796" spans="8:10">
      <c r="H9796" s="156"/>
      <c r="I9796" s="156"/>
      <c r="J9796" s="156"/>
    </row>
    <row r="9797" spans="8:10">
      <c r="H9797" s="156"/>
      <c r="I9797" s="156"/>
      <c r="J9797" s="156"/>
    </row>
    <row r="9798" spans="8:10">
      <c r="H9798" s="156"/>
      <c r="I9798" s="156"/>
      <c r="J9798" s="156"/>
    </row>
    <row r="9799" spans="8:10">
      <c r="H9799" s="156"/>
      <c r="I9799" s="156"/>
      <c r="J9799" s="156"/>
    </row>
    <row r="9800" spans="8:10">
      <c r="H9800" s="156"/>
      <c r="I9800" s="156"/>
      <c r="J9800" s="156"/>
    </row>
    <row r="9801" spans="8:10">
      <c r="H9801" s="156"/>
      <c r="I9801" s="156"/>
      <c r="J9801" s="156"/>
    </row>
    <row r="9802" spans="8:10">
      <c r="H9802" s="156"/>
      <c r="I9802" s="156"/>
      <c r="J9802" s="156"/>
    </row>
    <row r="9803" spans="8:10">
      <c r="H9803" s="156"/>
      <c r="I9803" s="156"/>
      <c r="J9803" s="156"/>
    </row>
    <row r="9804" spans="8:10">
      <c r="H9804" s="156"/>
      <c r="I9804" s="156"/>
      <c r="J9804" s="156"/>
    </row>
    <row r="9805" spans="8:10">
      <c r="H9805" s="156"/>
      <c r="I9805" s="156"/>
      <c r="J9805" s="156"/>
    </row>
    <row r="9806" spans="8:10">
      <c r="H9806" s="156"/>
      <c r="I9806" s="156"/>
      <c r="J9806" s="156"/>
    </row>
    <row r="9807" spans="8:10">
      <c r="H9807" s="156"/>
      <c r="I9807" s="156"/>
      <c r="J9807" s="156"/>
    </row>
    <row r="9808" spans="8:10">
      <c r="H9808" s="156"/>
      <c r="I9808" s="156"/>
      <c r="J9808" s="156"/>
    </row>
    <row r="9809" spans="8:10">
      <c r="H9809" s="156"/>
      <c r="I9809" s="156"/>
      <c r="J9809" s="156"/>
    </row>
    <row r="9810" spans="8:10">
      <c r="H9810" s="156"/>
      <c r="I9810" s="156"/>
      <c r="J9810" s="156"/>
    </row>
    <row r="9811" spans="8:10">
      <c r="H9811" s="156"/>
      <c r="I9811" s="156"/>
      <c r="J9811" s="156"/>
    </row>
    <row r="9812" spans="8:10">
      <c r="H9812" s="156"/>
      <c r="I9812" s="156"/>
      <c r="J9812" s="156"/>
    </row>
    <row r="9813" spans="8:10">
      <c r="H9813" s="156"/>
      <c r="I9813" s="156"/>
      <c r="J9813" s="156"/>
    </row>
    <row r="9814" spans="8:10">
      <c r="H9814" s="156"/>
      <c r="I9814" s="156"/>
      <c r="J9814" s="156"/>
    </row>
    <row r="9815" spans="8:10">
      <c r="H9815" s="156"/>
      <c r="I9815" s="156"/>
      <c r="J9815" s="156"/>
    </row>
    <row r="9816" spans="8:10">
      <c r="H9816" s="156"/>
      <c r="I9816" s="156"/>
      <c r="J9816" s="156"/>
    </row>
    <row r="9817" spans="8:10">
      <c r="H9817" s="156"/>
      <c r="I9817" s="156"/>
      <c r="J9817" s="156"/>
    </row>
    <row r="9818" spans="8:10">
      <c r="H9818" s="156"/>
      <c r="I9818" s="156"/>
      <c r="J9818" s="156"/>
    </row>
    <row r="9819" spans="8:10">
      <c r="H9819" s="156"/>
      <c r="I9819" s="156"/>
      <c r="J9819" s="156"/>
    </row>
    <row r="9820" spans="8:10">
      <c r="H9820" s="156"/>
      <c r="I9820" s="156"/>
      <c r="J9820" s="156"/>
    </row>
    <row r="9821" spans="8:10">
      <c r="H9821" s="156"/>
      <c r="I9821" s="156"/>
      <c r="J9821" s="156"/>
    </row>
    <row r="9822" spans="8:10">
      <c r="H9822" s="156"/>
      <c r="I9822" s="156"/>
      <c r="J9822" s="156"/>
    </row>
    <row r="9823" spans="8:10">
      <c r="H9823" s="156"/>
      <c r="I9823" s="156"/>
      <c r="J9823" s="156"/>
    </row>
    <row r="9824" spans="8:10">
      <c r="H9824" s="156"/>
      <c r="I9824" s="156"/>
      <c r="J9824" s="156"/>
    </row>
    <row r="9825" spans="8:10">
      <c r="H9825" s="156"/>
      <c r="I9825" s="156"/>
      <c r="J9825" s="156"/>
    </row>
    <row r="9826" spans="8:10">
      <c r="H9826" s="156"/>
      <c r="I9826" s="156"/>
      <c r="J9826" s="156"/>
    </row>
    <row r="9827" spans="8:10">
      <c r="H9827" s="156"/>
      <c r="I9827" s="156"/>
      <c r="J9827" s="156"/>
    </row>
    <row r="9828" spans="8:10">
      <c r="H9828" s="156"/>
      <c r="I9828" s="156"/>
      <c r="J9828" s="156"/>
    </row>
    <row r="9829" spans="8:10">
      <c r="H9829" s="156"/>
      <c r="I9829" s="156"/>
      <c r="J9829" s="156"/>
    </row>
    <row r="9830" spans="8:10">
      <c r="H9830" s="156"/>
      <c r="I9830" s="156"/>
      <c r="J9830" s="156"/>
    </row>
    <row r="9831" spans="8:10">
      <c r="H9831" s="156"/>
      <c r="I9831" s="156"/>
      <c r="J9831" s="156"/>
    </row>
    <row r="9832" spans="8:10">
      <c r="H9832" s="156"/>
      <c r="I9832" s="156"/>
      <c r="J9832" s="156"/>
    </row>
    <row r="9833" spans="8:10">
      <c r="H9833" s="156"/>
      <c r="I9833" s="156"/>
      <c r="J9833" s="156"/>
    </row>
    <row r="9834" spans="8:10">
      <c r="H9834" s="156"/>
      <c r="I9834" s="156"/>
      <c r="J9834" s="156"/>
    </row>
    <row r="9835" spans="8:10">
      <c r="H9835" s="156"/>
      <c r="I9835" s="156"/>
      <c r="J9835" s="156"/>
    </row>
    <row r="9836" spans="8:10">
      <c r="H9836" s="156"/>
      <c r="I9836" s="156"/>
      <c r="J9836" s="156"/>
    </row>
    <row r="9837" spans="8:10">
      <c r="H9837" s="156"/>
      <c r="I9837" s="156"/>
      <c r="J9837" s="156"/>
    </row>
    <row r="9838" spans="8:10">
      <c r="H9838" s="156"/>
      <c r="I9838" s="156"/>
      <c r="J9838" s="156"/>
    </row>
    <row r="9839" spans="8:10">
      <c r="H9839" s="156"/>
      <c r="I9839" s="156"/>
      <c r="J9839" s="156"/>
    </row>
    <row r="9840" spans="8:10">
      <c r="H9840" s="156"/>
      <c r="I9840" s="156"/>
      <c r="J9840" s="156"/>
    </row>
    <row r="9841" spans="8:10">
      <c r="H9841" s="156"/>
      <c r="I9841" s="156"/>
      <c r="J9841" s="156"/>
    </row>
    <row r="9842" spans="8:10">
      <c r="H9842" s="156"/>
      <c r="I9842" s="156"/>
      <c r="J9842" s="156"/>
    </row>
    <row r="9843" spans="8:10">
      <c r="H9843" s="156"/>
      <c r="I9843" s="156"/>
      <c r="J9843" s="156"/>
    </row>
    <row r="9844" spans="8:10">
      <c r="H9844" s="156"/>
      <c r="I9844" s="156"/>
      <c r="J9844" s="156"/>
    </row>
    <row r="9845" spans="8:10">
      <c r="H9845" s="156"/>
      <c r="I9845" s="156"/>
      <c r="J9845" s="156"/>
    </row>
    <row r="9846" spans="8:10">
      <c r="H9846" s="156"/>
      <c r="I9846" s="156"/>
      <c r="J9846" s="156"/>
    </row>
    <row r="9847" spans="8:10">
      <c r="H9847" s="156"/>
      <c r="I9847" s="156"/>
      <c r="J9847" s="156"/>
    </row>
    <row r="9848" spans="8:10">
      <c r="H9848" s="156"/>
      <c r="I9848" s="156"/>
      <c r="J9848" s="156"/>
    </row>
    <row r="9849" spans="8:10">
      <c r="H9849" s="156"/>
      <c r="I9849" s="156"/>
      <c r="J9849" s="156"/>
    </row>
    <row r="9850" spans="8:10">
      <c r="H9850" s="156"/>
      <c r="I9850" s="156"/>
      <c r="J9850" s="156"/>
    </row>
    <row r="9851" spans="8:10">
      <c r="H9851" s="156"/>
      <c r="I9851" s="156"/>
      <c r="J9851" s="156"/>
    </row>
    <row r="9852" spans="8:10">
      <c r="H9852" s="156"/>
      <c r="I9852" s="156"/>
      <c r="J9852" s="156"/>
    </row>
    <row r="9853" spans="8:10">
      <c r="H9853" s="156"/>
      <c r="I9853" s="156"/>
      <c r="J9853" s="156"/>
    </row>
    <row r="9854" spans="8:10">
      <c r="H9854" s="156"/>
      <c r="I9854" s="156"/>
      <c r="J9854" s="156"/>
    </row>
    <row r="9855" spans="8:10">
      <c r="H9855" s="156"/>
      <c r="I9855" s="156"/>
      <c r="J9855" s="156"/>
    </row>
    <row r="9856" spans="8:10">
      <c r="H9856" s="156"/>
      <c r="I9856" s="156"/>
      <c r="J9856" s="156"/>
    </row>
    <row r="9857" spans="8:10">
      <c r="H9857" s="156"/>
      <c r="I9857" s="156"/>
      <c r="J9857" s="156"/>
    </row>
    <row r="9858" spans="8:10">
      <c r="H9858" s="156"/>
      <c r="I9858" s="156"/>
      <c r="J9858" s="156"/>
    </row>
    <row r="9859" spans="8:10">
      <c r="H9859" s="156"/>
      <c r="I9859" s="156"/>
      <c r="J9859" s="156"/>
    </row>
    <row r="9860" spans="8:10">
      <c r="H9860" s="156"/>
      <c r="I9860" s="156"/>
      <c r="J9860" s="156"/>
    </row>
    <row r="9861" spans="8:10">
      <c r="H9861" s="156"/>
      <c r="I9861" s="156"/>
      <c r="J9861" s="156"/>
    </row>
    <row r="9862" spans="8:10">
      <c r="H9862" s="156"/>
      <c r="I9862" s="156"/>
      <c r="J9862" s="156"/>
    </row>
    <row r="9863" spans="8:10">
      <c r="H9863" s="156"/>
      <c r="I9863" s="156"/>
      <c r="J9863" s="156"/>
    </row>
    <row r="9864" spans="8:10">
      <c r="H9864" s="156"/>
      <c r="I9864" s="156"/>
      <c r="J9864" s="156"/>
    </row>
    <row r="9865" spans="8:10">
      <c r="H9865" s="156"/>
      <c r="I9865" s="156"/>
      <c r="J9865" s="156"/>
    </row>
    <row r="9866" spans="8:10">
      <c r="H9866" s="156"/>
      <c r="I9866" s="156"/>
      <c r="J9866" s="156"/>
    </row>
    <row r="9867" spans="8:10">
      <c r="H9867" s="156"/>
      <c r="I9867" s="156"/>
      <c r="J9867" s="156"/>
    </row>
    <row r="9868" spans="8:10">
      <c r="H9868" s="156"/>
      <c r="I9868" s="156"/>
      <c r="J9868" s="156"/>
    </row>
    <row r="9869" spans="8:10">
      <c r="H9869" s="156"/>
      <c r="I9869" s="156"/>
      <c r="J9869" s="156"/>
    </row>
    <row r="9870" spans="8:10">
      <c r="H9870" s="156"/>
      <c r="I9870" s="156"/>
      <c r="J9870" s="156"/>
    </row>
    <row r="9871" spans="8:10">
      <c r="H9871" s="156"/>
      <c r="I9871" s="156"/>
      <c r="J9871" s="156"/>
    </row>
    <row r="9872" spans="8:10">
      <c r="H9872" s="156"/>
      <c r="I9872" s="156"/>
      <c r="J9872" s="156"/>
    </row>
    <row r="9873" spans="8:10">
      <c r="H9873" s="156"/>
      <c r="I9873" s="156"/>
      <c r="J9873" s="156"/>
    </row>
    <row r="9874" spans="8:10">
      <c r="H9874" s="156"/>
      <c r="I9874" s="156"/>
      <c r="J9874" s="156"/>
    </row>
    <row r="9875" spans="8:10">
      <c r="H9875" s="156"/>
      <c r="I9875" s="156"/>
      <c r="J9875" s="156"/>
    </row>
    <row r="9876" spans="8:10">
      <c r="H9876" s="156"/>
      <c r="I9876" s="156"/>
      <c r="J9876" s="156"/>
    </row>
    <row r="9877" spans="8:10">
      <c r="H9877" s="156"/>
      <c r="I9877" s="156"/>
      <c r="J9877" s="156"/>
    </row>
    <row r="9878" spans="8:10">
      <c r="H9878" s="156"/>
      <c r="I9878" s="156"/>
      <c r="J9878" s="156"/>
    </row>
    <row r="9879" spans="8:10">
      <c r="H9879" s="156"/>
      <c r="I9879" s="156"/>
      <c r="J9879" s="156"/>
    </row>
    <row r="9880" spans="8:10">
      <c r="H9880" s="156"/>
      <c r="I9880" s="156"/>
      <c r="J9880" s="156"/>
    </row>
    <row r="9881" spans="8:10">
      <c r="H9881" s="156"/>
      <c r="I9881" s="156"/>
      <c r="J9881" s="156"/>
    </row>
    <row r="9882" spans="8:10">
      <c r="H9882" s="156"/>
      <c r="I9882" s="156"/>
      <c r="J9882" s="156"/>
    </row>
    <row r="9883" spans="8:10">
      <c r="H9883" s="156"/>
      <c r="I9883" s="156"/>
      <c r="J9883" s="156"/>
    </row>
    <row r="9884" spans="8:10">
      <c r="H9884" s="156"/>
      <c r="I9884" s="156"/>
      <c r="J9884" s="156"/>
    </row>
    <row r="9885" spans="8:10">
      <c r="H9885" s="156"/>
      <c r="I9885" s="156"/>
      <c r="J9885" s="156"/>
    </row>
    <row r="9886" spans="8:10">
      <c r="H9886" s="156"/>
      <c r="I9886" s="156"/>
      <c r="J9886" s="156"/>
    </row>
    <row r="9887" spans="8:10">
      <c r="H9887" s="156"/>
      <c r="I9887" s="156"/>
      <c r="J9887" s="156"/>
    </row>
    <row r="9888" spans="8:10">
      <c r="H9888" s="156"/>
      <c r="I9888" s="156"/>
      <c r="J9888" s="156"/>
    </row>
    <row r="9889" spans="8:10">
      <c r="H9889" s="156"/>
      <c r="I9889" s="156"/>
      <c r="J9889" s="156"/>
    </row>
    <row r="9890" spans="8:10">
      <c r="H9890" s="156"/>
      <c r="I9890" s="156"/>
      <c r="J9890" s="156"/>
    </row>
    <row r="9891" spans="8:10">
      <c r="H9891" s="156"/>
      <c r="I9891" s="156"/>
      <c r="J9891" s="156"/>
    </row>
    <row r="9892" spans="8:10">
      <c r="H9892" s="156"/>
      <c r="I9892" s="156"/>
      <c r="J9892" s="156"/>
    </row>
    <row r="9893" spans="8:10">
      <c r="H9893" s="156"/>
      <c r="I9893" s="156"/>
      <c r="J9893" s="156"/>
    </row>
    <row r="9894" spans="8:10">
      <c r="H9894" s="156"/>
      <c r="I9894" s="156"/>
      <c r="J9894" s="156"/>
    </row>
    <row r="9895" spans="8:10">
      <c r="H9895" s="156"/>
      <c r="I9895" s="156"/>
      <c r="J9895" s="156"/>
    </row>
    <row r="9896" spans="8:10">
      <c r="H9896" s="156"/>
      <c r="I9896" s="156"/>
      <c r="J9896" s="156"/>
    </row>
    <row r="9897" spans="8:10">
      <c r="H9897" s="156"/>
      <c r="I9897" s="156"/>
      <c r="J9897" s="156"/>
    </row>
    <row r="9898" spans="8:10">
      <c r="H9898" s="156"/>
      <c r="I9898" s="156"/>
      <c r="J9898" s="156"/>
    </row>
    <row r="9899" spans="8:10">
      <c r="H9899" s="156"/>
      <c r="I9899" s="156"/>
      <c r="J9899" s="156"/>
    </row>
    <row r="9900" spans="8:10">
      <c r="H9900" s="156"/>
      <c r="I9900" s="156"/>
      <c r="J9900" s="156"/>
    </row>
    <row r="9901" spans="8:10">
      <c r="H9901" s="156"/>
      <c r="I9901" s="156"/>
      <c r="J9901" s="156"/>
    </row>
    <row r="9902" spans="8:10">
      <c r="H9902" s="156"/>
      <c r="I9902" s="156"/>
      <c r="J9902" s="156"/>
    </row>
    <row r="9903" spans="8:10">
      <c r="H9903" s="156"/>
      <c r="I9903" s="156"/>
      <c r="J9903" s="156"/>
    </row>
    <row r="9904" spans="8:10">
      <c r="H9904" s="156"/>
      <c r="I9904" s="156"/>
      <c r="J9904" s="156"/>
    </row>
    <row r="9905" spans="8:10">
      <c r="H9905" s="156"/>
      <c r="I9905" s="156"/>
      <c r="J9905" s="156"/>
    </row>
    <row r="9906" spans="8:10">
      <c r="H9906" s="156"/>
      <c r="I9906" s="156"/>
      <c r="J9906" s="156"/>
    </row>
    <row r="9907" spans="8:10">
      <c r="H9907" s="156"/>
      <c r="I9907" s="156"/>
      <c r="J9907" s="156"/>
    </row>
    <row r="9908" spans="8:10">
      <c r="H9908" s="156"/>
      <c r="I9908" s="156"/>
      <c r="J9908" s="156"/>
    </row>
    <row r="9909" spans="8:10">
      <c r="H9909" s="156"/>
      <c r="I9909" s="156"/>
      <c r="J9909" s="156"/>
    </row>
    <row r="9910" spans="8:10">
      <c r="H9910" s="156"/>
      <c r="I9910" s="156"/>
      <c r="J9910" s="156"/>
    </row>
    <row r="9911" spans="8:10">
      <c r="H9911" s="156"/>
      <c r="I9911" s="156"/>
      <c r="J9911" s="156"/>
    </row>
    <row r="9912" spans="8:10">
      <c r="H9912" s="156"/>
      <c r="I9912" s="156"/>
      <c r="J9912" s="156"/>
    </row>
    <row r="9913" spans="8:10">
      <c r="H9913" s="156"/>
      <c r="I9913" s="156"/>
      <c r="J9913" s="156"/>
    </row>
    <row r="9914" spans="8:10">
      <c r="H9914" s="156"/>
      <c r="I9914" s="156"/>
      <c r="J9914" s="156"/>
    </row>
    <row r="9915" spans="8:10">
      <c r="H9915" s="156"/>
      <c r="I9915" s="156"/>
      <c r="J9915" s="156"/>
    </row>
    <row r="9916" spans="8:10">
      <c r="H9916" s="156"/>
      <c r="I9916" s="156"/>
      <c r="J9916" s="156"/>
    </row>
    <row r="9917" spans="8:10">
      <c r="H9917" s="156"/>
      <c r="I9917" s="156"/>
      <c r="J9917" s="156"/>
    </row>
    <row r="9918" spans="8:10">
      <c r="H9918" s="156"/>
      <c r="I9918" s="156"/>
      <c r="J9918" s="156"/>
    </row>
    <row r="9919" spans="8:10">
      <c r="H9919" s="156"/>
      <c r="I9919" s="156"/>
      <c r="J9919" s="156"/>
    </row>
    <row r="9920" spans="8:10">
      <c r="H9920" s="156"/>
      <c r="I9920" s="156"/>
      <c r="J9920" s="156"/>
    </row>
    <row r="9921" spans="8:10">
      <c r="H9921" s="156"/>
      <c r="I9921" s="156"/>
      <c r="J9921" s="156"/>
    </row>
    <row r="9922" spans="8:10">
      <c r="H9922" s="156"/>
      <c r="I9922" s="156"/>
      <c r="J9922" s="156"/>
    </row>
    <row r="9923" spans="8:10">
      <c r="H9923" s="156"/>
      <c r="I9923" s="156"/>
      <c r="J9923" s="156"/>
    </row>
    <row r="9924" spans="8:10">
      <c r="H9924" s="156"/>
      <c r="I9924" s="156"/>
      <c r="J9924" s="156"/>
    </row>
    <row r="9925" spans="8:10">
      <c r="H9925" s="156"/>
      <c r="I9925" s="156"/>
      <c r="J9925" s="156"/>
    </row>
    <row r="9926" spans="8:10">
      <c r="H9926" s="156"/>
      <c r="I9926" s="156"/>
      <c r="J9926" s="156"/>
    </row>
    <row r="9927" spans="8:10">
      <c r="H9927" s="156"/>
      <c r="I9927" s="156"/>
      <c r="J9927" s="156"/>
    </row>
    <row r="9928" spans="8:10">
      <c r="H9928" s="156"/>
      <c r="I9928" s="156"/>
      <c r="J9928" s="156"/>
    </row>
    <row r="9929" spans="8:10">
      <c r="H9929" s="156"/>
      <c r="I9929" s="156"/>
      <c r="J9929" s="156"/>
    </row>
    <row r="9930" spans="8:10">
      <c r="H9930" s="156"/>
      <c r="I9930" s="156"/>
      <c r="J9930" s="156"/>
    </row>
    <row r="9931" spans="8:10">
      <c r="H9931" s="156"/>
      <c r="I9931" s="156"/>
      <c r="J9931" s="156"/>
    </row>
    <row r="9932" spans="8:10">
      <c r="H9932" s="156"/>
      <c r="I9932" s="156"/>
      <c r="J9932" s="156"/>
    </row>
    <row r="9933" spans="8:10">
      <c r="H9933" s="156"/>
      <c r="I9933" s="156"/>
      <c r="J9933" s="156"/>
    </row>
    <row r="9934" spans="8:10">
      <c r="H9934" s="156"/>
      <c r="I9934" s="156"/>
      <c r="J9934" s="156"/>
    </row>
    <row r="9935" spans="8:10">
      <c r="H9935" s="156"/>
      <c r="I9935" s="156"/>
      <c r="J9935" s="156"/>
    </row>
    <row r="9936" spans="8:10">
      <c r="H9936" s="156"/>
      <c r="I9936" s="156"/>
      <c r="J9936" s="156"/>
    </row>
    <row r="9937" spans="8:10">
      <c r="H9937" s="156"/>
      <c r="I9937" s="156"/>
      <c r="J9937" s="156"/>
    </row>
    <row r="9938" spans="8:10">
      <c r="H9938" s="156"/>
      <c r="I9938" s="156"/>
      <c r="J9938" s="156"/>
    </row>
    <row r="9939" spans="8:10">
      <c r="H9939" s="156"/>
      <c r="I9939" s="156"/>
      <c r="J9939" s="156"/>
    </row>
    <row r="9940" spans="8:10">
      <c r="H9940" s="156"/>
      <c r="I9940" s="156"/>
      <c r="J9940" s="156"/>
    </row>
    <row r="9941" spans="8:10">
      <c r="H9941" s="156"/>
      <c r="I9941" s="156"/>
      <c r="J9941" s="156"/>
    </row>
    <row r="9942" spans="8:10">
      <c r="H9942" s="156"/>
      <c r="I9942" s="156"/>
      <c r="J9942" s="156"/>
    </row>
    <row r="9943" spans="8:10">
      <c r="H9943" s="156"/>
      <c r="I9943" s="156"/>
      <c r="J9943" s="156"/>
    </row>
    <row r="9944" spans="8:10">
      <c r="H9944" s="156"/>
      <c r="I9944" s="156"/>
      <c r="J9944" s="156"/>
    </row>
    <row r="9945" spans="8:10">
      <c r="H9945" s="156"/>
      <c r="I9945" s="156"/>
      <c r="J9945" s="156"/>
    </row>
    <row r="9946" spans="8:10">
      <c r="H9946" s="156"/>
      <c r="I9946" s="156"/>
      <c r="J9946" s="156"/>
    </row>
    <row r="9947" spans="8:10">
      <c r="H9947" s="156"/>
      <c r="I9947" s="156"/>
      <c r="J9947" s="156"/>
    </row>
    <row r="9948" spans="8:10">
      <c r="H9948" s="156"/>
      <c r="I9948" s="156"/>
      <c r="J9948" s="156"/>
    </row>
    <row r="9949" spans="8:10">
      <c r="H9949" s="156"/>
      <c r="I9949" s="156"/>
      <c r="J9949" s="156"/>
    </row>
    <row r="9950" spans="8:10">
      <c r="H9950" s="156"/>
      <c r="I9950" s="156"/>
      <c r="J9950" s="156"/>
    </row>
    <row r="9951" spans="8:10">
      <c r="H9951" s="156"/>
      <c r="I9951" s="156"/>
      <c r="J9951" s="156"/>
    </row>
    <row r="9952" spans="8:10">
      <c r="H9952" s="156"/>
      <c r="I9952" s="156"/>
      <c r="J9952" s="156"/>
    </row>
    <row r="9953" spans="8:10">
      <c r="H9953" s="156"/>
      <c r="I9953" s="156"/>
      <c r="J9953" s="156"/>
    </row>
    <row r="9954" spans="8:10">
      <c r="H9954" s="156"/>
      <c r="I9954" s="156"/>
      <c r="J9954" s="156"/>
    </row>
    <row r="9955" spans="8:10">
      <c r="H9955" s="156"/>
      <c r="I9955" s="156"/>
      <c r="J9955" s="156"/>
    </row>
    <row r="9956" spans="8:10">
      <c r="H9956" s="156"/>
      <c r="I9956" s="156"/>
      <c r="J9956" s="156"/>
    </row>
    <row r="9957" spans="8:10">
      <c r="H9957" s="156"/>
      <c r="I9957" s="156"/>
      <c r="J9957" s="156"/>
    </row>
    <row r="9958" spans="8:10">
      <c r="H9958" s="156"/>
      <c r="I9958" s="156"/>
      <c r="J9958" s="156"/>
    </row>
    <row r="9959" spans="8:10">
      <c r="H9959" s="156"/>
      <c r="I9959" s="156"/>
      <c r="J9959" s="156"/>
    </row>
    <row r="9960" spans="8:10">
      <c r="H9960" s="156"/>
      <c r="I9960" s="156"/>
      <c r="J9960" s="156"/>
    </row>
    <row r="9961" spans="8:10">
      <c r="H9961" s="156"/>
      <c r="I9961" s="156"/>
      <c r="J9961" s="156"/>
    </row>
    <row r="9962" spans="8:10">
      <c r="H9962" s="156"/>
      <c r="I9962" s="156"/>
      <c r="J9962" s="156"/>
    </row>
    <row r="9963" spans="8:10">
      <c r="H9963" s="156"/>
      <c r="I9963" s="156"/>
      <c r="J9963" s="156"/>
    </row>
    <row r="9964" spans="8:10">
      <c r="H9964" s="156"/>
      <c r="I9964" s="156"/>
      <c r="J9964" s="156"/>
    </row>
    <row r="9965" spans="8:10">
      <c r="H9965" s="156"/>
      <c r="I9965" s="156"/>
      <c r="J9965" s="156"/>
    </row>
    <row r="9966" spans="8:10">
      <c r="H9966" s="156"/>
      <c r="I9966" s="156"/>
      <c r="J9966" s="156"/>
    </row>
    <row r="9967" spans="8:10">
      <c r="H9967" s="156"/>
      <c r="I9967" s="156"/>
      <c r="J9967" s="156"/>
    </row>
    <row r="9968" spans="8:10">
      <c r="H9968" s="156"/>
      <c r="I9968" s="156"/>
      <c r="J9968" s="156"/>
    </row>
    <row r="9969" spans="8:10">
      <c r="H9969" s="156"/>
      <c r="I9969" s="156"/>
      <c r="J9969" s="156"/>
    </row>
    <row r="9970" spans="8:10">
      <c r="H9970" s="156"/>
      <c r="I9970" s="156"/>
      <c r="J9970" s="156"/>
    </row>
    <row r="9971" spans="8:10">
      <c r="H9971" s="156"/>
      <c r="I9971" s="156"/>
      <c r="J9971" s="156"/>
    </row>
    <row r="9972" spans="8:10">
      <c r="H9972" s="156"/>
      <c r="I9972" s="156"/>
      <c r="J9972" s="156"/>
    </row>
    <row r="9973" spans="8:10">
      <c r="H9973" s="156"/>
      <c r="I9973" s="156"/>
      <c r="J9973" s="156"/>
    </row>
    <row r="9974" spans="8:10">
      <c r="H9974" s="156"/>
      <c r="I9974" s="156"/>
      <c r="J9974" s="156"/>
    </row>
    <row r="9975" spans="8:10">
      <c r="H9975" s="156"/>
      <c r="I9975" s="156"/>
      <c r="J9975" s="156"/>
    </row>
    <row r="9976" spans="8:10">
      <c r="H9976" s="156"/>
      <c r="I9976" s="156"/>
      <c r="J9976" s="156"/>
    </row>
    <row r="9977" spans="8:10">
      <c r="H9977" s="156"/>
      <c r="I9977" s="156"/>
      <c r="J9977" s="156"/>
    </row>
    <row r="9978" spans="8:10">
      <c r="H9978" s="156"/>
      <c r="I9978" s="156"/>
      <c r="J9978" s="156"/>
    </row>
    <row r="9979" spans="8:10">
      <c r="H9979" s="156"/>
      <c r="I9979" s="156"/>
      <c r="J9979" s="156"/>
    </row>
    <row r="9980" spans="8:10">
      <c r="H9980" s="156"/>
      <c r="I9980" s="156"/>
      <c r="J9980" s="156"/>
    </row>
    <row r="9981" spans="8:10">
      <c r="H9981" s="156"/>
      <c r="I9981" s="156"/>
      <c r="J9981" s="156"/>
    </row>
    <row r="9982" spans="8:10">
      <c r="H9982" s="156"/>
      <c r="I9982" s="156"/>
      <c r="J9982" s="156"/>
    </row>
    <row r="9983" spans="8:10">
      <c r="H9983" s="156"/>
      <c r="I9983" s="156"/>
      <c r="J9983" s="156"/>
    </row>
    <row r="9984" spans="8:10">
      <c r="H9984" s="156"/>
      <c r="I9984" s="156"/>
      <c r="J9984" s="156"/>
    </row>
    <row r="9985" spans="8:10">
      <c r="H9985" s="156"/>
      <c r="I9985" s="156"/>
      <c r="J9985" s="156"/>
    </row>
    <row r="9986" spans="8:10">
      <c r="H9986" s="156"/>
      <c r="I9986" s="156"/>
      <c r="J9986" s="156"/>
    </row>
    <row r="9987" spans="8:10">
      <c r="H9987" s="156"/>
      <c r="I9987" s="156"/>
      <c r="J9987" s="156"/>
    </row>
    <row r="9988" spans="8:10">
      <c r="H9988" s="156"/>
      <c r="I9988" s="156"/>
      <c r="J9988" s="156"/>
    </row>
    <row r="9989" spans="8:10">
      <c r="H9989" s="156"/>
      <c r="I9989" s="156"/>
      <c r="J9989" s="156"/>
    </row>
    <row r="9990" spans="8:10">
      <c r="H9990" s="156"/>
      <c r="I9990" s="156"/>
      <c r="J9990" s="156"/>
    </row>
    <row r="9991" spans="8:10">
      <c r="H9991" s="156"/>
      <c r="I9991" s="156"/>
      <c r="J9991" s="156"/>
    </row>
    <row r="9992" spans="8:10">
      <c r="H9992" s="156"/>
      <c r="I9992" s="156"/>
      <c r="J9992" s="156"/>
    </row>
    <row r="9993" spans="8:10">
      <c r="H9993" s="156"/>
      <c r="I9993" s="156"/>
      <c r="J9993" s="156"/>
    </row>
    <row r="9994" spans="8:10">
      <c r="H9994" s="156"/>
      <c r="I9994" s="156"/>
      <c r="J9994" s="156"/>
    </row>
    <row r="9995" spans="8:10">
      <c r="H9995" s="156"/>
      <c r="I9995" s="156"/>
      <c r="J9995" s="156"/>
    </row>
    <row r="9996" spans="8:10">
      <c r="H9996" s="156"/>
      <c r="I9996" s="156"/>
      <c r="J9996" s="156"/>
    </row>
    <row r="9997" spans="8:10">
      <c r="H9997" s="156"/>
      <c r="I9997" s="156"/>
      <c r="J9997" s="156"/>
    </row>
    <row r="9998" spans="8:10">
      <c r="H9998" s="156"/>
      <c r="I9998" s="156"/>
      <c r="J9998" s="156"/>
    </row>
    <row r="9999" spans="8:10">
      <c r="H9999" s="156"/>
      <c r="I9999" s="156"/>
      <c r="J9999" s="156"/>
    </row>
    <row r="10000" spans="8:10">
      <c r="H10000" s="156"/>
      <c r="I10000" s="156"/>
      <c r="J10000" s="156"/>
    </row>
    <row r="10001" spans="8:10">
      <c r="H10001" s="156"/>
      <c r="I10001" s="156"/>
      <c r="J10001" s="156"/>
    </row>
    <row r="10002" spans="8:10">
      <c r="H10002" s="156"/>
      <c r="I10002" s="156"/>
      <c r="J10002" s="156"/>
    </row>
    <row r="10003" spans="8:10">
      <c r="H10003" s="156"/>
      <c r="I10003" s="156"/>
      <c r="J10003" s="156"/>
    </row>
    <row r="10004" spans="8:10">
      <c r="H10004" s="156"/>
      <c r="I10004" s="156"/>
      <c r="J10004" s="156"/>
    </row>
    <row r="10005" spans="8:10">
      <c r="H10005" s="156"/>
      <c r="I10005" s="156"/>
      <c r="J10005" s="156"/>
    </row>
    <row r="10006" spans="8:10">
      <c r="H10006" s="156"/>
      <c r="I10006" s="156"/>
      <c r="J10006" s="156"/>
    </row>
    <row r="10007" spans="8:10">
      <c r="H10007" s="156"/>
      <c r="I10007" s="156"/>
      <c r="J10007" s="156"/>
    </row>
    <row r="10008" spans="8:10">
      <c r="H10008" s="156"/>
      <c r="I10008" s="156"/>
      <c r="J10008" s="156"/>
    </row>
    <row r="10009" spans="8:10">
      <c r="H10009" s="156"/>
      <c r="I10009" s="156"/>
      <c r="J10009" s="156"/>
    </row>
    <row r="10010" spans="8:10">
      <c r="H10010" s="156"/>
      <c r="I10010" s="156"/>
      <c r="J10010" s="156"/>
    </row>
    <row r="10011" spans="8:10">
      <c r="H10011" s="156"/>
      <c r="I10011" s="156"/>
      <c r="J10011" s="156"/>
    </row>
    <row r="10012" spans="8:10">
      <c r="H10012" s="156"/>
      <c r="I10012" s="156"/>
      <c r="J10012" s="156"/>
    </row>
    <row r="10013" spans="8:10">
      <c r="H10013" s="156"/>
      <c r="I10013" s="156"/>
      <c r="J10013" s="156"/>
    </row>
    <row r="10014" spans="8:10">
      <c r="H10014" s="156"/>
      <c r="I10014" s="156"/>
      <c r="J10014" s="156"/>
    </row>
    <row r="10015" spans="8:10">
      <c r="H10015" s="156"/>
      <c r="I10015" s="156"/>
      <c r="J10015" s="156"/>
    </row>
    <row r="10016" spans="8:10">
      <c r="H10016" s="156"/>
      <c r="I10016" s="156"/>
      <c r="J10016" s="156"/>
    </row>
    <row r="10017" spans="8:10">
      <c r="H10017" s="156"/>
      <c r="I10017" s="156"/>
      <c r="J10017" s="156"/>
    </row>
    <row r="10018" spans="8:10">
      <c r="H10018" s="156"/>
      <c r="I10018" s="156"/>
      <c r="J10018" s="156"/>
    </row>
    <row r="10019" spans="8:10">
      <c r="H10019" s="156"/>
      <c r="I10019" s="156"/>
      <c r="J10019" s="156"/>
    </row>
    <row r="10020" spans="8:10">
      <c r="H10020" s="156"/>
      <c r="I10020" s="156"/>
      <c r="J10020" s="156"/>
    </row>
    <row r="10021" spans="8:10">
      <c r="H10021" s="156"/>
      <c r="I10021" s="156"/>
      <c r="J10021" s="156"/>
    </row>
    <row r="10022" spans="8:10">
      <c r="H10022" s="156"/>
      <c r="I10022" s="156"/>
      <c r="J10022" s="156"/>
    </row>
    <row r="10023" spans="8:10">
      <c r="H10023" s="156"/>
      <c r="I10023" s="156"/>
      <c r="J10023" s="156"/>
    </row>
    <row r="10024" spans="8:10">
      <c r="H10024" s="156"/>
      <c r="I10024" s="156"/>
      <c r="J10024" s="156"/>
    </row>
    <row r="10025" spans="8:10">
      <c r="H10025" s="156"/>
      <c r="I10025" s="156"/>
      <c r="J10025" s="156"/>
    </row>
    <row r="10026" spans="8:10">
      <c r="H10026" s="156"/>
      <c r="I10026" s="156"/>
      <c r="J10026" s="156"/>
    </row>
    <row r="10027" spans="8:10">
      <c r="H10027" s="156"/>
      <c r="I10027" s="156"/>
      <c r="J10027" s="156"/>
    </row>
    <row r="10028" spans="8:10">
      <c r="H10028" s="156"/>
      <c r="I10028" s="156"/>
      <c r="J10028" s="156"/>
    </row>
    <row r="10029" spans="8:10">
      <c r="H10029" s="156"/>
      <c r="I10029" s="156"/>
      <c r="J10029" s="156"/>
    </row>
    <row r="10030" spans="8:10">
      <c r="H10030" s="156"/>
      <c r="I10030" s="156"/>
      <c r="J10030" s="156"/>
    </row>
    <row r="10031" spans="8:10">
      <c r="H10031" s="156"/>
      <c r="I10031" s="156"/>
      <c r="J10031" s="156"/>
    </row>
    <row r="10032" spans="8:10">
      <c r="H10032" s="156"/>
      <c r="I10032" s="156"/>
      <c r="J10032" s="156"/>
    </row>
    <row r="10033" spans="8:10">
      <c r="H10033" s="156"/>
      <c r="I10033" s="156"/>
      <c r="J10033" s="156"/>
    </row>
    <row r="10034" spans="8:10">
      <c r="H10034" s="156"/>
      <c r="I10034" s="156"/>
      <c r="J10034" s="156"/>
    </row>
    <row r="10035" spans="8:10">
      <c r="H10035" s="156"/>
      <c r="I10035" s="156"/>
      <c r="J10035" s="156"/>
    </row>
    <row r="10036" spans="8:10">
      <c r="H10036" s="156"/>
      <c r="I10036" s="156"/>
      <c r="J10036" s="156"/>
    </row>
    <row r="10037" spans="8:10">
      <c r="H10037" s="156"/>
      <c r="I10037" s="156"/>
      <c r="J10037" s="156"/>
    </row>
    <row r="10038" spans="8:10">
      <c r="H10038" s="156"/>
      <c r="I10038" s="156"/>
      <c r="J10038" s="156"/>
    </row>
    <row r="10039" spans="8:10">
      <c r="H10039" s="156"/>
      <c r="I10039" s="156"/>
      <c r="J10039" s="156"/>
    </row>
    <row r="10040" spans="8:10">
      <c r="H10040" s="156"/>
      <c r="I10040" s="156"/>
      <c r="J10040" s="156"/>
    </row>
    <row r="10041" spans="8:10">
      <c r="H10041" s="156"/>
      <c r="I10041" s="156"/>
      <c r="J10041" s="156"/>
    </row>
    <row r="10042" spans="8:10">
      <c r="H10042" s="156"/>
      <c r="I10042" s="156"/>
      <c r="J10042" s="156"/>
    </row>
    <row r="10043" spans="8:10">
      <c r="H10043" s="156"/>
      <c r="I10043" s="156"/>
      <c r="J10043" s="156"/>
    </row>
    <row r="10044" spans="8:10">
      <c r="H10044" s="156"/>
      <c r="I10044" s="156"/>
      <c r="J10044" s="156"/>
    </row>
    <row r="10045" spans="8:10">
      <c r="H10045" s="156"/>
      <c r="I10045" s="156"/>
      <c r="J10045" s="156"/>
    </row>
    <row r="10046" spans="8:10">
      <c r="H10046" s="156"/>
      <c r="I10046" s="156"/>
      <c r="J10046" s="156"/>
    </row>
    <row r="10047" spans="8:10">
      <c r="H10047" s="156"/>
      <c r="I10047" s="156"/>
      <c r="J10047" s="156"/>
    </row>
    <row r="10048" spans="8:10">
      <c r="H10048" s="156"/>
      <c r="I10048" s="156"/>
      <c r="J10048" s="156"/>
    </row>
    <row r="10049" spans="8:10">
      <c r="H10049" s="156"/>
      <c r="I10049" s="156"/>
      <c r="J10049" s="156"/>
    </row>
    <row r="10050" spans="8:10">
      <c r="H10050" s="156"/>
      <c r="I10050" s="156"/>
      <c r="J10050" s="156"/>
    </row>
    <row r="10051" spans="8:10">
      <c r="H10051" s="156"/>
      <c r="I10051" s="156"/>
      <c r="J10051" s="156"/>
    </row>
    <row r="10052" spans="8:10">
      <c r="H10052" s="156"/>
      <c r="I10052" s="156"/>
      <c r="J10052" s="156"/>
    </row>
    <row r="10053" spans="8:10">
      <c r="H10053" s="156"/>
      <c r="I10053" s="156"/>
      <c r="J10053" s="156"/>
    </row>
    <row r="10054" spans="8:10">
      <c r="H10054" s="156"/>
      <c r="I10054" s="156"/>
      <c r="J10054" s="156"/>
    </row>
    <row r="10055" spans="8:10">
      <c r="H10055" s="156"/>
      <c r="I10055" s="156"/>
      <c r="J10055" s="156"/>
    </row>
    <row r="10056" spans="8:10">
      <c r="H10056" s="156"/>
      <c r="I10056" s="156"/>
      <c r="J10056" s="156"/>
    </row>
    <row r="10057" spans="8:10">
      <c r="H10057" s="156"/>
      <c r="I10057" s="156"/>
      <c r="J10057" s="156"/>
    </row>
    <row r="10058" spans="8:10">
      <c r="H10058" s="156"/>
      <c r="I10058" s="156"/>
      <c r="J10058" s="156"/>
    </row>
    <row r="10059" spans="8:10">
      <c r="H10059" s="156"/>
      <c r="I10059" s="156"/>
      <c r="J10059" s="156"/>
    </row>
    <row r="10060" spans="8:10">
      <c r="H10060" s="156"/>
      <c r="I10060" s="156"/>
      <c r="J10060" s="156"/>
    </row>
    <row r="10061" spans="8:10">
      <c r="H10061" s="156"/>
      <c r="I10061" s="156"/>
      <c r="J10061" s="156"/>
    </row>
    <row r="10062" spans="8:10">
      <c r="H10062" s="156"/>
      <c r="I10062" s="156"/>
      <c r="J10062" s="156"/>
    </row>
    <row r="10063" spans="8:10">
      <c r="H10063" s="156"/>
      <c r="I10063" s="156"/>
      <c r="J10063" s="156"/>
    </row>
    <row r="10064" spans="8:10">
      <c r="H10064" s="156"/>
      <c r="I10064" s="156"/>
      <c r="J10064" s="156"/>
    </row>
    <row r="10065" spans="8:10">
      <c r="H10065" s="156"/>
      <c r="I10065" s="156"/>
      <c r="J10065" s="156"/>
    </row>
    <row r="10066" spans="8:10">
      <c r="H10066" s="156"/>
      <c r="I10066" s="156"/>
      <c r="J10066" s="156"/>
    </row>
    <row r="10067" spans="8:10">
      <c r="H10067" s="156"/>
      <c r="I10067" s="156"/>
      <c r="J10067" s="156"/>
    </row>
    <row r="10068" spans="8:10">
      <c r="H10068" s="156"/>
      <c r="I10068" s="156"/>
      <c r="J10068" s="156"/>
    </row>
    <row r="10069" spans="8:10">
      <c r="H10069" s="156"/>
      <c r="I10069" s="156"/>
      <c r="J10069" s="156"/>
    </row>
    <row r="10070" spans="8:10">
      <c r="H10070" s="156"/>
      <c r="I10070" s="156"/>
      <c r="J10070" s="156"/>
    </row>
    <row r="10071" spans="8:10">
      <c r="H10071" s="156"/>
      <c r="I10071" s="156"/>
      <c r="J10071" s="156"/>
    </row>
    <row r="10072" spans="8:10">
      <c r="H10072" s="156"/>
      <c r="I10072" s="156"/>
      <c r="J10072" s="156"/>
    </row>
    <row r="10073" spans="8:10">
      <c r="H10073" s="156"/>
      <c r="I10073" s="156"/>
      <c r="J10073" s="156"/>
    </row>
    <row r="10074" spans="8:10">
      <c r="H10074" s="156"/>
      <c r="I10074" s="156"/>
      <c r="J10074" s="156"/>
    </row>
    <row r="10075" spans="8:10">
      <c r="H10075" s="156"/>
      <c r="I10075" s="156"/>
      <c r="J10075" s="156"/>
    </row>
    <row r="10076" spans="8:10">
      <c r="H10076" s="156"/>
      <c r="I10076" s="156"/>
      <c r="J10076" s="156"/>
    </row>
    <row r="10077" spans="8:10">
      <c r="H10077" s="156"/>
      <c r="I10077" s="156"/>
      <c r="J10077" s="156"/>
    </row>
    <row r="10078" spans="8:10">
      <c r="H10078" s="156"/>
      <c r="I10078" s="156"/>
      <c r="J10078" s="156"/>
    </row>
    <row r="10079" spans="8:10">
      <c r="H10079" s="156"/>
      <c r="I10079" s="156"/>
      <c r="J10079" s="156"/>
    </row>
    <row r="10080" spans="8:10">
      <c r="H10080" s="156"/>
      <c r="I10080" s="156"/>
      <c r="J10080" s="156"/>
    </row>
    <row r="10081" spans="8:10">
      <c r="H10081" s="156"/>
      <c r="I10081" s="156"/>
      <c r="J10081" s="156"/>
    </row>
    <row r="10082" spans="8:10">
      <c r="H10082" s="156"/>
      <c r="I10082" s="156"/>
      <c r="J10082" s="156"/>
    </row>
    <row r="10083" spans="8:10">
      <c r="H10083" s="156"/>
      <c r="I10083" s="156"/>
      <c r="J10083" s="156"/>
    </row>
    <row r="10084" spans="8:10">
      <c r="H10084" s="156"/>
      <c r="I10084" s="156"/>
      <c r="J10084" s="156"/>
    </row>
    <row r="10085" spans="8:10">
      <c r="H10085" s="156"/>
      <c r="I10085" s="156"/>
      <c r="J10085" s="156"/>
    </row>
    <row r="10086" spans="8:10">
      <c r="H10086" s="156"/>
      <c r="I10086" s="156"/>
      <c r="J10086" s="156"/>
    </row>
    <row r="10087" spans="8:10">
      <c r="H10087" s="156"/>
      <c r="I10087" s="156"/>
      <c r="J10087" s="156"/>
    </row>
    <row r="10088" spans="8:10">
      <c r="H10088" s="156"/>
      <c r="I10088" s="156"/>
      <c r="J10088" s="156"/>
    </row>
    <row r="10089" spans="8:10">
      <c r="H10089" s="156"/>
      <c r="I10089" s="156"/>
      <c r="J10089" s="156"/>
    </row>
    <row r="10090" spans="8:10">
      <c r="H10090" s="156"/>
      <c r="I10090" s="156"/>
      <c r="J10090" s="156"/>
    </row>
    <row r="10091" spans="8:10">
      <c r="H10091" s="156"/>
      <c r="I10091" s="156"/>
      <c r="J10091" s="156"/>
    </row>
    <row r="10092" spans="8:10">
      <c r="H10092" s="156"/>
      <c r="I10092" s="156"/>
      <c r="J10092" s="156"/>
    </row>
    <row r="10093" spans="8:10">
      <c r="H10093" s="156"/>
      <c r="I10093" s="156"/>
      <c r="J10093" s="156"/>
    </row>
    <row r="10094" spans="8:10">
      <c r="H10094" s="156"/>
      <c r="I10094" s="156"/>
      <c r="J10094" s="156"/>
    </row>
    <row r="10095" spans="8:10">
      <c r="H10095" s="156"/>
      <c r="I10095" s="156"/>
      <c r="J10095" s="156"/>
    </row>
    <row r="10096" spans="8:10">
      <c r="H10096" s="156"/>
      <c r="I10096" s="156"/>
      <c r="J10096" s="156"/>
    </row>
    <row r="10097" spans="8:10">
      <c r="H10097" s="156"/>
      <c r="I10097" s="156"/>
      <c r="J10097" s="156"/>
    </row>
    <row r="10098" spans="8:10">
      <c r="H10098" s="156"/>
      <c r="I10098" s="156"/>
      <c r="J10098" s="156"/>
    </row>
    <row r="10099" spans="8:10">
      <c r="H10099" s="156"/>
      <c r="I10099" s="156"/>
      <c r="J10099" s="156"/>
    </row>
    <row r="10100" spans="8:10">
      <c r="H10100" s="156"/>
      <c r="I10100" s="156"/>
      <c r="J10100" s="156"/>
    </row>
    <row r="10101" spans="8:10">
      <c r="H10101" s="156"/>
      <c r="I10101" s="156"/>
      <c r="J10101" s="156"/>
    </row>
    <row r="10102" spans="8:10">
      <c r="H10102" s="156"/>
      <c r="I10102" s="156"/>
      <c r="J10102" s="156"/>
    </row>
    <row r="10103" spans="8:10">
      <c r="H10103" s="156"/>
      <c r="I10103" s="156"/>
      <c r="J10103" s="156"/>
    </row>
    <row r="10104" spans="8:10">
      <c r="H10104" s="156"/>
      <c r="I10104" s="156"/>
      <c r="J10104" s="156"/>
    </row>
    <row r="10105" spans="8:10">
      <c r="H10105" s="156"/>
      <c r="I10105" s="156"/>
      <c r="J10105" s="156"/>
    </row>
    <row r="10106" spans="8:10">
      <c r="H10106" s="156"/>
      <c r="I10106" s="156"/>
      <c r="J10106" s="156"/>
    </row>
    <row r="10107" spans="8:10">
      <c r="H10107" s="156"/>
      <c r="I10107" s="156"/>
      <c r="J10107" s="156"/>
    </row>
    <row r="10108" spans="8:10">
      <c r="H10108" s="156"/>
      <c r="I10108" s="156"/>
      <c r="J10108" s="156"/>
    </row>
    <row r="10109" spans="8:10">
      <c r="H10109" s="156"/>
      <c r="I10109" s="156"/>
      <c r="J10109" s="156"/>
    </row>
    <row r="10110" spans="8:10">
      <c r="H10110" s="156"/>
      <c r="I10110" s="156"/>
      <c r="J10110" s="156"/>
    </row>
    <row r="10111" spans="8:10">
      <c r="H10111" s="156"/>
      <c r="I10111" s="156"/>
      <c r="J10111" s="156"/>
    </row>
    <row r="10112" spans="8:10">
      <c r="H10112" s="156"/>
      <c r="I10112" s="156"/>
      <c r="J10112" s="156"/>
    </row>
    <row r="10113" spans="8:10">
      <c r="H10113" s="156"/>
      <c r="I10113" s="156"/>
      <c r="J10113" s="156"/>
    </row>
    <row r="10114" spans="8:10">
      <c r="H10114" s="156"/>
      <c r="I10114" s="156"/>
      <c r="J10114" s="156"/>
    </row>
    <row r="10115" spans="8:10">
      <c r="H10115" s="156"/>
      <c r="I10115" s="156"/>
      <c r="J10115" s="156"/>
    </row>
    <row r="10116" spans="8:10">
      <c r="H10116" s="156"/>
      <c r="I10116" s="156"/>
      <c r="J10116" s="156"/>
    </row>
    <row r="10117" spans="8:10">
      <c r="H10117" s="156"/>
      <c r="I10117" s="156"/>
      <c r="J10117" s="156"/>
    </row>
    <row r="10118" spans="8:10">
      <c r="H10118" s="156"/>
      <c r="I10118" s="156"/>
      <c r="J10118" s="156"/>
    </row>
    <row r="10119" spans="8:10">
      <c r="H10119" s="156"/>
      <c r="I10119" s="156"/>
      <c r="J10119" s="156"/>
    </row>
    <row r="10120" spans="8:10">
      <c r="H10120" s="156"/>
      <c r="I10120" s="156"/>
      <c r="J10120" s="156"/>
    </row>
    <row r="10121" spans="8:10">
      <c r="H10121" s="156"/>
      <c r="I10121" s="156"/>
      <c r="J10121" s="156"/>
    </row>
    <row r="10122" spans="8:10">
      <c r="H10122" s="156"/>
      <c r="I10122" s="156"/>
      <c r="J10122" s="156"/>
    </row>
    <row r="10123" spans="8:10">
      <c r="H10123" s="156"/>
      <c r="I10123" s="156"/>
      <c r="J10123" s="156"/>
    </row>
    <row r="10124" spans="8:10">
      <c r="H10124" s="156"/>
      <c r="I10124" s="156"/>
      <c r="J10124" s="156"/>
    </row>
    <row r="10125" spans="8:10">
      <c r="H10125" s="156"/>
      <c r="I10125" s="156"/>
      <c r="J10125" s="156"/>
    </row>
    <row r="10126" spans="8:10">
      <c r="H10126" s="156"/>
      <c r="I10126" s="156"/>
      <c r="J10126" s="156"/>
    </row>
    <row r="10127" spans="8:10">
      <c r="H10127" s="156"/>
      <c r="I10127" s="156"/>
      <c r="J10127" s="156"/>
    </row>
    <row r="10128" spans="8:10">
      <c r="H10128" s="156"/>
      <c r="I10128" s="156"/>
      <c r="J10128" s="156"/>
    </row>
    <row r="10129" spans="8:10">
      <c r="H10129" s="156"/>
      <c r="I10129" s="156"/>
      <c r="J10129" s="156"/>
    </row>
    <row r="10130" spans="8:10">
      <c r="H10130" s="156"/>
      <c r="I10130" s="156"/>
      <c r="J10130" s="156"/>
    </row>
    <row r="10131" spans="8:10">
      <c r="H10131" s="156"/>
      <c r="I10131" s="156"/>
      <c r="J10131" s="156"/>
    </row>
    <row r="10132" spans="8:10">
      <c r="H10132" s="156"/>
      <c r="I10132" s="156"/>
      <c r="J10132" s="156"/>
    </row>
    <row r="10133" spans="8:10">
      <c r="H10133" s="156"/>
      <c r="I10133" s="156"/>
      <c r="J10133" s="156"/>
    </row>
    <row r="10134" spans="8:10">
      <c r="H10134" s="156"/>
      <c r="I10134" s="156"/>
      <c r="J10134" s="156"/>
    </row>
    <row r="10135" spans="8:10">
      <c r="H10135" s="156"/>
      <c r="I10135" s="156"/>
      <c r="J10135" s="156"/>
    </row>
    <row r="10136" spans="8:10">
      <c r="H10136" s="156"/>
      <c r="I10136" s="156"/>
      <c r="J10136" s="156"/>
    </row>
    <row r="10137" spans="8:10">
      <c r="H10137" s="156"/>
      <c r="I10137" s="156"/>
      <c r="J10137" s="156"/>
    </row>
    <row r="10138" spans="8:10">
      <c r="H10138" s="156"/>
      <c r="I10138" s="156"/>
      <c r="J10138" s="156"/>
    </row>
    <row r="10139" spans="8:10">
      <c r="H10139" s="156"/>
      <c r="I10139" s="156"/>
      <c r="J10139" s="156"/>
    </row>
    <row r="10140" spans="8:10">
      <c r="H10140" s="156"/>
      <c r="I10140" s="156"/>
      <c r="J10140" s="156"/>
    </row>
    <row r="10141" spans="8:10">
      <c r="H10141" s="156"/>
      <c r="I10141" s="156"/>
      <c r="J10141" s="156"/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2"/>
  <sheetViews>
    <sheetView workbookViewId="0">
      <selection activeCell="B14" sqref="B5:B14"/>
      <pivotSelection pane="bottomRight" showHeader="1" axis="axisRow" dimension="1" activeRow="13" activeCol="1" previousRow="13" previousCol="1" click="1" r:id="rId1">
        <pivotArea dataOnly="0" labelOnly="1" outline="0" fieldPosition="0">
          <references count="1">
            <reference field="7" count="0"/>
          </references>
        </pivotArea>
      </pivotSelection>
    </sheetView>
  </sheetViews>
  <sheetFormatPr defaultRowHeight="15"/>
  <cols>
    <col min="1" max="1" width="49.85546875" bestFit="1" customWidth="1"/>
    <col min="2" max="2" width="23.28515625" bestFit="1" customWidth="1"/>
    <col min="3" max="3" width="16.140625" bestFit="1" customWidth="1"/>
    <col min="4" max="4" width="25.140625" customWidth="1"/>
    <col min="5" max="5" width="21.140625" bestFit="1" customWidth="1"/>
    <col min="6" max="6" width="17.28515625" customWidth="1"/>
    <col min="7" max="7" width="22" bestFit="1" customWidth="1"/>
    <col min="8" max="8" width="16.7109375" bestFit="1" customWidth="1"/>
  </cols>
  <sheetData>
    <row r="3" spans="1:8">
      <c r="A3" s="885"/>
      <c r="B3" s="886"/>
      <c r="C3" s="886"/>
      <c r="D3" s="887" t="s">
        <v>4528</v>
      </c>
      <c r="E3" s="886"/>
      <c r="F3" s="886"/>
      <c r="G3" s="886"/>
      <c r="H3" s="888"/>
    </row>
    <row r="4" spans="1:8">
      <c r="A4" s="887" t="s">
        <v>4508</v>
      </c>
      <c r="B4" s="887" t="s">
        <v>4509</v>
      </c>
      <c r="C4" s="887" t="s">
        <v>4511</v>
      </c>
      <c r="D4" s="885" t="s">
        <v>5538</v>
      </c>
      <c r="E4" s="889" t="s">
        <v>4527</v>
      </c>
      <c r="F4" s="889" t="s">
        <v>5035</v>
      </c>
      <c r="G4" s="889" t="s">
        <v>4512</v>
      </c>
      <c r="H4" s="890" t="s">
        <v>5539</v>
      </c>
    </row>
    <row r="5" spans="1:8">
      <c r="A5" s="885" t="s">
        <v>1481</v>
      </c>
      <c r="B5" s="885" t="s">
        <v>4515</v>
      </c>
      <c r="C5" s="885" t="s">
        <v>25</v>
      </c>
      <c r="D5" s="891">
        <v>105.99998970133879</v>
      </c>
      <c r="E5" s="902">
        <v>1219420</v>
      </c>
      <c r="F5" s="892">
        <v>1219420</v>
      </c>
      <c r="G5" s="892">
        <v>1077154.33</v>
      </c>
      <c r="H5" s="893">
        <v>0</v>
      </c>
    </row>
    <row r="6" spans="1:8">
      <c r="A6" s="885" t="s">
        <v>4516</v>
      </c>
      <c r="B6" s="885" t="s">
        <v>4515</v>
      </c>
      <c r="C6" s="885" t="s">
        <v>25</v>
      </c>
      <c r="D6" s="891">
        <v>113.5</v>
      </c>
      <c r="E6" s="902">
        <v>2400000</v>
      </c>
      <c r="F6" s="892">
        <v>2400057</v>
      </c>
      <c r="G6" s="892">
        <v>2270000</v>
      </c>
      <c r="H6" s="893">
        <v>0</v>
      </c>
    </row>
    <row r="7" spans="1:8">
      <c r="A7" s="894"/>
      <c r="B7" s="894"/>
      <c r="C7" s="895" t="s">
        <v>22</v>
      </c>
      <c r="D7" s="896">
        <v>36</v>
      </c>
      <c r="E7" s="903">
        <v>12000000</v>
      </c>
      <c r="F7" s="166">
        <v>12000000</v>
      </c>
      <c r="G7" s="166">
        <v>3600000</v>
      </c>
      <c r="H7" s="897">
        <v>0</v>
      </c>
    </row>
    <row r="8" spans="1:8">
      <c r="A8" s="894"/>
      <c r="B8" s="885" t="s">
        <v>4514</v>
      </c>
      <c r="C8" s="885" t="s">
        <v>25</v>
      </c>
      <c r="D8" s="891">
        <v>567.63537519142415</v>
      </c>
      <c r="E8" s="902">
        <v>28073971</v>
      </c>
      <c r="F8" s="892">
        <v>28073007</v>
      </c>
      <c r="G8" s="892">
        <v>21873026.200000003</v>
      </c>
      <c r="H8" s="893">
        <v>0</v>
      </c>
    </row>
    <row r="9" spans="1:8">
      <c r="A9" s="894"/>
      <c r="B9" s="894"/>
      <c r="C9" s="895" t="s">
        <v>22</v>
      </c>
      <c r="D9" s="896">
        <v>54.800000000000011</v>
      </c>
      <c r="E9" s="903">
        <v>10500000</v>
      </c>
      <c r="F9" s="166">
        <v>10500000</v>
      </c>
      <c r="G9" s="166">
        <v>3200000</v>
      </c>
      <c r="H9" s="897">
        <v>0</v>
      </c>
    </row>
    <row r="10" spans="1:8">
      <c r="A10" s="885" t="s">
        <v>4517</v>
      </c>
      <c r="B10" s="885" t="s">
        <v>4514</v>
      </c>
      <c r="C10" s="885" t="s">
        <v>25</v>
      </c>
      <c r="D10" s="891">
        <v>182</v>
      </c>
      <c r="E10" s="902">
        <v>3600000</v>
      </c>
      <c r="F10" s="892">
        <v>3400800</v>
      </c>
      <c r="G10" s="892">
        <v>3630000</v>
      </c>
      <c r="H10" s="893">
        <v>0</v>
      </c>
    </row>
    <row r="11" spans="1:8">
      <c r="A11" s="894"/>
      <c r="B11" s="894"/>
      <c r="C11" s="895" t="s">
        <v>22</v>
      </c>
      <c r="D11" s="896">
        <v>114.71998873027802</v>
      </c>
      <c r="E11" s="903">
        <v>42045328</v>
      </c>
      <c r="F11" s="166">
        <v>42045328</v>
      </c>
      <c r="G11" s="166">
        <v>13134796.99</v>
      </c>
      <c r="H11" s="897">
        <v>0</v>
      </c>
    </row>
    <row r="12" spans="1:8">
      <c r="A12" s="885" t="s">
        <v>4518</v>
      </c>
      <c r="B12" s="885" t="s">
        <v>4515</v>
      </c>
      <c r="C12" s="885" t="s">
        <v>25</v>
      </c>
      <c r="D12" s="891">
        <v>42</v>
      </c>
      <c r="E12" s="902">
        <v>256523</v>
      </c>
      <c r="F12" s="892">
        <v>246200</v>
      </c>
      <c r="G12" s="892">
        <v>179566.1</v>
      </c>
      <c r="H12" s="893">
        <v>0</v>
      </c>
    </row>
    <row r="13" spans="1:8">
      <c r="A13" s="894"/>
      <c r="B13" s="885" t="s">
        <v>4514</v>
      </c>
      <c r="C13" s="885" t="s">
        <v>25</v>
      </c>
      <c r="D13" s="891">
        <v>501.14602388197142</v>
      </c>
      <c r="E13" s="902">
        <v>16543644</v>
      </c>
      <c r="F13" s="892">
        <v>16167528</v>
      </c>
      <c r="G13" s="892">
        <v>14700310.879999999</v>
      </c>
      <c r="H13" s="893">
        <v>0</v>
      </c>
    </row>
    <row r="14" spans="1:8">
      <c r="A14" s="894"/>
      <c r="B14" s="894"/>
      <c r="C14" s="895" t="s">
        <v>22</v>
      </c>
      <c r="D14" s="896">
        <v>18</v>
      </c>
      <c r="E14" s="903">
        <v>6000000</v>
      </c>
      <c r="F14" s="166">
        <v>6000795</v>
      </c>
      <c r="G14" s="166">
        <v>1800000</v>
      </c>
      <c r="H14" s="897">
        <v>0</v>
      </c>
    </row>
    <row r="15" spans="1:8">
      <c r="A15" s="885" t="s">
        <v>4526</v>
      </c>
      <c r="B15" s="885" t="s">
        <v>4514</v>
      </c>
      <c r="C15" s="885" t="s">
        <v>25</v>
      </c>
      <c r="D15" s="891">
        <v>242.47851623408391</v>
      </c>
      <c r="E15" s="902">
        <v>1892070</v>
      </c>
      <c r="F15" s="892">
        <v>1892070</v>
      </c>
      <c r="G15" s="892">
        <v>1804475.17</v>
      </c>
      <c r="H15" s="893">
        <v>0</v>
      </c>
    </row>
    <row r="16" spans="1:8">
      <c r="A16" s="885" t="s">
        <v>5725</v>
      </c>
      <c r="B16" s="885" t="s">
        <v>4514</v>
      </c>
      <c r="C16" s="885" t="s">
        <v>25</v>
      </c>
      <c r="D16" s="891">
        <v>54</v>
      </c>
      <c r="E16" s="902">
        <v>159900</v>
      </c>
      <c r="F16" s="892">
        <v>159900</v>
      </c>
      <c r="G16" s="892">
        <v>143910</v>
      </c>
      <c r="H16" s="893">
        <v>0</v>
      </c>
    </row>
    <row r="17" spans="1:8">
      <c r="A17" s="885" t="s">
        <v>5925</v>
      </c>
      <c r="B17" s="885" t="s">
        <v>4514</v>
      </c>
      <c r="C17" s="885" t="s">
        <v>25</v>
      </c>
      <c r="D17" s="891">
        <v>73.8</v>
      </c>
      <c r="E17" s="902">
        <v>82400</v>
      </c>
      <c r="F17" s="892">
        <v>54650</v>
      </c>
      <c r="G17" s="892">
        <v>101352</v>
      </c>
      <c r="H17" s="893">
        <v>0</v>
      </c>
    </row>
    <row r="18" spans="1:8">
      <c r="A18" s="885" t="s">
        <v>5656</v>
      </c>
      <c r="B18" s="885" t="s">
        <v>4515</v>
      </c>
      <c r="C18" s="885" t="s">
        <v>25</v>
      </c>
      <c r="D18" s="891">
        <v>75</v>
      </c>
      <c r="E18" s="902">
        <v>800000</v>
      </c>
      <c r="F18" s="892">
        <v>798572</v>
      </c>
      <c r="G18" s="892">
        <v>1000000</v>
      </c>
      <c r="H18" s="893">
        <v>0</v>
      </c>
    </row>
    <row r="19" spans="1:8">
      <c r="A19" s="894"/>
      <c r="B19" s="885" t="s">
        <v>4514</v>
      </c>
      <c r="C19" s="885" t="s">
        <v>25</v>
      </c>
      <c r="D19" s="891">
        <v>75</v>
      </c>
      <c r="E19" s="902">
        <v>900000</v>
      </c>
      <c r="F19" s="892">
        <v>896130</v>
      </c>
      <c r="G19" s="892">
        <v>1125000</v>
      </c>
      <c r="H19" s="893">
        <v>0</v>
      </c>
    </row>
    <row r="20" spans="1:8">
      <c r="A20" s="885" t="s">
        <v>6179</v>
      </c>
      <c r="B20" s="885" t="s">
        <v>4514</v>
      </c>
      <c r="C20" s="885" t="s">
        <v>25</v>
      </c>
      <c r="D20" s="891">
        <v>72</v>
      </c>
      <c r="E20" s="902">
        <v>8900</v>
      </c>
      <c r="F20" s="892">
        <v>8900</v>
      </c>
      <c r="G20" s="892">
        <v>10680</v>
      </c>
      <c r="H20" s="893">
        <v>0</v>
      </c>
    </row>
    <row r="21" spans="1:8">
      <c r="A21" s="885" t="s">
        <v>6708</v>
      </c>
      <c r="B21" s="885" t="s">
        <v>4514</v>
      </c>
      <c r="C21" s="885" t="s">
        <v>25</v>
      </c>
      <c r="D21" s="891">
        <v>73.8</v>
      </c>
      <c r="E21" s="902">
        <v>20350</v>
      </c>
      <c r="F21" s="892">
        <v>20350</v>
      </c>
      <c r="G21" s="892">
        <v>25030.5</v>
      </c>
      <c r="H21" s="893">
        <v>0</v>
      </c>
    </row>
    <row r="22" spans="1:8">
      <c r="A22" s="898" t="s">
        <v>6255</v>
      </c>
      <c r="B22" s="898" t="s">
        <v>4514</v>
      </c>
      <c r="C22" s="898" t="s">
        <v>25</v>
      </c>
      <c r="D22" s="899">
        <v>73.8</v>
      </c>
      <c r="E22" s="904">
        <v>7400</v>
      </c>
      <c r="F22" s="900">
        <v>7400</v>
      </c>
      <c r="G22" s="900">
        <v>9102</v>
      </c>
      <c r="H22" s="901">
        <v>0</v>
      </c>
    </row>
  </sheetData>
  <pageMargins left="0.511811024" right="0.511811024" top="0.78740157499999996" bottom="0.78740157499999996" header="0.31496062000000002" footer="0.31496062000000002"/>
  <pageSetup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9"/>
  <sheetViews>
    <sheetView zoomScale="80" zoomScaleNormal="80" workbookViewId="0">
      <selection activeCell="A11" sqref="A11"/>
    </sheetView>
  </sheetViews>
  <sheetFormatPr defaultRowHeight="15"/>
  <cols>
    <col min="1" max="1" width="24.42578125" bestFit="1" customWidth="1"/>
    <col min="2" max="2" width="18" bestFit="1" customWidth="1"/>
    <col min="3" max="3" width="8.42578125" bestFit="1" customWidth="1"/>
    <col min="4" max="4" width="17.7109375" bestFit="1" customWidth="1"/>
    <col min="5" max="5" width="20.28515625" bestFit="1" customWidth="1"/>
    <col min="6" max="6" width="52.28515625" customWidth="1"/>
    <col min="7" max="7" width="22.42578125" bestFit="1" customWidth="1"/>
    <col min="8" max="8" width="24.85546875" bestFit="1" customWidth="1"/>
    <col min="9" max="9" width="20.140625" bestFit="1" customWidth="1"/>
    <col min="10" max="10" width="17.42578125" bestFit="1" customWidth="1"/>
    <col min="11" max="11" width="16.42578125" bestFit="1" customWidth="1"/>
    <col min="12" max="12" width="18.5703125" style="121" bestFit="1" customWidth="1"/>
    <col min="13" max="13" width="20.28515625" bestFit="1" customWidth="1"/>
    <col min="14" max="14" width="13.85546875" customWidth="1"/>
    <col min="15" max="15" width="10.140625" bestFit="1" customWidth="1"/>
    <col min="16" max="16" width="19.140625" bestFit="1" customWidth="1"/>
    <col min="17" max="17" width="13.5703125" style="121" customWidth="1"/>
    <col min="18" max="18" width="51.42578125" customWidth="1"/>
    <col min="19" max="19" width="21" customWidth="1"/>
    <col min="20" max="20" width="17.7109375" customWidth="1"/>
    <col min="21" max="21" width="23.140625" customWidth="1"/>
    <col min="22" max="22" width="23.5703125" customWidth="1"/>
    <col min="23" max="23" width="18.85546875" bestFit="1" customWidth="1"/>
    <col min="24" max="24" width="26.140625" bestFit="1" customWidth="1"/>
  </cols>
  <sheetData>
    <row r="1" spans="1:24">
      <c r="A1" t="s">
        <v>4529</v>
      </c>
      <c r="B1" t="s">
        <v>4530</v>
      </c>
      <c r="C1" t="s">
        <v>4531</v>
      </c>
      <c r="D1" t="s">
        <v>4532</v>
      </c>
      <c r="E1" t="s">
        <v>4533</v>
      </c>
      <c r="F1" t="s">
        <v>4508</v>
      </c>
      <c r="G1" t="s">
        <v>4534</v>
      </c>
      <c r="H1" t="s">
        <v>4509</v>
      </c>
      <c r="I1" t="s">
        <v>4535</v>
      </c>
      <c r="J1" t="s">
        <v>4511</v>
      </c>
      <c r="K1" t="s">
        <v>4510</v>
      </c>
      <c r="L1" s="121" t="s">
        <v>4536</v>
      </c>
      <c r="M1" t="s">
        <v>4537</v>
      </c>
      <c r="N1" t="s">
        <v>4538</v>
      </c>
      <c r="O1" t="s">
        <v>4539</v>
      </c>
      <c r="P1" t="s">
        <v>4540</v>
      </c>
      <c r="Q1" s="165" t="s">
        <v>5038</v>
      </c>
    </row>
    <row r="2" spans="1:24">
      <c r="A2" t="s">
        <v>4549</v>
      </c>
      <c r="B2" t="s">
        <v>4550</v>
      </c>
      <c r="C2" t="s">
        <v>4543</v>
      </c>
      <c r="D2" t="s">
        <v>4550</v>
      </c>
      <c r="E2" s="156">
        <v>42025</v>
      </c>
      <c r="F2" t="s">
        <v>4513</v>
      </c>
      <c r="G2" t="s">
        <v>4544</v>
      </c>
      <c r="H2" t="s">
        <v>4514</v>
      </c>
      <c r="I2" t="s">
        <v>4545</v>
      </c>
      <c r="J2" t="s">
        <v>25</v>
      </c>
      <c r="K2">
        <v>28797</v>
      </c>
      <c r="L2" s="121">
        <v>28509.03</v>
      </c>
      <c r="M2">
        <v>59.4</v>
      </c>
      <c r="N2">
        <v>28797</v>
      </c>
      <c r="O2">
        <v>0</v>
      </c>
      <c r="P2" t="s">
        <v>4546</v>
      </c>
      <c r="Q2" s="121">
        <f t="array" ref="Q2">SUM(IF((finan_graos!J:J=BD_CONTRATOS_GRAOS!F763)*(finan_graos!L:L=BD_CONTRATOS_GRAOS!D763)*(finan_graos!N:N=BD_CONTRATOS_GRAOS!J763),finan_graos!Q:Q))</f>
        <v>0</v>
      </c>
    </row>
    <row r="3" spans="1:24">
      <c r="A3" t="s">
        <v>6720</v>
      </c>
      <c r="B3" t="s">
        <v>6718</v>
      </c>
      <c r="C3" t="s">
        <v>4543</v>
      </c>
      <c r="D3" t="s">
        <v>6718</v>
      </c>
      <c r="E3" s="156">
        <v>42353</v>
      </c>
      <c r="F3" t="s">
        <v>6482</v>
      </c>
      <c r="G3" t="s">
        <v>4589</v>
      </c>
      <c r="H3" t="s">
        <v>4520</v>
      </c>
      <c r="I3" t="s">
        <v>4545</v>
      </c>
      <c r="J3" t="s">
        <v>25</v>
      </c>
      <c r="K3">
        <v>8740</v>
      </c>
      <c r="L3" s="121">
        <v>17480</v>
      </c>
      <c r="M3">
        <v>120</v>
      </c>
      <c r="N3">
        <v>8740</v>
      </c>
      <c r="O3">
        <v>0</v>
      </c>
      <c r="P3" t="s">
        <v>4546</v>
      </c>
      <c r="Q3" s="121">
        <f t="array" ref="Q3">SUM(IF((finan_graos!J:J=BD_CONTRATOS_GRAOS!F690)*(finan_graos!L:L=BD_CONTRATOS_GRAOS!D690)*(finan_graos!N:N=BD_CONTRATOS_GRAOS!J690),finan_graos!Q:Q))</f>
        <v>0</v>
      </c>
      <c r="R3" s="885"/>
      <c r="S3" s="885"/>
      <c r="T3" s="886"/>
      <c r="U3" s="886"/>
      <c r="V3" s="886"/>
      <c r="W3" s="886"/>
      <c r="X3" s="888"/>
    </row>
    <row r="4" spans="1:24">
      <c r="A4" t="s">
        <v>4564</v>
      </c>
      <c r="B4" t="s">
        <v>4565</v>
      </c>
      <c r="C4" t="s">
        <v>4543</v>
      </c>
      <c r="D4" t="s">
        <v>4565</v>
      </c>
      <c r="E4" s="156">
        <v>42012</v>
      </c>
      <c r="F4" t="s">
        <v>1481</v>
      </c>
      <c r="G4" t="s">
        <v>4553</v>
      </c>
      <c r="H4" t="s">
        <v>4515</v>
      </c>
      <c r="I4" t="s">
        <v>4545</v>
      </c>
      <c r="J4" t="s">
        <v>25</v>
      </c>
      <c r="K4">
        <v>1200000</v>
      </c>
      <c r="L4" s="121">
        <v>1060000</v>
      </c>
      <c r="M4">
        <v>53</v>
      </c>
      <c r="N4">
        <v>1200000</v>
      </c>
      <c r="O4">
        <v>0</v>
      </c>
      <c r="P4" t="s">
        <v>4546</v>
      </c>
      <c r="Q4" s="121">
        <f t="array" ref="Q4">SUM(IF((finan_graos!J:J=BD_CONTRATOS_GRAOS!F715)*(finan_graos!L:L=BD_CONTRATOS_GRAOS!D715)*(finan_graos!N:N=BD_CONTRATOS_GRAOS!J715),finan_graos!Q:Q))</f>
        <v>0</v>
      </c>
      <c r="R4" s="885"/>
      <c r="S4" s="907"/>
      <c r="T4" s="908"/>
      <c r="U4" s="908"/>
      <c r="V4" s="908"/>
      <c r="W4" s="908"/>
      <c r="X4" s="909"/>
    </row>
    <row r="5" spans="1:24">
      <c r="A5" t="s">
        <v>4566</v>
      </c>
      <c r="B5" t="s">
        <v>4567</v>
      </c>
      <c r="C5" t="s">
        <v>4543</v>
      </c>
      <c r="D5" t="s">
        <v>4567</v>
      </c>
      <c r="E5" s="156">
        <v>42018</v>
      </c>
      <c r="F5" t="s">
        <v>1481</v>
      </c>
      <c r="G5" t="s">
        <v>4553</v>
      </c>
      <c r="H5" t="s">
        <v>4515</v>
      </c>
      <c r="I5" t="s">
        <v>4545</v>
      </c>
      <c r="J5" t="s">
        <v>25</v>
      </c>
      <c r="K5" s="121">
        <v>19420</v>
      </c>
      <c r="L5" s="121">
        <v>17154.330000000002</v>
      </c>
      <c r="M5">
        <v>52.999989701338798</v>
      </c>
      <c r="N5">
        <v>19420</v>
      </c>
      <c r="O5">
        <v>0</v>
      </c>
      <c r="P5" t="s">
        <v>4546</v>
      </c>
      <c r="Q5" s="121">
        <f t="array" ref="Q5">SUM(IF((finan_graos!J:J=BD_CONTRATOS_GRAOS!F722)*(finan_graos!L:L=BD_CONTRATOS_GRAOS!D722)*(finan_graos!N:N=BD_CONTRATOS_GRAOS!J722),finan_graos!Q:Q))</f>
        <v>0</v>
      </c>
      <c r="R5" s="894"/>
      <c r="S5" s="910"/>
      <c r="T5" s="911"/>
      <c r="U5" s="911"/>
      <c r="V5" s="911"/>
      <c r="W5" s="911"/>
      <c r="X5" s="912"/>
    </row>
    <row r="6" spans="1:24">
      <c r="A6" t="s">
        <v>6726</v>
      </c>
      <c r="B6" t="s">
        <v>6727</v>
      </c>
      <c r="C6" t="s">
        <v>4543</v>
      </c>
      <c r="D6" t="s">
        <v>6727</v>
      </c>
      <c r="E6" s="156">
        <v>42339</v>
      </c>
      <c r="F6" t="s">
        <v>6179</v>
      </c>
      <c r="G6" t="s">
        <v>4544</v>
      </c>
      <c r="H6" t="s">
        <v>4514</v>
      </c>
      <c r="I6" t="s">
        <v>4545</v>
      </c>
      <c r="J6" t="s">
        <v>25</v>
      </c>
      <c r="K6">
        <v>8900</v>
      </c>
      <c r="L6" s="121">
        <v>10680</v>
      </c>
      <c r="M6">
        <v>72</v>
      </c>
      <c r="N6">
        <v>8900</v>
      </c>
      <c r="O6">
        <v>0</v>
      </c>
      <c r="P6" t="s">
        <v>4546</v>
      </c>
      <c r="Q6" s="121">
        <f t="array" ref="Q6">SUM(IF((finan_graos!J:J=BD_CONTRATOS_GRAOS!F772)*(finan_graos!L:L=BD_CONTRATOS_GRAOS!D772)*(finan_graos!N:N=BD_CONTRATOS_GRAOS!J772),finan_graos!Q:Q))</f>
        <v>0</v>
      </c>
      <c r="R6" s="894"/>
      <c r="S6" s="910"/>
      <c r="T6" s="911"/>
      <c r="U6" s="911"/>
      <c r="V6" s="911"/>
      <c r="W6" s="911"/>
      <c r="X6" s="912"/>
    </row>
    <row r="7" spans="1:24">
      <c r="A7" t="s">
        <v>6715</v>
      </c>
      <c r="B7" t="s">
        <v>6716</v>
      </c>
      <c r="C7" t="s">
        <v>4543</v>
      </c>
      <c r="D7" t="s">
        <v>6716</v>
      </c>
      <c r="E7" s="156">
        <v>42341</v>
      </c>
      <c r="F7" t="s">
        <v>6589</v>
      </c>
      <c r="G7" t="s">
        <v>4589</v>
      </c>
      <c r="H7" t="s">
        <v>4520</v>
      </c>
      <c r="I7" t="s">
        <v>4545</v>
      </c>
      <c r="J7" t="s">
        <v>25</v>
      </c>
      <c r="K7">
        <v>11960</v>
      </c>
      <c r="L7" s="121">
        <v>19933.34</v>
      </c>
      <c r="M7">
        <v>100.000033444816</v>
      </c>
      <c r="N7">
        <v>11960</v>
      </c>
      <c r="O7">
        <v>0</v>
      </c>
      <c r="P7" t="s">
        <v>4546</v>
      </c>
      <c r="Q7" s="121">
        <f t="array" ref="Q7">SUM(IF((finan_graos!J:J=BD_CONTRATOS_GRAOS!F686)*(finan_graos!L:L=BD_CONTRATOS_GRAOS!D686)*(finan_graos!N:N=BD_CONTRATOS_GRAOS!J686),finan_graos!Q:Q))</f>
        <v>0</v>
      </c>
      <c r="R7" s="894"/>
      <c r="S7" s="910"/>
      <c r="T7" s="911"/>
      <c r="U7" s="911"/>
      <c r="V7" s="911"/>
      <c r="W7" s="911"/>
      <c r="X7" s="912"/>
    </row>
    <row r="8" spans="1:24">
      <c r="A8" t="s">
        <v>5964</v>
      </c>
      <c r="B8" t="s">
        <v>5965</v>
      </c>
      <c r="C8" t="s">
        <v>4543</v>
      </c>
      <c r="D8" t="s">
        <v>5965</v>
      </c>
      <c r="E8" s="156">
        <v>42304</v>
      </c>
      <c r="F8" t="s">
        <v>5896</v>
      </c>
      <c r="G8" t="s">
        <v>4589</v>
      </c>
      <c r="H8" t="s">
        <v>4520</v>
      </c>
      <c r="I8" t="s">
        <v>4545</v>
      </c>
      <c r="J8" t="s">
        <v>25</v>
      </c>
      <c r="K8" s="121">
        <v>108100</v>
      </c>
      <c r="L8" s="121">
        <v>86480</v>
      </c>
      <c r="M8">
        <v>48</v>
      </c>
      <c r="N8">
        <v>108100</v>
      </c>
      <c r="O8">
        <v>0</v>
      </c>
      <c r="P8" t="s">
        <v>4546</v>
      </c>
      <c r="Q8" s="121">
        <f t="array" ref="Q8">SUM(IF((finan_graos!J:J=BD_CONTRATOS_GRAOS!F677)*(finan_graos!L:L=BD_CONTRATOS_GRAOS!D677)*(finan_graos!N:N=BD_CONTRATOS_GRAOS!J677),finan_graos!Q:Q))</f>
        <v>0</v>
      </c>
      <c r="R8" s="894"/>
      <c r="S8" s="910"/>
      <c r="T8" s="911"/>
      <c r="U8" s="911"/>
      <c r="V8" s="911"/>
      <c r="W8" s="911"/>
      <c r="X8" s="912"/>
    </row>
    <row r="9" spans="1:24">
      <c r="A9" t="s">
        <v>6712</v>
      </c>
      <c r="B9" t="s">
        <v>6713</v>
      </c>
      <c r="C9" t="s">
        <v>4543</v>
      </c>
      <c r="D9" t="s">
        <v>6714</v>
      </c>
      <c r="E9" s="156">
        <v>42340</v>
      </c>
      <c r="F9" t="s">
        <v>5896</v>
      </c>
      <c r="G9" t="s">
        <v>4589</v>
      </c>
      <c r="H9" t="s">
        <v>4520</v>
      </c>
      <c r="I9" t="s">
        <v>4545</v>
      </c>
      <c r="J9" t="s">
        <v>25</v>
      </c>
      <c r="K9">
        <v>34240</v>
      </c>
      <c r="L9" s="121">
        <v>25109.32</v>
      </c>
      <c r="M9">
        <v>43.999976635514003</v>
      </c>
      <c r="N9">
        <v>34240</v>
      </c>
      <c r="O9">
        <v>0</v>
      </c>
      <c r="P9" t="s">
        <v>4546</v>
      </c>
      <c r="Q9" s="121">
        <f t="array" ref="Q9">SUM(IF((finan_graos!J:J=BD_CONTRATOS_GRAOS!F683)*(finan_graos!L:L=BD_CONTRATOS_GRAOS!D683)*(finan_graos!N:N=BD_CONTRATOS_GRAOS!J683),finan_graos!Q:Q))</f>
        <v>0</v>
      </c>
      <c r="R9" s="894"/>
      <c r="S9" s="910"/>
      <c r="T9" s="911"/>
      <c r="U9" s="911"/>
      <c r="V9" s="911"/>
      <c r="W9" s="911"/>
      <c r="X9" s="912"/>
    </row>
    <row r="10" spans="1:24">
      <c r="A10" t="s">
        <v>6717</v>
      </c>
      <c r="B10" t="s">
        <v>6718</v>
      </c>
      <c r="C10" t="s">
        <v>4543</v>
      </c>
      <c r="D10" t="s">
        <v>6719</v>
      </c>
      <c r="E10" s="156">
        <v>42342</v>
      </c>
      <c r="F10" t="s">
        <v>5896</v>
      </c>
      <c r="G10" t="s">
        <v>4589</v>
      </c>
      <c r="H10" t="s">
        <v>4520</v>
      </c>
      <c r="I10" t="s">
        <v>4545</v>
      </c>
      <c r="J10" t="s">
        <v>25</v>
      </c>
      <c r="K10" s="121">
        <v>7420</v>
      </c>
      <c r="L10" s="121">
        <v>5688.62</v>
      </c>
      <c r="M10">
        <v>45.999622641509397</v>
      </c>
      <c r="N10">
        <v>7420</v>
      </c>
      <c r="O10">
        <v>0</v>
      </c>
      <c r="P10" t="s">
        <v>4546</v>
      </c>
      <c r="Q10" s="121">
        <f t="array" ref="Q10">SUM(IF((finan_graos!J:J=BD_CONTRATOS_GRAOS!F689)*(finan_graos!L:L=BD_CONTRATOS_GRAOS!D689)*(finan_graos!N:N=BD_CONTRATOS_GRAOS!J689),finan_graos!Q:Q))</f>
        <v>0</v>
      </c>
      <c r="R10" s="894"/>
      <c r="S10" s="910"/>
      <c r="T10" s="911"/>
      <c r="U10" s="911"/>
      <c r="V10" s="911"/>
      <c r="W10" s="911"/>
      <c r="X10" s="912"/>
    </row>
    <row r="11" spans="1:24">
      <c r="A11" t="s">
        <v>4606</v>
      </c>
      <c r="B11" t="s">
        <v>4607</v>
      </c>
      <c r="C11" t="s">
        <v>4543</v>
      </c>
      <c r="D11" t="s">
        <v>4607</v>
      </c>
      <c r="E11" s="156">
        <v>41935</v>
      </c>
      <c r="F11" t="s">
        <v>4516</v>
      </c>
      <c r="G11" t="s">
        <v>4553</v>
      </c>
      <c r="H11" t="s">
        <v>4515</v>
      </c>
      <c r="I11" t="s">
        <v>4576</v>
      </c>
      <c r="J11" t="s">
        <v>22</v>
      </c>
      <c r="K11">
        <v>6000000</v>
      </c>
      <c r="L11" s="121">
        <v>1800000</v>
      </c>
      <c r="M11">
        <v>18</v>
      </c>
      <c r="N11">
        <v>6000000</v>
      </c>
      <c r="O11">
        <v>0</v>
      </c>
      <c r="P11" t="s">
        <v>4546</v>
      </c>
      <c r="Q11" s="121">
        <f t="array" ref="Q11">SUM(IF((finan_graos!J:J=BD_CONTRATOS_GRAOS!F670)*(finan_graos!L:L=BD_CONTRATOS_GRAOS!D670)*(finan_graos!N:N=BD_CONTRATOS_GRAOS!J670),finan_graos!Q:Q))</f>
        <v>0</v>
      </c>
      <c r="R11" s="894"/>
      <c r="S11" s="910"/>
      <c r="T11" s="911"/>
      <c r="U11" s="911"/>
      <c r="V11" s="911"/>
      <c r="W11" s="911"/>
      <c r="X11" s="912"/>
    </row>
    <row r="12" spans="1:24">
      <c r="A12" t="s">
        <v>4608</v>
      </c>
      <c r="B12" t="s">
        <v>4609</v>
      </c>
      <c r="C12" t="s">
        <v>4543</v>
      </c>
      <c r="D12" t="s">
        <v>4609</v>
      </c>
      <c r="E12" s="156">
        <v>41935</v>
      </c>
      <c r="F12" t="s">
        <v>4516</v>
      </c>
      <c r="G12" t="s">
        <v>4553</v>
      </c>
      <c r="H12" t="s">
        <v>4515</v>
      </c>
      <c r="I12" t="s">
        <v>4576</v>
      </c>
      <c r="J12" t="s">
        <v>22</v>
      </c>
      <c r="K12" s="121">
        <v>6000000</v>
      </c>
      <c r="L12" s="121">
        <v>1800000</v>
      </c>
      <c r="M12">
        <v>18</v>
      </c>
      <c r="N12">
        <v>6000000</v>
      </c>
      <c r="O12">
        <v>0</v>
      </c>
      <c r="P12" t="s">
        <v>4546</v>
      </c>
      <c r="Q12" s="121">
        <f t="array" ref="Q12">SUM(IF((finan_graos!J:J=BD_CONTRATOS_GRAOS!F673)*(finan_graos!L:L=BD_CONTRATOS_GRAOS!D673)*(finan_graos!N:N=BD_CONTRATOS_GRAOS!J673),finan_graos!Q:Q))</f>
        <v>0</v>
      </c>
      <c r="R12" s="894"/>
      <c r="S12" s="910"/>
      <c r="T12" s="911"/>
      <c r="U12" s="911"/>
      <c r="V12" s="911"/>
      <c r="W12" s="911"/>
      <c r="X12" s="912"/>
    </row>
    <row r="13" spans="1:24">
      <c r="A13" t="s">
        <v>4583</v>
      </c>
      <c r="B13" t="s">
        <v>4584</v>
      </c>
      <c r="C13" t="s">
        <v>4543</v>
      </c>
      <c r="D13" t="s">
        <v>4584</v>
      </c>
      <c r="E13" s="156">
        <v>41935</v>
      </c>
      <c r="F13" t="s">
        <v>4516</v>
      </c>
      <c r="G13" t="s">
        <v>4544</v>
      </c>
      <c r="H13" t="s">
        <v>4514</v>
      </c>
      <c r="I13" t="s">
        <v>4545</v>
      </c>
      <c r="J13" t="s">
        <v>25</v>
      </c>
      <c r="K13">
        <v>6000000</v>
      </c>
      <c r="L13" s="121">
        <v>4550000</v>
      </c>
      <c r="M13">
        <v>45.5</v>
      </c>
      <c r="N13">
        <v>6000000</v>
      </c>
      <c r="O13">
        <v>0</v>
      </c>
      <c r="P13" t="s">
        <v>4546</v>
      </c>
      <c r="Q13" s="121">
        <f t="array" ref="Q13">SUM(IF((finan_graos!J:J=BD_CONTRATOS_GRAOS!F676)*(finan_graos!L:L=BD_CONTRATOS_GRAOS!D676)*(finan_graos!N:N=BD_CONTRATOS_GRAOS!J676),finan_graos!Q:Q))</f>
        <v>0</v>
      </c>
      <c r="R13" s="894"/>
      <c r="S13" s="910"/>
      <c r="T13" s="911"/>
      <c r="U13" s="911"/>
      <c r="V13" s="911"/>
      <c r="W13" s="911"/>
      <c r="X13" s="912"/>
    </row>
    <row r="14" spans="1:24">
      <c r="A14" t="s">
        <v>4579</v>
      </c>
      <c r="B14" t="s">
        <v>4580</v>
      </c>
      <c r="C14" t="s">
        <v>4543</v>
      </c>
      <c r="D14" t="s">
        <v>4580</v>
      </c>
      <c r="E14" s="156">
        <v>41935</v>
      </c>
      <c r="F14" t="s">
        <v>4516</v>
      </c>
      <c r="G14" t="s">
        <v>4544</v>
      </c>
      <c r="H14" t="s">
        <v>4514</v>
      </c>
      <c r="I14" t="s">
        <v>4545</v>
      </c>
      <c r="J14" t="s">
        <v>25</v>
      </c>
      <c r="K14" s="121">
        <v>6000000</v>
      </c>
      <c r="L14" s="121">
        <v>4600000</v>
      </c>
      <c r="M14">
        <v>46</v>
      </c>
      <c r="N14">
        <v>6000000</v>
      </c>
      <c r="O14">
        <v>0</v>
      </c>
      <c r="P14" t="s">
        <v>4546</v>
      </c>
      <c r="Q14" s="121">
        <f t="array" ref="Q14">SUM(IF((finan_graos!J:J=BD_CONTRATOS_GRAOS!F679)*(finan_graos!L:L=BD_CONTRATOS_GRAOS!D679)*(finan_graos!N:N=BD_CONTRATOS_GRAOS!J679),finan_graos!Q:Q))</f>
        <v>0</v>
      </c>
      <c r="R14" s="894"/>
      <c r="S14" s="910"/>
      <c r="T14" s="911"/>
      <c r="U14" s="911"/>
      <c r="V14" s="911"/>
      <c r="W14" s="911"/>
      <c r="X14" s="912"/>
    </row>
    <row r="15" spans="1:24">
      <c r="A15" t="s">
        <v>4610</v>
      </c>
      <c r="B15" t="s">
        <v>4611</v>
      </c>
      <c r="C15" t="s">
        <v>4543</v>
      </c>
      <c r="D15" t="s">
        <v>4611</v>
      </c>
      <c r="E15" s="156">
        <v>41935</v>
      </c>
      <c r="F15" t="s">
        <v>4516</v>
      </c>
      <c r="G15" t="s">
        <v>4544</v>
      </c>
      <c r="H15" t="s">
        <v>4514</v>
      </c>
      <c r="I15" t="s">
        <v>4576</v>
      </c>
      <c r="J15" t="s">
        <v>22</v>
      </c>
      <c r="K15">
        <v>3000000</v>
      </c>
      <c r="L15" s="121">
        <v>900000</v>
      </c>
      <c r="M15">
        <v>18</v>
      </c>
      <c r="N15">
        <v>3000000</v>
      </c>
      <c r="O15">
        <v>0</v>
      </c>
      <c r="P15" t="s">
        <v>4546</v>
      </c>
      <c r="Q15" s="121">
        <f t="array" ref="Q15">SUM(IF((finan_graos!J:J=BD_CONTRATOS_GRAOS!F682)*(finan_graos!L:L=BD_CONTRATOS_GRAOS!D682)*(finan_graos!N:N=BD_CONTRATOS_GRAOS!J682),finan_graos!Q:Q))</f>
        <v>0</v>
      </c>
      <c r="R15" s="894"/>
      <c r="S15" s="910"/>
      <c r="T15" s="911"/>
      <c r="U15" s="911"/>
      <c r="V15" s="911"/>
      <c r="W15" s="911"/>
      <c r="X15" s="912"/>
    </row>
    <row r="16" spans="1:24">
      <c r="A16" t="s">
        <v>4581</v>
      </c>
      <c r="B16" t="s">
        <v>4582</v>
      </c>
      <c r="C16" t="s">
        <v>4543</v>
      </c>
      <c r="D16" t="s">
        <v>4582</v>
      </c>
      <c r="E16" s="156">
        <v>41935</v>
      </c>
      <c r="F16" t="s">
        <v>4516</v>
      </c>
      <c r="G16" t="s">
        <v>4544</v>
      </c>
      <c r="H16" t="s">
        <v>4514</v>
      </c>
      <c r="I16" t="s">
        <v>4545</v>
      </c>
      <c r="J16" t="s">
        <v>25</v>
      </c>
      <c r="K16" s="121">
        <v>6000000</v>
      </c>
      <c r="L16" s="121">
        <v>4600000</v>
      </c>
      <c r="M16">
        <v>46</v>
      </c>
      <c r="N16">
        <v>6000000</v>
      </c>
      <c r="O16">
        <v>0</v>
      </c>
      <c r="P16" t="s">
        <v>4546</v>
      </c>
      <c r="Q16" s="121">
        <f t="array" ref="Q16">SUM(IF((finan_graos!J:J=BD_CONTRATOS_GRAOS!F685)*(finan_graos!L:L=BD_CONTRATOS_GRAOS!D685)*(finan_graos!N:N=BD_CONTRATOS_GRAOS!J685),finan_graos!Q:Q))</f>
        <v>0</v>
      </c>
      <c r="R16" s="906"/>
      <c r="S16" s="913"/>
      <c r="T16" s="914"/>
      <c r="U16" s="914"/>
      <c r="V16" s="914"/>
      <c r="W16" s="914"/>
      <c r="X16" s="915"/>
    </row>
    <row r="17" spans="1:23">
      <c r="A17" t="s">
        <v>4577</v>
      </c>
      <c r="B17" t="s">
        <v>4578</v>
      </c>
      <c r="C17" t="s">
        <v>4543</v>
      </c>
      <c r="D17" t="s">
        <v>4578</v>
      </c>
      <c r="E17" s="156">
        <v>41935</v>
      </c>
      <c r="F17" t="s">
        <v>4516</v>
      </c>
      <c r="G17" t="s">
        <v>4544</v>
      </c>
      <c r="H17" t="s">
        <v>4514</v>
      </c>
      <c r="I17" t="s">
        <v>4545</v>
      </c>
      <c r="J17" t="s">
        <v>25</v>
      </c>
      <c r="K17">
        <v>6000000</v>
      </c>
      <c r="L17" s="121">
        <v>4660000</v>
      </c>
      <c r="M17">
        <v>46.6</v>
      </c>
      <c r="N17">
        <v>6000000</v>
      </c>
      <c r="O17">
        <v>0</v>
      </c>
      <c r="P17" t="s">
        <v>4546</v>
      </c>
      <c r="Q17" s="121">
        <f t="array" ref="Q17">SUM(IF((finan_graos!J:J=BD_CONTRATOS_GRAOS!F688)*(finan_graos!L:L=BD_CONTRATOS_GRAOS!D688)*(finan_graos!N:N=BD_CONTRATOS_GRAOS!J688),finan_graos!Q:Q))</f>
        <v>0</v>
      </c>
      <c r="R17" s="168"/>
      <c r="S17" s="168"/>
      <c r="T17" s="168"/>
      <c r="U17" s="168"/>
      <c r="V17" s="167"/>
      <c r="W17" s="164"/>
    </row>
    <row r="18" spans="1:23">
      <c r="A18" t="s">
        <v>4596</v>
      </c>
      <c r="B18" t="s">
        <v>4597</v>
      </c>
      <c r="C18" t="s">
        <v>4543</v>
      </c>
      <c r="D18" t="s">
        <v>4597</v>
      </c>
      <c r="E18" s="156">
        <v>41935</v>
      </c>
      <c r="F18" t="s">
        <v>4516</v>
      </c>
      <c r="G18" t="s">
        <v>4544</v>
      </c>
      <c r="H18" t="s">
        <v>4514</v>
      </c>
      <c r="I18" t="s">
        <v>4576</v>
      </c>
      <c r="J18" t="s">
        <v>22</v>
      </c>
      <c r="K18" s="121">
        <v>3000000</v>
      </c>
      <c r="L18" s="121">
        <v>920000</v>
      </c>
      <c r="M18">
        <v>18.400000000000002</v>
      </c>
      <c r="N18">
        <v>3000000</v>
      </c>
      <c r="O18">
        <v>0</v>
      </c>
      <c r="P18" t="s">
        <v>4546</v>
      </c>
      <c r="Q18" s="121">
        <f t="array" ref="Q18">SUM(IF((finan_graos!J:J=BD_CONTRATOS_GRAOS!F692)*(finan_graos!L:L=BD_CONTRATOS_GRAOS!D692)*(finan_graos!N:N=BD_CONTRATOS_GRAOS!J692),finan_graos!Q:Q))</f>
        <v>0</v>
      </c>
      <c r="R18" s="885"/>
      <c r="S18" s="886"/>
      <c r="T18" s="886"/>
      <c r="U18" s="887" t="s">
        <v>4528</v>
      </c>
      <c r="V18" s="886"/>
      <c r="W18" s="888"/>
    </row>
    <row r="19" spans="1:23">
      <c r="A19" t="s">
        <v>4598</v>
      </c>
      <c r="B19" t="s">
        <v>4599</v>
      </c>
      <c r="C19" t="s">
        <v>4543</v>
      </c>
      <c r="D19" t="s">
        <v>4599</v>
      </c>
      <c r="E19" s="156">
        <v>41936</v>
      </c>
      <c r="F19" t="s">
        <v>4516</v>
      </c>
      <c r="G19" t="s">
        <v>4544</v>
      </c>
      <c r="H19" t="s">
        <v>4514</v>
      </c>
      <c r="I19" t="s">
        <v>4576</v>
      </c>
      <c r="J19" t="s">
        <v>22</v>
      </c>
      <c r="K19">
        <v>4500000</v>
      </c>
      <c r="L19" s="121">
        <v>1380000</v>
      </c>
      <c r="M19">
        <v>18.400000000000002</v>
      </c>
      <c r="N19">
        <v>4500000</v>
      </c>
      <c r="O19">
        <v>0</v>
      </c>
      <c r="P19" t="s">
        <v>4546</v>
      </c>
      <c r="Q19" s="121">
        <f t="array" ref="Q19">SUM(IF((finan_graos!J:J=BD_CONTRATOS_GRAOS!F696)*(finan_graos!L:L=BD_CONTRATOS_GRAOS!D696)*(finan_graos!N:N=BD_CONTRATOS_GRAOS!J696),finan_graos!Q:Q))</f>
        <v>0</v>
      </c>
      <c r="R19" s="887" t="s">
        <v>4508</v>
      </c>
      <c r="S19" s="887" t="s">
        <v>4534</v>
      </c>
      <c r="T19" s="887" t="s">
        <v>4511</v>
      </c>
      <c r="U19" s="885" t="s">
        <v>4527</v>
      </c>
      <c r="V19" s="889" t="s">
        <v>4512</v>
      </c>
      <c r="W19" s="890" t="s">
        <v>5035</v>
      </c>
    </row>
    <row r="20" spans="1:23">
      <c r="A20" t="s">
        <v>5546</v>
      </c>
      <c r="B20" t="s">
        <v>5540</v>
      </c>
      <c r="C20" t="s">
        <v>4543</v>
      </c>
      <c r="D20" t="s">
        <v>5540</v>
      </c>
      <c r="E20" s="156">
        <v>42191</v>
      </c>
      <c r="F20" t="s">
        <v>4516</v>
      </c>
      <c r="G20" t="s">
        <v>4618</v>
      </c>
      <c r="H20" t="s">
        <v>4519</v>
      </c>
      <c r="I20" t="s">
        <v>4545</v>
      </c>
      <c r="J20" t="s">
        <v>25</v>
      </c>
      <c r="K20" s="121">
        <v>7000000</v>
      </c>
      <c r="L20" s="121">
        <v>2006666.67</v>
      </c>
      <c r="M20">
        <v>17.200000028571399</v>
      </c>
      <c r="N20">
        <v>7000000</v>
      </c>
      <c r="O20">
        <v>0</v>
      </c>
      <c r="P20" t="s">
        <v>4546</v>
      </c>
      <c r="Q20" s="121">
        <f t="array" ref="Q20">SUM(IF((finan_graos!J:J=BD_CONTRATOS_GRAOS!F710)*(finan_graos!L:L=BD_CONTRATOS_GRAOS!D710)*(finan_graos!N:N=BD_CONTRATOS_GRAOS!J710),finan_graos!Q:Q))</f>
        <v>0</v>
      </c>
      <c r="R20" s="885" t="s">
        <v>4513</v>
      </c>
      <c r="S20" s="885" t="s">
        <v>4544</v>
      </c>
      <c r="T20" s="885" t="s">
        <v>25</v>
      </c>
      <c r="U20" s="891">
        <v>28797</v>
      </c>
      <c r="V20" s="892">
        <v>28509.03</v>
      </c>
      <c r="W20" s="893">
        <v>28797</v>
      </c>
    </row>
    <row r="21" spans="1:23">
      <c r="A21" t="s">
        <v>4614</v>
      </c>
      <c r="B21" t="s">
        <v>4615</v>
      </c>
      <c r="C21" t="s">
        <v>4543</v>
      </c>
      <c r="D21" t="s">
        <v>4615</v>
      </c>
      <c r="E21" s="156">
        <v>42017</v>
      </c>
      <c r="F21" t="s">
        <v>4516</v>
      </c>
      <c r="G21" t="s">
        <v>4544</v>
      </c>
      <c r="H21" t="s">
        <v>4514</v>
      </c>
      <c r="I21" t="s">
        <v>4545</v>
      </c>
      <c r="J21" t="s">
        <v>25</v>
      </c>
      <c r="K21">
        <v>37900</v>
      </c>
      <c r="L21" s="121">
        <v>11370</v>
      </c>
      <c r="M21">
        <v>18</v>
      </c>
      <c r="N21">
        <v>37900</v>
      </c>
      <c r="O21">
        <v>0</v>
      </c>
      <c r="P21" t="s">
        <v>4546</v>
      </c>
      <c r="Q21" s="121">
        <f t="array" ref="Q21">SUM(IF((finan_graos!J:J=BD_CONTRATOS_GRAOS!F717)*(finan_graos!L:L=BD_CONTRATOS_GRAOS!D717)*(finan_graos!N:N=BD_CONTRATOS_GRAOS!J717),finan_graos!Q:Q))</f>
        <v>0</v>
      </c>
      <c r="R21" s="894"/>
      <c r="S21" s="885" t="s">
        <v>5031</v>
      </c>
      <c r="T21" s="886"/>
      <c r="U21" s="891">
        <v>28797</v>
      </c>
      <c r="V21" s="892">
        <v>28509.03</v>
      </c>
      <c r="W21" s="893">
        <v>28797</v>
      </c>
    </row>
    <row r="22" spans="1:23">
      <c r="A22" t="s">
        <v>4551</v>
      </c>
      <c r="B22" t="s">
        <v>4552</v>
      </c>
      <c r="C22" t="s">
        <v>4543</v>
      </c>
      <c r="D22" t="s">
        <v>4552</v>
      </c>
      <c r="E22" s="156">
        <v>42094</v>
      </c>
      <c r="F22" t="s">
        <v>4516</v>
      </c>
      <c r="G22" t="s">
        <v>4553</v>
      </c>
      <c r="H22" t="s">
        <v>4515</v>
      </c>
      <c r="I22" t="s">
        <v>4545</v>
      </c>
      <c r="J22" t="s">
        <v>25</v>
      </c>
      <c r="K22">
        <v>1200000</v>
      </c>
      <c r="L22" s="121">
        <v>1160000</v>
      </c>
      <c r="M22">
        <v>58</v>
      </c>
      <c r="N22">
        <v>1200057</v>
      </c>
      <c r="O22">
        <v>-57</v>
      </c>
      <c r="P22" t="s">
        <v>4546</v>
      </c>
      <c r="Q22" s="121">
        <f t="array" ref="Q22">SUM(IF((finan_graos!J:J=BD_CONTRATOS_GRAOS!F738)*(finan_graos!L:L=BD_CONTRATOS_GRAOS!D738)*(finan_graos!N:N=BD_CONTRATOS_GRAOS!J738),finan_graos!Q:Q))</f>
        <v>0</v>
      </c>
      <c r="R22" s="885" t="s">
        <v>5021</v>
      </c>
      <c r="S22" s="886"/>
      <c r="T22" s="886"/>
      <c r="U22" s="891">
        <v>28797</v>
      </c>
      <c r="V22" s="892">
        <v>28509.03</v>
      </c>
      <c r="W22" s="893">
        <v>28797</v>
      </c>
    </row>
    <row r="23" spans="1:23">
      <c r="A23" t="s">
        <v>4554</v>
      </c>
      <c r="B23" t="s">
        <v>4555</v>
      </c>
      <c r="C23" t="s">
        <v>4543</v>
      </c>
      <c r="D23" t="s">
        <v>4555</v>
      </c>
      <c r="E23" s="156">
        <v>42094</v>
      </c>
      <c r="F23" t="s">
        <v>4516</v>
      </c>
      <c r="G23" t="s">
        <v>4544</v>
      </c>
      <c r="H23" t="s">
        <v>4514</v>
      </c>
      <c r="I23" t="s">
        <v>4545</v>
      </c>
      <c r="J23" t="s">
        <v>25</v>
      </c>
      <c r="K23">
        <v>720000</v>
      </c>
      <c r="L23" s="121">
        <v>696000</v>
      </c>
      <c r="M23">
        <v>58</v>
      </c>
      <c r="N23">
        <v>720000</v>
      </c>
      <c r="O23">
        <v>0</v>
      </c>
      <c r="P23" t="s">
        <v>4546</v>
      </c>
      <c r="Q23" s="121">
        <f t="array" ref="Q23">SUM(IF((finan_graos!J:J=BD_CONTRATOS_GRAOS!F739)*(finan_graos!L:L=BD_CONTRATOS_GRAOS!D739)*(finan_graos!N:N=BD_CONTRATOS_GRAOS!J739),finan_graos!Q:Q))</f>
        <v>0</v>
      </c>
      <c r="R23" s="885" t="s">
        <v>1481</v>
      </c>
      <c r="S23" s="885" t="s">
        <v>4553</v>
      </c>
      <c r="T23" s="885" t="s">
        <v>25</v>
      </c>
      <c r="U23" s="891">
        <v>1219420</v>
      </c>
      <c r="V23" s="892">
        <v>1077154.33</v>
      </c>
      <c r="W23" s="893">
        <v>1219420</v>
      </c>
    </row>
    <row r="24" spans="1:23">
      <c r="A24" t="s">
        <v>4630</v>
      </c>
      <c r="B24" t="s">
        <v>4631</v>
      </c>
      <c r="C24" t="s">
        <v>4543</v>
      </c>
      <c r="D24" t="s">
        <v>4631</v>
      </c>
      <c r="E24" s="156">
        <v>42104</v>
      </c>
      <c r="F24" t="s">
        <v>4516</v>
      </c>
      <c r="G24" t="s">
        <v>4544</v>
      </c>
      <c r="H24" t="s">
        <v>4514</v>
      </c>
      <c r="I24" t="s">
        <v>4545</v>
      </c>
      <c r="J24" t="s">
        <v>25</v>
      </c>
      <c r="K24" s="121">
        <v>44620</v>
      </c>
      <c r="L24" s="121">
        <v>35696</v>
      </c>
      <c r="M24">
        <v>48</v>
      </c>
      <c r="N24" s="121">
        <v>44620</v>
      </c>
      <c r="O24">
        <v>0</v>
      </c>
      <c r="P24" t="s">
        <v>4546</v>
      </c>
      <c r="Q24" s="121">
        <f t="array" ref="Q24">SUM(IF((finan_graos!J:J=BD_CONTRATOS_GRAOS!F741)*(finan_graos!L:L=BD_CONTRATOS_GRAOS!D741)*(finan_graos!N:N=BD_CONTRATOS_GRAOS!J741),finan_graos!Q:Q))</f>
        <v>0</v>
      </c>
      <c r="R24" s="894"/>
      <c r="S24" s="885" t="s">
        <v>5032</v>
      </c>
      <c r="T24" s="886"/>
      <c r="U24" s="891">
        <v>1219420</v>
      </c>
      <c r="V24" s="892">
        <v>1077154.33</v>
      </c>
      <c r="W24" s="893">
        <v>1219420</v>
      </c>
    </row>
    <row r="25" spans="1:23">
      <c r="A25" t="s">
        <v>5335</v>
      </c>
      <c r="B25" t="s">
        <v>5336</v>
      </c>
      <c r="C25" t="s">
        <v>4543</v>
      </c>
      <c r="D25" t="s">
        <v>5336</v>
      </c>
      <c r="E25" s="156">
        <v>42139</v>
      </c>
      <c r="F25" t="s">
        <v>4516</v>
      </c>
      <c r="G25" t="s">
        <v>4544</v>
      </c>
      <c r="H25" t="s">
        <v>4514</v>
      </c>
      <c r="I25" t="s">
        <v>4545</v>
      </c>
      <c r="J25" t="s">
        <v>25</v>
      </c>
      <c r="K25">
        <v>600000</v>
      </c>
      <c r="L25" s="121">
        <v>555000</v>
      </c>
      <c r="M25">
        <v>55.5</v>
      </c>
      <c r="N25">
        <v>600000</v>
      </c>
      <c r="O25">
        <v>0</v>
      </c>
      <c r="P25" t="s">
        <v>4546</v>
      </c>
      <c r="Q25" s="121">
        <f t="array" ref="Q25">SUM(IF((finan_graos!J:J=BD_CONTRATOS_GRAOS!F745)*(finan_graos!L:L=BD_CONTRATOS_GRAOS!D745)*(finan_graos!N:N=BD_CONTRATOS_GRAOS!J745),finan_graos!Q:Q))</f>
        <v>0</v>
      </c>
      <c r="R25" s="885" t="s">
        <v>5022</v>
      </c>
      <c r="S25" s="886"/>
      <c r="T25" s="886"/>
      <c r="U25" s="891">
        <v>1219420</v>
      </c>
      <c r="V25" s="892">
        <v>1077154.33</v>
      </c>
      <c r="W25" s="893">
        <v>1219420</v>
      </c>
    </row>
    <row r="26" spans="1:23">
      <c r="A26" t="s">
        <v>5337</v>
      </c>
      <c r="B26" t="s">
        <v>5338</v>
      </c>
      <c r="C26" t="s">
        <v>4543</v>
      </c>
      <c r="D26" t="s">
        <v>5338</v>
      </c>
      <c r="E26" s="156">
        <v>42139</v>
      </c>
      <c r="F26" t="s">
        <v>4516</v>
      </c>
      <c r="G26" t="s">
        <v>4553</v>
      </c>
      <c r="H26" t="s">
        <v>4515</v>
      </c>
      <c r="I26" t="s">
        <v>4545</v>
      </c>
      <c r="J26" t="s">
        <v>25</v>
      </c>
      <c r="K26" s="121">
        <v>1200000</v>
      </c>
      <c r="L26" s="121">
        <v>1110000</v>
      </c>
      <c r="M26">
        <v>55.5</v>
      </c>
      <c r="N26">
        <v>1200000</v>
      </c>
      <c r="O26">
        <v>0</v>
      </c>
      <c r="P26" t="s">
        <v>4546</v>
      </c>
      <c r="Q26" s="121">
        <f t="array" ref="Q26">SUM(IF((finan_graos!J:J=BD_CONTRATOS_GRAOS!F746)*(finan_graos!L:L=BD_CONTRATOS_GRAOS!D746)*(finan_graos!N:N=BD_CONTRATOS_GRAOS!J746),finan_graos!Q:Q))</f>
        <v>0</v>
      </c>
      <c r="R26" s="885" t="s">
        <v>4516</v>
      </c>
      <c r="S26" s="885" t="s">
        <v>4544</v>
      </c>
      <c r="T26" s="885" t="s">
        <v>25</v>
      </c>
      <c r="U26" s="891">
        <v>28073971</v>
      </c>
      <c r="V26" s="892">
        <v>21873026.200000003</v>
      </c>
      <c r="W26" s="893">
        <v>28073007</v>
      </c>
    </row>
    <row r="27" spans="1:23">
      <c r="A27" t="s">
        <v>5339</v>
      </c>
      <c r="B27" t="s">
        <v>5322</v>
      </c>
      <c r="C27" t="s">
        <v>4543</v>
      </c>
      <c r="D27" t="s">
        <v>5322</v>
      </c>
      <c r="E27" s="156">
        <v>42140</v>
      </c>
      <c r="F27" t="s">
        <v>4516</v>
      </c>
      <c r="G27" t="s">
        <v>4544</v>
      </c>
      <c r="H27" t="s">
        <v>4514</v>
      </c>
      <c r="I27" t="s">
        <v>4545</v>
      </c>
      <c r="J27" t="s">
        <v>25</v>
      </c>
      <c r="K27">
        <v>8860</v>
      </c>
      <c r="L27" s="121">
        <v>8195.5</v>
      </c>
      <c r="M27">
        <v>55.5</v>
      </c>
      <c r="N27">
        <v>8860</v>
      </c>
      <c r="O27">
        <v>0</v>
      </c>
      <c r="P27" t="s">
        <v>4546</v>
      </c>
      <c r="Q27" s="121">
        <f t="array" ref="Q27">SUM(IF((finan_graos!J:J=BD_CONTRATOS_GRAOS!F747)*(finan_graos!L:L=BD_CONTRATOS_GRAOS!D747)*(finan_graos!N:N=BD_CONTRATOS_GRAOS!J747),finan_graos!Q:Q))</f>
        <v>0</v>
      </c>
      <c r="R27" s="894"/>
      <c r="S27" s="894"/>
      <c r="T27" s="895" t="s">
        <v>22</v>
      </c>
      <c r="U27" s="896">
        <v>10500000</v>
      </c>
      <c r="V27" s="166">
        <v>3200000</v>
      </c>
      <c r="W27" s="897">
        <v>10500000</v>
      </c>
    </row>
    <row r="28" spans="1:23">
      <c r="A28" t="s">
        <v>5444</v>
      </c>
      <c r="B28" t="s">
        <v>5431</v>
      </c>
      <c r="C28" t="s">
        <v>4543</v>
      </c>
      <c r="D28" t="s">
        <v>5431</v>
      </c>
      <c r="E28" s="156">
        <v>42164</v>
      </c>
      <c r="F28" t="s">
        <v>4516</v>
      </c>
      <c r="G28" t="s">
        <v>4544</v>
      </c>
      <c r="H28" t="s">
        <v>4514</v>
      </c>
      <c r="I28" t="s">
        <v>4545</v>
      </c>
      <c r="J28" t="s">
        <v>25</v>
      </c>
      <c r="K28">
        <v>1489394</v>
      </c>
      <c r="L28" s="121">
        <v>1340454.6000000001</v>
      </c>
      <c r="M28">
        <v>54</v>
      </c>
      <c r="N28">
        <v>1489394</v>
      </c>
      <c r="O28">
        <v>0</v>
      </c>
      <c r="P28" t="s">
        <v>4546</v>
      </c>
      <c r="Q28" s="121">
        <f t="array" ref="Q28">SUM(IF((finan_graos!J:J=BD_CONTRATOS_GRAOS!F750)*(finan_graos!L:L=BD_CONTRATOS_GRAOS!D750)*(finan_graos!N:N=BD_CONTRATOS_GRAOS!J750),finan_graos!Q:Q))</f>
        <v>0</v>
      </c>
      <c r="R28" s="894"/>
      <c r="S28" s="885" t="s">
        <v>5031</v>
      </c>
      <c r="T28" s="886"/>
      <c r="U28" s="891">
        <v>38573971</v>
      </c>
      <c r="V28" s="892">
        <v>25073026.200000003</v>
      </c>
      <c r="W28" s="893">
        <v>38573007</v>
      </c>
    </row>
    <row r="29" spans="1:23">
      <c r="A29" t="s">
        <v>5532</v>
      </c>
      <c r="B29" t="s">
        <v>5509</v>
      </c>
      <c r="C29" t="s">
        <v>4543</v>
      </c>
      <c r="D29" t="s">
        <v>5509</v>
      </c>
      <c r="E29" s="156">
        <v>42167</v>
      </c>
      <c r="F29" t="s">
        <v>4516</v>
      </c>
      <c r="G29" t="s">
        <v>4544</v>
      </c>
      <c r="H29" t="s">
        <v>4514</v>
      </c>
      <c r="I29" t="s">
        <v>4545</v>
      </c>
      <c r="J29" t="s">
        <v>25</v>
      </c>
      <c r="K29">
        <v>391800</v>
      </c>
      <c r="L29" s="121">
        <v>143891</v>
      </c>
      <c r="M29">
        <v>22.035375191424198</v>
      </c>
      <c r="N29">
        <v>391800</v>
      </c>
      <c r="O29">
        <v>0</v>
      </c>
      <c r="P29" t="s">
        <v>4546</v>
      </c>
      <c r="Q29" s="121">
        <f t="array" ref="Q29">SUM(IF((finan_graos!J:J=BD_CONTRATOS_GRAOS!F751)*(finan_graos!L:L=BD_CONTRATOS_GRAOS!D751)*(finan_graos!N:N=BD_CONTRATOS_GRAOS!J751),finan_graos!Q:Q))</f>
        <v>0</v>
      </c>
      <c r="R29" s="894"/>
      <c r="S29" s="885" t="s">
        <v>4618</v>
      </c>
      <c r="T29" s="885" t="s">
        <v>25</v>
      </c>
      <c r="U29" s="891">
        <v>7000000</v>
      </c>
      <c r="V29" s="892">
        <v>2006666.67</v>
      </c>
      <c r="W29" s="893">
        <v>7000000</v>
      </c>
    </row>
    <row r="30" spans="1:23">
      <c r="A30" t="s">
        <v>5533</v>
      </c>
      <c r="B30" t="s">
        <v>5508</v>
      </c>
      <c r="C30" t="s">
        <v>4543</v>
      </c>
      <c r="D30" t="s">
        <v>5508</v>
      </c>
      <c r="E30" s="156">
        <v>42165</v>
      </c>
      <c r="F30" t="s">
        <v>4516</v>
      </c>
      <c r="G30" t="s">
        <v>4544</v>
      </c>
      <c r="H30" t="s">
        <v>4514</v>
      </c>
      <c r="I30" t="s">
        <v>4545</v>
      </c>
      <c r="J30" t="s">
        <v>25</v>
      </c>
      <c r="K30">
        <v>61397</v>
      </c>
      <c r="L30" s="121">
        <v>18419.099999999999</v>
      </c>
      <c r="M30">
        <v>18</v>
      </c>
      <c r="N30">
        <v>60600</v>
      </c>
      <c r="O30">
        <v>797</v>
      </c>
      <c r="P30" t="s">
        <v>4546</v>
      </c>
      <c r="Q30" s="121">
        <f t="array" ref="Q30">SUM(IF((finan_graos!J:J=BD_CONTRATOS_GRAOS!F752)*(finan_graos!L:L=BD_CONTRATOS_GRAOS!D752)*(finan_graos!N:N=BD_CONTRATOS_GRAOS!J752),finan_graos!Q:Q))</f>
        <v>0</v>
      </c>
      <c r="R30" s="894"/>
      <c r="S30" s="885" t="s">
        <v>5033</v>
      </c>
      <c r="T30" s="886"/>
      <c r="U30" s="891">
        <v>7000000</v>
      </c>
      <c r="V30" s="892">
        <v>2006666.67</v>
      </c>
      <c r="W30" s="893">
        <v>7000000</v>
      </c>
    </row>
    <row r="31" spans="1:23">
      <c r="A31" t="s">
        <v>5534</v>
      </c>
      <c r="B31" t="s">
        <v>5490</v>
      </c>
      <c r="C31" t="s">
        <v>4543</v>
      </c>
      <c r="D31" t="s">
        <v>5490</v>
      </c>
      <c r="E31" s="156">
        <v>42187</v>
      </c>
      <c r="F31" t="s">
        <v>4516</v>
      </c>
      <c r="G31" t="s">
        <v>4544</v>
      </c>
      <c r="H31" t="s">
        <v>4514</v>
      </c>
      <c r="I31" t="s">
        <v>4545</v>
      </c>
      <c r="J31" t="s">
        <v>25</v>
      </c>
      <c r="K31">
        <v>720000</v>
      </c>
      <c r="L31" s="121">
        <v>654000</v>
      </c>
      <c r="M31">
        <v>54.5</v>
      </c>
      <c r="N31">
        <v>719833</v>
      </c>
      <c r="O31">
        <v>167</v>
      </c>
      <c r="P31" t="s">
        <v>4546</v>
      </c>
      <c r="Q31" s="121">
        <f t="array" ref="Q31">SUM(IF((finan_graos!J:J=BD_CONTRATOS_GRAOS!F753)*(finan_graos!L:L=BD_CONTRATOS_GRAOS!D753)*(finan_graos!N:N=BD_CONTRATOS_GRAOS!J753),finan_graos!Q:Q))</f>
        <v>0</v>
      </c>
      <c r="R31" s="894"/>
      <c r="S31" s="885" t="s">
        <v>4553</v>
      </c>
      <c r="T31" s="885" t="s">
        <v>25</v>
      </c>
      <c r="U31" s="891">
        <v>2400000</v>
      </c>
      <c r="V31" s="892">
        <v>2270000</v>
      </c>
      <c r="W31" s="893">
        <v>2400057</v>
      </c>
    </row>
    <row r="32" spans="1:23">
      <c r="A32" t="s">
        <v>6723</v>
      </c>
      <c r="B32" t="s">
        <v>5975</v>
      </c>
      <c r="C32" t="s">
        <v>4543</v>
      </c>
      <c r="D32" t="s">
        <v>5975</v>
      </c>
      <c r="E32" s="156">
        <v>42324</v>
      </c>
      <c r="F32" t="s">
        <v>6708</v>
      </c>
      <c r="G32" t="s">
        <v>4544</v>
      </c>
      <c r="H32" t="s">
        <v>4514</v>
      </c>
      <c r="I32" t="s">
        <v>4545</v>
      </c>
      <c r="J32" t="s">
        <v>25</v>
      </c>
      <c r="K32">
        <v>20350</v>
      </c>
      <c r="L32" s="121">
        <v>25030.5</v>
      </c>
      <c r="M32">
        <v>73.8</v>
      </c>
      <c r="N32">
        <v>20350</v>
      </c>
      <c r="O32">
        <v>0</v>
      </c>
      <c r="P32" t="s">
        <v>4546</v>
      </c>
      <c r="Q32" s="121">
        <f t="array" ref="Q32">SUM(IF((finan_graos!J:J=BD_CONTRATOS_GRAOS!F770)*(finan_graos!L:L=BD_CONTRATOS_GRAOS!D770)*(finan_graos!N:N=BD_CONTRATOS_GRAOS!J770),finan_graos!Q:Q))</f>
        <v>0</v>
      </c>
      <c r="R32" s="894"/>
      <c r="S32" s="894"/>
      <c r="T32" s="895" t="s">
        <v>22</v>
      </c>
      <c r="U32" s="896">
        <v>12000000</v>
      </c>
      <c r="V32" s="166">
        <v>3600000</v>
      </c>
      <c r="W32" s="897">
        <v>12000000</v>
      </c>
    </row>
    <row r="33" spans="1:23">
      <c r="A33" t="s">
        <v>5528</v>
      </c>
      <c r="B33" t="s">
        <v>5471</v>
      </c>
      <c r="C33" t="s">
        <v>4543</v>
      </c>
      <c r="D33" t="s">
        <v>5471</v>
      </c>
      <c r="E33" s="156">
        <v>42165</v>
      </c>
      <c r="F33" t="s">
        <v>5065</v>
      </c>
      <c r="G33" t="s">
        <v>4618</v>
      </c>
      <c r="H33" t="s">
        <v>4519</v>
      </c>
      <c r="I33" t="s">
        <v>4545</v>
      </c>
      <c r="J33" t="s">
        <v>25</v>
      </c>
      <c r="K33" s="121">
        <v>180060</v>
      </c>
      <c r="L33" s="121">
        <v>54018</v>
      </c>
      <c r="M33">
        <v>18</v>
      </c>
      <c r="N33">
        <v>119760</v>
      </c>
      <c r="O33">
        <v>60300</v>
      </c>
      <c r="P33" t="s">
        <v>4546</v>
      </c>
      <c r="Q33" s="121">
        <f t="array" ref="Q33">SUM(IF((finan_graos!J:J=BD_CONTRATOS_GRAOS!F702)*(finan_graos!L:L=BD_CONTRATOS_GRAOS!D702)*(finan_graos!N:N=BD_CONTRATOS_GRAOS!J702),finan_graos!Q:Q))</f>
        <v>0</v>
      </c>
      <c r="R33" s="894"/>
      <c r="S33" s="885" t="s">
        <v>5032</v>
      </c>
      <c r="T33" s="886"/>
      <c r="U33" s="891">
        <v>14400000</v>
      </c>
      <c r="V33" s="892">
        <v>5870000</v>
      </c>
      <c r="W33" s="893">
        <v>14400057</v>
      </c>
    </row>
    <row r="34" spans="1:23">
      <c r="A34" t="s">
        <v>4600</v>
      </c>
      <c r="B34" t="s">
        <v>4601</v>
      </c>
      <c r="C34" t="s">
        <v>4543</v>
      </c>
      <c r="D34" t="s">
        <v>4601</v>
      </c>
      <c r="E34" s="156">
        <v>41960</v>
      </c>
      <c r="F34" t="s">
        <v>4517</v>
      </c>
      <c r="G34" t="s">
        <v>4544</v>
      </c>
      <c r="H34" t="s">
        <v>4514</v>
      </c>
      <c r="I34" t="s">
        <v>4576</v>
      </c>
      <c r="J34" t="s">
        <v>22</v>
      </c>
      <c r="K34">
        <v>10000000</v>
      </c>
      <c r="L34" s="121">
        <v>3040000</v>
      </c>
      <c r="M34">
        <v>18.240000000000002</v>
      </c>
      <c r="N34" s="121">
        <v>10000000</v>
      </c>
      <c r="O34">
        <v>0</v>
      </c>
      <c r="P34" t="s">
        <v>4546</v>
      </c>
      <c r="Q34" s="121">
        <f t="array" ref="Q34">SUM(IF((finan_graos!J:J=BD_CONTRATOS_GRAOS!F705)*(finan_graos!L:L=BD_CONTRATOS_GRAOS!D705)*(finan_graos!N:N=BD_CONTRATOS_GRAOS!J705),finan_graos!Q:Q))</f>
        <v>0</v>
      </c>
      <c r="R34" s="885" t="s">
        <v>5023</v>
      </c>
      <c r="S34" s="886"/>
      <c r="T34" s="886"/>
      <c r="U34" s="891">
        <v>59973971</v>
      </c>
      <c r="V34" s="892">
        <v>32949692.870000005</v>
      </c>
      <c r="W34" s="893">
        <v>59973064</v>
      </c>
    </row>
    <row r="35" spans="1:23">
      <c r="A35" t="s">
        <v>4590</v>
      </c>
      <c r="B35" t="s">
        <v>4591</v>
      </c>
      <c r="C35" t="s">
        <v>4543</v>
      </c>
      <c r="D35" t="s">
        <v>4591</v>
      </c>
      <c r="E35" s="156">
        <v>41996</v>
      </c>
      <c r="F35" t="s">
        <v>4517</v>
      </c>
      <c r="G35" t="s">
        <v>4544</v>
      </c>
      <c r="H35" t="s">
        <v>4514</v>
      </c>
      <c r="I35" t="s">
        <v>4576</v>
      </c>
      <c r="J35" t="s">
        <v>22</v>
      </c>
      <c r="K35" s="121">
        <v>6000000</v>
      </c>
      <c r="L35" s="121">
        <v>2000000</v>
      </c>
      <c r="M35">
        <v>20</v>
      </c>
      <c r="N35">
        <v>6000000</v>
      </c>
      <c r="O35">
        <v>0</v>
      </c>
      <c r="P35" t="s">
        <v>4546</v>
      </c>
      <c r="Q35" s="121">
        <f t="array" ref="Q35">SUM(IF((finan_graos!J:J=BD_CONTRATOS_GRAOS!F707)*(finan_graos!L:L=BD_CONTRATOS_GRAOS!D707)*(finan_graos!N:N=BD_CONTRATOS_GRAOS!J707),finan_graos!Q:Q))</f>
        <v>0</v>
      </c>
      <c r="R35" s="885" t="s">
        <v>4517</v>
      </c>
      <c r="S35" s="885" t="s">
        <v>4544</v>
      </c>
      <c r="T35" s="885" t="s">
        <v>25</v>
      </c>
      <c r="U35" s="891">
        <v>3600000</v>
      </c>
      <c r="V35" s="892">
        <v>3630000</v>
      </c>
      <c r="W35" s="893">
        <v>3400800</v>
      </c>
    </row>
    <row r="36" spans="1:23">
      <c r="A36" t="s">
        <v>4592</v>
      </c>
      <c r="B36" t="s">
        <v>4593</v>
      </c>
      <c r="C36" t="s">
        <v>4543</v>
      </c>
      <c r="D36" t="s">
        <v>4593</v>
      </c>
      <c r="E36" s="156">
        <v>41996</v>
      </c>
      <c r="F36" t="s">
        <v>4517</v>
      </c>
      <c r="G36" t="s">
        <v>4544</v>
      </c>
      <c r="H36" t="s">
        <v>4514</v>
      </c>
      <c r="I36" t="s">
        <v>4576</v>
      </c>
      <c r="J36" t="s">
        <v>22</v>
      </c>
      <c r="K36">
        <v>6000000</v>
      </c>
      <c r="L36" s="121">
        <v>2000000</v>
      </c>
      <c r="M36">
        <v>20</v>
      </c>
      <c r="N36">
        <v>6000000</v>
      </c>
      <c r="O36">
        <v>0</v>
      </c>
      <c r="P36" t="s">
        <v>4546</v>
      </c>
      <c r="Q36" s="121">
        <f t="array" ref="Q36">SUM(IF((finan_graos!J:J=BD_CONTRATOS_GRAOS!F709)*(finan_graos!L:L=BD_CONTRATOS_GRAOS!D709)*(finan_graos!N:N=BD_CONTRATOS_GRAOS!J709),finan_graos!Q:Q))</f>
        <v>0</v>
      </c>
      <c r="R36" s="894"/>
      <c r="S36" s="894"/>
      <c r="T36" s="895" t="s">
        <v>22</v>
      </c>
      <c r="U36" s="896">
        <v>42045328</v>
      </c>
      <c r="V36" s="166">
        <v>13134796.99</v>
      </c>
      <c r="W36" s="897">
        <v>42045328</v>
      </c>
    </row>
    <row r="37" spans="1:23">
      <c r="A37" t="s">
        <v>4594</v>
      </c>
      <c r="B37" t="s">
        <v>4595</v>
      </c>
      <c r="C37" t="s">
        <v>4543</v>
      </c>
      <c r="D37" t="s">
        <v>4595</v>
      </c>
      <c r="E37" s="156">
        <v>42030</v>
      </c>
      <c r="F37" t="s">
        <v>4517</v>
      </c>
      <c r="G37" t="s">
        <v>4544</v>
      </c>
      <c r="H37" t="s">
        <v>4514</v>
      </c>
      <c r="I37" t="s">
        <v>4576</v>
      </c>
      <c r="J37" t="s">
        <v>22</v>
      </c>
      <c r="K37" s="121">
        <v>34680</v>
      </c>
      <c r="L37" s="121">
        <v>11560</v>
      </c>
      <c r="M37">
        <v>20</v>
      </c>
      <c r="N37">
        <v>34680</v>
      </c>
      <c r="O37">
        <v>0</v>
      </c>
      <c r="P37" t="s">
        <v>4546</v>
      </c>
      <c r="Q37" s="121">
        <f t="array" ref="Q37">SUM(IF((finan_graos!J:J=BD_CONTRATOS_GRAOS!F727)*(finan_graos!L:L=BD_CONTRATOS_GRAOS!D727)*(finan_graos!N:N=BD_CONTRATOS_GRAOS!J727),finan_graos!Q:Q))</f>
        <v>0</v>
      </c>
      <c r="R37" s="894"/>
      <c r="S37" s="885" t="s">
        <v>5031</v>
      </c>
      <c r="T37" s="886"/>
      <c r="U37" s="891">
        <v>45645328</v>
      </c>
      <c r="V37" s="892">
        <v>16764796.99</v>
      </c>
      <c r="W37" s="893">
        <v>45446128</v>
      </c>
    </row>
    <row r="38" spans="1:23">
      <c r="A38" t="s">
        <v>4602</v>
      </c>
      <c r="B38" t="s">
        <v>4603</v>
      </c>
      <c r="C38" t="s">
        <v>4543</v>
      </c>
      <c r="D38" t="s">
        <v>4603</v>
      </c>
      <c r="E38" s="156">
        <v>42048</v>
      </c>
      <c r="F38" t="s">
        <v>4517</v>
      </c>
      <c r="G38" t="s">
        <v>4544</v>
      </c>
      <c r="H38" t="s">
        <v>4514</v>
      </c>
      <c r="I38" t="s">
        <v>4576</v>
      </c>
      <c r="J38" t="s">
        <v>22</v>
      </c>
      <c r="K38" s="121">
        <v>20000000</v>
      </c>
      <c r="L38" s="121">
        <v>6080000</v>
      </c>
      <c r="M38">
        <v>18.240000000000002</v>
      </c>
      <c r="N38">
        <v>20001861</v>
      </c>
      <c r="O38">
        <v>-1861</v>
      </c>
      <c r="P38" t="s">
        <v>4546</v>
      </c>
      <c r="Q38" s="121">
        <f t="array" ref="Q38">SUM(IF((finan_graos!J:J=BD_CONTRATOS_GRAOS!F731)*(finan_graos!L:L=BD_CONTRATOS_GRAOS!D731)*(finan_graos!N:N=BD_CONTRATOS_GRAOS!J731),finan_graos!Q:Q))</f>
        <v>0</v>
      </c>
      <c r="R38" s="885" t="s">
        <v>5024</v>
      </c>
      <c r="S38" s="886"/>
      <c r="T38" s="886"/>
      <c r="U38" s="891">
        <v>45645328</v>
      </c>
      <c r="V38" s="892">
        <v>16764796.99</v>
      </c>
      <c r="W38" s="893">
        <v>45446128</v>
      </c>
    </row>
    <row r="39" spans="1:23">
      <c r="A39" t="s">
        <v>4604</v>
      </c>
      <c r="B39" t="s">
        <v>4605</v>
      </c>
      <c r="C39" t="s">
        <v>4543</v>
      </c>
      <c r="D39" t="s">
        <v>4605</v>
      </c>
      <c r="E39" s="156">
        <v>42067</v>
      </c>
      <c r="F39" t="s">
        <v>4517</v>
      </c>
      <c r="G39" t="s">
        <v>4544</v>
      </c>
      <c r="H39" t="s">
        <v>4514</v>
      </c>
      <c r="I39" t="s">
        <v>4576</v>
      </c>
      <c r="J39" t="s">
        <v>22</v>
      </c>
      <c r="K39" s="121">
        <v>10648</v>
      </c>
      <c r="L39" s="121">
        <v>3236.99</v>
      </c>
      <c r="M39">
        <v>18.239988730278</v>
      </c>
      <c r="N39">
        <v>8787</v>
      </c>
      <c r="O39">
        <v>1861</v>
      </c>
      <c r="P39" t="s">
        <v>4546</v>
      </c>
      <c r="Q39" s="121">
        <f t="array" ref="Q39">SUM(IF((finan_graos!J:J=BD_CONTRATOS_GRAOS!F733)*(finan_graos!L:L=BD_CONTRATOS_GRAOS!D733)*(finan_graos!N:N=BD_CONTRATOS_GRAOS!J733),finan_graos!Q:Q))</f>
        <v>0</v>
      </c>
      <c r="R39" s="885" t="s">
        <v>4518</v>
      </c>
      <c r="S39" s="885" t="s">
        <v>4544</v>
      </c>
      <c r="T39" s="885" t="s">
        <v>25</v>
      </c>
      <c r="U39" s="891">
        <v>16543644</v>
      </c>
      <c r="V39" s="892">
        <v>14700310.879999999</v>
      </c>
      <c r="W39" s="893">
        <v>16167528</v>
      </c>
    </row>
    <row r="40" spans="1:23">
      <c r="A40" t="s">
        <v>5680</v>
      </c>
      <c r="B40" t="s">
        <v>5681</v>
      </c>
      <c r="C40" t="s">
        <v>4543</v>
      </c>
      <c r="D40" t="s">
        <v>5681</v>
      </c>
      <c r="E40" s="156">
        <v>42227</v>
      </c>
      <c r="F40" t="s">
        <v>4517</v>
      </c>
      <c r="G40" t="s">
        <v>4544</v>
      </c>
      <c r="H40" t="s">
        <v>4514</v>
      </c>
      <c r="I40" t="s">
        <v>4545</v>
      </c>
      <c r="J40" t="s">
        <v>25</v>
      </c>
      <c r="K40" s="121">
        <v>600000</v>
      </c>
      <c r="L40" s="121">
        <v>610000</v>
      </c>
      <c r="M40">
        <v>61</v>
      </c>
      <c r="N40">
        <v>400800</v>
      </c>
      <c r="O40">
        <v>199200</v>
      </c>
      <c r="P40" t="s">
        <v>4546</v>
      </c>
      <c r="Q40" s="121">
        <f t="array" ref="Q40">SUM(IF((finan_graos!J:J=BD_CONTRATOS_GRAOS!F756)*(finan_graos!L:L=BD_CONTRATOS_GRAOS!D756)*(finan_graos!N:N=BD_CONTRATOS_GRAOS!J756),finan_graos!Q:Q))</f>
        <v>0</v>
      </c>
      <c r="R40" s="894"/>
      <c r="S40" s="894"/>
      <c r="T40" s="895" t="s">
        <v>22</v>
      </c>
      <c r="U40" s="896">
        <v>6000000</v>
      </c>
      <c r="V40" s="166">
        <v>1800000</v>
      </c>
      <c r="W40" s="897">
        <v>6000795</v>
      </c>
    </row>
    <row r="41" spans="1:23">
      <c r="A41" t="s">
        <v>5682</v>
      </c>
      <c r="B41" t="s">
        <v>5683</v>
      </c>
      <c r="C41" t="s">
        <v>4543</v>
      </c>
      <c r="D41" t="s">
        <v>5683</v>
      </c>
      <c r="E41" s="156">
        <v>42227</v>
      </c>
      <c r="F41" t="s">
        <v>4517</v>
      </c>
      <c r="G41" t="s">
        <v>4544</v>
      </c>
      <c r="H41" t="s">
        <v>4514</v>
      </c>
      <c r="I41" t="s">
        <v>4545</v>
      </c>
      <c r="J41" t="s">
        <v>25</v>
      </c>
      <c r="K41" s="121">
        <v>1200000</v>
      </c>
      <c r="L41" s="121">
        <v>1220000</v>
      </c>
      <c r="M41">
        <v>61</v>
      </c>
      <c r="N41">
        <v>1200000</v>
      </c>
      <c r="O41">
        <v>0</v>
      </c>
      <c r="P41" t="s">
        <v>4546</v>
      </c>
      <c r="Q41" s="121">
        <f t="array" ref="Q41">SUM(IF((finan_graos!J:J=BD_CONTRATOS_GRAOS!F757)*(finan_graos!L:L=BD_CONTRATOS_GRAOS!D757)*(finan_graos!N:N=BD_CONTRATOS_GRAOS!J757),finan_graos!Q:Q))</f>
        <v>0</v>
      </c>
      <c r="R41" s="894"/>
      <c r="S41" s="885" t="s">
        <v>5031</v>
      </c>
      <c r="T41" s="886"/>
      <c r="U41" s="891">
        <v>22543644</v>
      </c>
      <c r="V41" s="892">
        <v>16500310.879999999</v>
      </c>
      <c r="W41" s="893">
        <v>22168323</v>
      </c>
    </row>
    <row r="42" spans="1:23">
      <c r="A42" t="s">
        <v>5684</v>
      </c>
      <c r="B42" t="s">
        <v>5685</v>
      </c>
      <c r="C42" t="s">
        <v>4543</v>
      </c>
      <c r="D42" t="s">
        <v>5685</v>
      </c>
      <c r="E42" s="156">
        <v>42227</v>
      </c>
      <c r="F42" t="s">
        <v>4517</v>
      </c>
      <c r="G42" t="s">
        <v>4544</v>
      </c>
      <c r="H42" t="s">
        <v>4514</v>
      </c>
      <c r="I42" t="s">
        <v>4545</v>
      </c>
      <c r="J42" t="s">
        <v>25</v>
      </c>
      <c r="K42" s="121">
        <v>1800000</v>
      </c>
      <c r="L42" s="121">
        <v>1800000</v>
      </c>
      <c r="M42">
        <v>60</v>
      </c>
      <c r="N42">
        <v>1800000</v>
      </c>
      <c r="O42">
        <v>0</v>
      </c>
      <c r="P42" t="s">
        <v>4546</v>
      </c>
      <c r="Q42" s="121">
        <f t="array" ref="Q42">SUM(IF((finan_graos!J:J=BD_CONTRATOS_GRAOS!F758)*(finan_graos!L:L=BD_CONTRATOS_GRAOS!D758)*(finan_graos!N:N=BD_CONTRATOS_GRAOS!J758),finan_graos!Q:Q))</f>
        <v>0</v>
      </c>
      <c r="R42" s="894"/>
      <c r="S42" s="885" t="s">
        <v>4618</v>
      </c>
      <c r="T42" s="885" t="s">
        <v>25</v>
      </c>
      <c r="U42" s="891">
        <v>87704000</v>
      </c>
      <c r="V42" s="892">
        <v>24198069.329999998</v>
      </c>
      <c r="W42" s="893">
        <v>81558448</v>
      </c>
    </row>
    <row r="43" spans="1:23">
      <c r="A43" t="s">
        <v>4619</v>
      </c>
      <c r="B43" t="s">
        <v>4620</v>
      </c>
      <c r="C43" t="s">
        <v>4543</v>
      </c>
      <c r="D43" t="s">
        <v>4620</v>
      </c>
      <c r="E43" s="156">
        <v>41960</v>
      </c>
      <c r="F43" t="s">
        <v>4518</v>
      </c>
      <c r="G43" t="s">
        <v>4618</v>
      </c>
      <c r="H43" t="s">
        <v>4519</v>
      </c>
      <c r="I43" t="s">
        <v>4545</v>
      </c>
      <c r="J43" t="s">
        <v>25</v>
      </c>
      <c r="K43" s="121">
        <v>12000000</v>
      </c>
      <c r="L43" s="121">
        <v>3300000</v>
      </c>
      <c r="M43">
        <v>16.5</v>
      </c>
      <c r="N43">
        <v>12109121</v>
      </c>
      <c r="O43">
        <v>-109121</v>
      </c>
      <c r="P43" t="s">
        <v>4546</v>
      </c>
      <c r="Q43" s="121">
        <f t="array" ref="Q43">SUM(IF((finan_graos!J:J=BD_CONTRATOS_GRAOS!F669)*(finan_graos!L:L=BD_CONTRATOS_GRAOS!D669)*(finan_graos!N:N=BD_CONTRATOS_GRAOS!J669),finan_graos!Q:Q))</f>
        <v>0</v>
      </c>
      <c r="R43" s="894"/>
      <c r="S43" s="885" t="s">
        <v>5033</v>
      </c>
      <c r="T43" s="886"/>
      <c r="U43" s="891">
        <v>87704000</v>
      </c>
      <c r="V43" s="892">
        <v>24198069.329999998</v>
      </c>
      <c r="W43" s="893">
        <v>81558448</v>
      </c>
    </row>
    <row r="44" spans="1:23">
      <c r="A44" t="s">
        <v>5518</v>
      </c>
      <c r="B44" t="s">
        <v>5491</v>
      </c>
      <c r="C44" t="s">
        <v>4543</v>
      </c>
      <c r="D44" t="s">
        <v>5491</v>
      </c>
      <c r="E44" s="156">
        <v>42095</v>
      </c>
      <c r="F44" t="s">
        <v>4518</v>
      </c>
      <c r="G44" t="s">
        <v>4618</v>
      </c>
      <c r="H44" t="s">
        <v>4519</v>
      </c>
      <c r="I44" t="s">
        <v>4545</v>
      </c>
      <c r="J44" t="s">
        <v>25</v>
      </c>
      <c r="K44" s="121">
        <v>9000000</v>
      </c>
      <c r="L44" s="121">
        <v>2475000</v>
      </c>
      <c r="M44">
        <v>16.5</v>
      </c>
      <c r="N44">
        <v>9000000</v>
      </c>
      <c r="O44">
        <v>0</v>
      </c>
      <c r="P44" t="s">
        <v>4546</v>
      </c>
      <c r="Q44" s="121">
        <f t="array" ref="Q44">SUM(IF((finan_graos!J:J=BD_CONTRATOS_GRAOS!F672)*(finan_graos!L:L=BD_CONTRATOS_GRAOS!D672)*(finan_graos!N:N=BD_CONTRATOS_GRAOS!J672),finan_graos!Q:Q))</f>
        <v>0</v>
      </c>
      <c r="R44" s="894"/>
      <c r="S44" s="885" t="s">
        <v>4553</v>
      </c>
      <c r="T44" s="885" t="s">
        <v>25</v>
      </c>
      <c r="U44" s="891">
        <v>256523</v>
      </c>
      <c r="V44" s="892">
        <v>179566.1</v>
      </c>
      <c r="W44" s="893">
        <v>246200</v>
      </c>
    </row>
    <row r="45" spans="1:23">
      <c r="A45" t="s">
        <v>5519</v>
      </c>
      <c r="B45" t="s">
        <v>5499</v>
      </c>
      <c r="C45" t="s">
        <v>4543</v>
      </c>
      <c r="D45" t="s">
        <v>5499</v>
      </c>
      <c r="E45" s="156">
        <v>42095</v>
      </c>
      <c r="F45" t="s">
        <v>4518</v>
      </c>
      <c r="G45" t="s">
        <v>4618</v>
      </c>
      <c r="H45" t="s">
        <v>4519</v>
      </c>
      <c r="I45" t="s">
        <v>4545</v>
      </c>
      <c r="J45" t="s">
        <v>25</v>
      </c>
      <c r="K45" s="121">
        <v>9000000</v>
      </c>
      <c r="L45" s="121">
        <v>2625000</v>
      </c>
      <c r="M45">
        <v>17.5</v>
      </c>
      <c r="N45">
        <v>4343317</v>
      </c>
      <c r="O45">
        <v>4656683</v>
      </c>
      <c r="P45" t="s">
        <v>4546</v>
      </c>
      <c r="Q45" s="121">
        <f t="array" ref="Q45">SUM(IF((finan_graos!J:J=BD_CONTRATOS_GRAOS!F675)*(finan_graos!L:L=BD_CONTRATOS_GRAOS!D675)*(finan_graos!N:N=BD_CONTRATOS_GRAOS!J675),finan_graos!Q:Q))</f>
        <v>0</v>
      </c>
      <c r="R45" s="894"/>
      <c r="S45" s="885" t="s">
        <v>5032</v>
      </c>
      <c r="T45" s="886"/>
      <c r="U45" s="891">
        <v>256523</v>
      </c>
      <c r="V45" s="892">
        <v>179566.1</v>
      </c>
      <c r="W45" s="893">
        <v>246200</v>
      </c>
    </row>
    <row r="46" spans="1:23">
      <c r="A46" t="s">
        <v>5520</v>
      </c>
      <c r="B46" t="s">
        <v>5489</v>
      </c>
      <c r="C46" t="s">
        <v>4543</v>
      </c>
      <c r="D46" t="s">
        <v>5489</v>
      </c>
      <c r="E46" s="156">
        <v>42158</v>
      </c>
      <c r="F46" t="s">
        <v>4518</v>
      </c>
      <c r="G46" t="s">
        <v>4618</v>
      </c>
      <c r="H46" t="s">
        <v>4519</v>
      </c>
      <c r="I46" t="s">
        <v>4545</v>
      </c>
      <c r="J46" t="s">
        <v>25</v>
      </c>
      <c r="K46" s="121">
        <v>6000000</v>
      </c>
      <c r="L46" s="121">
        <v>1550000</v>
      </c>
      <c r="M46">
        <v>15.5</v>
      </c>
      <c r="N46">
        <v>6000000</v>
      </c>
      <c r="O46">
        <v>0</v>
      </c>
      <c r="P46" t="s">
        <v>4546</v>
      </c>
      <c r="Q46" s="121">
        <f t="array" ref="Q46">SUM(IF((finan_graos!J:J=BD_CONTRATOS_GRAOS!F684)*(finan_graos!L:L=BD_CONTRATOS_GRAOS!D684)*(finan_graos!N:N=BD_CONTRATOS_GRAOS!J684),finan_graos!Q:Q))</f>
        <v>0</v>
      </c>
      <c r="R46" s="885" t="s">
        <v>5025</v>
      </c>
      <c r="S46" s="886"/>
      <c r="T46" s="886"/>
      <c r="U46" s="891">
        <v>110504167</v>
      </c>
      <c r="V46" s="892">
        <v>40877946.309999995</v>
      </c>
      <c r="W46" s="893">
        <v>103972971</v>
      </c>
    </row>
    <row r="47" spans="1:23">
      <c r="A47" t="s">
        <v>5521</v>
      </c>
      <c r="B47" t="s">
        <v>5480</v>
      </c>
      <c r="C47" t="s">
        <v>4543</v>
      </c>
      <c r="D47" t="s">
        <v>5480</v>
      </c>
      <c r="E47" s="156">
        <v>42153</v>
      </c>
      <c r="F47" t="s">
        <v>4518</v>
      </c>
      <c r="G47" t="s">
        <v>4618</v>
      </c>
      <c r="H47" t="s">
        <v>4519</v>
      </c>
      <c r="I47" t="s">
        <v>4545</v>
      </c>
      <c r="J47" t="s">
        <v>25</v>
      </c>
      <c r="K47" s="121">
        <v>6000000</v>
      </c>
      <c r="L47" s="121">
        <v>1550000</v>
      </c>
      <c r="M47">
        <v>15.5</v>
      </c>
      <c r="N47">
        <v>6000000</v>
      </c>
      <c r="O47">
        <v>0</v>
      </c>
      <c r="P47" t="s">
        <v>4546</v>
      </c>
      <c r="Q47" s="121">
        <f t="array" ref="Q47">SUM(IF((finan_graos!J:J=BD_CONTRATOS_GRAOS!F687)*(finan_graos!L:L=BD_CONTRATOS_GRAOS!D687)*(finan_graos!N:N=BD_CONTRATOS_GRAOS!J687),finan_graos!Q:Q))</f>
        <v>0</v>
      </c>
      <c r="R47" s="885" t="s">
        <v>4521</v>
      </c>
      <c r="S47" s="885" t="s">
        <v>4553</v>
      </c>
      <c r="T47" s="885" t="s">
        <v>25</v>
      </c>
      <c r="U47" s="891">
        <v>118200</v>
      </c>
      <c r="V47" s="892">
        <v>110320</v>
      </c>
      <c r="W47" s="893">
        <v>0</v>
      </c>
    </row>
    <row r="48" spans="1:23">
      <c r="A48" t="s">
        <v>5522</v>
      </c>
      <c r="B48" t="s">
        <v>5492</v>
      </c>
      <c r="C48" t="s">
        <v>4543</v>
      </c>
      <c r="D48" t="s">
        <v>5492</v>
      </c>
      <c r="E48" s="156">
        <v>42153</v>
      </c>
      <c r="F48" t="s">
        <v>4518</v>
      </c>
      <c r="G48" t="s">
        <v>4618</v>
      </c>
      <c r="H48" t="s">
        <v>4519</v>
      </c>
      <c r="I48" t="s">
        <v>4545</v>
      </c>
      <c r="J48" t="s">
        <v>25</v>
      </c>
      <c r="K48" s="121">
        <v>6000000</v>
      </c>
      <c r="L48" s="121">
        <v>1550000</v>
      </c>
      <c r="M48">
        <v>15.5</v>
      </c>
      <c r="N48">
        <v>6000000</v>
      </c>
      <c r="O48">
        <v>0</v>
      </c>
      <c r="P48" t="s">
        <v>4546</v>
      </c>
      <c r="Q48" s="121">
        <f t="array" ref="Q48">SUM(IF((finan_graos!J:J=BD_CONTRATOS_GRAOS!F691)*(finan_graos!L:L=BD_CONTRATOS_GRAOS!D691)*(finan_graos!N:N=BD_CONTRATOS_GRAOS!J691),finan_graos!Q:Q))</f>
        <v>0</v>
      </c>
      <c r="R48" s="894"/>
      <c r="S48" s="885" t="s">
        <v>5032</v>
      </c>
      <c r="T48" s="886"/>
      <c r="U48" s="891">
        <v>118200</v>
      </c>
      <c r="V48" s="892">
        <v>110320</v>
      </c>
      <c r="W48" s="893">
        <v>0</v>
      </c>
    </row>
    <row r="49" spans="1:23">
      <c r="A49" t="s">
        <v>5523</v>
      </c>
      <c r="B49" t="s">
        <v>5502</v>
      </c>
      <c r="C49" t="s">
        <v>4543</v>
      </c>
      <c r="D49" t="s">
        <v>5502</v>
      </c>
      <c r="E49" s="156">
        <v>42153</v>
      </c>
      <c r="F49" t="s">
        <v>4518</v>
      </c>
      <c r="G49" t="s">
        <v>4618</v>
      </c>
      <c r="H49" t="s">
        <v>4519</v>
      </c>
      <c r="I49" t="s">
        <v>4545</v>
      </c>
      <c r="J49" t="s">
        <v>25</v>
      </c>
      <c r="K49" s="121">
        <v>6000000</v>
      </c>
      <c r="L49" s="121">
        <v>1550000</v>
      </c>
      <c r="M49">
        <v>15.5</v>
      </c>
      <c r="N49">
        <v>5999822</v>
      </c>
      <c r="O49">
        <v>178</v>
      </c>
      <c r="P49" t="s">
        <v>4546</v>
      </c>
      <c r="Q49" s="121">
        <f t="array" ref="Q49">SUM(IF((finan_graos!J:J=BD_CONTRATOS_GRAOS!F693)*(finan_graos!L:L=BD_CONTRATOS_GRAOS!D693)*(finan_graos!N:N=BD_CONTRATOS_GRAOS!J693),finan_graos!Q:Q))</f>
        <v>0</v>
      </c>
      <c r="R49" s="885" t="s">
        <v>5026</v>
      </c>
      <c r="S49" s="886"/>
      <c r="T49" s="886"/>
      <c r="U49" s="891">
        <v>118200</v>
      </c>
      <c r="V49" s="892">
        <v>110320</v>
      </c>
      <c r="W49" s="893">
        <v>0</v>
      </c>
    </row>
    <row r="50" spans="1:23">
      <c r="A50" t="s">
        <v>5524</v>
      </c>
      <c r="B50" t="s">
        <v>5500</v>
      </c>
      <c r="C50" t="s">
        <v>4543</v>
      </c>
      <c r="D50" t="s">
        <v>5500</v>
      </c>
      <c r="E50" s="156">
        <v>42160</v>
      </c>
      <c r="F50" t="s">
        <v>4518</v>
      </c>
      <c r="G50" t="s">
        <v>4618</v>
      </c>
      <c r="H50" t="s">
        <v>4519</v>
      </c>
      <c r="I50" t="s">
        <v>4545</v>
      </c>
      <c r="J50" t="s">
        <v>25</v>
      </c>
      <c r="K50" s="121">
        <v>6000000</v>
      </c>
      <c r="L50" s="121">
        <v>1700000</v>
      </c>
      <c r="M50">
        <v>17</v>
      </c>
      <c r="N50">
        <v>6404420</v>
      </c>
      <c r="O50">
        <v>-404420</v>
      </c>
      <c r="P50" t="s">
        <v>4546</v>
      </c>
      <c r="Q50" s="121">
        <f t="array" ref="Q50">SUM(IF((finan_graos!J:J=BD_CONTRATOS_GRAOS!F695)*(finan_graos!L:L=BD_CONTRATOS_GRAOS!D695)*(finan_graos!N:N=BD_CONTRATOS_GRAOS!J695),finan_graos!Q:Q))</f>
        <v>0</v>
      </c>
      <c r="R50" s="885" t="s">
        <v>4522</v>
      </c>
      <c r="S50" s="885" t="s">
        <v>4544</v>
      </c>
      <c r="T50" s="885" t="s">
        <v>25</v>
      </c>
      <c r="U50" s="891">
        <v>219166</v>
      </c>
      <c r="V50" s="892">
        <v>182638.34</v>
      </c>
      <c r="W50" s="893">
        <v>180000</v>
      </c>
    </row>
    <row r="51" spans="1:23">
      <c r="A51" t="s">
        <v>5525</v>
      </c>
      <c r="B51" t="s">
        <v>5503</v>
      </c>
      <c r="C51" t="s">
        <v>4543</v>
      </c>
      <c r="D51" t="s">
        <v>5503</v>
      </c>
      <c r="E51" s="156">
        <v>42160</v>
      </c>
      <c r="F51" t="s">
        <v>4518</v>
      </c>
      <c r="G51" t="s">
        <v>4618</v>
      </c>
      <c r="H51" t="s">
        <v>4519</v>
      </c>
      <c r="I51" t="s">
        <v>4545</v>
      </c>
      <c r="J51" t="s">
        <v>25</v>
      </c>
      <c r="K51" s="121">
        <v>3000000</v>
      </c>
      <c r="L51" s="121">
        <v>850000</v>
      </c>
      <c r="M51">
        <v>17</v>
      </c>
      <c r="N51">
        <v>882346</v>
      </c>
      <c r="O51">
        <v>2117654</v>
      </c>
      <c r="P51" t="s">
        <v>4546</v>
      </c>
      <c r="Q51" s="121">
        <f t="array" ref="Q51">SUM(IF((finan_graos!J:J=BD_CONTRATOS_GRAOS!F697)*(finan_graos!L:L=BD_CONTRATOS_GRAOS!D697)*(finan_graos!N:N=BD_CONTRATOS_GRAOS!J697),finan_graos!Q:Q))</f>
        <v>0</v>
      </c>
      <c r="R51" s="894"/>
      <c r="S51" s="885" t="s">
        <v>5031</v>
      </c>
      <c r="T51" s="886"/>
      <c r="U51" s="891">
        <v>219166</v>
      </c>
      <c r="V51" s="892">
        <v>182638.34</v>
      </c>
      <c r="W51" s="893">
        <v>180000</v>
      </c>
    </row>
    <row r="52" spans="1:23">
      <c r="A52" t="s">
        <v>4612</v>
      </c>
      <c r="B52" t="s">
        <v>4613</v>
      </c>
      <c r="C52" t="s">
        <v>4543</v>
      </c>
      <c r="D52" t="s">
        <v>4613</v>
      </c>
      <c r="E52" s="156">
        <v>41936</v>
      </c>
      <c r="F52" t="s">
        <v>4518</v>
      </c>
      <c r="G52" t="s">
        <v>4544</v>
      </c>
      <c r="H52" t="s">
        <v>4514</v>
      </c>
      <c r="I52" t="s">
        <v>4576</v>
      </c>
      <c r="J52" t="s">
        <v>22</v>
      </c>
      <c r="K52" s="121">
        <v>6000000</v>
      </c>
      <c r="L52" s="121">
        <v>1800000</v>
      </c>
      <c r="M52">
        <v>18</v>
      </c>
      <c r="N52">
        <v>6000795</v>
      </c>
      <c r="O52">
        <v>-795</v>
      </c>
      <c r="P52" t="s">
        <v>4546</v>
      </c>
      <c r="Q52" s="121">
        <f t="array" ref="Q52">SUM(IF((finan_graos!J:J=BD_CONTRATOS_GRAOS!F698)*(finan_graos!L:L=BD_CONTRATOS_GRAOS!D698)*(finan_graos!N:N=BD_CONTRATOS_GRAOS!J698),finan_graos!Q:Q))</f>
        <v>0</v>
      </c>
      <c r="R52" s="894"/>
      <c r="S52" s="885" t="s">
        <v>4553</v>
      </c>
      <c r="T52" s="885" t="s">
        <v>25</v>
      </c>
      <c r="U52" s="891">
        <v>1308000</v>
      </c>
      <c r="V52" s="892">
        <v>1090000</v>
      </c>
      <c r="W52" s="893">
        <v>1308000</v>
      </c>
    </row>
    <row r="53" spans="1:23">
      <c r="A53" t="s">
        <v>5529</v>
      </c>
      <c r="B53" t="s">
        <v>5476</v>
      </c>
      <c r="C53" t="s">
        <v>4543</v>
      </c>
      <c r="D53" t="s">
        <v>5476</v>
      </c>
      <c r="E53" s="156">
        <v>42160</v>
      </c>
      <c r="F53" t="s">
        <v>4518</v>
      </c>
      <c r="G53" t="s">
        <v>4618</v>
      </c>
      <c r="H53" t="s">
        <v>4519</v>
      </c>
      <c r="I53" t="s">
        <v>4545</v>
      </c>
      <c r="J53" t="s">
        <v>25</v>
      </c>
      <c r="K53" s="121">
        <v>3000000</v>
      </c>
      <c r="L53" s="121">
        <v>850000</v>
      </c>
      <c r="M53">
        <v>17</v>
      </c>
      <c r="N53">
        <v>3115422</v>
      </c>
      <c r="O53">
        <v>-115422</v>
      </c>
      <c r="P53" t="s">
        <v>4546</v>
      </c>
      <c r="Q53" s="121">
        <f t="array" ref="Q53">SUM(IF((finan_graos!J:J=BD_CONTRATOS_GRAOS!F704)*(finan_graos!L:L=BD_CONTRATOS_GRAOS!D704)*(finan_graos!N:N=BD_CONTRATOS_GRAOS!J704),finan_graos!Q:Q))</f>
        <v>0</v>
      </c>
      <c r="R53" s="894"/>
      <c r="S53" s="885" t="s">
        <v>5032</v>
      </c>
      <c r="T53" s="886"/>
      <c r="U53" s="891">
        <v>1308000</v>
      </c>
      <c r="V53" s="892">
        <v>1090000</v>
      </c>
      <c r="W53" s="893">
        <v>1308000</v>
      </c>
    </row>
    <row r="54" spans="1:23">
      <c r="A54" t="s">
        <v>5530</v>
      </c>
      <c r="B54" t="s">
        <v>5512</v>
      </c>
      <c r="C54" t="s">
        <v>4543</v>
      </c>
      <c r="D54" t="s">
        <v>5512</v>
      </c>
      <c r="E54" s="156">
        <v>42178</v>
      </c>
      <c r="F54" t="s">
        <v>4518</v>
      </c>
      <c r="G54" t="s">
        <v>4618</v>
      </c>
      <c r="H54" t="s">
        <v>4519</v>
      </c>
      <c r="I54" t="s">
        <v>4545</v>
      </c>
      <c r="J54" t="s">
        <v>25</v>
      </c>
      <c r="K54">
        <v>1000000</v>
      </c>
      <c r="L54" s="121">
        <v>200000</v>
      </c>
      <c r="M54">
        <v>12</v>
      </c>
      <c r="N54">
        <v>1000000</v>
      </c>
      <c r="O54">
        <v>0</v>
      </c>
      <c r="P54" t="s">
        <v>4546</v>
      </c>
      <c r="Q54" s="121">
        <f t="array" ref="Q54">SUM(IF((finan_graos!J:J=BD_CONTRATOS_GRAOS!F706)*(finan_graos!L:L=BD_CONTRATOS_GRAOS!D706)*(finan_graos!N:N=BD_CONTRATOS_GRAOS!J706),finan_graos!Q:Q))</f>
        <v>0</v>
      </c>
      <c r="R54" s="885" t="s">
        <v>5027</v>
      </c>
      <c r="S54" s="886"/>
      <c r="T54" s="886"/>
      <c r="U54" s="891">
        <v>1527166</v>
      </c>
      <c r="V54" s="892">
        <v>1272638.3400000001</v>
      </c>
      <c r="W54" s="893">
        <v>1488000</v>
      </c>
    </row>
    <row r="55" spans="1:23">
      <c r="A55" t="s">
        <v>4568</v>
      </c>
      <c r="B55" t="s">
        <v>4569</v>
      </c>
      <c r="C55" t="s">
        <v>4543</v>
      </c>
      <c r="D55" t="s">
        <v>4569</v>
      </c>
      <c r="E55" s="156">
        <v>42017</v>
      </c>
      <c r="F55" t="s">
        <v>4518</v>
      </c>
      <c r="G55" t="s">
        <v>4544</v>
      </c>
      <c r="H55" t="s">
        <v>4514</v>
      </c>
      <c r="I55" t="s">
        <v>4545</v>
      </c>
      <c r="J55" t="s">
        <v>25</v>
      </c>
      <c r="K55" s="121">
        <v>3000000</v>
      </c>
      <c r="L55" s="121">
        <v>2600000</v>
      </c>
      <c r="M55">
        <v>52</v>
      </c>
      <c r="N55" s="121">
        <v>2537610</v>
      </c>
      <c r="O55">
        <v>462390</v>
      </c>
      <c r="P55" t="s">
        <v>4546</v>
      </c>
      <c r="Q55" s="121">
        <f t="array" ref="Q55">SUM(IF((finan_graos!J:J=BD_CONTRATOS_GRAOS!F711)*(finan_graos!L:L=BD_CONTRATOS_GRAOS!D711)*(finan_graos!N:N=BD_CONTRATOS_GRAOS!J711),finan_graos!Q:Q))</f>
        <v>0</v>
      </c>
      <c r="R55" s="885" t="s">
        <v>4523</v>
      </c>
      <c r="S55" s="885" t="s">
        <v>4544</v>
      </c>
      <c r="T55" s="885" t="s">
        <v>25</v>
      </c>
      <c r="U55" s="891">
        <v>21920</v>
      </c>
      <c r="V55" s="892">
        <v>40292</v>
      </c>
      <c r="W55" s="893">
        <v>21920</v>
      </c>
    </row>
    <row r="56" spans="1:23">
      <c r="A56" t="s">
        <v>5547</v>
      </c>
      <c r="B56" t="s">
        <v>5541</v>
      </c>
      <c r="C56" t="s">
        <v>4543</v>
      </c>
      <c r="D56" t="s">
        <v>5541</v>
      </c>
      <c r="E56" s="156">
        <v>42191</v>
      </c>
      <c r="F56" t="s">
        <v>4518</v>
      </c>
      <c r="G56" t="s">
        <v>4618</v>
      </c>
      <c r="H56" t="s">
        <v>4519</v>
      </c>
      <c r="I56" t="s">
        <v>4545</v>
      </c>
      <c r="J56" t="s">
        <v>25</v>
      </c>
      <c r="K56" s="121">
        <v>12000000</v>
      </c>
      <c r="L56" s="121">
        <v>3440000</v>
      </c>
      <c r="M56">
        <v>17.2</v>
      </c>
      <c r="N56">
        <v>12000000</v>
      </c>
      <c r="O56">
        <v>0</v>
      </c>
      <c r="P56" t="s">
        <v>4546</v>
      </c>
      <c r="Q56" s="121">
        <f t="array" ref="Q56">SUM(IF((finan_graos!J:J=BD_CONTRATOS_GRAOS!F712)*(finan_graos!L:L=BD_CONTRATOS_GRAOS!D712)*(finan_graos!N:N=BD_CONTRATOS_GRAOS!J712),finan_graos!Q:Q))</f>
        <v>0</v>
      </c>
      <c r="R56" s="894"/>
      <c r="S56" s="885" t="s">
        <v>5031</v>
      </c>
      <c r="T56" s="886"/>
      <c r="U56" s="891">
        <v>21920</v>
      </c>
      <c r="V56" s="892">
        <v>40292</v>
      </c>
      <c r="W56" s="893">
        <v>21920</v>
      </c>
    </row>
    <row r="57" spans="1:23">
      <c r="A57" t="s">
        <v>4570</v>
      </c>
      <c r="B57" t="s">
        <v>4571</v>
      </c>
      <c r="C57" t="s">
        <v>4543</v>
      </c>
      <c r="D57" t="s">
        <v>4571</v>
      </c>
      <c r="E57" s="156">
        <v>42017</v>
      </c>
      <c r="F57" t="s">
        <v>4518</v>
      </c>
      <c r="G57" t="s">
        <v>4544</v>
      </c>
      <c r="H57" t="s">
        <v>4514</v>
      </c>
      <c r="I57" t="s">
        <v>4545</v>
      </c>
      <c r="J57" t="s">
        <v>25</v>
      </c>
      <c r="K57" s="121">
        <v>3000000</v>
      </c>
      <c r="L57" s="121">
        <v>2600000</v>
      </c>
      <c r="M57">
        <v>52</v>
      </c>
      <c r="N57">
        <v>3203045</v>
      </c>
      <c r="O57">
        <v>-203045</v>
      </c>
      <c r="P57" t="s">
        <v>4546</v>
      </c>
      <c r="Q57" s="121">
        <f t="array" ref="Q57">SUM(IF((finan_graos!J:J=BD_CONTRATOS_GRAOS!F713)*(finan_graos!L:L=BD_CONTRATOS_GRAOS!D713)*(finan_graos!N:N=BD_CONTRATOS_GRAOS!J713),finan_graos!Q:Q))</f>
        <v>0</v>
      </c>
      <c r="R57" s="885" t="s">
        <v>5028</v>
      </c>
      <c r="S57" s="886"/>
      <c r="T57" s="886"/>
      <c r="U57" s="891">
        <v>21920</v>
      </c>
      <c r="V57" s="892">
        <v>40292</v>
      </c>
      <c r="W57" s="893">
        <v>21920</v>
      </c>
    </row>
    <row r="58" spans="1:23">
      <c r="A58" t="s">
        <v>5633</v>
      </c>
      <c r="B58" t="s">
        <v>5630</v>
      </c>
      <c r="C58" t="s">
        <v>4543</v>
      </c>
      <c r="D58" t="s">
        <v>5630</v>
      </c>
      <c r="E58" s="156">
        <v>42214</v>
      </c>
      <c r="F58" t="s">
        <v>4518</v>
      </c>
      <c r="G58" t="s">
        <v>4618</v>
      </c>
      <c r="H58" t="s">
        <v>4519</v>
      </c>
      <c r="I58" t="s">
        <v>4545</v>
      </c>
      <c r="J58" t="s">
        <v>25</v>
      </c>
      <c r="K58" s="121">
        <v>6000000</v>
      </c>
      <c r="L58" s="121">
        <v>1700000</v>
      </c>
      <c r="M58">
        <v>17</v>
      </c>
      <c r="N58">
        <v>6000000</v>
      </c>
      <c r="O58">
        <v>0</v>
      </c>
      <c r="P58" t="s">
        <v>4546</v>
      </c>
      <c r="Q58" s="121">
        <f t="array" ref="Q58">SUM(IF((finan_graos!J:J=BD_CONTRATOS_GRAOS!F718)*(finan_graos!L:L=BD_CONTRATOS_GRAOS!D718)*(finan_graos!N:N=BD_CONTRATOS_GRAOS!J718),finan_graos!Q:Q))</f>
        <v>0</v>
      </c>
      <c r="R58" s="885" t="s">
        <v>4524</v>
      </c>
      <c r="S58" s="886"/>
      <c r="T58" s="886"/>
      <c r="U58" s="891">
        <v>5100000</v>
      </c>
      <c r="V58" s="892">
        <v>2816666.2</v>
      </c>
      <c r="W58" s="893">
        <v>3900000</v>
      </c>
    </row>
    <row r="59" spans="1:23">
      <c r="A59" t="s">
        <v>4556</v>
      </c>
      <c r="B59" t="s">
        <v>4557</v>
      </c>
      <c r="C59" t="s">
        <v>4543</v>
      </c>
      <c r="D59" t="s">
        <v>4557</v>
      </c>
      <c r="E59" s="156">
        <v>42039</v>
      </c>
      <c r="F59" t="s">
        <v>4518</v>
      </c>
      <c r="G59" t="s">
        <v>4544</v>
      </c>
      <c r="H59" t="s">
        <v>4514</v>
      </c>
      <c r="I59" t="s">
        <v>4545</v>
      </c>
      <c r="J59" t="s">
        <v>25</v>
      </c>
      <c r="K59" s="121">
        <v>4800000</v>
      </c>
      <c r="L59" s="121">
        <v>4560000</v>
      </c>
      <c r="M59">
        <v>57</v>
      </c>
      <c r="N59">
        <v>4800040</v>
      </c>
      <c r="O59">
        <v>-40</v>
      </c>
      <c r="P59" t="s">
        <v>4546</v>
      </c>
      <c r="Q59" s="121">
        <f t="array" ref="Q59">SUM(IF((finan_graos!J:J=BD_CONTRATOS_GRAOS!F724)*(finan_graos!L:L=BD_CONTRATOS_GRAOS!D724)*(finan_graos!N:N=BD_CONTRATOS_GRAOS!J724),finan_graos!Q:Q))</f>
        <v>0</v>
      </c>
      <c r="R59" s="885" t="s">
        <v>4525</v>
      </c>
      <c r="S59" s="885" t="s">
        <v>4544</v>
      </c>
      <c r="T59" s="885" t="s">
        <v>25</v>
      </c>
      <c r="U59" s="891">
        <v>2039000</v>
      </c>
      <c r="V59" s="892">
        <v>4677213.8499999996</v>
      </c>
      <c r="W59" s="893">
        <v>2011000</v>
      </c>
    </row>
    <row r="60" spans="1:23">
      <c r="A60" t="s">
        <v>4572</v>
      </c>
      <c r="B60" t="s">
        <v>4573</v>
      </c>
      <c r="C60" t="s">
        <v>4543</v>
      </c>
      <c r="D60" t="s">
        <v>4573</v>
      </c>
      <c r="E60" s="156">
        <v>42040</v>
      </c>
      <c r="F60" t="s">
        <v>4518</v>
      </c>
      <c r="G60" t="s">
        <v>4544</v>
      </c>
      <c r="H60" t="s">
        <v>4514</v>
      </c>
      <c r="I60" t="s">
        <v>4545</v>
      </c>
      <c r="J60" t="s">
        <v>25</v>
      </c>
      <c r="K60" s="121">
        <v>1200000</v>
      </c>
      <c r="L60" s="121">
        <v>1020000</v>
      </c>
      <c r="M60">
        <v>51</v>
      </c>
      <c r="N60">
        <v>1200000</v>
      </c>
      <c r="O60">
        <v>0</v>
      </c>
      <c r="P60" t="s">
        <v>4546</v>
      </c>
      <c r="Q60" s="121">
        <f t="array" ref="Q60">SUM(IF((finan_graos!J:J=BD_CONTRATOS_GRAOS!F729)*(finan_graos!L:L=BD_CONTRATOS_GRAOS!D729)*(finan_graos!N:N=BD_CONTRATOS_GRAOS!J729),finan_graos!Q:Q))</f>
        <v>0</v>
      </c>
      <c r="R60" s="894"/>
      <c r="S60" s="885" t="s">
        <v>5031</v>
      </c>
      <c r="T60" s="886"/>
      <c r="U60" s="891">
        <v>2039000</v>
      </c>
      <c r="V60" s="892">
        <v>4677213.8499999996</v>
      </c>
      <c r="W60" s="893">
        <v>2011000</v>
      </c>
    </row>
    <row r="61" spans="1:23">
      <c r="A61" t="s">
        <v>5754</v>
      </c>
      <c r="B61" t="s">
        <v>5755</v>
      </c>
      <c r="C61" t="s">
        <v>4543</v>
      </c>
      <c r="D61" t="s">
        <v>5755</v>
      </c>
      <c r="E61" s="156">
        <v>42263</v>
      </c>
      <c r="F61" t="s">
        <v>4518</v>
      </c>
      <c r="G61" t="s">
        <v>4618</v>
      </c>
      <c r="H61" t="s">
        <v>4519</v>
      </c>
      <c r="I61" t="s">
        <v>4545</v>
      </c>
      <c r="J61" t="s">
        <v>25</v>
      </c>
      <c r="K61" s="121">
        <v>2704000</v>
      </c>
      <c r="L61" s="121">
        <v>858069.33</v>
      </c>
      <c r="M61">
        <v>19.039999926035499</v>
      </c>
      <c r="N61">
        <v>2704000</v>
      </c>
      <c r="O61">
        <v>0</v>
      </c>
      <c r="P61" t="s">
        <v>4546</v>
      </c>
      <c r="Q61" s="121">
        <f t="array" ref="Q61">SUM(IF((finan_graos!J:J=BD_CONTRATOS_GRAOS!F730)*(finan_graos!L:L=BD_CONTRATOS_GRAOS!D730)*(finan_graos!N:N=BD_CONTRATOS_GRAOS!J730),finan_graos!Q:Q))</f>
        <v>0</v>
      </c>
      <c r="R61" s="885" t="s">
        <v>5029</v>
      </c>
      <c r="S61" s="886"/>
      <c r="T61" s="886"/>
      <c r="U61" s="891">
        <v>2039000</v>
      </c>
      <c r="V61" s="892">
        <v>4677213.8499999996</v>
      </c>
      <c r="W61" s="893">
        <v>2011000</v>
      </c>
    </row>
    <row r="62" spans="1:23">
      <c r="A62" t="s">
        <v>5607</v>
      </c>
      <c r="B62" t="s">
        <v>4561</v>
      </c>
      <c r="C62" t="s">
        <v>4543</v>
      </c>
      <c r="D62" t="s">
        <v>4561</v>
      </c>
      <c r="E62" s="156">
        <v>42186</v>
      </c>
      <c r="F62" t="s">
        <v>4518</v>
      </c>
      <c r="G62" t="s">
        <v>4544</v>
      </c>
      <c r="H62" t="s">
        <v>4514</v>
      </c>
      <c r="I62" t="s">
        <v>4545</v>
      </c>
      <c r="J62" t="s">
        <v>25</v>
      </c>
      <c r="K62" s="121">
        <v>64980</v>
      </c>
      <c r="L62" s="121">
        <v>45486</v>
      </c>
      <c r="M62">
        <v>42</v>
      </c>
      <c r="N62">
        <v>50000</v>
      </c>
      <c r="O62">
        <v>14980</v>
      </c>
      <c r="P62" t="s">
        <v>4546</v>
      </c>
      <c r="Q62" s="121">
        <f t="array" ref="Q62">SUM(IF((finan_graos!J:J=BD_CONTRATOS_GRAOS!F735)*(finan_graos!L:L=BD_CONTRATOS_GRAOS!D735)*(finan_graos!N:N=BD_CONTRATOS_GRAOS!J735),finan_graos!Q:Q))</f>
        <v>0</v>
      </c>
      <c r="R62" s="885" t="s">
        <v>4526</v>
      </c>
      <c r="S62" s="885" t="s">
        <v>4544</v>
      </c>
      <c r="T62" s="885" t="s">
        <v>25</v>
      </c>
      <c r="U62" s="891">
        <v>1892070</v>
      </c>
      <c r="V62" s="892">
        <v>1804475.1700000002</v>
      </c>
      <c r="W62" s="893">
        <v>1892070</v>
      </c>
    </row>
    <row r="63" spans="1:23">
      <c r="A63" t="s">
        <v>4560</v>
      </c>
      <c r="B63" t="s">
        <v>4561</v>
      </c>
      <c r="C63" t="s">
        <v>4543</v>
      </c>
      <c r="D63" t="s">
        <v>4561</v>
      </c>
      <c r="E63" s="156">
        <v>42064</v>
      </c>
      <c r="F63" t="s">
        <v>4518</v>
      </c>
      <c r="G63" t="s">
        <v>4544</v>
      </c>
      <c r="H63" t="s">
        <v>4514</v>
      </c>
      <c r="I63" t="s">
        <v>4545</v>
      </c>
      <c r="J63" t="s">
        <v>25</v>
      </c>
      <c r="K63" s="121">
        <v>1800000</v>
      </c>
      <c r="L63" s="121">
        <v>1680000</v>
      </c>
      <c r="M63">
        <v>56</v>
      </c>
      <c r="N63">
        <v>1777157</v>
      </c>
      <c r="O63">
        <v>22843</v>
      </c>
      <c r="P63" t="s">
        <v>4546</v>
      </c>
      <c r="Q63" s="121">
        <f t="array" ref="Q63">SUM(IF((finan_graos!J:J=BD_CONTRATOS_GRAOS!F736)*(finan_graos!L:L=BD_CONTRATOS_GRAOS!D736)*(finan_graos!N:N=BD_CONTRATOS_GRAOS!J736),finan_graos!Q:Q))</f>
        <v>0</v>
      </c>
      <c r="R63" s="894"/>
      <c r="S63" s="885" t="s">
        <v>5031</v>
      </c>
      <c r="T63" s="886"/>
      <c r="U63" s="891">
        <v>1892070</v>
      </c>
      <c r="V63" s="892">
        <v>1804475.1700000002</v>
      </c>
      <c r="W63" s="893">
        <v>1892070</v>
      </c>
    </row>
    <row r="64" spans="1:23">
      <c r="A64" t="s">
        <v>4628</v>
      </c>
      <c r="B64" t="s">
        <v>4629</v>
      </c>
      <c r="C64" t="s">
        <v>4543</v>
      </c>
      <c r="D64" t="s">
        <v>4629</v>
      </c>
      <c r="E64" s="156">
        <v>42103</v>
      </c>
      <c r="F64" t="s">
        <v>4518</v>
      </c>
      <c r="G64" t="s">
        <v>4544</v>
      </c>
      <c r="H64" t="s">
        <v>4514</v>
      </c>
      <c r="I64" t="s">
        <v>4545</v>
      </c>
      <c r="J64" t="s">
        <v>25</v>
      </c>
      <c r="K64" s="121">
        <v>1000000</v>
      </c>
      <c r="L64" s="121">
        <v>941666.68</v>
      </c>
      <c r="M64">
        <v>56.500000800000002</v>
      </c>
      <c r="N64">
        <v>1000000</v>
      </c>
      <c r="O64">
        <v>0</v>
      </c>
      <c r="P64" t="s">
        <v>4546</v>
      </c>
      <c r="Q64" s="121">
        <f t="array" ref="Q64">SUM(IF((finan_graos!J:J=BD_CONTRATOS_GRAOS!F740)*(finan_graos!L:L=BD_CONTRATOS_GRAOS!D740)*(finan_graos!N:N=BD_CONTRATOS_GRAOS!J740),finan_graos!Q:Q))</f>
        <v>0</v>
      </c>
      <c r="R64" s="885" t="s">
        <v>5030</v>
      </c>
      <c r="S64" s="886"/>
      <c r="T64" s="886"/>
      <c r="U64" s="891">
        <v>1892070</v>
      </c>
      <c r="V64" s="892">
        <v>1804475.1700000002</v>
      </c>
      <c r="W64" s="893">
        <v>1892070</v>
      </c>
    </row>
    <row r="65" spans="1:23">
      <c r="A65" t="s">
        <v>5078</v>
      </c>
      <c r="B65" t="s">
        <v>5067</v>
      </c>
      <c r="C65" t="s">
        <v>4543</v>
      </c>
      <c r="D65" t="s">
        <v>5067</v>
      </c>
      <c r="E65" s="156">
        <v>42123</v>
      </c>
      <c r="F65" t="s">
        <v>4518</v>
      </c>
      <c r="G65" t="s">
        <v>4544</v>
      </c>
      <c r="H65" t="s">
        <v>4514</v>
      </c>
      <c r="I65" t="s">
        <v>4545</v>
      </c>
      <c r="J65" t="s">
        <v>25</v>
      </c>
      <c r="K65" s="121">
        <v>328988</v>
      </c>
      <c r="L65" s="121">
        <v>230291.6</v>
      </c>
      <c r="M65">
        <v>42</v>
      </c>
      <c r="N65">
        <v>250000</v>
      </c>
      <c r="O65">
        <v>78988</v>
      </c>
      <c r="P65" t="s">
        <v>4546</v>
      </c>
      <c r="Q65" s="121">
        <f t="array" ref="Q65">SUM(IF((finan_graos!J:J=BD_CONTRATOS_GRAOS!F743)*(finan_graos!L:L=BD_CONTRATOS_GRAOS!D743)*(finan_graos!N:N=BD_CONTRATOS_GRAOS!J743),finan_graos!Q:Q))</f>
        <v>0</v>
      </c>
      <c r="R65" s="885" t="s">
        <v>5046</v>
      </c>
      <c r="S65" s="885" t="s">
        <v>4618</v>
      </c>
      <c r="T65" s="885" t="s">
        <v>25</v>
      </c>
      <c r="U65" s="891">
        <v>707894</v>
      </c>
      <c r="V65" s="892">
        <v>141578.79999999999</v>
      </c>
      <c r="W65" s="893">
        <v>617331</v>
      </c>
    </row>
    <row r="66" spans="1:23">
      <c r="A66" t="s">
        <v>5079</v>
      </c>
      <c r="B66" t="s">
        <v>5071</v>
      </c>
      <c r="C66" t="s">
        <v>4543</v>
      </c>
      <c r="D66" t="s">
        <v>5071</v>
      </c>
      <c r="E66" s="156">
        <v>42123</v>
      </c>
      <c r="F66" t="s">
        <v>4518</v>
      </c>
      <c r="G66" t="s">
        <v>4553</v>
      </c>
      <c r="H66" t="s">
        <v>4515</v>
      </c>
      <c r="I66" t="s">
        <v>4545</v>
      </c>
      <c r="J66" t="s">
        <v>25</v>
      </c>
      <c r="K66">
        <v>256523</v>
      </c>
      <c r="L66" s="121">
        <v>179566.1</v>
      </c>
      <c r="M66">
        <v>42</v>
      </c>
      <c r="N66">
        <v>246200</v>
      </c>
      <c r="O66">
        <v>10323</v>
      </c>
      <c r="P66" t="s">
        <v>4546</v>
      </c>
      <c r="Q66" s="121">
        <f t="array" ref="Q66">SUM(IF((finan_graos!J:J=BD_CONTRATOS_GRAOS!F744)*(finan_graos!L:L=BD_CONTRATOS_GRAOS!D744)*(finan_graos!N:N=BD_CONTRATOS_GRAOS!J744),finan_graos!Q:Q))</f>
        <v>0</v>
      </c>
      <c r="R66" s="894"/>
      <c r="S66" s="885" t="s">
        <v>5033</v>
      </c>
      <c r="T66" s="886"/>
      <c r="U66" s="891">
        <v>707894</v>
      </c>
      <c r="V66" s="892">
        <v>141578.79999999999</v>
      </c>
      <c r="W66" s="893">
        <v>617331</v>
      </c>
    </row>
    <row r="67" spans="1:23">
      <c r="A67" t="s">
        <v>5442</v>
      </c>
      <c r="B67" t="s">
        <v>5426</v>
      </c>
      <c r="C67" t="s">
        <v>4543</v>
      </c>
      <c r="D67" t="s">
        <v>5426</v>
      </c>
      <c r="E67" s="156">
        <v>42151</v>
      </c>
      <c r="F67" t="s">
        <v>4518</v>
      </c>
      <c r="G67" t="s">
        <v>4544</v>
      </c>
      <c r="H67" t="s">
        <v>4514</v>
      </c>
      <c r="I67" t="s">
        <v>4545</v>
      </c>
      <c r="J67" t="s">
        <v>25</v>
      </c>
      <c r="K67">
        <v>600000</v>
      </c>
      <c r="L67" s="121">
        <v>540000</v>
      </c>
      <c r="M67">
        <v>54</v>
      </c>
      <c r="N67">
        <v>600000</v>
      </c>
      <c r="O67">
        <v>0</v>
      </c>
      <c r="P67" t="s">
        <v>4546</v>
      </c>
      <c r="Q67" s="121">
        <f t="array" ref="Q67">SUM(IF((finan_graos!J:J=BD_CONTRATOS_GRAOS!F748)*(finan_graos!L:L=BD_CONTRATOS_GRAOS!D748)*(finan_graos!N:N=BD_CONTRATOS_GRAOS!J748),finan_graos!Q:Q))</f>
        <v>0</v>
      </c>
      <c r="R67" s="894"/>
      <c r="S67" s="885" t="s">
        <v>4589</v>
      </c>
      <c r="T67" s="885" t="s">
        <v>25</v>
      </c>
      <c r="U67" s="891">
        <v>1556225</v>
      </c>
      <c r="V67" s="892">
        <v>840361.5</v>
      </c>
      <c r="W67" s="893">
        <v>1527179</v>
      </c>
    </row>
    <row r="68" spans="1:23">
      <c r="A68" t="s">
        <v>5443</v>
      </c>
      <c r="B68" t="s">
        <v>5435</v>
      </c>
      <c r="C68" t="s">
        <v>4543</v>
      </c>
      <c r="D68" t="s">
        <v>5435</v>
      </c>
      <c r="E68" s="156">
        <v>42125</v>
      </c>
      <c r="F68" t="s">
        <v>4518</v>
      </c>
      <c r="G68" t="s">
        <v>4544</v>
      </c>
      <c r="H68" t="s">
        <v>4514</v>
      </c>
      <c r="I68" t="s">
        <v>4545</v>
      </c>
      <c r="J68" t="s">
        <v>25</v>
      </c>
      <c r="K68">
        <v>749676</v>
      </c>
      <c r="L68" s="121">
        <v>482866.6</v>
      </c>
      <c r="M68">
        <v>38.6460230819714</v>
      </c>
      <c r="N68">
        <v>749676</v>
      </c>
      <c r="O68">
        <v>0</v>
      </c>
      <c r="P68" t="s">
        <v>4546</v>
      </c>
      <c r="Q68" s="121">
        <f t="array" ref="Q68">SUM(IF((finan_graos!J:J=BD_CONTRATOS_GRAOS!F749)*(finan_graos!L:L=BD_CONTRATOS_GRAOS!D749)*(finan_graos!N:N=BD_CONTRATOS_GRAOS!J749),finan_graos!Q:Q))</f>
        <v>0</v>
      </c>
      <c r="R68" s="894"/>
      <c r="S68" s="885" t="s">
        <v>5034</v>
      </c>
      <c r="T68" s="886"/>
      <c r="U68" s="891">
        <v>1556225</v>
      </c>
      <c r="V68" s="892">
        <v>840361.5</v>
      </c>
      <c r="W68" s="893">
        <v>1527179</v>
      </c>
    </row>
    <row r="69" spans="1:23">
      <c r="A69" t="s">
        <v>5605</v>
      </c>
      <c r="B69" t="s">
        <v>5599</v>
      </c>
      <c r="C69" t="s">
        <v>4543</v>
      </c>
      <c r="D69" t="s">
        <v>5599</v>
      </c>
      <c r="E69" s="156">
        <v>42192</v>
      </c>
      <c r="F69" t="s">
        <v>5598</v>
      </c>
      <c r="G69" t="s">
        <v>4618</v>
      </c>
      <c r="H69" t="s">
        <v>4519</v>
      </c>
      <c r="I69" t="s">
        <v>4545</v>
      </c>
      <c r="J69" t="s">
        <v>25</v>
      </c>
      <c r="K69">
        <v>3000</v>
      </c>
      <c r="L69" s="121">
        <v>900</v>
      </c>
      <c r="M69">
        <v>18</v>
      </c>
      <c r="N69">
        <v>3000</v>
      </c>
      <c r="O69">
        <v>0</v>
      </c>
      <c r="P69" t="s">
        <v>4546</v>
      </c>
      <c r="Q69" s="121">
        <f t="array" ref="Q69">SUM(IF((finan_graos!J:J=BD_CONTRATOS_GRAOS!F714)*(finan_graos!L:L=BD_CONTRATOS_GRAOS!D714)*(finan_graos!N:N=BD_CONTRATOS_GRAOS!J714),finan_graos!Q:Q))</f>
        <v>0</v>
      </c>
      <c r="R69" s="885" t="s">
        <v>5052</v>
      </c>
      <c r="S69" s="886"/>
      <c r="T69" s="886"/>
      <c r="U69" s="891">
        <v>2264119</v>
      </c>
      <c r="V69" s="892">
        <v>981940.3</v>
      </c>
      <c r="W69" s="893">
        <v>2144510</v>
      </c>
    </row>
    <row r="70" spans="1:23">
      <c r="A70" t="s">
        <v>5636</v>
      </c>
      <c r="B70" t="s">
        <v>5637</v>
      </c>
      <c r="C70" t="s">
        <v>4543</v>
      </c>
      <c r="D70" t="s">
        <v>5637</v>
      </c>
      <c r="E70" s="156">
        <v>42220</v>
      </c>
      <c r="F70" t="s">
        <v>5598</v>
      </c>
      <c r="G70" t="s">
        <v>4618</v>
      </c>
      <c r="H70" t="s">
        <v>4519</v>
      </c>
      <c r="I70" t="s">
        <v>4545</v>
      </c>
      <c r="J70" t="s">
        <v>25</v>
      </c>
      <c r="K70">
        <v>16660</v>
      </c>
      <c r="L70" s="121">
        <v>4998</v>
      </c>
      <c r="M70">
        <v>18</v>
      </c>
      <c r="N70">
        <v>16660</v>
      </c>
      <c r="O70">
        <v>0</v>
      </c>
      <c r="P70" t="s">
        <v>4546</v>
      </c>
      <c r="Q70" s="169">
        <f t="array" ref="Q70">SUM(IF((finan_graos!J:J=BD_CONTRATOS_GRAOS!F721)*(finan_graos!L:L=BD_CONTRATOS_GRAOS!D721)*(finan_graos!N:N=BD_CONTRATOS_GRAOS!J721),finan_graos!Q:Q))</f>
        <v>0</v>
      </c>
      <c r="R70" s="885" t="s">
        <v>5045</v>
      </c>
      <c r="S70" s="885" t="s">
        <v>4618</v>
      </c>
      <c r="T70" s="885" t="s">
        <v>25</v>
      </c>
      <c r="U70" s="891">
        <v>5405660</v>
      </c>
      <c r="V70" s="892">
        <v>1846886.66</v>
      </c>
      <c r="W70" s="893">
        <v>5405660</v>
      </c>
    </row>
    <row r="71" spans="1:23">
      <c r="A71" t="s">
        <v>5756</v>
      </c>
      <c r="B71" t="s">
        <v>5757</v>
      </c>
      <c r="C71" t="s">
        <v>4543</v>
      </c>
      <c r="D71" t="s">
        <v>5757</v>
      </c>
      <c r="E71" s="156">
        <v>42265</v>
      </c>
      <c r="F71" t="s">
        <v>5598</v>
      </c>
      <c r="G71" t="s">
        <v>4618</v>
      </c>
      <c r="H71" t="s">
        <v>4519</v>
      </c>
      <c r="I71" t="s">
        <v>4545</v>
      </c>
      <c r="J71" t="s">
        <v>25</v>
      </c>
      <c r="K71">
        <v>25580</v>
      </c>
      <c r="L71" s="121">
        <v>7674</v>
      </c>
      <c r="M71">
        <v>18</v>
      </c>
      <c r="N71">
        <v>25580</v>
      </c>
      <c r="O71">
        <v>0</v>
      </c>
      <c r="P71" t="s">
        <v>4546</v>
      </c>
      <c r="Q71" s="169">
        <f t="array" ref="Q71">SUM(IF((finan_graos!J:J=BD_CONTRATOS_GRAOS!F732)*(finan_graos!L:L=BD_CONTRATOS_GRAOS!D732)*(finan_graos!N:N=BD_CONTRATOS_GRAOS!J732),finan_graos!Q:Q))</f>
        <v>0</v>
      </c>
      <c r="R71" s="894"/>
      <c r="S71" s="885" t="s">
        <v>5033</v>
      </c>
      <c r="T71" s="886"/>
      <c r="U71" s="891">
        <v>5405660</v>
      </c>
      <c r="V71" s="892">
        <v>1846886.66</v>
      </c>
      <c r="W71" s="893">
        <v>5405660</v>
      </c>
    </row>
    <row r="72" spans="1:23">
      <c r="A72" t="s">
        <v>5968</v>
      </c>
      <c r="B72" t="s">
        <v>5969</v>
      </c>
      <c r="C72" t="s">
        <v>4543</v>
      </c>
      <c r="D72" t="s">
        <v>5969</v>
      </c>
      <c r="E72" s="156">
        <v>42291</v>
      </c>
      <c r="F72" t="s">
        <v>5598</v>
      </c>
      <c r="G72" t="s">
        <v>4618</v>
      </c>
      <c r="H72" t="s">
        <v>4519</v>
      </c>
      <c r="I72" t="s">
        <v>4545</v>
      </c>
      <c r="J72" t="s">
        <v>25</v>
      </c>
      <c r="K72">
        <v>31560</v>
      </c>
      <c r="L72" s="121">
        <v>9468</v>
      </c>
      <c r="M72">
        <v>18</v>
      </c>
      <c r="N72">
        <v>29100</v>
      </c>
      <c r="O72">
        <v>2460</v>
      </c>
      <c r="P72" t="s">
        <v>4546</v>
      </c>
      <c r="Q72" s="169">
        <f t="array" ref="Q72">SUM(IF((finan_graos!J:J=BD_CONTRATOS_GRAOS!F737)*(finan_graos!L:L=BD_CONTRATOS_GRAOS!D737)*(finan_graos!N:N=BD_CONTRATOS_GRAOS!J737),finan_graos!Q:Q))</f>
        <v>0</v>
      </c>
      <c r="R72" s="885" t="s">
        <v>5053</v>
      </c>
      <c r="S72" s="886"/>
      <c r="T72" s="886"/>
      <c r="U72" s="891">
        <v>5405660</v>
      </c>
      <c r="V72" s="892">
        <v>1846886.66</v>
      </c>
      <c r="W72" s="893">
        <v>5405660</v>
      </c>
    </row>
    <row r="73" spans="1:23">
      <c r="A73" t="s">
        <v>5962</v>
      </c>
      <c r="B73" t="s">
        <v>5963</v>
      </c>
      <c r="C73" t="s">
        <v>4543</v>
      </c>
      <c r="D73" t="s">
        <v>5963</v>
      </c>
      <c r="E73" s="156">
        <v>42292</v>
      </c>
      <c r="F73" t="s">
        <v>5010</v>
      </c>
      <c r="G73" t="s">
        <v>4589</v>
      </c>
      <c r="H73" t="s">
        <v>4520</v>
      </c>
      <c r="I73" t="s">
        <v>4545</v>
      </c>
      <c r="J73" t="s">
        <v>25</v>
      </c>
      <c r="K73">
        <v>46620</v>
      </c>
      <c r="L73" s="121">
        <v>32802.300000000003</v>
      </c>
      <c r="M73">
        <v>42.216602316602298</v>
      </c>
      <c r="N73">
        <v>46620</v>
      </c>
      <c r="O73">
        <v>0</v>
      </c>
      <c r="P73" t="s">
        <v>4546</v>
      </c>
      <c r="Q73" s="169">
        <f t="array" ref="Q73">SUM(IF((finan_graos!J:J=BD_CONTRATOS_GRAOS!F674)*(finan_graos!L:L=BD_CONTRATOS_GRAOS!D674)*(finan_graos!N:N=BD_CONTRATOS_GRAOS!J674),finan_graos!Q:Q))</f>
        <v>0</v>
      </c>
      <c r="R73" s="885" t="s">
        <v>4767</v>
      </c>
      <c r="S73" s="885" t="s">
        <v>4544</v>
      </c>
      <c r="T73" s="885" t="s">
        <v>25</v>
      </c>
      <c r="U73" s="891">
        <v>530060</v>
      </c>
      <c r="V73" s="892">
        <v>371042</v>
      </c>
      <c r="W73" s="893">
        <v>530060</v>
      </c>
    </row>
    <row r="74" spans="1:23">
      <c r="A74" t="s">
        <v>4587</v>
      </c>
      <c r="B74" t="s">
        <v>4588</v>
      </c>
      <c r="C74" t="s">
        <v>4543</v>
      </c>
      <c r="D74" t="s">
        <v>4588</v>
      </c>
      <c r="E74" s="156">
        <v>42062</v>
      </c>
      <c r="F74" t="s">
        <v>5046</v>
      </c>
      <c r="G74" t="s">
        <v>4589</v>
      </c>
      <c r="H74" t="s">
        <v>4520</v>
      </c>
      <c r="I74" t="s">
        <v>4545</v>
      </c>
      <c r="J74" t="s">
        <v>25</v>
      </c>
      <c r="K74">
        <v>1556225</v>
      </c>
      <c r="L74" s="121">
        <v>840361.5</v>
      </c>
      <c r="M74">
        <v>32.4</v>
      </c>
      <c r="N74">
        <v>1527179</v>
      </c>
      <c r="O74">
        <v>29046</v>
      </c>
      <c r="P74" t="s">
        <v>4546</v>
      </c>
      <c r="Q74" s="169">
        <f t="array" ref="Q74">SUM(IF((finan_graos!J:J=BD_CONTRATOS_GRAOS!F667)*(finan_graos!L:L=BD_CONTRATOS_GRAOS!D667)*(finan_graos!N:N=BD_CONTRATOS_GRAOS!J667),finan_graos!Q:Q))</f>
        <v>0</v>
      </c>
      <c r="R74" s="894"/>
      <c r="S74" s="885" t="s">
        <v>5031</v>
      </c>
      <c r="T74" s="886"/>
      <c r="U74" s="891">
        <v>530060</v>
      </c>
      <c r="V74" s="892">
        <v>371042</v>
      </c>
      <c r="W74" s="893">
        <v>530060</v>
      </c>
    </row>
    <row r="75" spans="1:23">
      <c r="A75" t="s">
        <v>5531</v>
      </c>
      <c r="B75" t="s">
        <v>5514</v>
      </c>
      <c r="C75" t="s">
        <v>4543</v>
      </c>
      <c r="D75" t="s">
        <v>5514</v>
      </c>
      <c r="E75" s="156">
        <v>42187</v>
      </c>
      <c r="F75" t="s">
        <v>5046</v>
      </c>
      <c r="G75" t="s">
        <v>4618</v>
      </c>
      <c r="H75" t="s">
        <v>4519</v>
      </c>
      <c r="I75" t="s">
        <v>4545</v>
      </c>
      <c r="J75" t="s">
        <v>25</v>
      </c>
      <c r="K75">
        <v>345854</v>
      </c>
      <c r="L75" s="121">
        <v>69170.8</v>
      </c>
      <c r="M75">
        <v>12</v>
      </c>
      <c r="N75">
        <v>255291</v>
      </c>
      <c r="O75">
        <v>90563</v>
      </c>
      <c r="P75" t="s">
        <v>4546</v>
      </c>
      <c r="Q75" s="169">
        <f t="array" ref="Q75">SUM(IF((finan_graos!J:J=BD_CONTRATOS_GRAOS!F708)*(finan_graos!L:L=BD_CONTRATOS_GRAOS!D708)*(finan_graos!N:N=BD_CONTRATOS_GRAOS!J708),finan_graos!Q:Q))</f>
        <v>0</v>
      </c>
      <c r="R75" s="885" t="s">
        <v>5054</v>
      </c>
      <c r="S75" s="886"/>
      <c r="T75" s="886"/>
      <c r="U75" s="891">
        <v>530060</v>
      </c>
      <c r="V75" s="892">
        <v>371042</v>
      </c>
      <c r="W75" s="893">
        <v>530060</v>
      </c>
    </row>
    <row r="76" spans="1:23">
      <c r="A76" t="s">
        <v>5721</v>
      </c>
      <c r="B76" t="s">
        <v>5722</v>
      </c>
      <c r="C76" t="s">
        <v>4543</v>
      </c>
      <c r="D76" t="s">
        <v>5722</v>
      </c>
      <c r="E76" s="156">
        <v>42247</v>
      </c>
      <c r="F76" t="s">
        <v>5046</v>
      </c>
      <c r="G76" t="s">
        <v>4618</v>
      </c>
      <c r="H76" t="s">
        <v>4519</v>
      </c>
      <c r="I76" t="s">
        <v>4545</v>
      </c>
      <c r="J76" t="s">
        <v>25</v>
      </c>
      <c r="K76">
        <v>362040</v>
      </c>
      <c r="L76" s="121">
        <v>72408</v>
      </c>
      <c r="M76">
        <v>12</v>
      </c>
      <c r="N76">
        <v>362040</v>
      </c>
      <c r="O76">
        <v>0</v>
      </c>
      <c r="P76" t="s">
        <v>4546</v>
      </c>
      <c r="Q76" s="169">
        <f t="array" ref="Q76">SUM(IF((finan_graos!J:J=BD_CONTRATOS_GRAOS!F728)*(finan_graos!L:L=BD_CONTRATOS_GRAOS!D728)*(finan_graos!N:N=BD_CONTRATOS_GRAOS!J728),finan_graos!Q:Q))</f>
        <v>0</v>
      </c>
      <c r="R76" s="885" t="s">
        <v>5439</v>
      </c>
      <c r="S76" s="885" t="s">
        <v>4618</v>
      </c>
      <c r="T76" s="885" t="s">
        <v>25</v>
      </c>
      <c r="U76" s="891">
        <v>165840</v>
      </c>
      <c r="V76" s="892">
        <v>66969</v>
      </c>
      <c r="W76" s="893">
        <v>165840</v>
      </c>
    </row>
    <row r="77" spans="1:23">
      <c r="A77" t="s">
        <v>5050</v>
      </c>
      <c r="B77" t="s">
        <v>5051</v>
      </c>
      <c r="C77" t="s">
        <v>4543</v>
      </c>
      <c r="D77" t="s">
        <v>5051</v>
      </c>
      <c r="E77" s="156">
        <v>42107</v>
      </c>
      <c r="F77" t="s">
        <v>4767</v>
      </c>
      <c r="G77" t="s">
        <v>4544</v>
      </c>
      <c r="H77" t="s">
        <v>4514</v>
      </c>
      <c r="I77" t="s">
        <v>4545</v>
      </c>
      <c r="J77" t="s">
        <v>25</v>
      </c>
      <c r="K77">
        <v>530060</v>
      </c>
      <c r="L77" s="121">
        <v>371042</v>
      </c>
      <c r="M77">
        <v>42</v>
      </c>
      <c r="N77">
        <v>530060</v>
      </c>
      <c r="O77">
        <v>0</v>
      </c>
      <c r="P77" t="s">
        <v>4546</v>
      </c>
      <c r="Q77" s="169">
        <f t="array" ref="Q77">SUM(IF((finan_graos!J:J=BD_CONTRATOS_GRAOS!F760)*(finan_graos!L:L=BD_CONTRATOS_GRAOS!D760)*(finan_graos!N:N=BD_CONTRATOS_GRAOS!J760),finan_graos!Q:Q))</f>
        <v>0</v>
      </c>
      <c r="R77" s="894"/>
      <c r="S77" s="885" t="s">
        <v>5033</v>
      </c>
      <c r="T77" s="886"/>
      <c r="U77" s="891">
        <v>165840</v>
      </c>
      <c r="V77" s="892">
        <v>66969</v>
      </c>
      <c r="W77" s="893">
        <v>165840</v>
      </c>
    </row>
    <row r="78" spans="1:23">
      <c r="A78" t="s">
        <v>5972</v>
      </c>
      <c r="B78" t="s">
        <v>5973</v>
      </c>
      <c r="C78" t="s">
        <v>4543</v>
      </c>
      <c r="D78" t="s">
        <v>5973</v>
      </c>
      <c r="E78" s="156">
        <v>42297</v>
      </c>
      <c r="F78" t="s">
        <v>5925</v>
      </c>
      <c r="G78" t="s">
        <v>4544</v>
      </c>
      <c r="H78" t="s">
        <v>4514</v>
      </c>
      <c r="I78" t="s">
        <v>4545</v>
      </c>
      <c r="J78" t="s">
        <v>25</v>
      </c>
      <c r="K78">
        <v>82400</v>
      </c>
      <c r="L78" s="121">
        <v>101352</v>
      </c>
      <c r="M78">
        <v>73.8</v>
      </c>
      <c r="N78">
        <v>54650</v>
      </c>
      <c r="O78">
        <v>27750</v>
      </c>
      <c r="P78" t="s">
        <v>4546</v>
      </c>
      <c r="Q78" s="169">
        <f t="array" ref="Q78">SUM(IF((finan_graos!J:J=BD_CONTRATOS_GRAOS!F768)*(finan_graos!L:L=BD_CONTRATOS_GRAOS!D768)*(finan_graos!N:N=BD_CONTRATOS_GRAOS!J768),finan_graos!Q:Q))</f>
        <v>0</v>
      </c>
      <c r="R78" s="885" t="s">
        <v>5445</v>
      </c>
      <c r="S78" s="886"/>
      <c r="T78" s="886"/>
      <c r="U78" s="891">
        <v>165840</v>
      </c>
      <c r="V78" s="892">
        <v>66969</v>
      </c>
      <c r="W78" s="893">
        <v>165840</v>
      </c>
    </row>
    <row r="79" spans="1:23">
      <c r="A79" t="s">
        <v>4558</v>
      </c>
      <c r="B79" t="s">
        <v>4559</v>
      </c>
      <c r="C79" t="s">
        <v>4543</v>
      </c>
      <c r="D79" t="s">
        <v>4559</v>
      </c>
      <c r="E79" s="156">
        <v>41960</v>
      </c>
      <c r="F79" t="s">
        <v>4521</v>
      </c>
      <c r="G79" t="s">
        <v>4553</v>
      </c>
      <c r="H79" t="s">
        <v>4515</v>
      </c>
      <c r="I79" t="s">
        <v>4545</v>
      </c>
      <c r="J79" t="s">
        <v>25</v>
      </c>
      <c r="K79">
        <v>118200</v>
      </c>
      <c r="L79" s="121">
        <v>110320</v>
      </c>
      <c r="M79">
        <v>56</v>
      </c>
      <c r="N79">
        <v>0</v>
      </c>
      <c r="O79">
        <v>118200</v>
      </c>
      <c r="P79" t="s">
        <v>4546</v>
      </c>
      <c r="Q79" s="169">
        <f t="array" ref="Q79">SUM(IF((finan_graos!J:J=BD_CONTRATOS_GRAOS!F703)*(finan_graos!L:L=BD_CONTRATOS_GRAOS!D703)*(finan_graos!N:N=BD_CONTRATOS_GRAOS!J703),finan_graos!Q:Q))</f>
        <v>0</v>
      </c>
      <c r="R79" s="885" t="s">
        <v>5498</v>
      </c>
      <c r="S79" s="885" t="s">
        <v>4589</v>
      </c>
      <c r="T79" s="885" t="s">
        <v>25</v>
      </c>
      <c r="U79" s="891">
        <v>61515</v>
      </c>
      <c r="V79" s="892">
        <v>33118.730000000003</v>
      </c>
      <c r="W79" s="893">
        <v>61515</v>
      </c>
    </row>
    <row r="80" spans="1:23">
      <c r="A80" t="s">
        <v>5970</v>
      </c>
      <c r="B80" t="s">
        <v>4548</v>
      </c>
      <c r="C80" t="s">
        <v>4543</v>
      </c>
      <c r="D80" t="s">
        <v>4548</v>
      </c>
      <c r="E80" s="156">
        <v>42270</v>
      </c>
      <c r="F80" t="s">
        <v>5656</v>
      </c>
      <c r="G80" t="s">
        <v>4553</v>
      </c>
      <c r="H80" t="s">
        <v>4515</v>
      </c>
      <c r="I80" t="s">
        <v>4545</v>
      </c>
      <c r="J80" t="s">
        <v>25</v>
      </c>
      <c r="K80">
        <v>800000</v>
      </c>
      <c r="L80" s="121">
        <v>1000000</v>
      </c>
      <c r="M80">
        <v>75</v>
      </c>
      <c r="N80">
        <v>798572</v>
      </c>
      <c r="O80">
        <v>1428</v>
      </c>
      <c r="P80" t="s">
        <v>4546</v>
      </c>
      <c r="Q80" s="169">
        <f t="array" ref="Q80">SUM(IF((finan_graos!J:J=BD_CONTRATOS_GRAOS!F765)*(finan_graos!L:L=BD_CONTRATOS_GRAOS!D765)*(finan_graos!N:N=BD_CONTRATOS_GRAOS!J765),finan_graos!Q:Q))</f>
        <v>0</v>
      </c>
      <c r="R80" s="894"/>
      <c r="S80" s="885" t="s">
        <v>5034</v>
      </c>
      <c r="T80" s="886"/>
      <c r="U80" s="891">
        <v>61515</v>
      </c>
      <c r="V80" s="892">
        <v>33118.730000000003</v>
      </c>
      <c r="W80" s="893">
        <v>61515</v>
      </c>
    </row>
    <row r="81" spans="1:23">
      <c r="A81" t="s">
        <v>5971</v>
      </c>
      <c r="B81" t="s">
        <v>5727</v>
      </c>
      <c r="C81" t="s">
        <v>4543</v>
      </c>
      <c r="D81" t="s">
        <v>5727</v>
      </c>
      <c r="E81" s="156">
        <v>42270</v>
      </c>
      <c r="F81" t="s">
        <v>5656</v>
      </c>
      <c r="G81" t="s">
        <v>4544</v>
      </c>
      <c r="H81" t="s">
        <v>4514</v>
      </c>
      <c r="I81" t="s">
        <v>4545</v>
      </c>
      <c r="J81" t="s">
        <v>25</v>
      </c>
      <c r="K81">
        <v>900000</v>
      </c>
      <c r="L81" s="121">
        <v>1125000</v>
      </c>
      <c r="M81">
        <v>75</v>
      </c>
      <c r="N81">
        <v>896130</v>
      </c>
      <c r="O81">
        <v>3870</v>
      </c>
      <c r="P81" t="s">
        <v>4546</v>
      </c>
      <c r="Q81" s="169">
        <f t="array" ref="Q81">SUM(IF((finan_graos!J:J=BD_CONTRATOS_GRAOS!F767)*(finan_graos!L:L=BD_CONTRATOS_GRAOS!D767)*(finan_graos!N:N=BD_CONTRATOS_GRAOS!J767),finan_graos!Q:Q))</f>
        <v>0</v>
      </c>
      <c r="R81" s="885" t="s">
        <v>5535</v>
      </c>
      <c r="S81" s="886"/>
      <c r="T81" s="886"/>
      <c r="U81" s="891">
        <v>61515</v>
      </c>
      <c r="V81" s="892">
        <v>33118.730000000003</v>
      </c>
      <c r="W81" s="893">
        <v>61515</v>
      </c>
    </row>
    <row r="82" spans="1:23">
      <c r="A82" t="s">
        <v>6710</v>
      </c>
      <c r="B82" t="s">
        <v>6711</v>
      </c>
      <c r="C82" t="s">
        <v>4543</v>
      </c>
      <c r="D82" t="s">
        <v>6711</v>
      </c>
      <c r="E82" s="156">
        <v>42311</v>
      </c>
      <c r="F82" t="s">
        <v>6096</v>
      </c>
      <c r="G82" t="s">
        <v>4589</v>
      </c>
      <c r="H82" t="s">
        <v>4520</v>
      </c>
      <c r="I82" t="s">
        <v>4545</v>
      </c>
      <c r="J82" t="s">
        <v>25</v>
      </c>
      <c r="K82">
        <v>20000</v>
      </c>
      <c r="L82" s="121">
        <v>45000</v>
      </c>
      <c r="M82">
        <v>135</v>
      </c>
      <c r="N82">
        <v>20000</v>
      </c>
      <c r="O82">
        <v>0</v>
      </c>
      <c r="P82" t="s">
        <v>4546</v>
      </c>
      <c r="Q82" s="169">
        <f t="array" ref="Q82">SUM(IF((finan_graos!J:J=BD_CONTRATOS_GRAOS!F680)*(finan_graos!L:L=BD_CONTRATOS_GRAOS!D680)*(finan_graos!N:N=BD_CONTRATOS_GRAOS!J680),finan_graos!Q:Q))</f>
        <v>0</v>
      </c>
      <c r="R82" s="885" t="s">
        <v>4972</v>
      </c>
      <c r="S82" s="885" t="s">
        <v>4618</v>
      </c>
      <c r="T82" s="885" t="s">
        <v>25</v>
      </c>
      <c r="U82" s="891">
        <v>175000</v>
      </c>
      <c r="V82" s="892">
        <v>58333.33</v>
      </c>
      <c r="W82" s="893">
        <v>175000</v>
      </c>
    </row>
    <row r="83" spans="1:23">
      <c r="A83" t="s">
        <v>4574</v>
      </c>
      <c r="B83" t="s">
        <v>4575</v>
      </c>
      <c r="C83" t="s">
        <v>4543</v>
      </c>
      <c r="D83" t="s">
        <v>4575</v>
      </c>
      <c r="E83" s="156">
        <v>41934</v>
      </c>
      <c r="F83" t="s">
        <v>4522</v>
      </c>
      <c r="G83" t="s">
        <v>4553</v>
      </c>
      <c r="H83" t="s">
        <v>4515</v>
      </c>
      <c r="I83" t="s">
        <v>4545</v>
      </c>
      <c r="J83" t="s">
        <v>25</v>
      </c>
      <c r="K83">
        <v>1308000</v>
      </c>
      <c r="L83" s="121">
        <v>1090000</v>
      </c>
      <c r="M83">
        <v>50</v>
      </c>
      <c r="N83">
        <v>1308000</v>
      </c>
      <c r="O83">
        <v>0</v>
      </c>
      <c r="P83" t="s">
        <v>4546</v>
      </c>
      <c r="Q83" s="169">
        <f t="array" ref="Q83">SUM(IF((finan_graos!J:J=BD_CONTRATOS_GRAOS!F694)*(finan_graos!L:L=BD_CONTRATOS_GRAOS!D694)*(finan_graos!N:N=BD_CONTRATOS_GRAOS!J694),finan_graos!Q:Q))</f>
        <v>0</v>
      </c>
      <c r="R83" s="894"/>
      <c r="S83" s="885" t="s">
        <v>5033</v>
      </c>
      <c r="T83" s="886"/>
      <c r="U83" s="891">
        <v>175000</v>
      </c>
      <c r="V83" s="892">
        <v>58333.33</v>
      </c>
      <c r="W83" s="893">
        <v>175000</v>
      </c>
    </row>
    <row r="84" spans="1:23">
      <c r="A84" t="s">
        <v>5076</v>
      </c>
      <c r="B84" t="s">
        <v>5077</v>
      </c>
      <c r="C84" t="s">
        <v>4543</v>
      </c>
      <c r="D84" t="s">
        <v>5077</v>
      </c>
      <c r="E84" s="156">
        <v>42122</v>
      </c>
      <c r="F84" t="s">
        <v>4522</v>
      </c>
      <c r="G84" t="s">
        <v>4544</v>
      </c>
      <c r="H84" t="s">
        <v>4514</v>
      </c>
      <c r="I84" t="s">
        <v>4545</v>
      </c>
      <c r="J84" t="s">
        <v>25</v>
      </c>
      <c r="K84">
        <v>219166</v>
      </c>
      <c r="L84" s="121">
        <v>182638.34</v>
      </c>
      <c r="M84">
        <v>50.000001825100597</v>
      </c>
      <c r="N84">
        <v>180000</v>
      </c>
      <c r="O84">
        <v>39166</v>
      </c>
      <c r="P84" t="s">
        <v>4546</v>
      </c>
      <c r="Q84" s="169">
        <f t="array" ref="Q84">SUM(IF((finan_graos!J:J=BD_CONTRATOS_GRAOS!F742)*(finan_graos!L:L=BD_CONTRATOS_GRAOS!D742)*(finan_graos!N:N=BD_CONTRATOS_GRAOS!J742),finan_graos!Q:Q))</f>
        <v>0</v>
      </c>
      <c r="R84" s="885" t="s">
        <v>5536</v>
      </c>
      <c r="S84" s="886"/>
      <c r="T84" s="886"/>
      <c r="U84" s="891">
        <v>175000</v>
      </c>
      <c r="V84" s="892">
        <v>58333.33</v>
      </c>
      <c r="W84" s="893">
        <v>175000</v>
      </c>
    </row>
    <row r="85" spans="1:23">
      <c r="A85" t="s">
        <v>5049</v>
      </c>
      <c r="B85" t="s">
        <v>5048</v>
      </c>
      <c r="C85" t="s">
        <v>4543</v>
      </c>
      <c r="D85" t="s">
        <v>5048</v>
      </c>
      <c r="E85" s="156">
        <v>42108</v>
      </c>
      <c r="F85" t="s">
        <v>5045</v>
      </c>
      <c r="G85" t="s">
        <v>4618</v>
      </c>
      <c r="H85" t="s">
        <v>4519</v>
      </c>
      <c r="I85" t="s">
        <v>4545</v>
      </c>
      <c r="J85" t="s">
        <v>25</v>
      </c>
      <c r="K85">
        <v>5400000</v>
      </c>
      <c r="L85" s="121">
        <v>1845000</v>
      </c>
      <c r="M85">
        <v>20.5</v>
      </c>
      <c r="N85">
        <v>5400000</v>
      </c>
      <c r="O85">
        <v>0</v>
      </c>
      <c r="P85" t="s">
        <v>4546</v>
      </c>
      <c r="Q85" s="169">
        <f t="array" ref="Q85">SUM(IF((finan_graos!J:J=BD_CONTRATOS_GRAOS!F681)*(finan_graos!L:L=BD_CONTRATOS_GRAOS!D681)*(finan_graos!N:N=BD_CONTRATOS_GRAOS!J681),finan_graos!Q:Q))</f>
        <v>0</v>
      </c>
      <c r="R85" s="885" t="s">
        <v>5065</v>
      </c>
      <c r="S85" s="885" t="s">
        <v>4618</v>
      </c>
      <c r="T85" s="885" t="s">
        <v>25</v>
      </c>
      <c r="U85" s="891">
        <v>180060</v>
      </c>
      <c r="V85" s="892">
        <v>54018</v>
      </c>
      <c r="W85" s="893">
        <v>119760</v>
      </c>
    </row>
    <row r="86" spans="1:23">
      <c r="A86" t="s">
        <v>5606</v>
      </c>
      <c r="B86" t="s">
        <v>5604</v>
      </c>
      <c r="C86" t="s">
        <v>4543</v>
      </c>
      <c r="D86" t="s">
        <v>5604</v>
      </c>
      <c r="E86" s="156">
        <v>42108</v>
      </c>
      <c r="F86" t="s">
        <v>5045</v>
      </c>
      <c r="G86" t="s">
        <v>4618</v>
      </c>
      <c r="H86" t="s">
        <v>4519</v>
      </c>
      <c r="I86" t="s">
        <v>4545</v>
      </c>
      <c r="J86" t="s">
        <v>25</v>
      </c>
      <c r="K86">
        <v>5660</v>
      </c>
      <c r="L86" s="121">
        <v>1886.66</v>
      </c>
      <c r="M86">
        <v>19.999929328621899</v>
      </c>
      <c r="N86">
        <v>5660</v>
      </c>
      <c r="O86">
        <v>0</v>
      </c>
      <c r="P86" t="s">
        <v>4546</v>
      </c>
      <c r="Q86" s="169">
        <f t="array" ref="Q86">SUM(IF((finan_graos!J:J=BD_CONTRATOS_GRAOS!F716)*(finan_graos!L:L=BD_CONTRATOS_GRAOS!D716)*(finan_graos!N:N=BD_CONTRATOS_GRAOS!J716),finan_graos!Q:Q))</f>
        <v>0</v>
      </c>
      <c r="R86" s="894"/>
      <c r="S86" s="885" t="s">
        <v>5033</v>
      </c>
      <c r="T86" s="886"/>
      <c r="U86" s="891">
        <v>180060</v>
      </c>
      <c r="V86" s="892">
        <v>54018</v>
      </c>
      <c r="W86" s="893">
        <v>119760</v>
      </c>
    </row>
    <row r="87" spans="1:23">
      <c r="A87" t="s">
        <v>5526</v>
      </c>
      <c r="B87" t="s">
        <v>5527</v>
      </c>
      <c r="C87" t="s">
        <v>4543</v>
      </c>
      <c r="D87" t="s">
        <v>5527</v>
      </c>
      <c r="E87" s="156">
        <v>42166</v>
      </c>
      <c r="F87" t="s">
        <v>4972</v>
      </c>
      <c r="G87" t="s">
        <v>4618</v>
      </c>
      <c r="H87" t="s">
        <v>4519</v>
      </c>
      <c r="I87" t="s">
        <v>4545</v>
      </c>
      <c r="J87" t="s">
        <v>25</v>
      </c>
      <c r="K87">
        <v>175000</v>
      </c>
      <c r="L87" s="121">
        <v>58333.33</v>
      </c>
      <c r="M87">
        <v>19.999998857142899</v>
      </c>
      <c r="N87">
        <v>175000</v>
      </c>
      <c r="O87">
        <v>0</v>
      </c>
      <c r="P87" t="s">
        <v>4546</v>
      </c>
      <c r="Q87" s="169">
        <f t="array" ref="Q87">SUM(IF((finan_graos!J:J=BD_CONTRATOS_GRAOS!F701)*(finan_graos!L:L=BD_CONTRATOS_GRAOS!D701)*(finan_graos!N:N=BD_CONTRATOS_GRAOS!J701),finan_graos!Q:Q))</f>
        <v>0</v>
      </c>
      <c r="R87" s="885" t="s">
        <v>5537</v>
      </c>
      <c r="S87" s="886"/>
      <c r="T87" s="886"/>
      <c r="U87" s="891">
        <v>180060</v>
      </c>
      <c r="V87" s="892">
        <v>54018</v>
      </c>
      <c r="W87" s="893">
        <v>119760</v>
      </c>
    </row>
    <row r="88" spans="1:23">
      <c r="A88" t="s">
        <v>5634</v>
      </c>
      <c r="B88" t="s">
        <v>5635</v>
      </c>
      <c r="C88" t="s">
        <v>4543</v>
      </c>
      <c r="D88" t="s">
        <v>5635</v>
      </c>
      <c r="E88" s="156">
        <v>42216</v>
      </c>
      <c r="F88" t="s">
        <v>5589</v>
      </c>
      <c r="G88" t="s">
        <v>4618</v>
      </c>
      <c r="H88" t="s">
        <v>4519</v>
      </c>
      <c r="I88" t="s">
        <v>4545</v>
      </c>
      <c r="J88" t="s">
        <v>25</v>
      </c>
      <c r="K88">
        <v>217670</v>
      </c>
      <c r="L88" s="121">
        <v>88881.91</v>
      </c>
      <c r="M88">
        <v>24.499998162355897</v>
      </c>
      <c r="N88">
        <v>177341</v>
      </c>
      <c r="O88">
        <v>40329</v>
      </c>
      <c r="P88" t="s">
        <v>4546</v>
      </c>
      <c r="Q88" s="169">
        <f t="array" ref="Q88">SUM(IF((finan_graos!J:J=BD_CONTRATOS_GRAOS!F719)*(finan_graos!L:L=BD_CONTRATOS_GRAOS!D719)*(finan_graos!N:N=BD_CONTRATOS_GRAOS!J719),finan_graos!Q:Q))</f>
        <v>0</v>
      </c>
      <c r="R88" s="885" t="s">
        <v>5598</v>
      </c>
      <c r="S88" s="885" t="s">
        <v>4618</v>
      </c>
      <c r="T88" s="885" t="s">
        <v>25</v>
      </c>
      <c r="U88" s="891">
        <v>76800</v>
      </c>
      <c r="V88" s="892">
        <v>23040</v>
      </c>
      <c r="W88" s="893">
        <v>74340</v>
      </c>
    </row>
    <row r="89" spans="1:23">
      <c r="A89" t="s">
        <v>5715</v>
      </c>
      <c r="B89" t="s">
        <v>5716</v>
      </c>
      <c r="C89" t="s">
        <v>4543</v>
      </c>
      <c r="D89" t="s">
        <v>5716</v>
      </c>
      <c r="E89" s="156">
        <v>42234</v>
      </c>
      <c r="F89" t="s">
        <v>5589</v>
      </c>
      <c r="G89" t="s">
        <v>4618</v>
      </c>
      <c r="H89" t="s">
        <v>4519</v>
      </c>
      <c r="I89" t="s">
        <v>4545</v>
      </c>
      <c r="J89" t="s">
        <v>25</v>
      </c>
      <c r="K89">
        <v>145560</v>
      </c>
      <c r="L89" s="121">
        <v>59437</v>
      </c>
      <c r="M89">
        <v>24.5</v>
      </c>
      <c r="N89">
        <v>145560</v>
      </c>
      <c r="O89">
        <v>0</v>
      </c>
      <c r="P89" t="s">
        <v>4546</v>
      </c>
      <c r="Q89" s="169">
        <f t="array" ref="Q89">SUM(IF((finan_graos!J:J=BD_CONTRATOS_GRAOS!F723)*(finan_graos!L:L=BD_CONTRATOS_GRAOS!D723)*(finan_graos!N:N=BD_CONTRATOS_GRAOS!J723),finan_graos!Q:Q))</f>
        <v>0</v>
      </c>
      <c r="R89" s="894"/>
      <c r="S89" s="885" t="s">
        <v>5033</v>
      </c>
      <c r="T89" s="886"/>
      <c r="U89" s="891">
        <v>76800</v>
      </c>
      <c r="V89" s="892">
        <v>23040</v>
      </c>
      <c r="W89" s="893">
        <v>74340</v>
      </c>
    </row>
    <row r="90" spans="1:23">
      <c r="A90" t="s">
        <v>5717</v>
      </c>
      <c r="B90" t="s">
        <v>5718</v>
      </c>
      <c r="C90" t="s">
        <v>4543</v>
      </c>
      <c r="D90" t="s">
        <v>5718</v>
      </c>
      <c r="E90" s="156">
        <v>42243</v>
      </c>
      <c r="F90" t="s">
        <v>5589</v>
      </c>
      <c r="G90" t="s">
        <v>4618</v>
      </c>
      <c r="H90" t="s">
        <v>4519</v>
      </c>
      <c r="I90" t="s">
        <v>4545</v>
      </c>
      <c r="J90" t="s">
        <v>25</v>
      </c>
      <c r="K90">
        <v>28570</v>
      </c>
      <c r="L90" s="121">
        <v>11666.09</v>
      </c>
      <c r="M90">
        <v>24.500014000700002</v>
      </c>
      <c r="N90">
        <v>28570</v>
      </c>
      <c r="O90">
        <v>0</v>
      </c>
      <c r="P90" t="s">
        <v>4546</v>
      </c>
      <c r="Q90" s="169">
        <f t="array" ref="Q90">SUM(IF((finan_graos!J:J=BD_CONTRATOS_GRAOS!F725)*(finan_graos!L:L=BD_CONTRATOS_GRAOS!D725)*(finan_graos!N:N=BD_CONTRATOS_GRAOS!J725),finan_graos!Q:Q))</f>
        <v>0</v>
      </c>
      <c r="R90" s="885" t="s">
        <v>5608</v>
      </c>
      <c r="S90" s="886"/>
      <c r="T90" s="886"/>
      <c r="U90" s="891">
        <v>76800</v>
      </c>
      <c r="V90" s="892">
        <v>23040</v>
      </c>
      <c r="W90" s="893">
        <v>74340</v>
      </c>
    </row>
    <row r="91" spans="1:23">
      <c r="A91" t="s">
        <v>5441</v>
      </c>
      <c r="B91" t="s">
        <v>5440</v>
      </c>
      <c r="C91" t="s">
        <v>4543</v>
      </c>
      <c r="D91" t="s">
        <v>5440</v>
      </c>
      <c r="E91" s="156">
        <v>42161</v>
      </c>
      <c r="F91" t="s">
        <v>5439</v>
      </c>
      <c r="G91" t="s">
        <v>4618</v>
      </c>
      <c r="H91" t="s">
        <v>4519</v>
      </c>
      <c r="I91" t="s">
        <v>4545</v>
      </c>
      <c r="J91" t="s">
        <v>25</v>
      </c>
      <c r="K91">
        <v>58740</v>
      </c>
      <c r="L91" s="121">
        <v>20559</v>
      </c>
      <c r="M91">
        <v>21</v>
      </c>
      <c r="N91">
        <v>58740</v>
      </c>
      <c r="O91">
        <v>0</v>
      </c>
      <c r="P91" t="s">
        <v>4546</v>
      </c>
      <c r="Q91" s="169">
        <f t="array" ref="Q91">SUM(IF((finan_graos!J:J=BD_CONTRATOS_GRAOS!F699)*(finan_graos!L:L=BD_CONTRATOS_GRAOS!D699)*(finan_graos!N:N=BD_CONTRATOS_GRAOS!J699),finan_graos!Q:Q))</f>
        <v>0</v>
      </c>
      <c r="R91" s="885" t="s">
        <v>5589</v>
      </c>
      <c r="S91" s="885" t="s">
        <v>4618</v>
      </c>
      <c r="T91" s="885" t="s">
        <v>25</v>
      </c>
      <c r="U91" s="891">
        <v>391800</v>
      </c>
      <c r="V91" s="892">
        <v>159985</v>
      </c>
      <c r="W91" s="893">
        <v>351471</v>
      </c>
    </row>
    <row r="92" spans="1:23">
      <c r="A92" t="s">
        <v>5719</v>
      </c>
      <c r="B92" t="s">
        <v>5720</v>
      </c>
      <c r="C92" t="s">
        <v>4543</v>
      </c>
      <c r="D92" t="s">
        <v>5720</v>
      </c>
      <c r="E92" s="156">
        <v>42248</v>
      </c>
      <c r="F92" t="s">
        <v>5439</v>
      </c>
      <c r="G92" t="s">
        <v>4618</v>
      </c>
      <c r="H92" t="s">
        <v>4519</v>
      </c>
      <c r="I92" t="s">
        <v>4545</v>
      </c>
      <c r="J92" t="s">
        <v>25</v>
      </c>
      <c r="K92">
        <v>57120</v>
      </c>
      <c r="L92" s="121">
        <v>24752</v>
      </c>
      <c r="M92">
        <v>26</v>
      </c>
      <c r="N92">
        <v>57120</v>
      </c>
      <c r="O92">
        <v>0</v>
      </c>
      <c r="P92" t="s">
        <v>4546</v>
      </c>
      <c r="Q92" s="169">
        <f t="array" ref="Q92">SUM(IF((finan_graos!J:J=BD_CONTRATOS_GRAOS!F726)*(finan_graos!L:L=BD_CONTRATOS_GRAOS!D726)*(finan_graos!N:N=BD_CONTRATOS_GRAOS!J726),finan_graos!Q:Q))</f>
        <v>0</v>
      </c>
      <c r="R92" s="894"/>
      <c r="S92" s="885" t="s">
        <v>5033</v>
      </c>
      <c r="T92" s="886"/>
      <c r="U92" s="891">
        <v>391800</v>
      </c>
      <c r="V92" s="892">
        <v>159985</v>
      </c>
      <c r="W92" s="893">
        <v>351471</v>
      </c>
    </row>
    <row r="93" spans="1:23">
      <c r="A93" t="s">
        <v>5966</v>
      </c>
      <c r="B93" t="s">
        <v>5967</v>
      </c>
      <c r="C93" t="s">
        <v>4543</v>
      </c>
      <c r="D93" t="s">
        <v>5967</v>
      </c>
      <c r="E93" s="156">
        <v>42292</v>
      </c>
      <c r="F93" t="s">
        <v>5439</v>
      </c>
      <c r="G93" t="s">
        <v>4618</v>
      </c>
      <c r="H93" t="s">
        <v>4519</v>
      </c>
      <c r="I93" t="s">
        <v>4545</v>
      </c>
      <c r="J93" t="s">
        <v>25</v>
      </c>
      <c r="K93">
        <v>49980</v>
      </c>
      <c r="L93" s="121">
        <v>21658</v>
      </c>
      <c r="M93">
        <v>26</v>
      </c>
      <c r="N93">
        <v>49980</v>
      </c>
      <c r="O93">
        <v>0</v>
      </c>
      <c r="P93" t="s">
        <v>4546</v>
      </c>
      <c r="Q93" s="169">
        <f t="array" ref="Q93">SUM(IF((finan_graos!J:J=BD_CONTRATOS_GRAOS!F734)*(finan_graos!L:L=BD_CONTRATOS_GRAOS!D734)*(finan_graos!N:N=BD_CONTRATOS_GRAOS!J734),finan_graos!Q:Q))</f>
        <v>0</v>
      </c>
      <c r="R93" s="885" t="s">
        <v>5640</v>
      </c>
      <c r="S93" s="886"/>
      <c r="T93" s="886"/>
      <c r="U93" s="891">
        <v>391800</v>
      </c>
      <c r="V93" s="892">
        <v>159985</v>
      </c>
      <c r="W93" s="893">
        <v>351471</v>
      </c>
    </row>
    <row r="94" spans="1:23">
      <c r="A94" t="s">
        <v>4541</v>
      </c>
      <c r="B94" t="s">
        <v>4542</v>
      </c>
      <c r="C94" t="s">
        <v>4543</v>
      </c>
      <c r="D94" t="s">
        <v>4542</v>
      </c>
      <c r="E94" s="156">
        <v>42019</v>
      </c>
      <c r="F94" t="s">
        <v>4523</v>
      </c>
      <c r="G94" t="s">
        <v>4544</v>
      </c>
      <c r="H94" t="s">
        <v>4514</v>
      </c>
      <c r="I94" t="s">
        <v>4545</v>
      </c>
      <c r="J94" t="s">
        <v>25</v>
      </c>
      <c r="K94">
        <v>10760</v>
      </c>
      <c r="L94" s="121">
        <v>26900</v>
      </c>
      <c r="M94">
        <v>150</v>
      </c>
      <c r="N94">
        <v>10760</v>
      </c>
      <c r="O94">
        <v>0</v>
      </c>
      <c r="P94" t="s">
        <v>4546</v>
      </c>
      <c r="Q94" s="169">
        <f t="array" ref="Q94">SUM(IF((finan_graos!J:J=BD_CONTRATOS_GRAOS!F762)*(finan_graos!L:L=BD_CONTRATOS_GRAOS!D762)*(finan_graos!N:N=BD_CONTRATOS_GRAOS!J762),finan_graos!Q:Q))</f>
        <v>0</v>
      </c>
      <c r="R94" s="885" t="s">
        <v>5725</v>
      </c>
      <c r="S94" s="885" t="s">
        <v>4544</v>
      </c>
      <c r="T94" s="885" t="s">
        <v>25</v>
      </c>
      <c r="U94" s="891">
        <v>159900</v>
      </c>
      <c r="V94" s="892">
        <v>143910</v>
      </c>
      <c r="W94" s="893">
        <v>159900</v>
      </c>
    </row>
    <row r="95" spans="1:23">
      <c r="A95" t="s">
        <v>5974</v>
      </c>
      <c r="B95" t="s">
        <v>5975</v>
      </c>
      <c r="C95" t="s">
        <v>4543</v>
      </c>
      <c r="D95" t="s">
        <v>5975</v>
      </c>
      <c r="E95" s="156">
        <v>42305</v>
      </c>
      <c r="F95" t="s">
        <v>4523</v>
      </c>
      <c r="G95" t="s">
        <v>4544</v>
      </c>
      <c r="H95" t="s">
        <v>4514</v>
      </c>
      <c r="I95" t="s">
        <v>4545</v>
      </c>
      <c r="J95" t="s">
        <v>25</v>
      </c>
      <c r="K95">
        <v>11160</v>
      </c>
      <c r="L95" s="121">
        <v>13392</v>
      </c>
      <c r="M95">
        <v>72</v>
      </c>
      <c r="N95">
        <v>11160</v>
      </c>
      <c r="O95">
        <v>0</v>
      </c>
      <c r="P95" t="s">
        <v>4546</v>
      </c>
      <c r="Q95" s="169">
        <f t="array" ref="Q95">SUM(IF((finan_graos!J:J=BD_CONTRATOS_GRAOS!F769)*(finan_graos!L:L=BD_CONTRATOS_GRAOS!D769)*(finan_graos!N:N=BD_CONTRATOS_GRAOS!J769),finan_graos!Q:Q))</f>
        <v>0</v>
      </c>
      <c r="R95" s="894"/>
      <c r="S95" s="885" t="s">
        <v>5031</v>
      </c>
      <c r="T95" s="886"/>
      <c r="U95" s="891">
        <v>159900</v>
      </c>
      <c r="V95" s="892">
        <v>143910</v>
      </c>
      <c r="W95" s="893">
        <v>159900</v>
      </c>
    </row>
    <row r="96" spans="1:23">
      <c r="A96" t="s">
        <v>4616</v>
      </c>
      <c r="B96" t="s">
        <v>4617</v>
      </c>
      <c r="C96" t="s">
        <v>4543</v>
      </c>
      <c r="D96" t="s">
        <v>4617</v>
      </c>
      <c r="E96" s="156">
        <v>42069</v>
      </c>
      <c r="F96" t="s">
        <v>4524</v>
      </c>
      <c r="G96" t="s">
        <v>4618</v>
      </c>
      <c r="H96" t="s">
        <v>4519</v>
      </c>
      <c r="I96" t="s">
        <v>4545</v>
      </c>
      <c r="J96" t="s">
        <v>25</v>
      </c>
      <c r="K96">
        <v>1500000</v>
      </c>
      <c r="L96" s="121">
        <v>416666.2</v>
      </c>
      <c r="M96">
        <v>16.666647999999999</v>
      </c>
      <c r="N96">
        <v>1500000</v>
      </c>
      <c r="O96">
        <v>0</v>
      </c>
      <c r="P96" t="s">
        <v>4546</v>
      </c>
      <c r="Q96" s="169">
        <f t="array" ref="Q96">SUM(IF((finan_graos!J:J=BD_CONTRATOS_GRAOS!F678)*(finan_graos!L:L=BD_CONTRATOS_GRAOS!D678)*(finan_graos!N:N=BD_CONTRATOS_GRAOS!J678),finan_graos!Q:Q))</f>
        <v>0</v>
      </c>
      <c r="R96" s="885" t="s">
        <v>5732</v>
      </c>
      <c r="S96" s="886"/>
      <c r="T96" s="886"/>
      <c r="U96" s="891">
        <v>159900</v>
      </c>
      <c r="V96" s="892">
        <v>143910</v>
      </c>
      <c r="W96" s="893">
        <v>159900</v>
      </c>
    </row>
    <row r="97" spans="1:23">
      <c r="A97" t="s">
        <v>4585</v>
      </c>
      <c r="B97" t="s">
        <v>4586</v>
      </c>
      <c r="C97" t="s">
        <v>4543</v>
      </c>
      <c r="D97" t="s">
        <v>4586</v>
      </c>
      <c r="E97" s="156">
        <v>41960</v>
      </c>
      <c r="F97" t="s">
        <v>4524</v>
      </c>
      <c r="G97" t="s">
        <v>4553</v>
      </c>
      <c r="H97" t="s">
        <v>4515</v>
      </c>
      <c r="I97" t="s">
        <v>4545</v>
      </c>
      <c r="J97" t="s">
        <v>25</v>
      </c>
      <c r="K97">
        <v>3600000</v>
      </c>
      <c r="L97" s="121">
        <v>2400000</v>
      </c>
      <c r="M97">
        <v>40</v>
      </c>
      <c r="N97">
        <v>2400000</v>
      </c>
      <c r="O97">
        <v>1200000</v>
      </c>
      <c r="P97" t="s">
        <v>4546</v>
      </c>
      <c r="Q97" s="169">
        <f t="array" ref="Q97">SUM(IF((finan_graos!J:J=BD_CONTRATOS_GRAOS!F700)*(finan_graos!L:L=BD_CONTRATOS_GRAOS!D700)*(finan_graos!N:N=BD_CONTRATOS_GRAOS!J700),finan_graos!Q:Q))</f>
        <v>0</v>
      </c>
      <c r="R97" s="885" t="s">
        <v>5896</v>
      </c>
      <c r="S97" s="885" t="s">
        <v>4589</v>
      </c>
      <c r="T97" s="885" t="s">
        <v>25</v>
      </c>
      <c r="U97" s="891">
        <v>149760</v>
      </c>
      <c r="V97" s="892">
        <v>117277.94</v>
      </c>
      <c r="W97" s="893">
        <v>149760</v>
      </c>
    </row>
    <row r="98" spans="1:23">
      <c r="A98" t="s">
        <v>4547</v>
      </c>
      <c r="B98" t="s">
        <v>4548</v>
      </c>
      <c r="C98" t="s">
        <v>4543</v>
      </c>
      <c r="D98" t="s">
        <v>4548</v>
      </c>
      <c r="E98" s="156">
        <v>42086</v>
      </c>
      <c r="F98" t="s">
        <v>4525</v>
      </c>
      <c r="G98" t="s">
        <v>4544</v>
      </c>
      <c r="H98" t="s">
        <v>4514</v>
      </c>
      <c r="I98" t="s">
        <v>4545</v>
      </c>
      <c r="J98" t="s">
        <v>25</v>
      </c>
      <c r="K98">
        <v>84000</v>
      </c>
      <c r="L98" s="121">
        <v>84000</v>
      </c>
      <c r="M98">
        <v>60</v>
      </c>
      <c r="N98">
        <v>84000</v>
      </c>
      <c r="O98">
        <v>0</v>
      </c>
      <c r="P98" t="s">
        <v>4546</v>
      </c>
      <c r="Q98" s="169">
        <f t="array" ref="Q98">SUM(IF((finan_graos!J:J=BD_CONTRATOS_GRAOS!F764)*(finan_graos!L:L=BD_CONTRATOS_GRAOS!D764)*(finan_graos!N:N=BD_CONTRATOS_GRAOS!J764),finan_graos!Q:Q))</f>
        <v>0</v>
      </c>
      <c r="R98" s="894"/>
      <c r="S98" s="885" t="s">
        <v>5034</v>
      </c>
      <c r="T98" s="886"/>
      <c r="U98" s="891">
        <v>149760</v>
      </c>
      <c r="V98" s="892">
        <v>117277.94</v>
      </c>
      <c r="W98" s="893">
        <v>149760</v>
      </c>
    </row>
    <row r="99" spans="1:23">
      <c r="A99" t="s">
        <v>5726</v>
      </c>
      <c r="B99" t="s">
        <v>5727</v>
      </c>
      <c r="C99" t="s">
        <v>4543</v>
      </c>
      <c r="D99" t="s">
        <v>5727</v>
      </c>
      <c r="E99" s="156">
        <v>42244</v>
      </c>
      <c r="F99" t="s">
        <v>4525</v>
      </c>
      <c r="G99" t="s">
        <v>4544</v>
      </c>
      <c r="H99" t="s">
        <v>4514</v>
      </c>
      <c r="I99" t="s">
        <v>4545</v>
      </c>
      <c r="J99" t="s">
        <v>25</v>
      </c>
      <c r="K99">
        <v>1955000</v>
      </c>
      <c r="L99" s="121">
        <v>4593213.8499999996</v>
      </c>
      <c r="M99">
        <v>140.9682</v>
      </c>
      <c r="N99">
        <v>1927000</v>
      </c>
      <c r="O99">
        <v>28000</v>
      </c>
      <c r="P99" t="s">
        <v>4546</v>
      </c>
      <c r="Q99" s="169">
        <f t="array" ref="Q99">SUM(IF((finan_graos!J:J=BD_CONTRATOS_GRAOS!F766)*(finan_graos!L:L=BD_CONTRATOS_GRAOS!D766)*(finan_graos!N:N=BD_CONTRATOS_GRAOS!J766),finan_graos!Q:Q))</f>
        <v>0</v>
      </c>
      <c r="R99" s="885" t="s">
        <v>5976</v>
      </c>
      <c r="S99" s="886"/>
      <c r="T99" s="886"/>
      <c r="U99" s="891">
        <v>149760</v>
      </c>
      <c r="V99" s="892">
        <v>117277.94</v>
      </c>
      <c r="W99" s="893">
        <v>149760</v>
      </c>
    </row>
    <row r="100" spans="1:23">
      <c r="A100" t="s">
        <v>6724</v>
      </c>
      <c r="B100" t="s">
        <v>6725</v>
      </c>
      <c r="C100" t="s">
        <v>4543</v>
      </c>
      <c r="D100" t="s">
        <v>6725</v>
      </c>
      <c r="E100" s="156">
        <v>42324</v>
      </c>
      <c r="F100" t="s">
        <v>6255</v>
      </c>
      <c r="G100" t="s">
        <v>4544</v>
      </c>
      <c r="H100" t="s">
        <v>4514</v>
      </c>
      <c r="I100" t="s">
        <v>4545</v>
      </c>
      <c r="J100" t="s">
        <v>25</v>
      </c>
      <c r="K100">
        <v>7400</v>
      </c>
      <c r="L100" s="121">
        <v>9102</v>
      </c>
      <c r="M100">
        <v>73.8</v>
      </c>
      <c r="N100">
        <v>7400</v>
      </c>
      <c r="O100">
        <v>0</v>
      </c>
      <c r="P100" t="s">
        <v>4546</v>
      </c>
      <c r="Q100" s="169">
        <f t="array" ref="Q100">SUM(IF((finan_graos!J:J=BD_CONTRATOS_GRAOS!F771)*(finan_graos!L:L=BD_CONTRATOS_GRAOS!D771)*(finan_graos!N:N=BD_CONTRATOS_GRAOS!J771),finan_graos!Q:Q))</f>
        <v>0</v>
      </c>
      <c r="R100" s="885" t="s">
        <v>5010</v>
      </c>
      <c r="S100" s="885" t="s">
        <v>4589</v>
      </c>
      <c r="T100" s="885" t="s">
        <v>25</v>
      </c>
      <c r="U100" s="891">
        <v>46620</v>
      </c>
      <c r="V100" s="892">
        <v>32802.300000000003</v>
      </c>
      <c r="W100" s="893">
        <v>46620</v>
      </c>
    </row>
    <row r="101" spans="1:23">
      <c r="A101" t="s">
        <v>4562</v>
      </c>
      <c r="B101" t="s">
        <v>4563</v>
      </c>
      <c r="C101" t="s">
        <v>4543</v>
      </c>
      <c r="D101" t="s">
        <v>4563</v>
      </c>
      <c r="E101" s="156">
        <v>42017</v>
      </c>
      <c r="F101" t="s">
        <v>4526</v>
      </c>
      <c r="G101" t="s">
        <v>4544</v>
      </c>
      <c r="H101" t="s">
        <v>4514</v>
      </c>
      <c r="I101" t="s">
        <v>4545</v>
      </c>
      <c r="J101" t="s">
        <v>25</v>
      </c>
      <c r="K101">
        <v>1200000</v>
      </c>
      <c r="L101" s="121">
        <v>1100004</v>
      </c>
      <c r="M101">
        <v>55.0002</v>
      </c>
      <c r="N101">
        <v>1200000</v>
      </c>
      <c r="O101">
        <v>0</v>
      </c>
      <c r="P101" t="s">
        <v>4546</v>
      </c>
      <c r="Q101" s="169">
        <f t="array" ref="Q101">SUM(IF((finan_graos!J:J=BD_CONTRATOS_GRAOS!F720)*(finan_graos!L:L=BD_CONTRATOS_GRAOS!D720)*(finan_graos!N:N=BD_CONTRATOS_GRAOS!J720),finan_graos!Q:Q))</f>
        <v>0</v>
      </c>
      <c r="R101" s="894"/>
      <c r="S101" s="885" t="s">
        <v>5034</v>
      </c>
      <c r="T101" s="886"/>
      <c r="U101" s="891">
        <v>46620</v>
      </c>
      <c r="V101" s="892">
        <v>32802.300000000003</v>
      </c>
      <c r="W101" s="893">
        <v>46620</v>
      </c>
    </row>
    <row r="102" spans="1:23">
      <c r="A102" t="s">
        <v>5638</v>
      </c>
      <c r="B102" t="s">
        <v>5639</v>
      </c>
      <c r="C102" t="s">
        <v>4543</v>
      </c>
      <c r="D102" t="s">
        <v>5639</v>
      </c>
      <c r="E102" s="156">
        <v>42207</v>
      </c>
      <c r="F102" t="s">
        <v>4526</v>
      </c>
      <c r="G102" t="s">
        <v>4544</v>
      </c>
      <c r="H102" t="s">
        <v>4514</v>
      </c>
      <c r="I102" t="s">
        <v>4545</v>
      </c>
      <c r="J102" t="s">
        <v>25</v>
      </c>
      <c r="K102">
        <v>348460</v>
      </c>
      <c r="L102" s="121">
        <v>324522.64</v>
      </c>
      <c r="M102">
        <v>55.878317166963193</v>
      </c>
      <c r="N102">
        <v>348460</v>
      </c>
      <c r="O102">
        <v>0</v>
      </c>
      <c r="P102" t="s">
        <v>4546</v>
      </c>
      <c r="Q102" s="169">
        <f t="array" ref="Q102">SUM(IF((finan_graos!J:J=BD_CONTRATOS_GRAOS!F754)*(finan_graos!L:L=BD_CONTRATOS_GRAOS!D754)*(finan_graos!N:N=BD_CONTRATOS_GRAOS!J754),finan_graos!Q:Q))</f>
        <v>0</v>
      </c>
      <c r="R102" s="885" t="s">
        <v>5977</v>
      </c>
      <c r="S102" s="886"/>
      <c r="T102" s="886"/>
      <c r="U102" s="891">
        <v>46620</v>
      </c>
      <c r="V102" s="892">
        <v>32802.300000000003</v>
      </c>
      <c r="W102" s="893">
        <v>46620</v>
      </c>
    </row>
    <row r="103" spans="1:23">
      <c r="A103" t="s">
        <v>5678</v>
      </c>
      <c r="B103" t="s">
        <v>5679</v>
      </c>
      <c r="C103" t="s">
        <v>4543</v>
      </c>
      <c r="D103" t="s">
        <v>5679</v>
      </c>
      <c r="E103" s="156">
        <v>42221</v>
      </c>
      <c r="F103" t="s">
        <v>4526</v>
      </c>
      <c r="G103" t="s">
        <v>4544</v>
      </c>
      <c r="H103" t="s">
        <v>4514</v>
      </c>
      <c r="I103" t="s">
        <v>4545</v>
      </c>
      <c r="J103" t="s">
        <v>25</v>
      </c>
      <c r="K103">
        <v>129220</v>
      </c>
      <c r="L103" s="121">
        <v>136973.20000000001</v>
      </c>
      <c r="M103">
        <v>63.6</v>
      </c>
      <c r="N103">
        <v>129220</v>
      </c>
      <c r="O103">
        <v>0</v>
      </c>
      <c r="P103" t="s">
        <v>4546</v>
      </c>
      <c r="Q103" s="169">
        <f t="array" ref="Q103">SUM(IF((finan_graos!J:J=BD_CONTRATOS_GRAOS!F755)*(finan_graos!L:L=BD_CONTRATOS_GRAOS!D755)*(finan_graos!N:N=BD_CONTRATOS_GRAOS!J755),finan_graos!Q:Q))</f>
        <v>0</v>
      </c>
      <c r="R103" s="885" t="s">
        <v>5925</v>
      </c>
      <c r="S103" s="885" t="s">
        <v>4544</v>
      </c>
      <c r="T103" s="885" t="s">
        <v>25</v>
      </c>
      <c r="U103" s="891">
        <v>82400</v>
      </c>
      <c r="V103" s="892">
        <v>101352</v>
      </c>
      <c r="W103" s="893">
        <v>54650</v>
      </c>
    </row>
    <row r="104" spans="1:23">
      <c r="A104" t="s">
        <v>6721</v>
      </c>
      <c r="B104" t="s">
        <v>6722</v>
      </c>
      <c r="C104" t="s">
        <v>4543</v>
      </c>
      <c r="D104" t="s">
        <v>6722</v>
      </c>
      <c r="E104" s="156">
        <v>42317</v>
      </c>
      <c r="F104" t="s">
        <v>4526</v>
      </c>
      <c r="G104" t="s">
        <v>4544</v>
      </c>
      <c r="H104" t="s">
        <v>4514</v>
      </c>
      <c r="I104" t="s">
        <v>4545</v>
      </c>
      <c r="J104" t="s">
        <v>25</v>
      </c>
      <c r="K104">
        <v>214390</v>
      </c>
      <c r="L104" s="121">
        <v>242975.33</v>
      </c>
      <c r="M104">
        <v>67.999999067120712</v>
      </c>
      <c r="N104">
        <v>214390</v>
      </c>
      <c r="O104">
        <v>0</v>
      </c>
      <c r="P104" t="s">
        <v>4546</v>
      </c>
      <c r="Q104" s="169">
        <f t="array" ref="Q104">SUM(IF((finan_graos!J:J=BD_CONTRATOS_GRAOS!F759)*(finan_graos!L:L=BD_CONTRATOS_GRAOS!D759)*(finan_graos!N:N=BD_CONTRATOS_GRAOS!J759),finan_graos!Q:Q))</f>
        <v>0</v>
      </c>
      <c r="R104" s="894"/>
      <c r="S104" s="885" t="s">
        <v>5031</v>
      </c>
      <c r="T104" s="886"/>
      <c r="U104" s="891">
        <v>82400</v>
      </c>
      <c r="V104" s="892">
        <v>101352</v>
      </c>
      <c r="W104" s="893">
        <v>54650</v>
      </c>
    </row>
    <row r="105" spans="1:23">
      <c r="A105" t="s">
        <v>5723</v>
      </c>
      <c r="B105" t="s">
        <v>5724</v>
      </c>
      <c r="C105" t="s">
        <v>4543</v>
      </c>
      <c r="D105" t="s">
        <v>5724</v>
      </c>
      <c r="E105" s="156">
        <v>42240</v>
      </c>
      <c r="F105" t="s">
        <v>5725</v>
      </c>
      <c r="G105" t="s">
        <v>4544</v>
      </c>
      <c r="H105" t="s">
        <v>4514</v>
      </c>
      <c r="I105" t="s">
        <v>4545</v>
      </c>
      <c r="J105" t="s">
        <v>25</v>
      </c>
      <c r="K105">
        <v>159900</v>
      </c>
      <c r="L105" s="121">
        <v>143910</v>
      </c>
      <c r="M105">
        <v>54</v>
      </c>
      <c r="N105">
        <v>159900</v>
      </c>
      <c r="O105">
        <v>0</v>
      </c>
      <c r="P105" t="s">
        <v>4546</v>
      </c>
      <c r="Q105" s="169">
        <f t="array" ref="Q105">SUM(IF((finan_graos!J:J=BD_CONTRATOS_GRAOS!F761)*(finan_graos!L:L=BD_CONTRATOS_GRAOS!D761)*(finan_graos!N:N=BD_CONTRATOS_GRAOS!J761),finan_graos!Q:Q))</f>
        <v>0</v>
      </c>
      <c r="R105" s="885" t="s">
        <v>5978</v>
      </c>
      <c r="S105" s="886"/>
      <c r="T105" s="886"/>
      <c r="U105" s="891">
        <v>82400</v>
      </c>
      <c r="V105" s="892">
        <v>101352</v>
      </c>
      <c r="W105" s="893">
        <v>54650</v>
      </c>
    </row>
    <row r="106" spans="1:23">
      <c r="A106" t="s">
        <v>5515</v>
      </c>
      <c r="B106" t="s">
        <v>4588</v>
      </c>
      <c r="C106" t="s">
        <v>4543</v>
      </c>
      <c r="D106" t="s">
        <v>4588</v>
      </c>
      <c r="E106" s="156">
        <v>42181</v>
      </c>
      <c r="F106" t="s">
        <v>5498</v>
      </c>
      <c r="G106" t="s">
        <v>4589</v>
      </c>
      <c r="H106" t="s">
        <v>4520</v>
      </c>
      <c r="I106" t="s">
        <v>4545</v>
      </c>
      <c r="J106" t="s">
        <v>25</v>
      </c>
      <c r="K106">
        <v>56422</v>
      </c>
      <c r="L106" s="121">
        <v>31539.9</v>
      </c>
      <c r="M106">
        <v>33.540002126830004</v>
      </c>
      <c r="N106">
        <v>56422</v>
      </c>
      <c r="O106">
        <v>0</v>
      </c>
      <c r="P106" t="s">
        <v>4546</v>
      </c>
      <c r="Q106" s="169">
        <f t="array" ref="Q106">SUM(IF((finan_graos!J:J=BD_CONTRATOS_GRAOS!F668)*(finan_graos!L:L=BD_CONTRATOS_GRAOS!D668)*(finan_graos!N:N=BD_CONTRATOS_GRAOS!J668),finan_graos!Q:Q))</f>
        <v>0</v>
      </c>
      <c r="R106" s="885" t="s">
        <v>5656</v>
      </c>
      <c r="S106" s="885" t="s">
        <v>4544</v>
      </c>
      <c r="T106" s="885" t="s">
        <v>25</v>
      </c>
      <c r="U106" s="891">
        <v>900000</v>
      </c>
      <c r="V106" s="892">
        <v>1125000</v>
      </c>
      <c r="W106" s="893">
        <v>896130</v>
      </c>
    </row>
    <row r="107" spans="1:23">
      <c r="A107" t="s">
        <v>5516</v>
      </c>
      <c r="B107" t="s">
        <v>5517</v>
      </c>
      <c r="C107" t="s">
        <v>4543</v>
      </c>
      <c r="D107" t="s">
        <v>5517</v>
      </c>
      <c r="E107" s="156">
        <v>42181</v>
      </c>
      <c r="F107" t="s">
        <v>5498</v>
      </c>
      <c r="G107" t="s">
        <v>4589</v>
      </c>
      <c r="H107" t="s">
        <v>4520</v>
      </c>
      <c r="I107" t="s">
        <v>4545</v>
      </c>
      <c r="J107" t="s">
        <v>25</v>
      </c>
      <c r="K107">
        <v>5093</v>
      </c>
      <c r="L107" s="121">
        <v>1578.83</v>
      </c>
      <c r="M107">
        <v>18.600000000000001</v>
      </c>
      <c r="N107">
        <v>5093</v>
      </c>
      <c r="O107">
        <v>0</v>
      </c>
      <c r="P107" t="s">
        <v>4546</v>
      </c>
      <c r="Q107" s="169">
        <f t="array" ref="Q107">SUM(IF((finan_graos!J:J=BD_CONTRATOS_GRAOS!F671)*(finan_graos!L:L=BD_CONTRATOS_GRAOS!D671)*(finan_graos!N:N=BD_CONTRATOS_GRAOS!J671),finan_graos!Q:Q))</f>
        <v>0</v>
      </c>
      <c r="R107" s="894"/>
      <c r="S107" s="885" t="s">
        <v>5031</v>
      </c>
      <c r="T107" s="886"/>
      <c r="U107" s="891">
        <v>900000</v>
      </c>
      <c r="V107" s="892">
        <v>1125000</v>
      </c>
      <c r="W107" s="893">
        <v>896130</v>
      </c>
    </row>
    <row r="108" spans="1:23">
      <c r="R108" s="894"/>
      <c r="S108" s="885" t="s">
        <v>4553</v>
      </c>
      <c r="T108" s="885" t="s">
        <v>25</v>
      </c>
      <c r="U108" s="891">
        <v>800000</v>
      </c>
      <c r="V108" s="892">
        <v>1000000</v>
      </c>
      <c r="W108" s="893">
        <v>798572</v>
      </c>
    </row>
    <row r="109" spans="1:23">
      <c r="R109" s="894"/>
      <c r="S109" s="885" t="s">
        <v>5032</v>
      </c>
      <c r="T109" s="886"/>
      <c r="U109" s="891">
        <v>800000</v>
      </c>
      <c r="V109" s="892">
        <v>1000000</v>
      </c>
      <c r="W109" s="893">
        <v>798572</v>
      </c>
    </row>
    <row r="110" spans="1:23">
      <c r="R110" s="885" t="s">
        <v>5979</v>
      </c>
      <c r="S110" s="886"/>
      <c r="T110" s="886"/>
      <c r="U110" s="891">
        <v>1700000</v>
      </c>
      <c r="V110" s="892">
        <v>2125000</v>
      </c>
      <c r="W110" s="893">
        <v>1694702</v>
      </c>
    </row>
    <row r="111" spans="1:23">
      <c r="R111" s="885" t="s">
        <v>6482</v>
      </c>
      <c r="S111" s="885" t="s">
        <v>4589</v>
      </c>
      <c r="T111" s="885" t="s">
        <v>25</v>
      </c>
      <c r="U111" s="891">
        <v>8740</v>
      </c>
      <c r="V111" s="892">
        <v>17480</v>
      </c>
      <c r="W111" s="893">
        <v>8740</v>
      </c>
    </row>
    <row r="112" spans="1:23">
      <c r="R112" s="894"/>
      <c r="S112" s="885" t="s">
        <v>5034</v>
      </c>
      <c r="T112" s="886"/>
      <c r="U112" s="891">
        <v>8740</v>
      </c>
      <c r="V112" s="892">
        <v>17480</v>
      </c>
      <c r="W112" s="893">
        <v>8740</v>
      </c>
    </row>
    <row r="113" spans="18:23">
      <c r="R113" s="885" t="s">
        <v>6729</v>
      </c>
      <c r="S113" s="886"/>
      <c r="T113" s="886"/>
      <c r="U113" s="891">
        <v>8740</v>
      </c>
      <c r="V113" s="892">
        <v>17480</v>
      </c>
      <c r="W113" s="893">
        <v>8740</v>
      </c>
    </row>
    <row r="114" spans="18:23">
      <c r="R114" s="885" t="s">
        <v>6179</v>
      </c>
      <c r="S114" s="885" t="s">
        <v>4544</v>
      </c>
      <c r="T114" s="885" t="s">
        <v>25</v>
      </c>
      <c r="U114" s="891">
        <v>8900</v>
      </c>
      <c r="V114" s="892">
        <v>10680</v>
      </c>
      <c r="W114" s="893">
        <v>8900</v>
      </c>
    </row>
    <row r="115" spans="18:23">
      <c r="R115" s="894"/>
      <c r="S115" s="885" t="s">
        <v>5031</v>
      </c>
      <c r="T115" s="886"/>
      <c r="U115" s="891">
        <v>8900</v>
      </c>
      <c r="V115" s="892">
        <v>10680</v>
      </c>
      <c r="W115" s="893">
        <v>8900</v>
      </c>
    </row>
    <row r="116" spans="18:23">
      <c r="R116" s="885" t="s">
        <v>6730</v>
      </c>
      <c r="S116" s="886"/>
      <c r="T116" s="886"/>
      <c r="U116" s="891">
        <v>8900</v>
      </c>
      <c r="V116" s="892">
        <v>10680</v>
      </c>
      <c r="W116" s="893">
        <v>8900</v>
      </c>
    </row>
    <row r="117" spans="18:23">
      <c r="R117" s="885" t="s">
        <v>6589</v>
      </c>
      <c r="S117" s="885" t="s">
        <v>4589</v>
      </c>
      <c r="T117" s="885" t="s">
        <v>25</v>
      </c>
      <c r="U117" s="891">
        <v>11960</v>
      </c>
      <c r="V117" s="892">
        <v>19933.34</v>
      </c>
      <c r="W117" s="893">
        <v>11960</v>
      </c>
    </row>
    <row r="118" spans="18:23">
      <c r="R118" s="894"/>
      <c r="S118" s="885" t="s">
        <v>5034</v>
      </c>
      <c r="T118" s="886"/>
      <c r="U118" s="891">
        <v>11960</v>
      </c>
      <c r="V118" s="892">
        <v>19933.34</v>
      </c>
      <c r="W118" s="893">
        <v>11960</v>
      </c>
    </row>
    <row r="119" spans="18:23">
      <c r="R119" s="885" t="s">
        <v>6731</v>
      </c>
      <c r="S119" s="886"/>
      <c r="T119" s="886"/>
      <c r="U119" s="891">
        <v>11960</v>
      </c>
      <c r="V119" s="892">
        <v>19933.34</v>
      </c>
      <c r="W119" s="893">
        <v>11960</v>
      </c>
    </row>
    <row r="120" spans="18:23">
      <c r="R120" s="885" t="s">
        <v>6708</v>
      </c>
      <c r="S120" s="885" t="s">
        <v>4544</v>
      </c>
      <c r="T120" s="885" t="s">
        <v>25</v>
      </c>
      <c r="U120" s="891">
        <v>20350</v>
      </c>
      <c r="V120" s="892">
        <v>25030.5</v>
      </c>
      <c r="W120" s="893">
        <v>20350</v>
      </c>
    </row>
    <row r="121" spans="18:23">
      <c r="R121" s="894"/>
      <c r="S121" s="885" t="s">
        <v>5031</v>
      </c>
      <c r="T121" s="886"/>
      <c r="U121" s="891">
        <v>20350</v>
      </c>
      <c r="V121" s="892">
        <v>25030.5</v>
      </c>
      <c r="W121" s="893">
        <v>20350</v>
      </c>
    </row>
    <row r="122" spans="18:23">
      <c r="R122" s="885" t="s">
        <v>6732</v>
      </c>
      <c r="S122" s="886"/>
      <c r="T122" s="886"/>
      <c r="U122" s="891">
        <v>20350</v>
      </c>
      <c r="V122" s="892">
        <v>25030.5</v>
      </c>
      <c r="W122" s="893">
        <v>20350</v>
      </c>
    </row>
    <row r="123" spans="18:23">
      <c r="R123" s="885" t="s">
        <v>6096</v>
      </c>
      <c r="S123" s="885" t="s">
        <v>4589</v>
      </c>
      <c r="T123" s="885" t="s">
        <v>25</v>
      </c>
      <c r="U123" s="891">
        <v>20000</v>
      </c>
      <c r="V123" s="892">
        <v>45000</v>
      </c>
      <c r="W123" s="893">
        <v>20000</v>
      </c>
    </row>
    <row r="124" spans="18:23">
      <c r="R124" s="894"/>
      <c r="S124" s="885" t="s">
        <v>5034</v>
      </c>
      <c r="T124" s="886"/>
      <c r="U124" s="891">
        <v>20000</v>
      </c>
      <c r="V124" s="892">
        <v>45000</v>
      </c>
      <c r="W124" s="893">
        <v>20000</v>
      </c>
    </row>
    <row r="125" spans="18:23">
      <c r="R125" s="885" t="s">
        <v>6733</v>
      </c>
      <c r="S125" s="886"/>
      <c r="T125" s="886"/>
      <c r="U125" s="891">
        <v>20000</v>
      </c>
      <c r="V125" s="892">
        <v>45000</v>
      </c>
      <c r="W125" s="893">
        <v>20000</v>
      </c>
    </row>
    <row r="126" spans="18:23">
      <c r="R126" s="885" t="s">
        <v>6255</v>
      </c>
      <c r="S126" s="885" t="s">
        <v>4544</v>
      </c>
      <c r="T126" s="885" t="s">
        <v>25</v>
      </c>
      <c r="U126" s="891">
        <v>7400</v>
      </c>
      <c r="V126" s="892">
        <v>9102</v>
      </c>
      <c r="W126" s="893">
        <v>7400</v>
      </c>
    </row>
    <row r="127" spans="18:23">
      <c r="R127" s="894"/>
      <c r="S127" s="885" t="s">
        <v>5031</v>
      </c>
      <c r="T127" s="886"/>
      <c r="U127" s="891">
        <v>7400</v>
      </c>
      <c r="V127" s="892">
        <v>9102</v>
      </c>
      <c r="W127" s="893">
        <v>7400</v>
      </c>
    </row>
    <row r="128" spans="18:23">
      <c r="R128" s="885" t="s">
        <v>6734</v>
      </c>
      <c r="S128" s="886"/>
      <c r="T128" s="886"/>
      <c r="U128" s="891">
        <v>7400</v>
      </c>
      <c r="V128" s="892">
        <v>9102</v>
      </c>
      <c r="W128" s="893">
        <v>7400</v>
      </c>
    </row>
    <row r="129" spans="18:23">
      <c r="R129" s="898" t="s">
        <v>5020</v>
      </c>
      <c r="S129" s="905"/>
      <c r="T129" s="905"/>
      <c r="U129" s="899">
        <v>239536923</v>
      </c>
      <c r="V129" s="900">
        <v>108662606.19</v>
      </c>
      <c r="W129" s="901">
        <v>231164508</v>
      </c>
    </row>
  </sheetData>
  <sheetCalcPr fullCalcOnLoad="1"/>
  <pageMargins left="0.511811024" right="0.511811024" top="0.78740157499999996" bottom="0.78740157499999996" header="0.31496062000000002" footer="0.31496062000000002"/>
  <pageSetup orientation="portrait" r:id="rId3"/>
  <tableParts count="1">
    <tablePart r:id="rId4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7"/>
  <sheetViews>
    <sheetView zoomScale="90" zoomScaleNormal="90" zoomScaleSheetLayoutView="85" workbookViewId="0">
      <selection activeCell="C34" sqref="C34"/>
    </sheetView>
  </sheetViews>
  <sheetFormatPr defaultRowHeight="15" outlineLevelRow="1"/>
  <cols>
    <col min="1" max="1" width="8.7109375" style="225" customWidth="1"/>
    <col min="2" max="2" width="30.7109375" style="225" customWidth="1"/>
    <col min="3" max="3" width="21.42578125" style="225" customWidth="1"/>
    <col min="4" max="4" width="13.7109375" style="225" customWidth="1"/>
    <col min="5" max="5" width="16" style="225" customWidth="1"/>
    <col min="6" max="6" width="10" style="225" customWidth="1"/>
    <col min="7" max="7" width="16.7109375" style="225" customWidth="1"/>
    <col min="8" max="12" width="20.140625" style="225" customWidth="1"/>
    <col min="13" max="13" width="14.5703125" style="240" customWidth="1"/>
    <col min="14" max="16384" width="9.140625" style="225"/>
  </cols>
  <sheetData>
    <row r="1" spans="1:13" ht="18.75">
      <c r="C1" s="293" t="s">
        <v>1011</v>
      </c>
    </row>
    <row r="2" spans="1:13" ht="15.75">
      <c r="C2" s="231" t="s">
        <v>8155</v>
      </c>
    </row>
    <row r="4" spans="1:13" s="227" customFormat="1" ht="15.75" thickBot="1">
      <c r="B4" s="229"/>
      <c r="M4" s="230"/>
    </row>
    <row r="5" spans="1:13" ht="16.5" customHeight="1" thickBot="1">
      <c r="B5" s="976" t="s">
        <v>77</v>
      </c>
      <c r="C5" s="976" t="s">
        <v>78</v>
      </c>
      <c r="D5" s="977" t="s">
        <v>79</v>
      </c>
      <c r="E5" s="976" t="s">
        <v>80</v>
      </c>
      <c r="F5" s="977" t="s">
        <v>24</v>
      </c>
      <c r="G5" s="977" t="s">
        <v>21</v>
      </c>
      <c r="H5" s="509" t="s">
        <v>81</v>
      </c>
      <c r="I5" s="977" t="s">
        <v>82</v>
      </c>
      <c r="J5" s="977"/>
      <c r="K5" s="977"/>
      <c r="L5" s="977"/>
    </row>
    <row r="6" spans="1:13" ht="30.75" customHeight="1" thickBot="1">
      <c r="B6" s="976"/>
      <c r="C6" s="976"/>
      <c r="D6" s="977"/>
      <c r="E6" s="976"/>
      <c r="F6" s="977"/>
      <c r="G6" s="977"/>
      <c r="H6" s="510" t="s">
        <v>7016</v>
      </c>
      <c r="I6" s="510" t="s">
        <v>84</v>
      </c>
      <c r="J6" s="510" t="s">
        <v>5760</v>
      </c>
      <c r="K6" s="510" t="s">
        <v>7002</v>
      </c>
      <c r="L6" s="861" t="s">
        <v>7014</v>
      </c>
    </row>
    <row r="7" spans="1:13" outlineLevel="1">
      <c r="B7" s="229"/>
      <c r="C7" s="229"/>
      <c r="D7" s="489"/>
      <c r="E7" s="489"/>
      <c r="F7" s="229"/>
      <c r="G7" s="229"/>
      <c r="H7" s="872">
        <v>42587</v>
      </c>
      <c r="I7" s="872">
        <v>42736</v>
      </c>
      <c r="J7" s="872">
        <v>43101</v>
      </c>
      <c r="K7" s="872">
        <v>43466</v>
      </c>
      <c r="L7" s="872">
        <v>43831</v>
      </c>
      <c r="M7" s="873">
        <v>46023</v>
      </c>
    </row>
    <row r="8" spans="1:13" ht="15.75" outlineLevel="1">
      <c r="B8" s="511" t="s">
        <v>5690</v>
      </c>
      <c r="C8" s="491"/>
      <c r="D8" s="490"/>
      <c r="E8" s="492"/>
      <c r="F8" s="490"/>
      <c r="G8" s="490"/>
      <c r="H8" s="490"/>
      <c r="I8" s="490"/>
      <c r="J8" s="490"/>
      <c r="K8" s="490"/>
      <c r="L8" s="490"/>
    </row>
    <row r="9" spans="1:13" ht="8.1" customHeight="1" outlineLevel="1">
      <c r="B9" s="229"/>
      <c r="C9" s="229"/>
      <c r="D9" s="489"/>
      <c r="E9" s="489"/>
      <c r="F9" s="229"/>
      <c r="G9" s="229"/>
      <c r="H9" s="229"/>
      <c r="I9" s="229"/>
      <c r="J9" s="229"/>
      <c r="K9" s="229"/>
      <c r="L9" s="229"/>
    </row>
    <row r="10" spans="1:13" s="493" customFormat="1" ht="15.75" hidden="1" outlineLevel="1">
      <c r="B10" s="512"/>
      <c r="C10" s="513"/>
      <c r="D10" s="512"/>
      <c r="E10" s="514"/>
      <c r="F10" s="512"/>
      <c r="G10" s="515">
        <f t="shared" ref="G10:L10" si="0">G11</f>
        <v>0</v>
      </c>
      <c r="H10" s="515">
        <f t="shared" si="0"/>
        <v>0</v>
      </c>
      <c r="I10" s="515">
        <f t="shared" si="0"/>
        <v>0</v>
      </c>
      <c r="J10" s="515">
        <f t="shared" si="0"/>
        <v>0</v>
      </c>
      <c r="K10" s="515">
        <f t="shared" si="0"/>
        <v>0</v>
      </c>
      <c r="L10" s="515">
        <f t="shared" si="0"/>
        <v>0</v>
      </c>
      <c r="M10" s="494"/>
    </row>
    <row r="11" spans="1:13" s="249" customFormat="1" hidden="1" outlineLevel="1">
      <c r="A11" s="495"/>
      <c r="B11" s="516"/>
      <c r="C11" s="517"/>
      <c r="D11" s="518"/>
      <c r="E11" s="518"/>
      <c r="F11" s="519"/>
      <c r="G11" s="520"/>
      <c r="H11" s="520"/>
      <c r="I11" s="520"/>
      <c r="J11" s="520"/>
      <c r="K11" s="520"/>
      <c r="L11" s="520"/>
      <c r="M11" s="496"/>
    </row>
    <row r="12" spans="1:13" s="249" customFormat="1" ht="5.0999999999999996" hidden="1" customHeight="1" outlineLevel="1">
      <c r="B12" s="516"/>
      <c r="C12" s="521"/>
      <c r="D12" s="518"/>
      <c r="E12" s="518"/>
      <c r="F12" s="519"/>
      <c r="G12" s="520"/>
      <c r="H12" s="520"/>
      <c r="I12" s="520"/>
      <c r="J12" s="520"/>
      <c r="K12" s="520"/>
      <c r="L12" s="520"/>
      <c r="M12" s="496"/>
    </row>
    <row r="13" spans="1:13" s="493" customFormat="1" ht="15.75" outlineLevel="1">
      <c r="B13" s="512" t="s">
        <v>88</v>
      </c>
      <c r="C13" s="513"/>
      <c r="D13" s="522"/>
      <c r="E13" s="522"/>
      <c r="F13" s="512"/>
      <c r="G13" s="515">
        <f t="shared" ref="G13:L13" si="1">G14</f>
        <v>666.06666666666672</v>
      </c>
      <c r="H13" s="515">
        <f t="shared" si="1"/>
        <v>97.799999999999955</v>
      </c>
      <c r="I13" s="515">
        <f t="shared" si="1"/>
        <v>293.39999999999986</v>
      </c>
      <c r="J13" s="515">
        <f t="shared" si="1"/>
        <v>236.2333333333336</v>
      </c>
      <c r="K13" s="515">
        <f t="shared" si="1"/>
        <v>38.633333333333333</v>
      </c>
      <c r="L13" s="515">
        <f t="shared" si="1"/>
        <v>0</v>
      </c>
      <c r="M13" s="494" t="s">
        <v>7017</v>
      </c>
    </row>
    <row r="14" spans="1:13" s="249" customFormat="1" outlineLevel="1">
      <c r="A14" s="495" t="s">
        <v>6753</v>
      </c>
      <c r="B14" s="516" t="s">
        <v>87</v>
      </c>
      <c r="C14" s="517" t="s">
        <v>7003</v>
      </c>
      <c r="D14" s="518">
        <v>41438</v>
      </c>
      <c r="E14" s="518">
        <v>43570</v>
      </c>
      <c r="F14" s="519" t="s">
        <v>25</v>
      </c>
      <c r="G14" s="520">
        <f>SUM(H14:L14)</f>
        <v>666.06666666666672</v>
      </c>
      <c r="H14" s="520">
        <f t="array" ref="H14">SUM(IF(([2]OperInvest!$C$3:$C$1741&gt;=H$7)*([2]OperInvest!$C$3:$C$1741&lt;I$7)*([2]OperInvest!$F$3:$F$1741=$A14),[2]OperInvest!$R$3:$R$1741))/1000</f>
        <v>97.799999999999955</v>
      </c>
      <c r="I14" s="520">
        <f t="array" ref="I14">SUM(IF(([2]OperInvest!$C$3:$C$1741&gt;=I$7)*([2]OperInvest!$C$3:$C$1741&lt;J$7)*([2]OperInvest!$F$3:$F$1741=$A14),[2]OperInvest!$R$3:$R$1741))/1000</f>
        <v>293.39999999999986</v>
      </c>
      <c r="J14" s="520">
        <f t="array" ref="J14">SUM(IF(([2]OperInvest!$C$3:$C$1741&gt;=J$7)*([2]OperInvest!$C$3:$C$1741&lt;K$7)*([2]OperInvest!$F$3:$F$1741=$A14),[2]OperInvest!$R$3:$R$1741))/1000</f>
        <v>236.2333333333336</v>
      </c>
      <c r="K14" s="520">
        <f t="array" ref="K14">SUM(IF(([2]OperInvest!$C$3:$C$1741&gt;=K$7)*([2]OperInvest!$C$3:$C$1741&lt;L$7)*([2]OperInvest!$F$3:$F$1741=$A14),[2]OperInvest!$R$3:$R$1741))/1000</f>
        <v>38.633333333333333</v>
      </c>
      <c r="L14" s="520">
        <f t="array" ref="L14">SUM(IF(([2]OperInvest!$C$3:$C$1741&gt;=L$7)*([2]OperInvest!$C$3:$C$1741&lt;M$7)*([2]OperInvest!$F$3:$F$1741=$A14),[2]OperInvest!$R$3:$R$1741))/1000</f>
        <v>0</v>
      </c>
      <c r="M14" s="520">
        <f t="array" ref="M14">SUM(IF(([2]OperInvest!$C$3:$C$1741&gt;=M$7)*([2]OperInvest!$C$3:$C$1741&lt;N$7)*([2]OperInvest!$F$3:$F$1741=$A14),[2]OperInvest!$R$3:$R$1741))/1000</f>
        <v>0</v>
      </c>
    </row>
    <row r="15" spans="1:13" s="249" customFormat="1" ht="5.0999999999999996" customHeight="1" outlineLevel="1">
      <c r="B15" s="516"/>
      <c r="C15" s="521"/>
      <c r="D15" s="518"/>
      <c r="E15" s="518"/>
      <c r="F15" s="519"/>
      <c r="G15" s="520"/>
      <c r="H15" s="520"/>
      <c r="I15" s="520"/>
      <c r="J15" s="520"/>
      <c r="K15" s="520"/>
      <c r="L15" s="520"/>
      <c r="M15" s="496"/>
    </row>
    <row r="16" spans="1:13" s="493" customFormat="1" ht="15.75" outlineLevel="1">
      <c r="B16" s="512" t="s">
        <v>89</v>
      </c>
      <c r="C16" s="513"/>
      <c r="D16" s="522"/>
      <c r="E16" s="522"/>
      <c r="F16" s="512"/>
      <c r="G16" s="515">
        <f t="shared" ref="G16:L16" si="2">G17</f>
        <v>493.33333333333309</v>
      </c>
      <c r="H16" s="515">
        <f t="shared" si="2"/>
        <v>123.33333333333331</v>
      </c>
      <c r="I16" s="515">
        <f t="shared" si="2"/>
        <v>369.99999999999977</v>
      </c>
      <c r="J16" s="515">
        <f t="shared" si="2"/>
        <v>0</v>
      </c>
      <c r="K16" s="515">
        <f t="shared" si="2"/>
        <v>0</v>
      </c>
      <c r="L16" s="515">
        <f t="shared" si="2"/>
        <v>0</v>
      </c>
      <c r="M16" s="494"/>
    </row>
    <row r="17" spans="1:13" s="249" customFormat="1" outlineLevel="1">
      <c r="A17" s="495" t="s">
        <v>6754</v>
      </c>
      <c r="B17" s="516" t="s">
        <v>87</v>
      </c>
      <c r="C17" s="517" t="s">
        <v>7004</v>
      </c>
      <c r="D17" s="518">
        <v>41327</v>
      </c>
      <c r="E17" s="518">
        <v>43084</v>
      </c>
      <c r="F17" s="519" t="s">
        <v>25</v>
      </c>
      <c r="G17" s="520">
        <f>SUM(H17:L17)</f>
        <v>493.33333333333309</v>
      </c>
      <c r="H17" s="520">
        <f t="array" ref="H17">SUM(IF(([2]OperInvest!$C$3:$C$1741&gt;=H$7)*([2]OperInvest!$C$3:$C$1741&lt;I$7)*([2]OperInvest!$F$3:$F$1741=$A17),[2]OperInvest!$R$3:$R$1741))/1000</f>
        <v>123.33333333333331</v>
      </c>
      <c r="I17" s="520">
        <f t="array" ref="I17">SUM(IF(([2]OperInvest!$C$3:$C$1741&gt;=I$7)*([2]OperInvest!$C$3:$C$1741&lt;J$7)*([2]OperInvest!$F$3:$F$1741=$A17),[2]OperInvest!$R$3:$R$1741))/1000</f>
        <v>369.99999999999977</v>
      </c>
      <c r="J17" s="520">
        <f t="array" ref="J17">SUM(IF(([2]OperInvest!$C$3:$C$1741&gt;=J$7)*([2]OperInvest!$C$3:$C$1741&lt;K$7)*([2]OperInvest!$F$3:$F$1741=$A17),[2]OperInvest!$R$3:$R$1741))/1000</f>
        <v>0</v>
      </c>
      <c r="K17" s="520">
        <f t="array" ref="K17">SUM(IF(([2]OperInvest!$C$3:$C$1741&gt;=K$7)*([2]OperInvest!$C$3:$C$1741&lt;L$7)*([2]OperInvest!$F$3:$F$1741=$A17),[2]OperInvest!$R$3:$R$1741))/1000</f>
        <v>0</v>
      </c>
      <c r="L17" s="520">
        <f t="array" ref="L17">SUM(IF(([2]OperInvest!$C$3:$C$1741&gt;=L$7)*([2]OperInvest!$C$3:$C$1741&lt;M$7)*([2]OperInvest!$F$3:$F$1741=$A17),[2]OperInvest!$R$3:$R$1741))/1000</f>
        <v>0</v>
      </c>
      <c r="M17" s="496"/>
    </row>
    <row r="18" spans="1:13" s="249" customFormat="1" ht="5.0999999999999996" customHeight="1" outlineLevel="1">
      <c r="B18" s="516"/>
      <c r="C18" s="521"/>
      <c r="D18" s="518"/>
      <c r="E18" s="518"/>
      <c r="F18" s="519"/>
      <c r="G18" s="520"/>
      <c r="H18" s="520"/>
      <c r="I18" s="520"/>
      <c r="J18" s="520"/>
      <c r="K18" s="520"/>
      <c r="L18" s="520"/>
      <c r="M18" s="496"/>
    </row>
    <row r="19" spans="1:13" s="493" customFormat="1" ht="15.75" outlineLevel="1">
      <c r="B19" s="512" t="s">
        <v>90</v>
      </c>
      <c r="C19" s="513"/>
      <c r="D19" s="522"/>
      <c r="E19" s="522"/>
      <c r="F19" s="512"/>
      <c r="G19" s="515">
        <f t="shared" ref="G19:L19" si="3">SUM(G20:G20)</f>
        <v>118.49999999999993</v>
      </c>
      <c r="H19" s="515">
        <f t="shared" si="3"/>
        <v>21.545454545454533</v>
      </c>
      <c r="I19" s="515">
        <f t="shared" si="3"/>
        <v>64.636363636363598</v>
      </c>
      <c r="J19" s="515">
        <f t="shared" si="3"/>
        <v>32.318181818181799</v>
      </c>
      <c r="K19" s="515">
        <f t="shared" si="3"/>
        <v>0</v>
      </c>
      <c r="L19" s="515">
        <f t="shared" si="3"/>
        <v>0</v>
      </c>
      <c r="M19" s="494"/>
    </row>
    <row r="20" spans="1:13" s="249" customFormat="1" outlineLevel="1">
      <c r="A20" s="495" t="s">
        <v>6755</v>
      </c>
      <c r="B20" s="516" t="s">
        <v>87</v>
      </c>
      <c r="C20" s="517" t="s">
        <v>7006</v>
      </c>
      <c r="D20" s="518">
        <v>41075</v>
      </c>
      <c r="E20" s="518">
        <v>43266</v>
      </c>
      <c r="F20" s="519" t="s">
        <v>25</v>
      </c>
      <c r="G20" s="520">
        <f>SUM(H20:L20)</f>
        <v>118.49999999999993</v>
      </c>
      <c r="H20" s="520">
        <f t="array" ref="H20">SUM(IF(([2]OperInvest!$C$3:$C$1741&gt;=H$7)*([2]OperInvest!$C$3:$C$1741&lt;I$7)*([2]OperInvest!$F$3:$F$1741=$A20),[2]OperInvest!$R$3:$R$1741))/1000</f>
        <v>21.545454545454533</v>
      </c>
      <c r="I20" s="520">
        <f t="array" ref="I20">SUM(IF(([2]OperInvest!$C$3:$C$1741&gt;=I$7)*([2]OperInvest!$C$3:$C$1741&lt;J$7)*([2]OperInvest!$F$3:$F$1741=$A20),[2]OperInvest!$R$3:$R$1741))/1000</f>
        <v>64.636363636363598</v>
      </c>
      <c r="J20" s="520">
        <f t="array" ref="J20">SUM(IF(([2]OperInvest!$C$3:$C$1741&gt;=J$7)*([2]OperInvest!$C$3:$C$1741&lt;K$7)*([2]OperInvest!$F$3:$F$1741=$A20),[2]OperInvest!$R$3:$R$1741))/1000</f>
        <v>32.318181818181799</v>
      </c>
      <c r="K20" s="520">
        <f t="array" ref="K20">SUM(IF(([2]OperInvest!$C$3:$C$1741&gt;=K$7)*([2]OperInvest!$C$3:$C$1741&lt;L$7)*([2]OperInvest!$F$3:$F$1741=$A20),[2]OperInvest!$R$3:$R$1741))/1000</f>
        <v>0</v>
      </c>
      <c r="L20" s="520">
        <f t="array" ref="L20">SUM(IF(([2]OperInvest!$C$3:$C$1741&gt;=L$7)*([2]OperInvest!$C$3:$C$1741&lt;M$7)*([2]OperInvest!$F$3:$F$1741=$A20),[2]OperInvest!$R$3:$R$1741))/1000</f>
        <v>0</v>
      </c>
      <c r="M20" s="496"/>
    </row>
    <row r="21" spans="1:13" s="249" customFormat="1" ht="5.0999999999999996" customHeight="1" outlineLevel="1">
      <c r="B21" s="516"/>
      <c r="C21" s="521"/>
      <c r="D21" s="518"/>
      <c r="E21" s="518"/>
      <c r="F21" s="519"/>
      <c r="G21" s="520"/>
      <c r="H21" s="520"/>
      <c r="I21" s="520"/>
      <c r="J21" s="520"/>
      <c r="K21" s="520"/>
      <c r="L21" s="520"/>
      <c r="M21" s="496"/>
    </row>
    <row r="22" spans="1:13" s="493" customFormat="1" ht="15.75" outlineLevel="1">
      <c r="B22" s="523" t="s">
        <v>103</v>
      </c>
      <c r="C22" s="513"/>
      <c r="D22" s="522"/>
      <c r="E22" s="522"/>
      <c r="F22" s="512"/>
      <c r="G22" s="515">
        <f t="shared" ref="G22:L22" si="4">G23</f>
        <v>497.36842105263139</v>
      </c>
      <c r="H22" s="515">
        <f t="shared" si="4"/>
        <v>56.84210526315789</v>
      </c>
      <c r="I22" s="515">
        <f t="shared" si="4"/>
        <v>170.52631578947361</v>
      </c>
      <c r="J22" s="515">
        <f t="shared" si="4"/>
        <v>170.52631578947361</v>
      </c>
      <c r="K22" s="515">
        <f t="shared" si="4"/>
        <v>99.473684210526287</v>
      </c>
      <c r="L22" s="515">
        <f t="shared" si="4"/>
        <v>0</v>
      </c>
      <c r="M22" s="494"/>
    </row>
    <row r="23" spans="1:13" s="249" customFormat="1" outlineLevel="1">
      <c r="A23" s="495" t="s">
        <v>6756</v>
      </c>
      <c r="B23" s="516" t="s">
        <v>87</v>
      </c>
      <c r="C23" s="517" t="s">
        <v>7007</v>
      </c>
      <c r="D23" s="518">
        <v>41820</v>
      </c>
      <c r="E23" s="518">
        <v>43661</v>
      </c>
      <c r="F23" s="519" t="s">
        <v>25</v>
      </c>
      <c r="G23" s="520">
        <f>SUM(H23:L23)</f>
        <v>497.36842105263139</v>
      </c>
      <c r="H23" s="520">
        <f t="array" ref="H23">SUM(IF(([2]OperInvest!$C$3:$C$1741&gt;=H$7)*([2]OperInvest!$C$3:$C$1741&lt;I$7)*([2]OperInvest!$F$3:$F$1741=$A23),[2]OperInvest!$R$3:$R$1741))/1000</f>
        <v>56.84210526315789</v>
      </c>
      <c r="I23" s="520">
        <f t="array" ref="I23">SUM(IF(([2]OperInvest!$C$3:$C$1741&gt;=I$7)*([2]OperInvest!$C$3:$C$1741&lt;J$7)*([2]OperInvest!$F$3:$F$1741=$A23),[2]OperInvest!$R$3:$R$1741))/1000</f>
        <v>170.52631578947361</v>
      </c>
      <c r="J23" s="520">
        <f t="array" ref="J23">SUM(IF(([2]OperInvest!$C$3:$C$1741&gt;=J$7)*([2]OperInvest!$C$3:$C$1741&lt;K$7)*([2]OperInvest!$F$3:$F$1741=$A23),[2]OperInvest!$R$3:$R$1741))/1000</f>
        <v>170.52631578947361</v>
      </c>
      <c r="K23" s="520">
        <f t="array" ref="K23">SUM(IF(([2]OperInvest!$C$3:$C$1741&gt;=K$7)*([2]OperInvest!$C$3:$C$1741&lt;L$7)*([2]OperInvest!$F$3:$F$1741=$A23),[2]OperInvest!$R$3:$R$1741))/1000</f>
        <v>99.473684210526287</v>
      </c>
      <c r="L23" s="520">
        <f t="array" ref="L23">SUM(IF(([2]OperInvest!$C$3:$C$1741&gt;=L$7)*([2]OperInvest!$C$3:$C$1741&lt;M$7)*([2]OperInvest!$F$3:$F$1741=$A23),[2]OperInvest!$R$3:$R$1741))/1000</f>
        <v>0</v>
      </c>
      <c r="M23" s="496"/>
    </row>
    <row r="24" spans="1:13" ht="8.1" customHeight="1" outlineLevel="1" thickBot="1">
      <c r="B24" s="451"/>
      <c r="C24" s="451"/>
      <c r="D24" s="524"/>
      <c r="E24" s="524"/>
      <c r="F24" s="451"/>
      <c r="G24" s="451"/>
      <c r="H24" s="451"/>
      <c r="I24" s="451"/>
      <c r="J24" s="451"/>
      <c r="K24" s="451"/>
      <c r="L24" s="451"/>
    </row>
    <row r="25" spans="1:13" s="249" customFormat="1" ht="15.75" outlineLevel="1" thickBot="1">
      <c r="B25" s="451"/>
      <c r="C25" s="527"/>
      <c r="D25" s="526"/>
      <c r="E25" s="978" t="s">
        <v>91</v>
      </c>
      <c r="F25" s="979"/>
      <c r="G25" s="531">
        <f t="shared" ref="G25:L25" si="5">G10+G13+G16+G19+G22</f>
        <v>1775.2684210526313</v>
      </c>
      <c r="H25" s="531">
        <f t="shared" si="5"/>
        <v>299.52089314194569</v>
      </c>
      <c r="I25" s="531">
        <f t="shared" si="5"/>
        <v>898.5626794258369</v>
      </c>
      <c r="J25" s="531">
        <f t="shared" si="5"/>
        <v>439.07783094098897</v>
      </c>
      <c r="K25" s="531">
        <f t="shared" si="5"/>
        <v>138.10701754385963</v>
      </c>
      <c r="L25" s="531">
        <f t="shared" si="5"/>
        <v>0</v>
      </c>
      <c r="M25" s="496"/>
    </row>
    <row r="26" spans="1:13" s="249" customFormat="1" ht="5.0999999999999996" customHeight="1" outlineLevel="1" thickBot="1">
      <c r="A26" s="501"/>
      <c r="B26" s="525"/>
      <c r="C26" s="528"/>
      <c r="D26" s="526"/>
      <c r="E26" s="532"/>
      <c r="F26" s="533"/>
      <c r="G26" s="534"/>
      <c r="H26" s="534"/>
      <c r="I26" s="534"/>
      <c r="J26" s="534"/>
      <c r="K26" s="534"/>
      <c r="L26" s="534"/>
      <c r="M26" s="496"/>
    </row>
    <row r="27" spans="1:13" s="502" customFormat="1" ht="16.5" customHeight="1" outlineLevel="1" thickBot="1">
      <c r="B27" s="529"/>
      <c r="C27" s="530"/>
      <c r="D27" s="529"/>
      <c r="E27" s="535"/>
      <c r="F27" s="536"/>
      <c r="G27" s="537" t="s">
        <v>92</v>
      </c>
      <c r="H27" s="538">
        <f>H25</f>
        <v>299.52089314194569</v>
      </c>
      <c r="I27" s="538">
        <f>I25</f>
        <v>898.5626794258369</v>
      </c>
      <c r="J27" s="984">
        <f>J25+K25+L25</f>
        <v>577.18484848484854</v>
      </c>
      <c r="K27" s="984"/>
      <c r="L27" s="984"/>
      <c r="M27" s="503"/>
    </row>
    <row r="28" spans="1:13" ht="7.5" customHeight="1">
      <c r="B28" s="229"/>
      <c r="C28" s="229"/>
      <c r="D28" s="489"/>
      <c r="E28" s="489"/>
      <c r="F28" s="229"/>
      <c r="G28" s="229"/>
      <c r="H28" s="229"/>
      <c r="I28" s="229"/>
      <c r="J28" s="229"/>
      <c r="K28" s="229"/>
      <c r="L28" s="229"/>
    </row>
    <row r="29" spans="1:13" ht="18.75" customHeight="1" outlineLevel="1">
      <c r="B29" s="511" t="s">
        <v>5689</v>
      </c>
      <c r="C29" s="491"/>
      <c r="D29" s="490"/>
      <c r="E29" s="492"/>
      <c r="F29" s="490"/>
      <c r="G29" s="490"/>
      <c r="H29" s="490"/>
      <c r="I29" s="490"/>
      <c r="J29" s="490"/>
      <c r="K29" s="490"/>
      <c r="L29" s="490"/>
    </row>
    <row r="30" spans="1:13" ht="8.1" customHeight="1" outlineLevel="1">
      <c r="B30" s="229"/>
      <c r="C30" s="229"/>
      <c r="D30" s="489"/>
      <c r="E30" s="489"/>
      <c r="F30" s="229"/>
      <c r="G30" s="229"/>
      <c r="H30" s="229"/>
      <c r="I30" s="229"/>
      <c r="J30" s="229"/>
      <c r="K30" s="229"/>
      <c r="L30" s="229"/>
    </row>
    <row r="31" spans="1:13" s="493" customFormat="1" ht="16.5" customHeight="1" outlineLevel="1">
      <c r="B31" s="523" t="s">
        <v>97</v>
      </c>
      <c r="C31" s="539"/>
      <c r="D31" s="540"/>
      <c r="E31" s="540"/>
      <c r="F31" s="541"/>
      <c r="G31" s="542">
        <f t="shared" ref="G31:L31" si="6">G32</f>
        <v>66865.2775331999</v>
      </c>
      <c r="H31" s="542">
        <f t="shared" si="6"/>
        <v>6553.5775331998948</v>
      </c>
      <c r="I31" s="542">
        <f t="shared" si="6"/>
        <v>14284.35</v>
      </c>
      <c r="J31" s="542">
        <f t="shared" si="6"/>
        <v>14284.35</v>
      </c>
      <c r="K31" s="542">
        <f t="shared" si="6"/>
        <v>7935.75</v>
      </c>
      <c r="L31" s="542">
        <f t="shared" si="6"/>
        <v>23807.25</v>
      </c>
      <c r="M31" s="494"/>
    </row>
    <row r="32" spans="1:13" s="249" customFormat="1" ht="16.5" customHeight="1" outlineLevel="1">
      <c r="A32" s="504" t="s">
        <v>6757</v>
      </c>
      <c r="B32" s="516" t="s">
        <v>98</v>
      </c>
      <c r="C32" s="521" t="s">
        <v>7005</v>
      </c>
      <c r="D32" s="518">
        <v>41250</v>
      </c>
      <c r="E32" s="518">
        <v>44727</v>
      </c>
      <c r="F32" s="519" t="s">
        <v>22</v>
      </c>
      <c r="G32" s="520">
        <f>SUM(H32:L32)</f>
        <v>66865.2775331999</v>
      </c>
      <c r="H32" s="520">
        <f t="array" ref="H32">SUM(IF(([2]OperCusteio!$C$2:$C$212&gt;=H$7)*([2]OperCusteio!$C$2:$C$212&lt;I$7)*([2]OperCusteio!$F$2:$F$212=$A32),[2]OperCusteio!$R$2:$R$212))/1000</f>
        <v>6553.5775331998948</v>
      </c>
      <c r="I32" s="520">
        <f t="array" ref="I32">SUM(IF(([2]OperCusteio!$C$2:$C$212&gt;=I$7)*([2]OperCusteio!$C$2:$C$212&lt;J$7)*([2]OperCusteio!$F$2:$F$212=$A32),[2]OperCusteio!$R$2:$R$212))/1000</f>
        <v>14284.35</v>
      </c>
      <c r="J32" s="520">
        <f t="array" ref="J32">SUM(IF(([2]OperCusteio!$C$2:$C$212&gt;=J$7)*([2]OperCusteio!$C$2:$C$212&lt;K$7)*([2]OperCusteio!$F$2:$F$212=$A32),[2]OperCusteio!$R$2:$R$212))/1000</f>
        <v>14284.35</v>
      </c>
      <c r="K32" s="520">
        <f t="array" ref="K32">SUM(IF(([2]OperCusteio!$C$2:$C$212&gt;=K$7)*([2]OperCusteio!$C$2:$C$212&lt;L$7)*([2]OperCusteio!$F$2:$F$212=$A32),[2]OperCusteio!$R$2:$R$212))/1000</f>
        <v>7935.75</v>
      </c>
      <c r="L32" s="520">
        <f t="array" ref="L32">SUM(IF(([2]OperCusteio!$C$2:$C$212&gt;=L$7)*([2]OperCusteio!$C$2:$C$212&lt;M$7)*([2]OperCusteio!$F$2:$F$212=$A32),[2]OperCusteio!$R$2:$R$212))/1000</f>
        <v>23807.25</v>
      </c>
      <c r="M32" s="496"/>
    </row>
    <row r="33" spans="1:13" ht="8.1" customHeight="1" outlineLevel="1" thickBot="1">
      <c r="B33" s="451"/>
      <c r="C33" s="451"/>
      <c r="D33" s="524"/>
      <c r="E33" s="524"/>
      <c r="F33" s="451"/>
      <c r="G33" s="451"/>
      <c r="H33" s="451"/>
      <c r="I33" s="451"/>
      <c r="J33" s="451"/>
      <c r="K33" s="451"/>
      <c r="L33" s="451"/>
    </row>
    <row r="34" spans="1:13" s="249" customFormat="1" ht="16.5" customHeight="1" outlineLevel="1" thickBot="1">
      <c r="B34" s="451"/>
      <c r="C34" s="527"/>
      <c r="D34" s="526"/>
      <c r="E34" s="980" t="s">
        <v>91</v>
      </c>
      <c r="F34" s="980"/>
      <c r="G34" s="531">
        <f t="shared" ref="G34:L34" si="7">G31</f>
        <v>66865.2775331999</v>
      </c>
      <c r="H34" s="531">
        <f t="shared" si="7"/>
        <v>6553.5775331998948</v>
      </c>
      <c r="I34" s="531">
        <f t="shared" si="7"/>
        <v>14284.35</v>
      </c>
      <c r="J34" s="531">
        <f t="shared" si="7"/>
        <v>14284.35</v>
      </c>
      <c r="K34" s="531">
        <f t="shared" si="7"/>
        <v>7935.75</v>
      </c>
      <c r="L34" s="531">
        <f t="shared" si="7"/>
        <v>23807.25</v>
      </c>
      <c r="M34" s="496"/>
    </row>
    <row r="35" spans="1:13" s="249" customFormat="1" ht="5.0999999999999996" customHeight="1" outlineLevel="1" thickBot="1">
      <c r="A35" s="501"/>
      <c r="B35" s="525"/>
      <c r="C35" s="528"/>
      <c r="D35" s="526"/>
      <c r="E35" s="532"/>
      <c r="F35" s="533"/>
      <c r="G35" s="534"/>
      <c r="H35" s="534"/>
      <c r="I35" s="534"/>
      <c r="J35" s="534"/>
      <c r="K35" s="534"/>
      <c r="L35" s="534"/>
      <c r="M35" s="496"/>
    </row>
    <row r="36" spans="1:13" s="502" customFormat="1" ht="16.5" customHeight="1" outlineLevel="1" thickBot="1">
      <c r="B36" s="529"/>
      <c r="C36" s="530"/>
      <c r="D36" s="529"/>
      <c r="E36" s="535"/>
      <c r="F36" s="536"/>
      <c r="G36" s="537" t="s">
        <v>92</v>
      </c>
      <c r="H36" s="538">
        <f>H34</f>
        <v>6553.5775331998948</v>
      </c>
      <c r="I36" s="538">
        <f>I34</f>
        <v>14284.35</v>
      </c>
      <c r="J36" s="984">
        <f>J34+K34+L34</f>
        <v>46027.35</v>
      </c>
      <c r="K36" s="984"/>
      <c r="L36" s="984"/>
      <c r="M36" s="503"/>
    </row>
    <row r="37" spans="1:13" s="502" customFormat="1" ht="16.5" customHeight="1" outlineLevel="1">
      <c r="M37" s="503"/>
    </row>
    <row r="38" spans="1:13" s="502" customFormat="1" ht="9" customHeight="1">
      <c r="M38" s="503"/>
    </row>
    <row r="39" spans="1:13" s="249" customFormat="1" ht="15.75">
      <c r="B39" s="511" t="s">
        <v>93</v>
      </c>
      <c r="C39" s="491"/>
      <c r="D39" s="490"/>
      <c r="E39" s="492"/>
      <c r="F39" s="490"/>
      <c r="G39" s="490"/>
      <c r="H39" s="490"/>
      <c r="I39" s="490"/>
      <c r="J39" s="490"/>
      <c r="K39" s="490"/>
      <c r="L39" s="490"/>
      <c r="M39" s="496"/>
    </row>
    <row r="40" spans="1:13" ht="8.1" customHeight="1">
      <c r="B40" s="229"/>
      <c r="C40" s="229"/>
      <c r="D40" s="489"/>
      <c r="E40" s="489"/>
      <c r="F40" s="229"/>
      <c r="G40" s="229"/>
      <c r="H40" s="229"/>
      <c r="I40" s="229"/>
      <c r="J40" s="229"/>
      <c r="K40" s="229"/>
      <c r="L40" s="229"/>
    </row>
    <row r="41" spans="1:13" s="249" customFormat="1" ht="5.0999999999999996" customHeight="1">
      <c r="B41" s="497"/>
      <c r="C41" s="488"/>
      <c r="D41" s="498"/>
      <c r="E41" s="498"/>
      <c r="F41" s="499"/>
      <c r="G41" s="500"/>
      <c r="H41" s="500"/>
      <c r="I41" s="500"/>
      <c r="J41" s="500"/>
      <c r="K41" s="500"/>
      <c r="L41" s="500"/>
      <c r="M41" s="496"/>
    </row>
    <row r="42" spans="1:13" s="249" customFormat="1" ht="16.5" customHeight="1">
      <c r="B42" s="523" t="s">
        <v>1010</v>
      </c>
      <c r="C42" s="539"/>
      <c r="D42" s="540"/>
      <c r="E42" s="540"/>
      <c r="F42" s="541"/>
      <c r="G42" s="542">
        <f t="shared" ref="G42:L42" si="8">SUM(G43:G43)</f>
        <v>1163.205978665532</v>
      </c>
      <c r="H42" s="542">
        <f t="shared" si="8"/>
        <v>0</v>
      </c>
      <c r="I42" s="542">
        <f t="shared" si="8"/>
        <v>232.44397866553214</v>
      </c>
      <c r="J42" s="542">
        <f t="shared" si="8"/>
        <v>20.916</v>
      </c>
      <c r="K42" s="542">
        <f t="shared" si="8"/>
        <v>20.916</v>
      </c>
      <c r="L42" s="542">
        <f t="shared" si="8"/>
        <v>888.93</v>
      </c>
      <c r="M42" s="496"/>
    </row>
    <row r="43" spans="1:13" s="249" customFormat="1" ht="16.5" customHeight="1">
      <c r="A43" s="504" t="s">
        <v>6758</v>
      </c>
      <c r="B43" s="516" t="s">
        <v>95</v>
      </c>
      <c r="C43" s="517" t="s">
        <v>1073</v>
      </c>
      <c r="D43" s="518">
        <v>41729</v>
      </c>
      <c r="E43" s="518">
        <v>45361</v>
      </c>
      <c r="F43" s="519" t="s">
        <v>25</v>
      </c>
      <c r="G43" s="520">
        <f>SUM(H43:L43)</f>
        <v>1163.205978665532</v>
      </c>
      <c r="H43" s="520">
        <f t="array" ref="H43">SUM(IF(([2]OperCusteio!$C$2:$C$212&gt;=H$7)*([2]OperCusteio!$C$2:$C$212&lt;I$7)*([2]OperCusteio!$F$2:$F$212=$A43),[2]OperCusteio!$R$2:$R$212))/1000</f>
        <v>0</v>
      </c>
      <c r="I43" s="520">
        <f t="array" ref="I43">SUM(IF(([2]OperCusteio!$C$2:$C$212&gt;=I$7)*([2]OperCusteio!$C$2:$C$212&lt;J$7)*([2]OperCusteio!$F$2:$F$212=$A43),[2]OperCusteio!$R$2:$R$212))/1000</f>
        <v>232.44397866553214</v>
      </c>
      <c r="J43" s="520">
        <f t="array" ref="J43">SUM(IF(([2]OperCusteio!$C$2:$C$212&gt;=J$7)*([2]OperCusteio!$C$2:$C$212&lt;K$7)*([2]OperCusteio!$F$2:$F$212=$A43),[2]OperCusteio!$R$2:$R$212))/1000</f>
        <v>20.916</v>
      </c>
      <c r="K43" s="520">
        <f t="array" ref="K43">SUM(IF(([2]OperCusteio!$C$2:$C$212&gt;=K$7)*([2]OperCusteio!$C$2:$C$212&lt;L$7)*([2]OperCusteio!$F$2:$F$212=$A43),[2]OperCusteio!$R$2:$R$212))/1000</f>
        <v>20.916</v>
      </c>
      <c r="L43" s="520">
        <f t="array" ref="L43">SUM(IF(([2]OperCusteio!$C$2:$C$212&gt;=L$7)*([2]OperCusteio!$C$2:$C$212&lt;M$7)*([2]OperCusteio!$F$2:$F$212=$A43),[2]OperCusteio!$R$2:$R$212))/1000</f>
        <v>888.93</v>
      </c>
      <c r="M43" s="496"/>
    </row>
    <row r="44" spans="1:13" s="249" customFormat="1" ht="5.0999999999999996" customHeight="1">
      <c r="B44" s="516"/>
      <c r="C44" s="521"/>
      <c r="D44" s="518"/>
      <c r="E44" s="518"/>
      <c r="F44" s="519"/>
      <c r="G44" s="520"/>
      <c r="H44" s="520"/>
      <c r="I44" s="520"/>
      <c r="J44" s="520"/>
      <c r="K44" s="520"/>
      <c r="L44" s="520"/>
      <c r="M44" s="496"/>
    </row>
    <row r="45" spans="1:13" s="493" customFormat="1" ht="16.5" customHeight="1">
      <c r="B45" s="523" t="s">
        <v>100</v>
      </c>
      <c r="C45" s="539"/>
      <c r="D45" s="540"/>
      <c r="E45" s="540"/>
      <c r="F45" s="541"/>
      <c r="G45" s="542">
        <f t="shared" ref="G45:L45" si="9">G46</f>
        <v>42717.821873879991</v>
      </c>
      <c r="H45" s="542">
        <f t="shared" si="9"/>
        <v>17147.480239198616</v>
      </c>
      <c r="I45" s="542">
        <f t="shared" si="9"/>
        <v>25570.341634681376</v>
      </c>
      <c r="J45" s="542">
        <f t="shared" si="9"/>
        <v>0</v>
      </c>
      <c r="K45" s="542">
        <f t="shared" si="9"/>
        <v>0</v>
      </c>
      <c r="L45" s="542">
        <f t="shared" si="9"/>
        <v>0</v>
      </c>
      <c r="M45" s="494"/>
    </row>
    <row r="46" spans="1:13" s="249" customFormat="1" ht="16.5" customHeight="1">
      <c r="A46" s="249" t="s">
        <v>6759</v>
      </c>
      <c r="B46" s="516" t="s">
        <v>96</v>
      </c>
      <c r="C46" s="521" t="s">
        <v>7008</v>
      </c>
      <c r="D46" s="518">
        <v>42109</v>
      </c>
      <c r="E46" s="518">
        <v>43041</v>
      </c>
      <c r="F46" s="519" t="s">
        <v>22</v>
      </c>
      <c r="G46" s="520">
        <f>SUM(H46:L46)</f>
        <v>42717.821873879991</v>
      </c>
      <c r="H46" s="520">
        <f t="array" ref="H46">SUM(IF(([2]OperCusteio!$C$2:$C$212&gt;=H$7)*([2]OperCusteio!$C$2:$C$212&lt;I$7)*([2]OperCusteio!$F$2:$F$212=$A46),[2]OperCusteio!$R$2:$R$212))/1000</f>
        <v>17147.480239198616</v>
      </c>
      <c r="I46" s="520">
        <f t="array" ref="I46">SUM(IF(([2]OperCusteio!$C$2:$C$212&gt;=I$7)*([2]OperCusteio!$C$2:$C$212&lt;J$7)*([2]OperCusteio!$F$2:$F$212=$A46),[2]OperCusteio!$R$2:$R$212))/1000</f>
        <v>25570.341634681376</v>
      </c>
      <c r="J46" s="520">
        <f t="array" ref="J46">SUM(IF(([2]OperCusteio!$C$2:$C$212&gt;=J$7)*([2]OperCusteio!$C$2:$C$212&lt;K$7)*([2]OperCusteio!$F$2:$F$212=$A46),[2]OperCusteio!$R$2:$R$212))/1000</f>
        <v>0</v>
      </c>
      <c r="K46" s="520">
        <f t="array" ref="K46">SUM(IF(([2]OperCusteio!$C$2:$C$212&gt;=K$7)*([2]OperCusteio!$C$2:$C$212&lt;L$7)*([2]OperCusteio!$F$2:$F$212=$A46),[2]OperCusteio!$R$2:$R$212))/1000</f>
        <v>0</v>
      </c>
      <c r="L46" s="520">
        <f t="array" ref="L46">SUM(IF(([2]OperCusteio!$C$2:$C$212&gt;=L$7)*([2]OperCusteio!$C$2:$C$212&lt;M$7)*([2]OperCusteio!$F$2:$F$212=$A46),[2]OperCusteio!$R$2:$R$212))/1000</f>
        <v>0</v>
      </c>
      <c r="M46" s="496"/>
    </row>
    <row r="47" spans="1:13" s="249" customFormat="1" ht="5.0999999999999996" customHeight="1">
      <c r="B47" s="516"/>
      <c r="C47" s="521"/>
      <c r="D47" s="518"/>
      <c r="E47" s="518"/>
      <c r="F47" s="519"/>
      <c r="G47" s="520"/>
      <c r="H47" s="520"/>
      <c r="I47" s="520"/>
      <c r="J47" s="520"/>
      <c r="K47" s="520"/>
      <c r="L47" s="520"/>
      <c r="M47" s="496"/>
    </row>
    <row r="48" spans="1:13" s="249" customFormat="1" ht="16.5" customHeight="1">
      <c r="B48" s="512" t="s">
        <v>86</v>
      </c>
      <c r="C48" s="539"/>
      <c r="D48" s="540"/>
      <c r="E48" s="540"/>
      <c r="F48" s="541"/>
      <c r="G48" s="542">
        <f t="shared" ref="G48:L48" si="10">G49</f>
        <v>247.5</v>
      </c>
      <c r="H48" s="542">
        <f t="shared" si="10"/>
        <v>0</v>
      </c>
      <c r="I48" s="542">
        <f t="shared" si="10"/>
        <v>49.5</v>
      </c>
      <c r="J48" s="542">
        <f t="shared" si="10"/>
        <v>49.5</v>
      </c>
      <c r="K48" s="542">
        <f t="shared" si="10"/>
        <v>49.5</v>
      </c>
      <c r="L48" s="542">
        <f t="shared" si="10"/>
        <v>99</v>
      </c>
      <c r="M48" s="496"/>
    </row>
    <row r="49" spans="1:13" s="249" customFormat="1" ht="16.5" customHeight="1">
      <c r="A49" s="495" t="s">
        <v>6760</v>
      </c>
      <c r="B49" s="516" t="s">
        <v>87</v>
      </c>
      <c r="C49" s="517" t="s">
        <v>5340</v>
      </c>
      <c r="D49" s="518">
        <v>42109</v>
      </c>
      <c r="E49" s="518">
        <v>44242</v>
      </c>
      <c r="F49" s="519" t="s">
        <v>25</v>
      </c>
      <c r="G49" s="520">
        <f>SUM(H49:L49)</f>
        <v>247.5</v>
      </c>
      <c r="H49" s="520">
        <f t="array" ref="H49">SUM(IF(([2]OperInvest!$C$3:$C$1741&gt;=H$7)*([2]OperInvest!$C$3:$C$1741&lt;I$7)*([2]OperInvest!$F$3:$F$1741=$A49),[2]OperInvest!$R$3:$R$1741))/1000</f>
        <v>0</v>
      </c>
      <c r="I49" s="520">
        <f t="array" ref="I49">SUM(IF(([2]OperInvest!$C$3:$C$1741&gt;=I$7)*([2]OperInvest!$C$3:$C$1741&lt;J$7)*([2]OperInvest!$F$3:$F$1741=$A49),[2]OperInvest!$R$3:$R$1741))/1000</f>
        <v>49.5</v>
      </c>
      <c r="J49" s="520">
        <f t="array" ref="J49">SUM(IF(([2]OperInvest!$C$3:$C$1741&gt;=J$7)*([2]OperInvest!$C$3:$C$1741&lt;K$7)*([2]OperInvest!$F$3:$F$1741=$A49),[2]OperInvest!$R$3:$R$1741))/1000</f>
        <v>49.5</v>
      </c>
      <c r="K49" s="520">
        <f t="array" ref="K49">SUM(IF(([2]OperInvest!$C$3:$C$1741&gt;=K$7)*([2]OperInvest!$C$3:$C$1741&lt;L$7)*([2]OperInvest!$F$3:$F$1741=$A49),[2]OperInvest!$R$3:$R$1741))/1000</f>
        <v>49.5</v>
      </c>
      <c r="L49" s="520">
        <f t="array" ref="L49">SUM(IF(([2]OperInvest!$C$3:$C$1741&gt;=L$7)*([2]OperInvest!$C$3:$C$1741&lt;M$7)*([2]OperInvest!$F$3:$F$1741=$A49),[2]OperInvest!$R$3:$R$1741))/1000</f>
        <v>99</v>
      </c>
      <c r="M49" s="496"/>
    </row>
    <row r="50" spans="1:13" s="249" customFormat="1" ht="5.25" customHeight="1">
      <c r="B50" s="516"/>
      <c r="C50" s="521"/>
      <c r="D50" s="518"/>
      <c r="E50" s="518"/>
      <c r="F50" s="519"/>
      <c r="G50" s="520"/>
      <c r="H50" s="520"/>
      <c r="I50" s="520"/>
      <c r="J50" s="520"/>
      <c r="K50" s="520"/>
      <c r="L50" s="520"/>
      <c r="M50" s="496"/>
    </row>
    <row r="51" spans="1:13" s="493" customFormat="1" ht="15.75">
      <c r="B51" s="523" t="s">
        <v>94</v>
      </c>
      <c r="C51" s="539"/>
      <c r="D51" s="543"/>
      <c r="E51" s="544"/>
      <c r="F51" s="523"/>
      <c r="G51" s="542">
        <f t="shared" ref="G51:L51" si="11">G52</f>
        <v>31547.501169513944</v>
      </c>
      <c r="H51" s="542">
        <f t="shared" si="11"/>
        <v>1913.2282719859104</v>
      </c>
      <c r="I51" s="542">
        <f t="shared" si="11"/>
        <v>29634.272897528033</v>
      </c>
      <c r="J51" s="542">
        <f t="shared" si="11"/>
        <v>0</v>
      </c>
      <c r="K51" s="542">
        <f t="shared" si="11"/>
        <v>0</v>
      </c>
      <c r="L51" s="542">
        <f t="shared" si="11"/>
        <v>0</v>
      </c>
      <c r="M51" s="494" t="s">
        <v>7018</v>
      </c>
    </row>
    <row r="52" spans="1:13" s="502" customFormat="1">
      <c r="A52" s="502" t="s">
        <v>6761</v>
      </c>
      <c r="B52" s="516" t="s">
        <v>95</v>
      </c>
      <c r="C52" s="521" t="s">
        <v>1217</v>
      </c>
      <c r="D52" s="518">
        <v>40477</v>
      </c>
      <c r="E52" s="518">
        <v>43039</v>
      </c>
      <c r="F52" s="519" t="s">
        <v>22</v>
      </c>
      <c r="G52" s="520">
        <f>SUM(H52:L52)</f>
        <v>31547.501169513944</v>
      </c>
      <c r="H52" s="520">
        <f t="array" ref="H52">(SUM(IF(([2]OperCusteio!$C$2:$C$212&gt;=H$7)*([2]OperCusteio!$C$2:$C$212&lt;I$7)*([2]OperCusteio!$F$2:$F$212=$A52),[2]OperCusteio!$R$2:$R$212))/1000)+(SUM(IF(([2]OperInvest!$C$3:$C$1741&gt;=H$7)*([2]OperInvest!$C$3:$C$1741&lt;I$7)*([2]OperInvest!$F$3:$F$1741=$A52),[2]OperInvest!$R$3:$R$1741))/1000)</f>
        <v>1913.2282719859104</v>
      </c>
      <c r="I52" s="520">
        <f t="array" ref="I52">(SUM(IF(([2]OperCusteio!$C$2:$C$212&gt;=I$7)*([2]OperCusteio!$C$2:$C$212&lt;J$7)*([2]OperCusteio!$F$2:$F$212=$A52),[2]OperCusteio!$R$2:$R$212))/1000)+(SUM(IF(([2]OperInvest!$C$3:$C$1741&gt;=I$7)*([2]OperInvest!$C$3:$C$1741&lt;J$7)*([2]OperInvest!$F$3:$F$1741=$A52),[2]OperInvest!$R$3:$R$1741))/1000)</f>
        <v>29634.272897528033</v>
      </c>
      <c r="J52" s="520">
        <f t="array" ref="J52">(SUM(IF(([2]OperCusteio!$C$2:$C$212&gt;=J$7)*([2]OperCusteio!$C$2:$C$212&lt;K$7)*([2]OperCusteio!$F$2:$F$212=$A52),[2]OperCusteio!$R$2:$R$212))/1000)+(SUM(IF(([2]OperInvest!$C$3:$C$1741&gt;=J$7)*([2]OperInvest!$C$3:$C$1741&lt;K$7)*([2]OperInvest!$F$3:$F$1741=$A52),[2]OperInvest!$R$3:$R$1741))/1000)</f>
        <v>0</v>
      </c>
      <c r="K52" s="520">
        <f t="array" ref="K52">(SUM(IF(([2]OperCusteio!$C$2:$C$212&gt;=K$7)*([2]OperCusteio!$C$2:$C$212&lt;L$7)*([2]OperCusteio!$F$2:$F$212=$A52),[2]OperCusteio!$R$2:$R$212))/1000)+(SUM(IF(([2]OperInvest!$C$3:$C$1741&gt;=K$7)*([2]OperInvest!$C$3:$C$1741&lt;L$7)*([2]OperInvest!$F$3:$F$1741=$A52),[2]OperInvest!$R$3:$R$1741))/1000)</f>
        <v>0</v>
      </c>
      <c r="L52" s="520">
        <f t="array" ref="L52">(SUM(IF(([2]OperCusteio!$C$2:$C$212&gt;=L$7)*([2]OperCusteio!$C$2:$C$212&lt;M$7)*([2]OperCusteio!$F$2:$F$212=$A52),[2]OperCusteio!$R$2:$R$212))/1000)+(SUM(IF(([2]OperInvest!$C$3:$C$1741&gt;=L$7)*([2]OperInvest!$C$3:$C$1741&lt;M$7)*([2]OperInvest!$F$3:$F$1741=$A52),[2]OperInvest!$R$3:$R$1741))/1000)</f>
        <v>0</v>
      </c>
      <c r="M52" s="520">
        <f t="array" ref="M52">(SUM(IF(([2]OperCusteio!$C$2:$C$212&gt;=M$7)*([2]OperCusteio!$C$2:$C$212&lt;N$7)*([2]OperCusteio!$F$2:$F$212=$A52),[2]OperCusteio!$R$2:$R$212))/1000)+(SUM(IF(([2]OperInvest!$C$3:$C$1741&gt;=M$7)*([2]OperInvest!$C$3:$C$1741&lt;N$7)*([2]OperInvest!$F$3:$F$1741=$A52),[2]OperInvest!$R$3:$R$1741))/1000)</f>
        <v>0</v>
      </c>
    </row>
    <row r="53" spans="1:13" s="249" customFormat="1" ht="5.0999999999999996" customHeight="1">
      <c r="B53" s="516"/>
      <c r="C53" s="521"/>
      <c r="D53" s="518"/>
      <c r="E53" s="518"/>
      <c r="F53" s="519"/>
      <c r="G53" s="520"/>
      <c r="H53" s="520"/>
      <c r="I53" s="520"/>
      <c r="J53" s="520"/>
      <c r="K53" s="520"/>
      <c r="L53" s="520"/>
      <c r="M53" s="496"/>
    </row>
    <row r="54" spans="1:13" s="249" customFormat="1" ht="5.0999999999999996" customHeight="1">
      <c r="B54" s="516"/>
      <c r="C54" s="521"/>
      <c r="D54" s="518"/>
      <c r="E54" s="518"/>
      <c r="F54" s="519"/>
      <c r="G54" s="520"/>
      <c r="H54" s="520"/>
      <c r="I54" s="520"/>
      <c r="J54" s="520"/>
      <c r="K54" s="520"/>
      <c r="L54" s="520"/>
      <c r="M54" s="496"/>
    </row>
    <row r="55" spans="1:13" s="493" customFormat="1" ht="16.5" customHeight="1">
      <c r="B55" s="523" t="s">
        <v>1174</v>
      </c>
      <c r="C55" s="539"/>
      <c r="D55" s="540"/>
      <c r="E55" s="540"/>
      <c r="F55" s="541"/>
      <c r="G55" s="542">
        <f t="shared" ref="G55:L55" si="12">G56</f>
        <v>4758.170067269557</v>
      </c>
      <c r="H55" s="542">
        <f t="shared" si="12"/>
        <v>335.85964447370696</v>
      </c>
      <c r="I55" s="542">
        <f t="shared" si="12"/>
        <v>1775.5604227958506</v>
      </c>
      <c r="J55" s="542">
        <f t="shared" si="12"/>
        <v>937.5</v>
      </c>
      <c r="K55" s="542">
        <f t="shared" si="12"/>
        <v>889.125</v>
      </c>
      <c r="L55" s="542">
        <f t="shared" si="12"/>
        <v>820.125</v>
      </c>
      <c r="M55" s="494"/>
    </row>
    <row r="56" spans="1:13" s="249" customFormat="1" ht="16.5" customHeight="1">
      <c r="A56" s="249" t="s">
        <v>6762</v>
      </c>
      <c r="B56" s="516" t="s">
        <v>87</v>
      </c>
      <c r="C56" s="521" t="s">
        <v>6974</v>
      </c>
      <c r="D56" s="518">
        <v>37230</v>
      </c>
      <c r="E56" s="518">
        <v>43966</v>
      </c>
      <c r="F56" s="519" t="s">
        <v>25</v>
      </c>
      <c r="G56" s="520">
        <f>SUM(H56:L56)</f>
        <v>4758.170067269557</v>
      </c>
      <c r="H56" s="520">
        <f t="array" ref="H56">SUM(IF(([2]OperInvest!$C$3:$C$1741&gt;=H$7)*([2]OperInvest!$C$3:$C$1741&lt;I$7)*([2]OperInvest!$F$3:$F$1741=$A56),[2]OperInvest!$R$3:$R$1741))/1000</f>
        <v>335.85964447370696</v>
      </c>
      <c r="I56" s="520">
        <f t="array" ref="I56">SUM(IF(([2]OperInvest!$C$3:$C$1741&gt;=I$7)*([2]OperInvest!$C$3:$C$1741&lt;J$7)*([2]OperInvest!$F$3:$F$1741=$A56),[2]OperInvest!$R$3:$R$1741))/1000</f>
        <v>1775.5604227958506</v>
      </c>
      <c r="J56" s="520">
        <f t="array" ref="J56">SUM(IF(([2]OperInvest!$C$3:$C$1741&gt;=J$7)*([2]OperInvest!$C$3:$C$1741&lt;K$7)*([2]OperInvest!$F$3:$F$1741=$A56),[2]OperInvest!$R$3:$R$1741))/1000</f>
        <v>937.5</v>
      </c>
      <c r="K56" s="520">
        <f t="array" ref="K56">SUM(IF(([2]OperInvest!$C$3:$C$1741&gt;=K$7)*([2]OperInvest!$C$3:$C$1741&lt;L$7)*([2]OperInvest!$F$3:$F$1741=$A56),[2]OperInvest!$R$3:$R$1741))/1000</f>
        <v>889.125</v>
      </c>
      <c r="L56" s="520">
        <f t="array" ref="L56">SUM(IF(([2]OperInvest!$C$3:$C$1741&gt;=L$7)*([2]OperInvest!$C$3:$C$1741&lt;M$7)*([2]OperInvest!$F$3:$F$1741=$A56),[2]OperInvest!$R$3:$R$1741))/1000</f>
        <v>820.125</v>
      </c>
      <c r="M56" s="496"/>
    </row>
    <row r="57" spans="1:13" s="249" customFormat="1" ht="5.0999999999999996" customHeight="1">
      <c r="B57" s="516"/>
      <c r="C57" s="521"/>
      <c r="D57" s="518"/>
      <c r="E57" s="518"/>
      <c r="F57" s="519"/>
      <c r="G57" s="520"/>
      <c r="H57" s="520"/>
      <c r="I57" s="520"/>
      <c r="J57" s="520"/>
      <c r="K57" s="520"/>
      <c r="L57" s="520"/>
      <c r="M57" s="496"/>
    </row>
    <row r="58" spans="1:13" s="493" customFormat="1" ht="16.5" customHeight="1">
      <c r="B58" s="523" t="s">
        <v>104</v>
      </c>
      <c r="C58" s="539"/>
      <c r="D58" s="540"/>
      <c r="E58" s="540"/>
      <c r="F58" s="541"/>
      <c r="G58" s="542">
        <f t="shared" ref="G58:L58" si="13">SUM(G59:G60)</f>
        <v>25145.695167218499</v>
      </c>
      <c r="H58" s="542">
        <f t="shared" si="13"/>
        <v>4215.6133845665036</v>
      </c>
      <c r="I58" s="542">
        <f t="shared" si="13"/>
        <v>5791.6030010405666</v>
      </c>
      <c r="J58" s="542">
        <f t="shared" si="13"/>
        <v>4458.1759122777148</v>
      </c>
      <c r="K58" s="542">
        <f t="shared" si="13"/>
        <v>3751.2692922777151</v>
      </c>
      <c r="L58" s="542">
        <f t="shared" si="13"/>
        <v>6929.0335770560005</v>
      </c>
      <c r="M58" s="494"/>
    </row>
    <row r="59" spans="1:13" s="249" customFormat="1" ht="16.5" customHeight="1">
      <c r="A59" s="249" t="s">
        <v>6764</v>
      </c>
      <c r="B59" s="516" t="s">
        <v>87</v>
      </c>
      <c r="C59" s="517" t="s">
        <v>7009</v>
      </c>
      <c r="D59" s="518">
        <v>41306</v>
      </c>
      <c r="E59" s="518">
        <v>44696</v>
      </c>
      <c r="F59" s="519" t="s">
        <v>25</v>
      </c>
      <c r="G59" s="520">
        <f>SUM(H59:L59)</f>
        <v>17301.294580685739</v>
      </c>
      <c r="H59" s="520">
        <f t="array" ref="H59">SUM(IF(([2]OperInvest!$C$3:$C$1741&gt;=H$7)*([2]OperInvest!$C$3:$C$1741&lt;I$7)*([2]OperInvest!$F$3:$F$1741=$A59),[2]OperInvest!$R$3:$R$1741))/1000</f>
        <v>145.740612972859</v>
      </c>
      <c r="I59" s="520">
        <f t="array" ref="I59">SUM(IF(([2]OperInvest!$C$3:$C$1741&gt;=I$7)*([2]OperInvest!$C$3:$C$1741&lt;J$7)*([2]OperInvest!$F$3:$F$1741=$A59),[2]OperInvest!$R$3:$R$1741))/1000</f>
        <v>3807.4289528914514</v>
      </c>
      <c r="J59" s="520">
        <f t="array" ref="J59">SUM(IF(([2]OperInvest!$C$3:$C$1741&gt;=J$7)*([2]OperInvest!$C$3:$C$1741&lt;K$7)*([2]OperInvest!$F$3:$F$1741=$A59),[2]OperInvest!$R$3:$R$1741))/1000</f>
        <v>3673.1590155357148</v>
      </c>
      <c r="K59" s="520">
        <f t="array" ref="K59">SUM(IF(([2]OperInvest!$C$3:$C$1741&gt;=K$7)*([2]OperInvest!$C$3:$C$1741&lt;L$7)*([2]OperInvest!$F$3:$F$1741=$A59),[2]OperInvest!$R$3:$R$1741))/1000</f>
        <v>2966.2523955357151</v>
      </c>
      <c r="L59" s="520">
        <f t="array" ref="L59">SUM(IF(([2]OperInvest!$C$3:$C$1741&gt;=L$7)*([2]OperInvest!$C$3:$C$1741&lt;M$7)*([2]OperInvest!$F$3:$F$1741=$A59),[2]OperInvest!$R$3:$R$1741))/1000</f>
        <v>6708.7136037500004</v>
      </c>
      <c r="M59" s="496"/>
    </row>
    <row r="60" spans="1:13" s="249" customFormat="1" ht="16.5" customHeight="1">
      <c r="A60" s="249" t="s">
        <v>6763</v>
      </c>
      <c r="B60" s="516" t="s">
        <v>1446</v>
      </c>
      <c r="C60" s="517" t="s">
        <v>6975</v>
      </c>
      <c r="D60" s="518">
        <v>40709</v>
      </c>
      <c r="E60" s="518">
        <v>43936</v>
      </c>
      <c r="F60" s="519" t="s">
        <v>22</v>
      </c>
      <c r="G60" s="520">
        <f>SUM(H60:L60)</f>
        <v>7844.400586532759</v>
      </c>
      <c r="H60" s="520">
        <f t="array" ref="H60">SUM(IF(([2]OperInvest!$C$3:$C$1741&gt;=H$7)*([2]OperInvest!$C$3:$C$1741&lt;I$7)*([2]OperInvest!$F$3:$F$1741=$A60),[2]OperInvest!$R$3:$R$1741))/1000</f>
        <v>4069.8727715936443</v>
      </c>
      <c r="I60" s="520">
        <f t="array" ref="I60">SUM(IF(([2]OperInvest!$C$3:$C$1741&gt;=I$7)*([2]OperInvest!$C$3:$C$1741&lt;J$7)*([2]OperInvest!$F$3:$F$1741=$A60),[2]OperInvest!$R$3:$R$1741))/1000</f>
        <v>1984.1740481491152</v>
      </c>
      <c r="J60" s="520">
        <f t="array" ref="J60">SUM(IF(([2]OperInvest!$C$3:$C$1741&gt;=J$7)*([2]OperInvest!$C$3:$C$1741&lt;K$7)*([2]OperInvest!$F$3:$F$1741=$A60),[2]OperInvest!$R$3:$R$1741))/1000</f>
        <v>785.01689674199997</v>
      </c>
      <c r="K60" s="520">
        <f t="array" ref="K60">SUM(IF(([2]OperInvest!$C$3:$C$1741&gt;=K$7)*([2]OperInvest!$C$3:$C$1741&lt;L$7)*([2]OperInvest!$F$3:$F$1741=$A60),[2]OperInvest!$R$3:$R$1741))/1000</f>
        <v>785.01689674199997</v>
      </c>
      <c r="L60" s="520">
        <f t="array" ref="L60">SUM(IF(([2]OperInvest!$C$3:$C$1741&gt;=L$7)*([2]OperInvest!$C$3:$C$1741&lt;M$7)*([2]OperInvest!$F$3:$F$1741=$A60),[2]OperInvest!$R$3:$R$1741))/1000</f>
        <v>220.31997330600001</v>
      </c>
      <c r="M60" s="496"/>
    </row>
    <row r="61" spans="1:13" s="249" customFormat="1" ht="5.0999999999999996" customHeight="1">
      <c r="B61" s="516"/>
      <c r="C61" s="521"/>
      <c r="D61" s="518"/>
      <c r="E61" s="518"/>
      <c r="F61" s="519"/>
      <c r="G61" s="520"/>
      <c r="H61" s="520"/>
      <c r="I61" s="520"/>
      <c r="J61" s="520"/>
      <c r="K61" s="520"/>
      <c r="L61" s="520"/>
      <c r="M61" s="496"/>
    </row>
    <row r="62" spans="1:13" s="493" customFormat="1" ht="16.5" customHeight="1">
      <c r="B62" s="523" t="s">
        <v>101</v>
      </c>
      <c r="C62" s="539"/>
      <c r="D62" s="540"/>
      <c r="E62" s="540"/>
      <c r="F62" s="541"/>
      <c r="G62" s="542">
        <f t="shared" ref="G62:L62" si="14">SUM(G63:G64)</f>
        <v>17185.628679268262</v>
      </c>
      <c r="H62" s="542">
        <f t="shared" si="14"/>
        <v>192</v>
      </c>
      <c r="I62" s="542">
        <f t="shared" si="14"/>
        <v>3260.097159268259</v>
      </c>
      <c r="J62" s="542">
        <f t="shared" si="14"/>
        <v>3192.8828800000001</v>
      </c>
      <c r="K62" s="542">
        <f t="shared" si="14"/>
        <v>3192.8828800000006</v>
      </c>
      <c r="L62" s="542">
        <f t="shared" si="14"/>
        <v>7347.765760000002</v>
      </c>
      <c r="M62" s="494"/>
    </row>
    <row r="63" spans="1:13" s="493" customFormat="1" ht="16.5" customHeight="1">
      <c r="A63" s="493" t="s">
        <v>6801</v>
      </c>
      <c r="B63" s="833" t="s">
        <v>102</v>
      </c>
      <c r="C63" s="834" t="s">
        <v>6800</v>
      </c>
      <c r="D63" s="835">
        <v>37425</v>
      </c>
      <c r="E63" s="835">
        <v>45961</v>
      </c>
      <c r="F63" s="836" t="s">
        <v>25</v>
      </c>
      <c r="G63" s="520">
        <f>SUM(H63:L63)</f>
        <v>2114</v>
      </c>
      <c r="H63" s="837">
        <v>192</v>
      </c>
      <c r="I63" s="837">
        <v>192</v>
      </c>
      <c r="J63" s="837">
        <v>192</v>
      </c>
      <c r="K63" s="837">
        <v>192</v>
      </c>
      <c r="L63" s="837">
        <v>1346</v>
      </c>
      <c r="M63" s="494" t="s">
        <v>7019</v>
      </c>
    </row>
    <row r="64" spans="1:13" s="249" customFormat="1" ht="16.5" customHeight="1">
      <c r="A64" s="867" t="s">
        <v>7011</v>
      </c>
      <c r="B64" s="516" t="s">
        <v>1008</v>
      </c>
      <c r="C64" s="517" t="s">
        <v>1009</v>
      </c>
      <c r="D64" s="518">
        <v>40633</v>
      </c>
      <c r="E64" s="518">
        <v>42459</v>
      </c>
      <c r="F64" s="519" t="s">
        <v>25</v>
      </c>
      <c r="G64" s="520">
        <f>SUM(H64:L64)</f>
        <v>15071.628679268262</v>
      </c>
      <c r="H64" s="520">
        <f t="array" ref="H64">SUM(IF(([2]OperCusteio!$C$2:$C$212&gt;=H$7)*([2]OperCusteio!$C$2:$C$212&lt;I$7)*([2]OperCusteio!$F$2:$F$212=$A64),[2]OperCusteio!$R$2:$R$212))/1000</f>
        <v>0</v>
      </c>
      <c r="I64" s="520">
        <f t="array" ref="I64">SUM(IF(([2]OperCusteio!$C$2:$C$212&gt;=I$7)*([2]OperCusteio!$C$2:$C$212&lt;J$7)*([2]OperCusteio!$F$2:$F$212=$A64),[2]OperCusteio!$R$2:$R$212))/1000</f>
        <v>3068.097159268259</v>
      </c>
      <c r="J64" s="520">
        <f t="array" ref="J64">SUM(IF(([2]OperCusteio!$C$2:$C$212&gt;=J$7)*([2]OperCusteio!$C$2:$C$212&lt;K$7)*([2]OperCusteio!$F$2:$F$212=$A64),[2]OperCusteio!$R$2:$R$212))/1000</f>
        <v>3000.8828800000001</v>
      </c>
      <c r="K64" s="520">
        <f t="array" ref="K64">SUM(IF(([2]OperCusteio!$C$2:$C$212&gt;=K$7)*([2]OperCusteio!$C$2:$C$212&lt;L$7)*([2]OperCusteio!$F$2:$F$212=$A64),[2]OperCusteio!$R$2:$R$212))/1000</f>
        <v>3000.8828800000006</v>
      </c>
      <c r="L64" s="520">
        <f t="array" ref="L64">SUM(IF(([2]OperCusteio!$C$2:$C$212&gt;=L$7)*([2]OperCusteio!$C$2:$C$212&lt;M$7)*([2]OperCusteio!$F$2:$F$212=$A64),[2]OperCusteio!$R$2:$R$212))/1000</f>
        <v>6001.765760000002</v>
      </c>
      <c r="M64" s="496"/>
    </row>
    <row r="65" spans="1:13" s="249" customFormat="1" ht="5.0999999999999996" customHeight="1">
      <c r="B65" s="516"/>
      <c r="C65" s="521"/>
      <c r="D65" s="518"/>
      <c r="E65" s="518"/>
      <c r="F65" s="519"/>
      <c r="G65" s="520"/>
      <c r="H65" s="520"/>
      <c r="I65" s="520"/>
      <c r="J65" s="520"/>
      <c r="K65" s="520"/>
      <c r="L65" s="520"/>
      <c r="M65" s="496"/>
    </row>
    <row r="66" spans="1:13" s="493" customFormat="1" ht="16.5" customHeight="1">
      <c r="B66" s="523" t="s">
        <v>90</v>
      </c>
      <c r="C66" s="539"/>
      <c r="D66" s="540"/>
      <c r="E66" s="540"/>
      <c r="F66" s="541"/>
      <c r="G66" s="542">
        <f t="shared" ref="G66:L66" si="15">SUM(G67:G71)</f>
        <v>48000.024411899838</v>
      </c>
      <c r="H66" s="542">
        <f t="shared" si="15"/>
        <v>13022.059714694577</v>
      </c>
      <c r="I66" s="542">
        <f t="shared" si="15"/>
        <v>20123.483747205264</v>
      </c>
      <c r="J66" s="542">
        <f t="shared" si="15"/>
        <v>6889.3677900000002</v>
      </c>
      <c r="K66" s="542">
        <f t="shared" si="15"/>
        <v>5464.5327900000002</v>
      </c>
      <c r="L66" s="542">
        <f t="shared" si="15"/>
        <v>2500.5803700000001</v>
      </c>
      <c r="M66" s="494"/>
    </row>
    <row r="67" spans="1:13" s="249" customFormat="1" ht="16.5" customHeight="1">
      <c r="A67" s="249" t="s">
        <v>6765</v>
      </c>
      <c r="B67" s="516" t="s">
        <v>98</v>
      </c>
      <c r="C67" s="517" t="s">
        <v>5610</v>
      </c>
      <c r="D67" s="518">
        <v>40877</v>
      </c>
      <c r="E67" s="518">
        <v>42674</v>
      </c>
      <c r="F67" s="519" t="s">
        <v>22</v>
      </c>
      <c r="G67" s="520">
        <f>SUM(H67:L67)</f>
        <v>5366.6256865447976</v>
      </c>
      <c r="H67" s="520">
        <f t="array" ref="H67">SUM(IF(([2]OperCusteio!$C$2:$C$212&gt;=H$7)*([2]OperCusteio!$C$2:$C$212&lt;I$7)*([2]OperCusteio!$F$2:$F$212=$A67),[2]OperCusteio!$R$2:$R$212))/1000</f>
        <v>5366.6256865447976</v>
      </c>
      <c r="I67" s="520">
        <f t="array" ref="I67">SUM(IF(([2]OperCusteio!$C$2:$C$212&gt;=I$7)*([2]OperCusteio!$C$2:$C$212&lt;J$7)*([2]OperCusteio!$F$2:$F$212=$A67),[2]OperCusteio!$R$2:$R$212))/1000</f>
        <v>0</v>
      </c>
      <c r="J67" s="520">
        <f t="array" ref="J67">SUM(IF(([2]OperCusteio!$C$2:$C$212&gt;=J$7)*([2]OperCusteio!$C$2:$C$212&lt;K$7)*([2]OperCusteio!$F$2:$F$212=$A67),[2]OperCusteio!$R$2:$R$212))/1000</f>
        <v>0</v>
      </c>
      <c r="K67" s="520">
        <f t="array" ref="K67">SUM(IF(([2]OperCusteio!$C$2:$C$212&gt;=K$7)*([2]OperCusteio!$C$2:$C$212&lt;L$7)*([2]OperCusteio!$F$2:$F$212=$A67),[2]OperCusteio!$R$2:$R$212))/1000</f>
        <v>0</v>
      </c>
      <c r="L67" s="520">
        <f t="array" ref="L67">SUM(IF(([2]OperCusteio!$C$2:$C$212&gt;=L$7)*([2]OperCusteio!$C$2:$C$212&lt;M$7)*([2]OperCusteio!$F$2:$F$212=$A67),[2]OperCusteio!$R$2:$R$212))/1000</f>
        <v>0</v>
      </c>
      <c r="M67" s="496"/>
    </row>
    <row r="68" spans="1:13" s="249" customFormat="1" ht="16.5" hidden="1" customHeight="1">
      <c r="B68" s="516"/>
      <c r="C68" s="545"/>
      <c r="D68" s="518"/>
      <c r="E68" s="518"/>
      <c r="F68" s="519"/>
      <c r="G68" s="520"/>
      <c r="H68" s="520"/>
      <c r="I68" s="520"/>
      <c r="J68" s="520"/>
      <c r="K68" s="520"/>
      <c r="L68" s="520"/>
      <c r="M68" s="496"/>
    </row>
    <row r="69" spans="1:13" s="249" customFormat="1" ht="16.5" customHeight="1">
      <c r="A69" s="249" t="s">
        <v>6766</v>
      </c>
      <c r="B69" s="516" t="s">
        <v>96</v>
      </c>
      <c r="C69" s="517" t="s">
        <v>5609</v>
      </c>
      <c r="D69" s="518">
        <v>41838</v>
      </c>
      <c r="E69" s="518">
        <v>43059</v>
      </c>
      <c r="F69" s="519" t="s">
        <v>22</v>
      </c>
      <c r="G69" s="520">
        <f>SUM(H69:L69)</f>
        <v>29672.306045446967</v>
      </c>
      <c r="H69" s="520">
        <f t="array" ref="H69">SUM(IF(([2]OperCusteio!$C$2:$C$212&gt;=H$7)*([2]OperCusteio!$C$2:$C$212&lt;I$7)*([2]OperCusteio!$F$2:$F$212=$A69),[2]OperCusteio!$R$2:$R$212))/1000</f>
        <v>6136.1091046765996</v>
      </c>
      <c r="I69" s="520">
        <f t="array" ref="I69">SUM(IF(([2]OperCusteio!$C$2:$C$212&gt;=I$7)*([2]OperCusteio!$C$2:$C$212&lt;J$7)*([2]OperCusteio!$F$2:$F$212=$A69),[2]OperCusteio!$R$2:$R$212))/1000</f>
        <v>15346.502940770366</v>
      </c>
      <c r="J69" s="520">
        <f t="array" ref="J69">SUM(IF(([2]OperCusteio!$C$2:$C$212&gt;=J$7)*([2]OperCusteio!$C$2:$C$212&lt;K$7)*([2]OperCusteio!$F$2:$F$212=$A69),[2]OperCusteio!$R$2:$R$212))/1000</f>
        <v>4094.8470000000002</v>
      </c>
      <c r="K69" s="520">
        <f t="array" ref="K69">SUM(IF(([2]OperCusteio!$C$2:$C$212&gt;=K$7)*([2]OperCusteio!$C$2:$C$212&lt;L$7)*([2]OperCusteio!$F$2:$F$212=$A69),[2]OperCusteio!$R$2:$R$212))/1000</f>
        <v>4094.8470000000002</v>
      </c>
      <c r="L69" s="520">
        <f t="array" ref="L69">SUM(IF(([2]OperCusteio!$C$2:$C$212&gt;=L$7)*([2]OperCusteio!$C$2:$C$212&lt;M$7)*([2]OperCusteio!$F$2:$F$212=$A69),[2]OperCusteio!$R$2:$R$212))/1000</f>
        <v>0</v>
      </c>
      <c r="M69" s="496"/>
    </row>
    <row r="70" spans="1:13" s="249" customFormat="1" ht="16.5" customHeight="1">
      <c r="A70" s="505" t="s">
        <v>6767</v>
      </c>
      <c r="B70" s="516" t="s">
        <v>87</v>
      </c>
      <c r="C70" s="521" t="s">
        <v>6976</v>
      </c>
      <c r="D70" s="518">
        <v>40424</v>
      </c>
      <c r="E70" s="518">
        <v>44849</v>
      </c>
      <c r="F70" s="519" t="s">
        <v>25</v>
      </c>
      <c r="G70" s="520">
        <f>SUM(H70:L70)</f>
        <v>12768.592679908075</v>
      </c>
      <c r="H70" s="520">
        <f t="array" ref="H70">SUM(IF(([2]OperInvest!$C$3:$C$1741&gt;=H$7)*([2]OperInvest!$C$3:$C$1741&lt;I$7)*([2]OperInvest!$F$3:$F$1741=$A70),[2]OperInvest!$R$3:$R$1741))/1000</f>
        <v>1519.3249234731788</v>
      </c>
      <c r="I70" s="520">
        <f t="array" ref="I70">SUM(IF(([2]OperInvest!$C$3:$C$1741&gt;=I$7)*([2]OperInvest!$C$3:$C$1741&lt;J$7)*([2]OperInvest!$F$3:$F$1741=$A70),[2]OperInvest!$R$3:$R$1741))/1000</f>
        <v>4584.4808064348972</v>
      </c>
      <c r="J70" s="520">
        <f t="array" ref="J70">SUM(IF(([2]OperInvest!$C$3:$C$1741&gt;=J$7)*([2]OperInvest!$C$3:$C$1741&lt;K$7)*([2]OperInvest!$F$3:$F$1741=$A70),[2]OperInvest!$R$3:$R$1741))/1000</f>
        <v>2794.52079</v>
      </c>
      <c r="K70" s="520">
        <f t="array" ref="K70">SUM(IF(([2]OperInvest!$C$3:$C$1741&gt;=K$7)*([2]OperInvest!$C$3:$C$1741&lt;L$7)*([2]OperInvest!$F$3:$F$1741=$A70),[2]OperInvest!$R$3:$R$1741))/1000</f>
        <v>1369.68579</v>
      </c>
      <c r="L70" s="520">
        <f t="array" ref="L70">SUM(IF(([2]OperInvest!$C$3:$C$1741&gt;=L$7)*([2]OperInvest!$C$3:$C$1741&lt;M$7)*([2]OperInvest!$F$3:$F$1741=$A70),[2]OperInvest!$R$3:$R$1741))/1000</f>
        <v>2500.5803700000001</v>
      </c>
      <c r="M70" s="496"/>
    </row>
    <row r="71" spans="1:13" s="249" customFormat="1" ht="16.5" customHeight="1">
      <c r="A71" s="249" t="s">
        <v>6768</v>
      </c>
      <c r="B71" s="516" t="s">
        <v>98</v>
      </c>
      <c r="C71" s="517" t="s">
        <v>4468</v>
      </c>
      <c r="D71" s="518">
        <v>42041</v>
      </c>
      <c r="E71" s="518">
        <v>42765</v>
      </c>
      <c r="F71" s="519" t="s">
        <v>25</v>
      </c>
      <c r="G71" s="520">
        <f>SUM(H71:L71)</f>
        <v>192.5</v>
      </c>
      <c r="H71" s="520">
        <f t="array" ref="H71">SUM(IF(([2]OperCusteio!$C$2:$C$212&gt;=H$7)*([2]OperCusteio!$C$2:$C$212&lt;I$7)*([2]OperCusteio!$F$2:$F$212=$A71),[2]OperCusteio!$R$2:$R$212))/1000</f>
        <v>0</v>
      </c>
      <c r="I71" s="520">
        <f t="array" ref="I71">SUM(IF(([2]OperCusteio!$C$2:$C$212&gt;=I$7)*([2]OperCusteio!$C$2:$C$212&lt;J$7)*([2]OperCusteio!$F$2:$F$212=$A71),[2]OperCusteio!$R$2:$R$212))/1000</f>
        <v>192.5</v>
      </c>
      <c r="J71" s="520">
        <f t="array" ref="J71">SUM(IF(([2]OperCusteio!$C$2:$C$212&gt;=J$7)*([2]OperCusteio!$C$2:$C$212&lt;K$7)*([2]OperCusteio!$F$2:$F$212=$A71),[2]OperCusteio!$R$2:$R$212))/1000</f>
        <v>0</v>
      </c>
      <c r="K71" s="520">
        <f t="array" ref="K71">SUM(IF(([2]OperCusteio!$C$2:$C$212&gt;=K$7)*([2]OperCusteio!$C$2:$C$212&lt;L$7)*([2]OperCusteio!$F$2:$F$212=$A71),[2]OperCusteio!$R$2:$R$212))/1000</f>
        <v>0</v>
      </c>
      <c r="L71" s="520">
        <f t="array" ref="L71">SUM(IF(([2]OperCusteio!$C$2:$C$212&gt;=L$7)*([2]OperCusteio!$C$2:$C$212&lt;M$7)*([2]OperCusteio!$F$2:$F$212=$A71),[2]OperCusteio!$R$2:$R$212))/1000</f>
        <v>0</v>
      </c>
      <c r="M71" s="496"/>
    </row>
    <row r="72" spans="1:13" s="249" customFormat="1" ht="7.5" customHeight="1">
      <c r="B72" s="516"/>
      <c r="C72" s="517"/>
      <c r="D72" s="518"/>
      <c r="E72" s="518"/>
      <c r="F72" s="519"/>
      <c r="G72" s="520"/>
      <c r="H72" s="520"/>
      <c r="I72" s="520"/>
      <c r="J72" s="520"/>
      <c r="K72" s="520"/>
      <c r="L72" s="520"/>
      <c r="M72" s="496"/>
    </row>
    <row r="73" spans="1:13" s="249" customFormat="1" ht="15" customHeight="1">
      <c r="B73" s="523" t="s">
        <v>7020</v>
      </c>
      <c r="C73" s="539"/>
      <c r="D73" s="540"/>
      <c r="E73" s="540"/>
      <c r="F73" s="541"/>
      <c r="G73" s="542">
        <f t="shared" ref="G73:L73" si="16">SUM(G74)</f>
        <v>10000.710510557399</v>
      </c>
      <c r="H73" s="542">
        <f t="shared" si="16"/>
        <v>0</v>
      </c>
      <c r="I73" s="542">
        <f t="shared" si="16"/>
        <v>3667.3784923173994</v>
      </c>
      <c r="J73" s="542">
        <f t="shared" si="16"/>
        <v>6333.3320182399993</v>
      </c>
      <c r="K73" s="542">
        <f t="shared" si="16"/>
        <v>0</v>
      </c>
      <c r="L73" s="542">
        <f t="shared" si="16"/>
        <v>0</v>
      </c>
      <c r="M73" s="496"/>
    </row>
    <row r="74" spans="1:13" s="249" customFormat="1" ht="15" customHeight="1">
      <c r="A74" s="868" t="s">
        <v>7021</v>
      </c>
      <c r="B74" s="516" t="s">
        <v>7022</v>
      </c>
      <c r="C74" s="517" t="s">
        <v>7023</v>
      </c>
      <c r="D74" s="518">
        <f>[2]OperCusteio!$D$204</f>
        <v>42580</v>
      </c>
      <c r="E74" s="518">
        <f>[2]OperCusteio!$C$207</f>
        <v>43248</v>
      </c>
      <c r="F74" s="519" t="s">
        <v>22</v>
      </c>
      <c r="G74" s="520">
        <f>SUM(H74:L74)</f>
        <v>10000.710510557399</v>
      </c>
      <c r="H74" s="520">
        <f t="array" ref="H74">SUM(IF(([2]OperCusteio!$C$2:$C$212&gt;=H$7)*([2]OperCusteio!$C$2:$C$212&lt;I$7)*([2]OperCusteio!$F$2:$F$212=$A74),[2]OperCusteio!$R$2:$R$212))/1000</f>
        <v>0</v>
      </c>
      <c r="I74" s="520">
        <f t="array" ref="I74">SUM(IF(([2]OperCusteio!$C$2:$C$212&gt;=I$7)*([2]OperCusteio!$C$2:$C$212&lt;J$7)*([2]OperCusteio!$F$2:$F$212=$A74),[2]OperCusteio!$R$2:$R$212))/1000</f>
        <v>3667.3784923173994</v>
      </c>
      <c r="J74" s="520">
        <f t="array" ref="J74">SUM(IF(([2]OperCusteio!$C$2:$C$212&gt;=J$7)*([2]OperCusteio!$C$2:$C$212&lt;K$7)*([2]OperCusteio!$F$2:$F$212=$A74),[2]OperCusteio!$R$2:$R$212))/1000</f>
        <v>6333.3320182399993</v>
      </c>
      <c r="K74" s="520">
        <f t="array" ref="K74">SUM(IF(([2]OperCusteio!$C$2:$C$212&gt;=K$7)*([2]OperCusteio!$C$2:$C$212&lt;L$7)*([2]OperCusteio!$F$2:$F$212=$A74),[2]OperCusteio!$R$2:$R$212))/1000</f>
        <v>0</v>
      </c>
      <c r="L74" s="520">
        <f t="array" ref="L74">SUM(IF(([2]OperCusteio!$C$2:$C$212&gt;=L$7)*([2]OperCusteio!$C$2:$C$212&lt;M$7)*([2]OperCusteio!$F$2:$F$212=$A74),[2]OperCusteio!$R$2:$R$212))/1000</f>
        <v>0</v>
      </c>
      <c r="M74" s="496"/>
    </row>
    <row r="75" spans="1:13" ht="6.75" customHeight="1">
      <c r="B75" s="546"/>
      <c r="C75" s="546"/>
      <c r="D75" s="547"/>
      <c r="E75" s="547"/>
      <c r="F75" s="546"/>
      <c r="G75" s="546"/>
      <c r="H75" s="546"/>
      <c r="I75" s="546"/>
      <c r="J75" s="546"/>
      <c r="K75" s="546"/>
      <c r="L75" s="546"/>
    </row>
    <row r="76" spans="1:13">
      <c r="B76" s="523" t="s">
        <v>4469</v>
      </c>
      <c r="C76" s="539"/>
      <c r="D76" s="540"/>
      <c r="E76" s="540"/>
      <c r="F76" s="541"/>
      <c r="G76" s="542">
        <f t="shared" ref="G76:L76" si="17">SUM(G77)</f>
        <v>16043.959986460932</v>
      </c>
      <c r="H76" s="542">
        <f t="shared" si="17"/>
        <v>172.45998646093193</v>
      </c>
      <c r="I76" s="542">
        <f t="shared" si="17"/>
        <v>15871.5</v>
      </c>
      <c r="J76" s="542">
        <f t="shared" si="17"/>
        <v>0</v>
      </c>
      <c r="K76" s="542">
        <f t="shared" si="17"/>
        <v>0</v>
      </c>
      <c r="L76" s="542">
        <f t="shared" si="17"/>
        <v>0</v>
      </c>
    </row>
    <row r="77" spans="1:13">
      <c r="A77" s="225" t="s">
        <v>6769</v>
      </c>
      <c r="B77" s="516" t="s">
        <v>95</v>
      </c>
      <c r="C77" s="517" t="s">
        <v>6737</v>
      </c>
      <c r="D77" s="518">
        <v>42347</v>
      </c>
      <c r="E77" s="518">
        <v>42765</v>
      </c>
      <c r="F77" s="519" t="s">
        <v>22</v>
      </c>
      <c r="G77" s="520">
        <f>SUM(H77:L77)</f>
        <v>16043.959986460932</v>
      </c>
      <c r="H77" s="520">
        <f t="array" ref="H77">SUM(IF(([2]OperCusteio!$C$2:$C$212&gt;=H$7)*([2]OperCusteio!$C$2:$C$212&lt;I$7)*([2]OperCusteio!$F$2:$F$212=$A77),[2]OperCusteio!$R$2:$R$212))/1000</f>
        <v>172.45998646093193</v>
      </c>
      <c r="I77" s="520">
        <f t="array" ref="I77">SUM(IF(([2]OperCusteio!$C$2:$C$212&gt;=I$7)*([2]OperCusteio!$C$2:$C$212&lt;J$7)*([2]OperCusteio!$F$2:$F$212=$A77),[2]OperCusteio!$R$2:$R$212))/1000</f>
        <v>15871.5</v>
      </c>
      <c r="J77" s="520">
        <f t="array" ref="J77">SUM(IF(([2]OperCusteio!$C$2:$C$212&gt;=J$7)*([2]OperCusteio!$C$2:$C$212&lt;K$7)*([2]OperCusteio!$F$2:$F$212=$A77),[2]OperCusteio!$R$2:$R$212))/1000</f>
        <v>0</v>
      </c>
      <c r="K77" s="520">
        <f t="array" ref="K77">SUM(IF(([2]OperCusteio!$C$2:$C$212&gt;=K$7)*([2]OperCusteio!$C$2:$C$212&lt;L$7)*([2]OperCusteio!$F$2:$F$212=$A77),[2]OperCusteio!$R$2:$R$212))/1000</f>
        <v>0</v>
      </c>
      <c r="L77" s="520">
        <f t="array" ref="L77">SUM(IF(([2]OperCusteio!$C$2:$C$212&gt;=L$7)*([2]OperCusteio!$C$2:$C$212&lt;M$7)*([2]OperCusteio!$F$2:$F$212=$A77),[2]OperCusteio!$R$2:$R$212))/1000</f>
        <v>0</v>
      </c>
    </row>
    <row r="78" spans="1:13" ht="9" hidden="1" customHeight="1">
      <c r="B78" s="546"/>
      <c r="C78" s="546"/>
      <c r="D78" s="547"/>
      <c r="E78" s="547"/>
      <c r="F78" s="546"/>
      <c r="G78" s="546"/>
      <c r="H78" s="546"/>
      <c r="I78" s="546"/>
      <c r="J78" s="546"/>
      <c r="K78" s="546"/>
      <c r="L78" s="546"/>
    </row>
    <row r="79" spans="1:13" hidden="1">
      <c r="B79" s="523" t="s">
        <v>1173</v>
      </c>
      <c r="C79" s="539"/>
      <c r="D79" s="540"/>
      <c r="E79" s="540"/>
      <c r="F79" s="541"/>
      <c r="G79" s="542">
        <f t="shared" ref="G79:L79" si="18">SUM(G80)</f>
        <v>0</v>
      </c>
      <c r="H79" s="542">
        <f t="shared" si="18"/>
        <v>0</v>
      </c>
      <c r="I79" s="542">
        <f t="shared" si="18"/>
        <v>0</v>
      </c>
      <c r="J79" s="542">
        <f t="shared" si="18"/>
        <v>0</v>
      </c>
      <c r="K79" s="542">
        <f t="shared" si="18"/>
        <v>0</v>
      </c>
      <c r="L79" s="542">
        <f t="shared" si="18"/>
        <v>0</v>
      </c>
    </row>
    <row r="80" spans="1:13" hidden="1">
      <c r="B80" s="516"/>
      <c r="C80" s="517"/>
      <c r="D80" s="518"/>
      <c r="E80" s="518"/>
      <c r="F80" s="519"/>
      <c r="G80" s="520"/>
      <c r="H80" s="520"/>
      <c r="I80" s="520"/>
      <c r="J80" s="520"/>
      <c r="K80" s="520"/>
      <c r="L80" s="520"/>
    </row>
    <row r="81" spans="1:13" ht="9" customHeight="1">
      <c r="B81" s="516"/>
      <c r="C81" s="517"/>
      <c r="D81" s="518"/>
      <c r="E81" s="518"/>
      <c r="F81" s="519"/>
      <c r="G81" s="520"/>
      <c r="H81" s="520"/>
      <c r="I81" s="520"/>
      <c r="J81" s="520"/>
      <c r="K81" s="520"/>
      <c r="L81" s="520"/>
    </row>
    <row r="82" spans="1:13">
      <c r="B82" s="523" t="s">
        <v>97</v>
      </c>
      <c r="C82" s="539"/>
      <c r="D82" s="540"/>
      <c r="E82" s="540"/>
      <c r="F82" s="541"/>
      <c r="G82" s="542">
        <f t="shared" ref="G82:L82" si="19">SUM(G83)</f>
        <v>64127.036600352141</v>
      </c>
      <c r="H82" s="542">
        <f t="shared" si="19"/>
        <v>6989.6366003521462</v>
      </c>
      <c r="I82" s="542">
        <f t="shared" si="19"/>
        <v>6348.6</v>
      </c>
      <c r="J82" s="542">
        <f t="shared" si="19"/>
        <v>6348.6</v>
      </c>
      <c r="K82" s="542">
        <f t="shared" si="19"/>
        <v>6348.6</v>
      </c>
      <c r="L82" s="542">
        <f t="shared" si="19"/>
        <v>38091.599999999999</v>
      </c>
    </row>
    <row r="83" spans="1:13">
      <c r="A83" s="507" t="s">
        <v>6780</v>
      </c>
      <c r="B83" s="516" t="s">
        <v>98</v>
      </c>
      <c r="C83" s="517" t="s">
        <v>6776</v>
      </c>
      <c r="D83" s="518">
        <v>42212</v>
      </c>
      <c r="E83" s="518">
        <v>46006</v>
      </c>
      <c r="F83" s="519" t="s">
        <v>22</v>
      </c>
      <c r="G83" s="520">
        <f>SUM(H83:L83)</f>
        <v>64127.036600352141</v>
      </c>
      <c r="H83" s="520">
        <f t="array" ref="H83">SUM(IF(([2]OperCusteio!$C$2:$C$212&gt;=H$7)*([2]OperCusteio!$C$2:$C$212&lt;I$7)*([2]OperCusteio!$F$2:$F$212=$A83),[2]OperCusteio!$R$2:$R$212))/1000</f>
        <v>6989.6366003521462</v>
      </c>
      <c r="I83" s="520">
        <f t="array" ref="I83">SUM(IF(([2]OperCusteio!$C$2:$C$212&gt;=I$7)*([2]OperCusteio!$C$2:$C$212&lt;J$7)*([2]OperCusteio!$F$2:$F$212=$A83),[2]OperCusteio!$R$2:$R$212))/1000</f>
        <v>6348.6</v>
      </c>
      <c r="J83" s="520">
        <f t="array" ref="J83">SUM(IF(([2]OperCusteio!$C$2:$C$212&gt;=J$7)*([2]OperCusteio!$C$2:$C$212&lt;K$7)*([2]OperCusteio!$F$2:$F$212=$A83),[2]OperCusteio!$R$2:$R$212))/1000</f>
        <v>6348.6</v>
      </c>
      <c r="K83" s="520">
        <f t="array" ref="K83">SUM(IF(([2]OperCusteio!$C$2:$C$212&gt;=K$7)*([2]OperCusteio!$C$2:$C$212&lt;L$7)*([2]OperCusteio!$F$2:$F$212=$A83),[2]OperCusteio!$R$2:$R$212))/1000</f>
        <v>6348.6</v>
      </c>
      <c r="L83" s="520">
        <f t="array" ref="L83">SUM(IF(([2]OperCusteio!$C$2:$C$212&gt;=L$7)*([2]OperCusteio!$C$2:$C$212&lt;M$7)*([2]OperCusteio!$F$2:$F$212=$A83),[2]OperCusteio!$R$2:$R$212))/1000</f>
        <v>38091.599999999999</v>
      </c>
    </row>
    <row r="84" spans="1:13" ht="9.75" customHeight="1">
      <c r="B84" s="516"/>
      <c r="C84" s="517"/>
      <c r="D84" s="518"/>
      <c r="E84" s="518"/>
      <c r="F84" s="519"/>
      <c r="G84" s="520"/>
      <c r="H84" s="520"/>
      <c r="I84" s="520"/>
      <c r="J84" s="520"/>
      <c r="K84" s="520"/>
      <c r="L84" s="520"/>
    </row>
    <row r="85" spans="1:13">
      <c r="B85" s="523" t="s">
        <v>99</v>
      </c>
      <c r="C85" s="539"/>
      <c r="D85" s="540"/>
      <c r="E85" s="540"/>
      <c r="F85" s="541"/>
      <c r="G85" s="542">
        <f t="shared" ref="G85:L85" si="20">SUM(G86)</f>
        <v>16666.961542200555</v>
      </c>
      <c r="H85" s="542">
        <f t="shared" si="20"/>
        <v>16666.961542200555</v>
      </c>
      <c r="I85" s="542">
        <f t="shared" si="20"/>
        <v>0</v>
      </c>
      <c r="J85" s="542">
        <f t="shared" si="20"/>
        <v>0</v>
      </c>
      <c r="K85" s="542">
        <f t="shared" si="20"/>
        <v>0</v>
      </c>
      <c r="L85" s="542">
        <f t="shared" si="20"/>
        <v>0</v>
      </c>
    </row>
    <row r="86" spans="1:13" ht="23.25" customHeight="1">
      <c r="A86" s="864" t="s">
        <v>7010</v>
      </c>
      <c r="B86" s="516" t="s">
        <v>98</v>
      </c>
      <c r="C86" s="517" t="s">
        <v>6987</v>
      </c>
      <c r="D86" s="518">
        <v>42425</v>
      </c>
      <c r="E86" s="518">
        <v>42663</v>
      </c>
      <c r="F86" s="519" t="s">
        <v>22</v>
      </c>
      <c r="G86" s="520">
        <f>SUM(H86:L86)</f>
        <v>16666.961542200555</v>
      </c>
      <c r="H86" s="520">
        <f t="array" ref="H86">SUM(IF(([2]OperCusteio!$C$2:$C$212&gt;=H$7)*([2]OperCusteio!$C$2:$C$212&lt;I$7)*([2]OperCusteio!$F$2:$F$212=$A86),[2]OperCusteio!$R$2:$R$212))/1000</f>
        <v>16666.961542200555</v>
      </c>
      <c r="I86" s="520">
        <f t="array" ref="I86">SUM(IF(([2]OperCusteio!$C$2:$C$212&gt;=I$7)*([2]OperCusteio!$C$2:$C$212&lt;J$7)*([2]OperCusteio!$F$2:$F$212=$A86),[2]OperCusteio!$R$2:$R$212))/1000</f>
        <v>0</v>
      </c>
      <c r="J86" s="520">
        <f t="array" ref="J86">SUM(IF(([2]OperCusteio!$C$2:$C$212&gt;=J$7)*([2]OperCusteio!$C$2:$C$212&lt;K$7)*([2]OperCusteio!$F$2:$F$212=$A86),[2]OperCusteio!$R$2:$R$212))/1000</f>
        <v>0</v>
      </c>
      <c r="K86" s="520">
        <f t="array" ref="K86">SUM(IF(([2]OperCusteio!$C$2:$C$212&gt;=K$7)*([2]OperCusteio!$C$2:$C$212&lt;L$7)*([2]OperCusteio!$F$2:$F$212=$A86),[2]OperCusteio!$R$2:$R$212))/1000</f>
        <v>0</v>
      </c>
      <c r="L86" s="520">
        <f t="array" ref="L86">SUM(IF(([2]OperCusteio!$C$2:$C$212&gt;=L$7)*([2]OperCusteio!$C$2:$C$212&lt;M$7)*([2]OperCusteio!$F$2:$F$212=$A86),[2]OperCusteio!$R$2:$R$212))/1000</f>
        <v>0</v>
      </c>
    </row>
    <row r="87" spans="1:13" ht="9" customHeight="1" thickBot="1">
      <c r="B87" s="451"/>
      <c r="C87" s="451"/>
      <c r="D87" s="524"/>
      <c r="E87" s="524"/>
      <c r="F87" s="451"/>
      <c r="G87" s="451"/>
      <c r="H87" s="451"/>
      <c r="I87" s="451"/>
      <c r="J87" s="451"/>
      <c r="K87" s="451"/>
      <c r="L87" s="451"/>
    </row>
    <row r="88" spans="1:13" s="249" customFormat="1" ht="30" customHeight="1" thickBot="1">
      <c r="B88" s="451"/>
      <c r="C88" s="527"/>
      <c r="D88" s="526"/>
      <c r="E88" s="978" t="s">
        <v>91</v>
      </c>
      <c r="F88" s="979"/>
      <c r="G88" s="531">
        <f t="shared" ref="G88:L88" si="21">G42+G45+G48++G51+G55+G58+G62+G66+G76++G79+G82+G85+G73</f>
        <v>277604.21598728665</v>
      </c>
      <c r="H88" s="531">
        <f t="shared" si="21"/>
        <v>60655.299383932943</v>
      </c>
      <c r="I88" s="531">
        <f t="shared" si="21"/>
        <v>112324.78133350228</v>
      </c>
      <c r="J88" s="531">
        <f t="shared" si="21"/>
        <v>28230.274600517714</v>
      </c>
      <c r="K88" s="531">
        <f t="shared" si="21"/>
        <v>19716.825962277719</v>
      </c>
      <c r="L88" s="531">
        <f t="shared" si="21"/>
        <v>56677.034707056002</v>
      </c>
      <c r="M88" s="496"/>
    </row>
    <row r="89" spans="1:13" s="249" customFormat="1" ht="5.0999999999999996" customHeight="1" thickBot="1">
      <c r="B89" s="525"/>
      <c r="C89" s="528"/>
      <c r="D89" s="526"/>
      <c r="E89" s="532"/>
      <c r="F89" s="533"/>
      <c r="G89" s="534"/>
      <c r="H89" s="534"/>
      <c r="I89" s="534"/>
      <c r="J89" s="534"/>
      <c r="K89" s="534"/>
      <c r="L89" s="534"/>
      <c r="M89" s="496"/>
    </row>
    <row r="90" spans="1:13" s="502" customFormat="1" ht="16.5" customHeight="1" thickBot="1">
      <c r="B90" s="529"/>
      <c r="C90" s="530"/>
      <c r="D90" s="529"/>
      <c r="E90" s="535"/>
      <c r="F90" s="536"/>
      <c r="G90" s="537" t="s">
        <v>92</v>
      </c>
      <c r="H90" s="538">
        <f>H88</f>
        <v>60655.299383932943</v>
      </c>
      <c r="I90" s="538">
        <f>I88</f>
        <v>112324.78133350228</v>
      </c>
      <c r="J90" s="984">
        <f>J88+K88+L88</f>
        <v>104624.13526985142</v>
      </c>
      <c r="K90" s="984"/>
      <c r="L90" s="984"/>
      <c r="M90" s="503"/>
    </row>
    <row r="91" spans="1:13" ht="15.75" outlineLevel="1" thickBot="1">
      <c r="B91" s="402"/>
      <c r="C91" s="402"/>
      <c r="D91" s="402"/>
      <c r="E91" s="402"/>
      <c r="F91" s="402"/>
      <c r="G91" s="402"/>
      <c r="H91" s="402"/>
      <c r="I91" s="402"/>
      <c r="J91" s="402"/>
      <c r="K91" s="402"/>
      <c r="L91" s="402"/>
    </row>
    <row r="92" spans="1:13" s="502" customFormat="1" ht="16.5" customHeight="1" outlineLevel="1" thickBot="1">
      <c r="B92" s="529"/>
      <c r="C92" s="530"/>
      <c r="D92" s="862"/>
      <c r="E92" s="982" t="s">
        <v>105</v>
      </c>
      <c r="F92" s="983"/>
      <c r="G92" s="863">
        <f>G88+G34+G25</f>
        <v>346244.76194153912</v>
      </c>
      <c r="H92" s="865">
        <f>H90+H36+H27</f>
        <v>67508.397810274779</v>
      </c>
      <c r="I92" s="538">
        <f>I90+I36+I27</f>
        <v>127507.69401292813</v>
      </c>
      <c r="J92" s="985">
        <f>J90+J36+J27</f>
        <v>151228.67011833627</v>
      </c>
      <c r="K92" s="986"/>
      <c r="L92" s="987"/>
      <c r="M92" s="503"/>
    </row>
    <row r="94" spans="1:13">
      <c r="D94" s="981" t="str">
        <f ca="1">CELL("filename")</f>
        <v xml:space="preserve">G:\Google Drive\00_Relatorios Gerenciais Masutti\[#Dossie para Bancos-mensal.xlsx]safra 16 17 </v>
      </c>
      <c r="E94" s="981"/>
      <c r="F94" s="981"/>
      <c r="G94" s="981"/>
      <c r="H94" s="981"/>
      <c r="I94" s="981"/>
      <c r="J94" s="981"/>
      <c r="K94" s="981"/>
      <c r="L94" s="981"/>
    </row>
    <row r="95" spans="1:13" hidden="1" outlineLevel="1">
      <c r="B95" s="225" t="s">
        <v>5691</v>
      </c>
      <c r="H95" s="500"/>
      <c r="I95" s="508"/>
    </row>
    <row r="96" spans="1:13" hidden="1" outlineLevel="1">
      <c r="B96" s="502" t="s">
        <v>8154</v>
      </c>
      <c r="H96" s="508"/>
      <c r="I96" s="508"/>
    </row>
    <row r="97" collapsed="1"/>
  </sheetData>
  <sheetProtection selectLockedCells="1" selectUnlockedCells="1"/>
  <mergeCells count="16">
    <mergeCell ref="D94:L94"/>
    <mergeCell ref="E92:F92"/>
    <mergeCell ref="G5:G6"/>
    <mergeCell ref="I5:L5"/>
    <mergeCell ref="J90:L90"/>
    <mergeCell ref="J36:L36"/>
    <mergeCell ref="J27:L27"/>
    <mergeCell ref="J92:L92"/>
    <mergeCell ref="B5:B6"/>
    <mergeCell ref="C5:C6"/>
    <mergeCell ref="D5:D6"/>
    <mergeCell ref="E88:F88"/>
    <mergeCell ref="E25:F25"/>
    <mergeCell ref="E34:F34"/>
    <mergeCell ref="E5:E6"/>
    <mergeCell ref="F5:F6"/>
  </mergeCells>
  <pageMargins left="0.45" right="0.25" top="0.75" bottom="0.75" header="0.3" footer="0.3"/>
  <pageSetup paperSize="9" scale="46" firstPageNumber="0" orientation="portrait" horizontalDpi="200" verticalDpi="2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V158"/>
  <sheetViews>
    <sheetView showGridLines="0" topLeftCell="A48" zoomScaleNormal="100" zoomScaleSheetLayoutView="85" workbookViewId="0">
      <selection activeCell="I65" sqref="I61:I65"/>
    </sheetView>
  </sheetViews>
  <sheetFormatPr defaultRowHeight="15"/>
  <cols>
    <col min="1" max="1" width="5.140625" style="225" customWidth="1"/>
    <col min="2" max="2" width="30.7109375" style="225" customWidth="1"/>
    <col min="3" max="6" width="21.42578125" style="225" customWidth="1"/>
    <col min="7" max="7" width="9.140625" style="429" bestFit="1" customWidth="1"/>
    <col min="8" max="9" width="9.140625" style="225"/>
    <col min="10" max="10" width="14" style="225" bestFit="1" customWidth="1"/>
    <col min="11" max="11" width="10.5703125" style="225" bestFit="1" customWidth="1"/>
    <col min="12" max="12" width="38.28515625" style="225" bestFit="1" customWidth="1"/>
    <col min="13" max="13" width="31.85546875" style="225" bestFit="1" customWidth="1"/>
    <col min="14" max="14" width="10.42578125" style="225" bestFit="1" customWidth="1"/>
    <col min="15" max="15" width="20.42578125" style="225" bestFit="1" customWidth="1"/>
    <col min="16" max="16" width="8.7109375" style="225" bestFit="1" customWidth="1"/>
    <col min="17" max="17" width="8.5703125" style="225" bestFit="1" customWidth="1"/>
    <col min="18" max="18" width="15.7109375" style="225" bestFit="1" customWidth="1"/>
    <col min="19" max="19" width="17.140625" style="225" bestFit="1" customWidth="1"/>
    <col min="20" max="22" width="10.5703125" style="225" bestFit="1" customWidth="1"/>
    <col min="23" max="16384" width="9.140625" style="225"/>
  </cols>
  <sheetData>
    <row r="1" spans="2:10" ht="18.75" customHeight="1">
      <c r="C1" s="293" t="s">
        <v>1075</v>
      </c>
    </row>
    <row r="2" spans="2:10" s="227" customFormat="1" ht="18.75" customHeight="1">
      <c r="B2" s="569"/>
      <c r="C2" s="570" t="str">
        <f>'16-Endividamento Bancario'!C2</f>
        <v>Em 15 de agosto de 2016, por mês, em R$ mil</v>
      </c>
      <c r="G2" s="695"/>
    </row>
    <row r="3" spans="2:10" s="227" customFormat="1" ht="18.75" customHeight="1">
      <c r="B3" s="626"/>
      <c r="C3" s="569"/>
      <c r="F3" s="230"/>
      <c r="G3" s="695"/>
    </row>
    <row r="4" spans="2:10" s="227" customFormat="1">
      <c r="B4" s="229"/>
      <c r="G4" s="695"/>
    </row>
    <row r="5" spans="2:10" ht="16.5" customHeight="1">
      <c r="B5" s="709" t="s">
        <v>1076</v>
      </c>
      <c r="C5" s="709" t="s">
        <v>1172</v>
      </c>
      <c r="D5" s="709" t="s">
        <v>1077</v>
      </c>
      <c r="E5" s="709" t="s">
        <v>1175</v>
      </c>
      <c r="F5" s="709" t="s">
        <v>21</v>
      </c>
      <c r="G5" s="669" t="s">
        <v>30</v>
      </c>
    </row>
    <row r="6" spans="2:10" s="249" customFormat="1" ht="5.0999999999999996" customHeight="1">
      <c r="B6" s="746"/>
      <c r="C6" s="747"/>
      <c r="D6" s="747"/>
      <c r="E6" s="747"/>
      <c r="F6" s="747"/>
      <c r="G6" s="747"/>
    </row>
    <row r="7" spans="2:10" s="249" customFormat="1">
      <c r="B7" s="718" t="s">
        <v>7012</v>
      </c>
      <c r="C7" s="719">
        <f>'16-Endividamento Bancario'!H88</f>
        <v>60655.299383932943</v>
      </c>
      <c r="D7" s="719">
        <f>'16-Endividamento Bancario'!H25</f>
        <v>299.52089314194569</v>
      </c>
      <c r="E7" s="719">
        <f>'16-Endividamento Bancario'!H36</f>
        <v>6553.5775331998948</v>
      </c>
      <c r="F7" s="719">
        <f>SUM(C7:E7)</f>
        <v>67508.397810274779</v>
      </c>
      <c r="G7" s="720">
        <f>F7/$F11</f>
        <v>0.1949730515249587</v>
      </c>
      <c r="J7" s="745"/>
    </row>
    <row r="8" spans="2:10" s="249" customFormat="1">
      <c r="B8" s="718" t="s">
        <v>7097</v>
      </c>
      <c r="C8" s="719">
        <f>'16-Endividamento Bancario'!I90</f>
        <v>112324.78133350228</v>
      </c>
      <c r="D8" s="719">
        <f t="array" ref="D8">'16-Endividamento Bancario'!I27</f>
        <v>898.5626794258369</v>
      </c>
      <c r="E8" s="719">
        <f t="array" ref="E8">'16-Endividamento Bancario'!I36</f>
        <v>14284.35</v>
      </c>
      <c r="F8" s="719">
        <f>SUM(C8:E8)</f>
        <v>127507.69401292813</v>
      </c>
      <c r="G8" s="720">
        <f>F8/F11</f>
        <v>0.36825883891481609</v>
      </c>
      <c r="J8" s="745"/>
    </row>
    <row r="9" spans="2:10" s="249" customFormat="1">
      <c r="B9" s="718" t="s">
        <v>7098</v>
      </c>
      <c r="C9" s="719">
        <f t="array" ref="C9">'16-Endividamento Bancario'!J90:L90</f>
        <v>104624.13526985142</v>
      </c>
      <c r="D9" s="719">
        <f t="array" ref="D9">'16-Endividamento Bancario'!J27:L27</f>
        <v>577.18484848484854</v>
      </c>
      <c r="E9" s="719">
        <f t="array" ref="E9">'16-Endividamento Bancario'!J36:L36</f>
        <v>46027.35</v>
      </c>
      <c r="F9" s="719">
        <f>SUM(C9:E9)</f>
        <v>151228.67011833627</v>
      </c>
      <c r="G9" s="720">
        <f>F9/$F11</f>
        <v>0.43676810956022522</v>
      </c>
      <c r="J9" s="745"/>
    </row>
    <row r="10" spans="2:10" ht="5.0999999999999996" customHeight="1">
      <c r="B10" s="469"/>
      <c r="C10" s="748"/>
      <c r="D10" s="749"/>
      <c r="E10" s="748"/>
      <c r="F10" s="748"/>
      <c r="G10" s="750"/>
    </row>
    <row r="11" spans="2:10" s="249" customFormat="1">
      <c r="B11" s="751" t="s">
        <v>1165</v>
      </c>
      <c r="C11" s="721">
        <f>SUM(C7:C9)</f>
        <v>277604.21598728665</v>
      </c>
      <c r="D11" s="721">
        <f t="array" ref="D11">SUM(D7:D9)</f>
        <v>1775.2684210526311</v>
      </c>
      <c r="E11" s="721">
        <f>SUM(E7:E9)</f>
        <v>66865.2775331999</v>
      </c>
      <c r="F11" s="721">
        <f>SUM(F7:F9)</f>
        <v>346244.76194153918</v>
      </c>
      <c r="G11" s="752">
        <f>F11/F$11</f>
        <v>1</v>
      </c>
    </row>
    <row r="12" spans="2:10" hidden="1">
      <c r="B12" s="433"/>
      <c r="C12" s="433"/>
      <c r="D12" s="433"/>
      <c r="E12" s="433">
        <v>80</v>
      </c>
      <c r="F12" s="433"/>
      <c r="G12" s="708"/>
    </row>
    <row r="13" spans="2:10" hidden="1">
      <c r="B13" s="433"/>
      <c r="C13" s="433"/>
      <c r="D13" s="433"/>
      <c r="E13" s="433"/>
      <c r="F13" s="433"/>
      <c r="G13" s="708"/>
    </row>
    <row r="14" spans="2:10" hidden="1">
      <c r="B14" s="433"/>
      <c r="C14" s="433"/>
      <c r="D14" s="433"/>
      <c r="E14" s="433"/>
      <c r="F14" s="433"/>
      <c r="G14" s="708"/>
    </row>
    <row r="15" spans="2:10">
      <c r="B15" s="433"/>
      <c r="C15" s="433"/>
      <c r="D15" s="433"/>
      <c r="E15" s="433"/>
      <c r="F15" s="433"/>
      <c r="G15" s="708"/>
    </row>
    <row r="16" spans="2:10" ht="16.5" customHeight="1">
      <c r="B16" s="669" t="s">
        <v>24</v>
      </c>
      <c r="C16" s="709" t="s">
        <v>1172</v>
      </c>
      <c r="D16" s="669" t="s">
        <v>1077</v>
      </c>
      <c r="E16" s="709" t="s">
        <v>1175</v>
      </c>
      <c r="F16" s="669" t="s">
        <v>21</v>
      </c>
      <c r="G16" s="669" t="s">
        <v>30</v>
      </c>
    </row>
    <row r="17" spans="2:12" s="249" customFormat="1" ht="5.0999999999999996" customHeight="1">
      <c r="B17" s="746"/>
      <c r="C17" s="747"/>
      <c r="D17" s="747"/>
      <c r="E17" s="747"/>
      <c r="F17" s="747"/>
      <c r="G17" s="747"/>
    </row>
    <row r="18" spans="2:12" s="249" customFormat="1">
      <c r="B18" s="718" t="s">
        <v>25</v>
      </c>
      <c r="C18" s="719">
        <f>SUMIF('16-Endividamento Bancario'!F41:F87,'16.1-Perfil Divida'!B18,'16-Endividamento Bancario'!G41:G87)</f>
        <v>53616.891985797163</v>
      </c>
      <c r="D18" s="719">
        <f>'16-Endividamento Bancario'!G25</f>
        <v>1775.2684210526313</v>
      </c>
      <c r="E18" s="719">
        <v>0</v>
      </c>
      <c r="F18" s="719">
        <f>SUM(C18:E18)</f>
        <v>55392.160406849798</v>
      </c>
      <c r="G18" s="720">
        <f>F18/$F21</f>
        <v>0.15997977874450081</v>
      </c>
    </row>
    <row r="19" spans="2:12" s="249" customFormat="1">
      <c r="B19" s="718" t="s">
        <v>22</v>
      </c>
      <c r="C19" s="719">
        <f>SUMIF('16-Endividamento Bancario'!F42:F87,'16.1-Perfil Divida'!B19,'16-Endividamento Bancario'!G42:G87)</f>
        <v>223987.3240014895</v>
      </c>
      <c r="D19" s="719">
        <v>0</v>
      </c>
      <c r="E19" s="719">
        <f>'16-Endividamento Bancario'!G32</f>
        <v>66865.2775331999</v>
      </c>
      <c r="F19" s="719">
        <f>SUM(C19:E19)</f>
        <v>290852.60153468943</v>
      </c>
      <c r="G19" s="720">
        <f>F19/$F21</f>
        <v>0.84002022125549913</v>
      </c>
    </row>
    <row r="20" spans="2:12" ht="5.0999999999999996" customHeight="1">
      <c r="B20" s="676"/>
      <c r="C20" s="748"/>
      <c r="D20" s="748"/>
      <c r="E20" s="748"/>
      <c r="F20" s="748"/>
      <c r="G20" s="753"/>
    </row>
    <row r="21" spans="2:12" s="249" customFormat="1">
      <c r="B21" s="751" t="s">
        <v>1165</v>
      </c>
      <c r="C21" s="721">
        <f>SUM(C18:C19)</f>
        <v>277604.21598728665</v>
      </c>
      <c r="D21" s="721">
        <f>SUM(D18:D19)</f>
        <v>1775.2684210526313</v>
      </c>
      <c r="E21" s="721">
        <f>SUM(E18:E19)</f>
        <v>66865.2775331999</v>
      </c>
      <c r="F21" s="721">
        <f>SUM(F18:F19)</f>
        <v>346244.76194153924</v>
      </c>
      <c r="G21" s="752">
        <f>F21/F21</f>
        <v>1</v>
      </c>
      <c r="K21" s="869"/>
      <c r="L21" s="869"/>
    </row>
    <row r="22" spans="2:12">
      <c r="C22" s="399"/>
      <c r="K22" s="869"/>
      <c r="L22" s="869"/>
    </row>
    <row r="23" spans="2:12">
      <c r="K23" s="869"/>
      <c r="L23" s="869">
        <v>3.2183000000000002</v>
      </c>
    </row>
    <row r="24" spans="2:12">
      <c r="K24" s="869" t="s">
        <v>25</v>
      </c>
      <c r="L24" s="869" t="s">
        <v>7024</v>
      </c>
    </row>
    <row r="25" spans="2:12">
      <c r="K25" s="869"/>
      <c r="L25" s="869">
        <f>'16-Endividamento Bancario'!G32+'16-Endividamento Bancario'!G46+'16-Endividamento Bancario'!G52+'16-Endividamento Bancario'!G60+'16-Endividamento Bancario'!G67+'16-Endividamento Bancario'!G69+'16-Endividamento Bancario'!G77+'16-Endividamento Bancario'!G83+'16-Endividamento Bancario'!G86+'16-Endividamento Bancario'!G74</f>
        <v>290852.60153468937</v>
      </c>
    </row>
    <row r="26" spans="2:12">
      <c r="K26" s="870">
        <f>'16-Endividamento Bancario'!G92-'16.1-Perfil Divida'!L25</f>
        <v>55392.160406849755</v>
      </c>
      <c r="L26" s="870">
        <f>L25/L23</f>
        <v>90374.608189009523</v>
      </c>
    </row>
    <row r="27" spans="2:12">
      <c r="K27" s="869"/>
      <c r="L27" s="869"/>
    </row>
    <row r="28" spans="2:12">
      <c r="K28" s="869"/>
      <c r="L28" s="869"/>
    </row>
    <row r="29" spans="2:12">
      <c r="K29" s="871"/>
      <c r="L29" s="871"/>
    </row>
    <row r="30" spans="2:12">
      <c r="E30" s="282"/>
      <c r="F30" s="282"/>
      <c r="K30" s="871"/>
      <c r="L30" s="871"/>
    </row>
    <row r="33" spans="2:7" hidden="1"/>
    <row r="34" spans="2:7" hidden="1"/>
    <row r="35" spans="2:7" hidden="1"/>
    <row r="37" spans="2:7" ht="15.75">
      <c r="B37" s="709" t="s">
        <v>1078</v>
      </c>
      <c r="C37" s="709" t="s">
        <v>1172</v>
      </c>
      <c r="D37" s="709" t="s">
        <v>1077</v>
      </c>
      <c r="E37" s="709" t="s">
        <v>1175</v>
      </c>
      <c r="F37" s="709" t="s">
        <v>21</v>
      </c>
      <c r="G37" s="709" t="s">
        <v>30</v>
      </c>
    </row>
    <row r="38" spans="2:7" ht="5.0999999999999996" customHeight="1">
      <c r="B38" s="668"/>
      <c r="C38" s="754"/>
      <c r="D38" s="754"/>
      <c r="E38" s="754"/>
      <c r="F38" s="754"/>
      <c r="G38" s="755"/>
    </row>
    <row r="39" spans="2:7">
      <c r="B39" s="756" t="s">
        <v>1008</v>
      </c>
      <c r="C39" s="757">
        <f>SUMIF('16-Endividamento Bancario'!$B$42:$B$87,'16.1-Perfil Divida'!B39,'16-Endividamento Bancario'!$G$42:$G$87)</f>
        <v>15071.628679268262</v>
      </c>
      <c r="D39" s="757">
        <f>SUMIF('16-Endividamento Bancario'!$B$10:$B$23,'16.1-Perfil Divida'!B39,'16-Endividamento Bancario'!$G$10:$G$23)</f>
        <v>0</v>
      </c>
      <c r="E39" s="757">
        <f>SUMIF('16-Endividamento Bancario'!$B$32,'16.1-Perfil Divida'!B39,'16-Endividamento Bancario'!$G$32)</f>
        <v>0</v>
      </c>
      <c r="F39" s="757">
        <f t="shared" ref="F39:F46" si="0">SUM(C39:E39)</f>
        <v>15071.628679268262</v>
      </c>
      <c r="G39" s="758">
        <f t="shared" ref="G39:G46" si="1">F39/F$48</f>
        <v>4.352882797346979E-2</v>
      </c>
    </row>
    <row r="40" spans="2:7">
      <c r="B40" s="759" t="s">
        <v>96</v>
      </c>
      <c r="C40" s="737">
        <f>SUMIF('16-Endividamento Bancario'!$B$42:$B$87,'16.1-Perfil Divida'!B40,'16-Endividamento Bancario'!$G$42:$G$87)</f>
        <v>72390.127919326958</v>
      </c>
      <c r="D40" s="737">
        <f>SUMIF('16-Endividamento Bancario'!$B$10:$B$23,'16.1-Perfil Divida'!B40,'16-Endividamento Bancario'!$G$10:$G$23)</f>
        <v>0</v>
      </c>
      <c r="E40" s="737">
        <f>SUMIF('16-Endividamento Bancario'!$B$32,'16.1-Perfil Divida'!B40,'16-Endividamento Bancario'!$G$32)</f>
        <v>0</v>
      </c>
      <c r="F40" s="737">
        <f t="shared" si="0"/>
        <v>72390.127919326958</v>
      </c>
      <c r="G40" s="760">
        <f t="shared" si="1"/>
        <v>0.20907212433599059</v>
      </c>
    </row>
    <row r="41" spans="2:7">
      <c r="B41" s="756" t="s">
        <v>95</v>
      </c>
      <c r="C41" s="757">
        <f>SUMIF('16-Endividamento Bancario'!$B$42:$B$87,'16.1-Perfil Divida'!B41,'16-Endividamento Bancario'!$G$42:$G$87)</f>
        <v>48754.667134640411</v>
      </c>
      <c r="D41" s="757">
        <f>SUMIF('16-Endividamento Bancario'!$B$10:$B$23,'16.1-Perfil Divida'!B41,'16-Endividamento Bancario'!$G$10:$G$23)</f>
        <v>0</v>
      </c>
      <c r="E41" s="757">
        <f>SUMIF('16-Endividamento Bancario'!$B$32,'16.1-Perfil Divida'!B41,'16-Endividamento Bancario'!$G$32)</f>
        <v>0</v>
      </c>
      <c r="F41" s="757">
        <f t="shared" si="0"/>
        <v>48754.667134640411</v>
      </c>
      <c r="G41" s="758">
        <f t="shared" si="1"/>
        <v>0.14080983308239117</v>
      </c>
    </row>
    <row r="42" spans="2:7">
      <c r="B42" s="759" t="s">
        <v>7022</v>
      </c>
      <c r="C42" s="737">
        <f>SUMIF('16-Endividamento Bancario'!$B$42:$B$87,'16.1-Perfil Divida'!B42,'16-Endividamento Bancario'!$G$42:$G$87)</f>
        <v>10000.710510557399</v>
      </c>
      <c r="D42" s="737">
        <f>SUMIF('16-Endividamento Bancario'!$B$10:$B$23,'16.1-Perfil Divida'!B42,'16-Endividamento Bancario'!$G$10:$G$23)</f>
        <v>0</v>
      </c>
      <c r="E42" s="737">
        <f>SUMIF('16-Endividamento Bancario'!$B$32,'16.1-Perfil Divida'!B42,'16-Endividamento Bancario'!$G$32)</f>
        <v>0</v>
      </c>
      <c r="F42" s="737">
        <f>SUM(C42:E42)</f>
        <v>10000.710510557399</v>
      </c>
      <c r="G42" s="760">
        <f t="shared" si="1"/>
        <v>2.8883355388480771E-2</v>
      </c>
    </row>
    <row r="43" spans="2:7">
      <c r="B43" s="756" t="s">
        <v>87</v>
      </c>
      <c r="C43" s="757">
        <f>SUMIF('16-Endividamento Bancario'!$B$42:$B$87,'16.1-Perfil Divida'!B43,'16-Endividamento Bancario'!$G$42:$G$87)</f>
        <v>35075.557327863375</v>
      </c>
      <c r="D43" s="757">
        <f>SUMIF('16-Endividamento Bancario'!$B$10:$B$23,'16.1-Perfil Divida'!B43,'16-Endividamento Bancario'!$G$10:$G$23)</f>
        <v>1775.2684210526313</v>
      </c>
      <c r="E43" s="757">
        <f>SUMIF('16-Endividamento Bancario'!$B$32,'16.1-Perfil Divida'!B43,'16-Endividamento Bancario'!$G$32)</f>
        <v>0</v>
      </c>
      <c r="F43" s="757">
        <f t="shared" si="0"/>
        <v>36850.825748916002</v>
      </c>
      <c r="G43" s="758">
        <f t="shared" si="1"/>
        <v>0.10642998768350459</v>
      </c>
    </row>
    <row r="44" spans="2:7">
      <c r="B44" s="759" t="s">
        <v>98</v>
      </c>
      <c r="C44" s="737">
        <f>SUMIF('16-Endividamento Bancario'!$B$42:$B$87,'16.1-Perfil Divida'!B44,'16-Endividamento Bancario'!$G$42:$G$87)</f>
        <v>86353.123829097502</v>
      </c>
      <c r="D44" s="737">
        <f>SUMIF('16-Endividamento Bancario'!$B$10:$B$23,'16.1-Perfil Divida'!B44,'16-Endividamento Bancario'!$G$10:$G$23)</f>
        <v>0</v>
      </c>
      <c r="E44" s="737">
        <f>SUMIF('16-Endividamento Bancario'!$B$32,'16.1-Perfil Divida'!B44,'16-Endividamento Bancario'!$G$32)</f>
        <v>66865.2775331999</v>
      </c>
      <c r="F44" s="737">
        <f t="shared" si="0"/>
        <v>153218.40136229742</v>
      </c>
      <c r="G44" s="760">
        <f t="shared" si="1"/>
        <v>0.44251471272269288</v>
      </c>
    </row>
    <row r="45" spans="2:7">
      <c r="B45" s="756" t="s">
        <v>1446</v>
      </c>
      <c r="C45" s="757">
        <f>SUMIF('16-Endividamento Bancario'!$B$42:$B$87,'16.1-Perfil Divida'!B45,'16-Endividamento Bancario'!$G$42:$G$87)</f>
        <v>7844.400586532759</v>
      </c>
      <c r="D45" s="757">
        <f>SUMIF('16-Endividamento Bancario'!$B$10:$B$23,'16.1-Perfil Divida'!B45,'16-Endividamento Bancario'!$G$10:$G$23)</f>
        <v>0</v>
      </c>
      <c r="E45" s="757">
        <f>SUMIF('16-Endividamento Bancario'!$B$32,'16.1-Perfil Divida'!B45,'16-Endividamento Bancario'!$G$32)</f>
        <v>0</v>
      </c>
      <c r="F45" s="757">
        <f t="shared" si="0"/>
        <v>7844.400586532759</v>
      </c>
      <c r="G45" s="758">
        <f t="shared" si="1"/>
        <v>2.2655651287100845E-2</v>
      </c>
    </row>
    <row r="46" spans="2:7">
      <c r="B46" s="759" t="s">
        <v>102</v>
      </c>
      <c r="C46" s="737">
        <f>SUMIF('16-Endividamento Bancario'!$B$42:$B$87,'16.1-Perfil Divida'!B46,'16-Endividamento Bancario'!$G$42:$G$87)</f>
        <v>2114</v>
      </c>
      <c r="D46" s="737">
        <f>SUMIF('16-Endividamento Bancario'!$B$10:$B$23,'16.1-Perfil Divida'!B46,'16-Endividamento Bancario'!$G$10:$G$23)</f>
        <v>0</v>
      </c>
      <c r="E46" s="737">
        <f>SUMIF('16-Endividamento Bancario'!$B$32,'16.1-Perfil Divida'!B46,'16-Endividamento Bancario'!$G$32)</f>
        <v>0</v>
      </c>
      <c r="F46" s="737">
        <f t="shared" si="0"/>
        <v>2114</v>
      </c>
      <c r="G46" s="760">
        <f t="shared" si="1"/>
        <v>6.1055075263692585E-3</v>
      </c>
    </row>
    <row r="47" spans="2:7" ht="5.0999999999999996" customHeight="1">
      <c r="B47" s="469"/>
      <c r="C47" s="761"/>
      <c r="D47" s="748"/>
      <c r="E47" s="748"/>
      <c r="F47" s="748"/>
      <c r="G47" s="753"/>
    </row>
    <row r="48" spans="2:7">
      <c r="B48" s="751" t="s">
        <v>1165</v>
      </c>
      <c r="C48" s="721">
        <f>SUM(C39:C46)</f>
        <v>277604.21598728671</v>
      </c>
      <c r="D48" s="721">
        <f>SUM(D39:D46)</f>
        <v>1775.2684210526313</v>
      </c>
      <c r="E48" s="721">
        <f>SUM(E39:E46)</f>
        <v>66865.2775331999</v>
      </c>
      <c r="F48" s="721">
        <f>SUM(F39:F46)</f>
        <v>346244.76194153924</v>
      </c>
      <c r="G48" s="762">
        <f>F48/F48</f>
        <v>1</v>
      </c>
    </row>
    <row r="50" spans="2:7" hidden="1"/>
    <row r="51" spans="2:7" hidden="1"/>
    <row r="52" spans="2:7" hidden="1"/>
    <row r="53" spans="2:7" s="297" customFormat="1" ht="15.75">
      <c r="B53" s="709" t="s">
        <v>1079</v>
      </c>
      <c r="C53" s="709" t="s">
        <v>1172</v>
      </c>
      <c r="D53" s="709" t="s">
        <v>1077</v>
      </c>
      <c r="E53" s="709" t="s">
        <v>1175</v>
      </c>
      <c r="F53" s="709" t="s">
        <v>21</v>
      </c>
      <c r="G53" s="709" t="s">
        <v>30</v>
      </c>
    </row>
    <row r="54" spans="2:7" ht="5.0999999999999996" customHeight="1">
      <c r="B54" s="668"/>
      <c r="C54" s="754"/>
      <c r="D54" s="754"/>
      <c r="E54" s="754"/>
      <c r="F54" s="754"/>
      <c r="G54" s="755"/>
    </row>
    <row r="55" spans="2:7">
      <c r="B55" s="756" t="s">
        <v>7013</v>
      </c>
      <c r="C55" s="757">
        <f>'16-Endividamento Bancario'!H88</f>
        <v>60655.299383932943</v>
      </c>
      <c r="D55" s="757">
        <f>'16-Endividamento Bancario'!H25</f>
        <v>299.52089314194569</v>
      </c>
      <c r="E55" s="757">
        <f>'16-Endividamento Bancario'!H34</f>
        <v>6553.5775331998948</v>
      </c>
      <c r="F55" s="757">
        <f>SUM(C55:E55)</f>
        <v>67508.397810274779</v>
      </c>
      <c r="G55" s="758">
        <f>F55/F$61</f>
        <v>0.1949730515249587</v>
      </c>
    </row>
    <row r="56" spans="2:7">
      <c r="B56" s="759">
        <v>2017</v>
      </c>
      <c r="C56" s="737">
        <f>'16-Endividamento Bancario'!I88</f>
        <v>112324.78133350228</v>
      </c>
      <c r="D56" s="737">
        <f>'16-Endividamento Bancario'!I25</f>
        <v>898.5626794258369</v>
      </c>
      <c r="E56" s="737">
        <f>'16-Endividamento Bancario'!I34</f>
        <v>14284.35</v>
      </c>
      <c r="F56" s="737">
        <f>SUM(C56:E56)</f>
        <v>127507.69401292813</v>
      </c>
      <c r="G56" s="760">
        <f>F56/F$61</f>
        <v>0.36825883891481609</v>
      </c>
    </row>
    <row r="57" spans="2:7">
      <c r="B57" s="756">
        <v>2018</v>
      </c>
      <c r="C57" s="757">
        <f>'16-Endividamento Bancario'!J88</f>
        <v>28230.274600517714</v>
      </c>
      <c r="D57" s="757">
        <f>'16-Endividamento Bancario'!J25</f>
        <v>439.07783094098897</v>
      </c>
      <c r="E57" s="757">
        <f>'16-Endividamento Bancario'!J34</f>
        <v>14284.35</v>
      </c>
      <c r="F57" s="757">
        <f>SUM(C57:E57)</f>
        <v>42953.702431458703</v>
      </c>
      <c r="G57" s="758">
        <f>F57/F$61</f>
        <v>0.12405589095586408</v>
      </c>
    </row>
    <row r="58" spans="2:7">
      <c r="B58" s="759">
        <v>2019</v>
      </c>
      <c r="C58" s="737">
        <f>'16-Endividamento Bancario'!K88</f>
        <v>19716.825962277719</v>
      </c>
      <c r="D58" s="737">
        <f>'16-Endividamento Bancario'!K25</f>
        <v>138.10701754385963</v>
      </c>
      <c r="E58" s="737">
        <f>'16-Endividamento Bancario'!K34</f>
        <v>7935.75</v>
      </c>
      <c r="F58" s="737">
        <f>SUM(C58:E58)</f>
        <v>27790.682979821577</v>
      </c>
      <c r="G58" s="760">
        <f>F58/F$61</f>
        <v>8.0263114520455398E-2</v>
      </c>
    </row>
    <row r="59" spans="2:7">
      <c r="B59" s="756" t="s">
        <v>7015</v>
      </c>
      <c r="C59" s="757">
        <f>'16-Endividamento Bancario'!L88</f>
        <v>56677.034707056002</v>
      </c>
      <c r="D59" s="757">
        <f>'16-Endividamento Bancario'!L25</f>
        <v>0</v>
      </c>
      <c r="E59" s="757">
        <f>'16-Endividamento Bancario'!L34</f>
        <v>23807.25</v>
      </c>
      <c r="F59" s="757">
        <f>SUM(C59:E59)</f>
        <v>80484.284707056009</v>
      </c>
      <c r="G59" s="758">
        <f>F59/F$61</f>
        <v>0.23244910408390576</v>
      </c>
    </row>
    <row r="60" spans="2:7" ht="5.0999999999999996" customHeight="1">
      <c r="B60" s="469"/>
      <c r="C60" s="748"/>
      <c r="D60" s="748"/>
      <c r="E60" s="748"/>
      <c r="F60" s="748"/>
      <c r="G60" s="748"/>
    </row>
    <row r="61" spans="2:7" s="297" customFormat="1" ht="15.75">
      <c r="B61" s="751" t="s">
        <v>1165</v>
      </c>
      <c r="C61" s="721">
        <f>SUM(C55:C59)</f>
        <v>277604.21598728665</v>
      </c>
      <c r="D61" s="721">
        <f>SUM(D55:D59)</f>
        <v>1775.2684210526311</v>
      </c>
      <c r="E61" s="721">
        <f>SUM(E55:E59)</f>
        <v>66865.2775331999</v>
      </c>
      <c r="F61" s="721">
        <f>SUM(F55:F59)</f>
        <v>346244.76194153918</v>
      </c>
      <c r="G61" s="762">
        <f>F61/F61</f>
        <v>1</v>
      </c>
    </row>
    <row r="62" spans="2:7" hidden="1"/>
    <row r="63" spans="2:7" hidden="1"/>
    <row r="64" spans="2:7" hidden="1"/>
    <row r="67" spans="11:22">
      <c r="R67" s="225">
        <v>2016</v>
      </c>
      <c r="S67" s="225">
        <v>2017</v>
      </c>
      <c r="T67" s="225">
        <v>2018</v>
      </c>
      <c r="U67" s="225">
        <v>2019</v>
      </c>
      <c r="V67" s="225" t="s">
        <v>7014</v>
      </c>
    </row>
    <row r="69" spans="11:22">
      <c r="Q69" s="225" t="s">
        <v>22</v>
      </c>
      <c r="R69" s="121">
        <f t="array" ref="R69">SUM(IF(($P$75:$P$158="US$"),R$75:R$158))/3.4372</f>
        <v>19164.84610265493</v>
      </c>
      <c r="S69" s="121">
        <f t="array" ref="S69">SUM(IF(($P$75:$P$158="US$"),S$75:S$158))/3.4372</f>
        <v>33222.40485244873</v>
      </c>
      <c r="T69" s="121">
        <f t="array" ref="T69">SUM(IF(($P$75:$P$158="US$"),T$75:T$158))/3.4372</f>
        <v>9368.0284209071342</v>
      </c>
      <c r="U69" s="121">
        <f t="array" ref="U69">SUM(IF(($P$75:$P$158="US$"),U$75:U$158))/3.4372</f>
        <v>5652.8148696910284</v>
      </c>
      <c r="V69" s="121">
        <f t="array" ref="V69">SUM(IF(($P$75:$P$158="US$"),V$75:V$158))/3.4372</f>
        <v>18323.118788486558</v>
      </c>
    </row>
    <row r="70" spans="11:22">
      <c r="K70" s="225" t="s">
        <v>7025</v>
      </c>
      <c r="Q70" s="225" t="s">
        <v>25</v>
      </c>
      <c r="R70" s="121">
        <f t="array" ref="R70">SUM(IF(($P$75:$P$158="R$"),R$75:R$158))</f>
        <v>3862.433608246185</v>
      </c>
      <c r="S70" s="121">
        <f t="array" ref="S70">SUM(IF(($P$75:$P$158="R$"),S$75:S$158))</f>
        <v>14800.573999481829</v>
      </c>
      <c r="T70" s="121">
        <f t="array" ref="T70">SUM(IF(($P$75:$P$158="R$"),T$75:T$158))</f>
        <v>11107.556516476705</v>
      </c>
      <c r="U70" s="121">
        <f t="array" ref="U70">SUM(IF(($P$75:$P$158="R$"),U$75:U$158))</f>
        <v>8626.4690830795753</v>
      </c>
      <c r="V70" s="121">
        <f t="array" ref="V70">SUM(IF(($P$75:$P$158="R$"),V$75:V$158))</f>
        <v>18365.114733750004</v>
      </c>
    </row>
    <row r="71" spans="11:22" ht="16.5" customHeight="1">
      <c r="L71" t="s">
        <v>77</v>
      </c>
      <c r="M71" t="s">
        <v>78</v>
      </c>
      <c r="N71" t="s">
        <v>79</v>
      </c>
      <c r="O71" t="s">
        <v>80</v>
      </c>
      <c r="P71" t="s">
        <v>24</v>
      </c>
      <c r="Q71" t="s">
        <v>21</v>
      </c>
      <c r="R71" t="s">
        <v>81</v>
      </c>
      <c r="S71" t="s">
        <v>82</v>
      </c>
      <c r="T71"/>
      <c r="U71"/>
      <c r="V71"/>
    </row>
    <row r="72" spans="11:22">
      <c r="L72"/>
      <c r="M72"/>
      <c r="N72"/>
      <c r="O72"/>
      <c r="P72"/>
      <c r="Q72"/>
      <c r="R72" t="s">
        <v>7016</v>
      </c>
      <c r="S72" t="s">
        <v>84</v>
      </c>
      <c r="T72" t="s">
        <v>5760</v>
      </c>
      <c r="U72" t="s">
        <v>7002</v>
      </c>
      <c r="V72" t="s">
        <v>7014</v>
      </c>
    </row>
    <row r="73" spans="11:22">
      <c r="L73"/>
      <c r="M73"/>
      <c r="N73"/>
      <c r="O73"/>
      <c r="P73"/>
      <c r="Q73"/>
      <c r="R73">
        <v>42587</v>
      </c>
      <c r="S73">
        <v>42736</v>
      </c>
      <c r="T73">
        <v>43101</v>
      </c>
      <c r="U73">
        <v>43466</v>
      </c>
      <c r="V73">
        <v>43831</v>
      </c>
    </row>
    <row r="74" spans="11:22">
      <c r="L74" t="s">
        <v>5690</v>
      </c>
      <c r="M74"/>
      <c r="N74"/>
      <c r="O74"/>
      <c r="P74"/>
      <c r="Q74"/>
      <c r="R74"/>
      <c r="S74"/>
      <c r="T74"/>
      <c r="U74"/>
      <c r="V74"/>
    </row>
    <row r="75" spans="11:22">
      <c r="L75"/>
      <c r="M75"/>
      <c r="N75"/>
      <c r="O75"/>
      <c r="P75"/>
      <c r="Q75"/>
      <c r="R75"/>
      <c r="S75"/>
      <c r="T75"/>
      <c r="U75"/>
      <c r="V75"/>
    </row>
    <row r="76" spans="11:22">
      <c r="L76" t="s">
        <v>86</v>
      </c>
      <c r="M76"/>
      <c r="N76"/>
      <c r="O76"/>
      <c r="P76"/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1:22">
      <c r="L77"/>
      <c r="M77"/>
      <c r="N77"/>
      <c r="O77"/>
      <c r="P77"/>
      <c r="Q77"/>
      <c r="R77"/>
      <c r="S77"/>
      <c r="T77"/>
      <c r="U77"/>
      <c r="V77"/>
    </row>
    <row r="78" spans="11:22">
      <c r="L78"/>
      <c r="M78"/>
      <c r="N78"/>
      <c r="O78"/>
      <c r="P78"/>
      <c r="Q78"/>
      <c r="R78"/>
      <c r="S78"/>
      <c r="T78"/>
      <c r="U78"/>
      <c r="V78"/>
    </row>
    <row r="79" spans="11:22">
      <c r="L79" t="s">
        <v>88</v>
      </c>
      <c r="M79"/>
      <c r="N79"/>
      <c r="O79"/>
      <c r="P79"/>
      <c r="Q79">
        <v>692.73115154310312</v>
      </c>
      <c r="R79">
        <v>124.46448487643637</v>
      </c>
      <c r="S79">
        <v>293.39999999999986</v>
      </c>
      <c r="T79">
        <v>236.2333333333336</v>
      </c>
      <c r="U79">
        <v>38.633333333333333</v>
      </c>
      <c r="V79">
        <v>0</v>
      </c>
    </row>
    <row r="80" spans="11:22">
      <c r="L80" t="s">
        <v>87</v>
      </c>
      <c r="M80" t="s">
        <v>7003</v>
      </c>
      <c r="N80">
        <v>41438</v>
      </c>
      <c r="O80">
        <v>43570</v>
      </c>
      <c r="P80" t="s">
        <v>25</v>
      </c>
      <c r="Q80">
        <v>692.73115154310312</v>
      </c>
      <c r="R80">
        <v>124.46448487643637</v>
      </c>
      <c r="S80">
        <v>293.39999999999986</v>
      </c>
      <c r="T80">
        <v>236.2333333333336</v>
      </c>
      <c r="U80">
        <v>38.633333333333333</v>
      </c>
      <c r="V80">
        <v>0</v>
      </c>
    </row>
    <row r="81" spans="2:22">
      <c r="L81"/>
      <c r="M81"/>
      <c r="N81"/>
      <c r="O81"/>
      <c r="P81"/>
      <c r="Q81"/>
      <c r="R81"/>
      <c r="S81"/>
      <c r="T81"/>
      <c r="U81"/>
      <c r="V81"/>
    </row>
    <row r="82" spans="2:22">
      <c r="L82" t="s">
        <v>89</v>
      </c>
      <c r="M82"/>
      <c r="N82"/>
      <c r="O82"/>
      <c r="P82"/>
      <c r="Q82">
        <v>524.91186419136625</v>
      </c>
      <c r="R82">
        <v>154.9118641913665</v>
      </c>
      <c r="S82">
        <v>369.99999999999977</v>
      </c>
      <c r="T82">
        <v>0</v>
      </c>
      <c r="U82">
        <v>0</v>
      </c>
      <c r="V82">
        <v>0</v>
      </c>
    </row>
    <row r="83" spans="2:22">
      <c r="L83" t="s">
        <v>87</v>
      </c>
      <c r="M83" t="s">
        <v>7004</v>
      </c>
      <c r="N83">
        <v>41327</v>
      </c>
      <c r="O83">
        <v>43084</v>
      </c>
      <c r="P83" t="s">
        <v>25</v>
      </c>
      <c r="Q83">
        <v>524.91186419136625</v>
      </c>
      <c r="R83">
        <v>154.9118641913665</v>
      </c>
      <c r="S83">
        <v>369.99999999999977</v>
      </c>
      <c r="T83">
        <v>0</v>
      </c>
      <c r="U83">
        <v>0</v>
      </c>
      <c r="V83">
        <v>0</v>
      </c>
    </row>
    <row r="84" spans="2:22">
      <c r="L84"/>
      <c r="M84"/>
      <c r="N84"/>
      <c r="O84"/>
      <c r="P84"/>
      <c r="Q84"/>
      <c r="R84"/>
      <c r="S84"/>
      <c r="T84"/>
      <c r="U84"/>
      <c r="V84"/>
    </row>
    <row r="85" spans="2:22">
      <c r="L85" t="s">
        <v>90</v>
      </c>
      <c r="M85"/>
      <c r="N85"/>
      <c r="O85"/>
      <c r="P85"/>
      <c r="Q85">
        <v>124.26857500586796</v>
      </c>
      <c r="R85">
        <v>27.314029551322569</v>
      </c>
      <c r="S85">
        <v>64.636363636363598</v>
      </c>
      <c r="T85">
        <v>32.318181818181799</v>
      </c>
      <c r="U85">
        <v>0</v>
      </c>
      <c r="V85">
        <v>0</v>
      </c>
    </row>
    <row r="86" spans="2:22">
      <c r="D86" s="294" t="str">
        <f ca="1">CELL("filename")</f>
        <v xml:space="preserve">G:\Google Drive\00_Relatorios Gerenciais Masutti\[#Dossie para Bancos-mensal.xlsx]safra 16 17 </v>
      </c>
      <c r="L86" t="s">
        <v>87</v>
      </c>
      <c r="M86" t="s">
        <v>7006</v>
      </c>
      <c r="N86">
        <v>41075</v>
      </c>
      <c r="O86">
        <v>43266</v>
      </c>
      <c r="P86" t="s">
        <v>25</v>
      </c>
      <c r="Q86">
        <v>124.26857500586796</v>
      </c>
      <c r="R86">
        <v>27.314029551322569</v>
      </c>
      <c r="S86">
        <v>64.636363636363598</v>
      </c>
      <c r="T86">
        <v>32.318181818181799</v>
      </c>
      <c r="U86">
        <v>0</v>
      </c>
      <c r="V86">
        <v>0</v>
      </c>
    </row>
    <row r="87" spans="2:22">
      <c r="L87"/>
      <c r="M87"/>
      <c r="N87"/>
      <c r="O87"/>
      <c r="P87"/>
      <c r="Q87"/>
      <c r="R87"/>
      <c r="S87"/>
      <c r="T87"/>
      <c r="U87"/>
      <c r="V87"/>
    </row>
    <row r="88" spans="2:22">
      <c r="L88" t="s">
        <v>103</v>
      </c>
      <c r="M88"/>
      <c r="N88"/>
      <c r="O88"/>
      <c r="P88"/>
      <c r="Q88">
        <v>512.87615184917252</v>
      </c>
      <c r="R88">
        <v>72.349836059698987</v>
      </c>
      <c r="S88">
        <v>170.52631578947361</v>
      </c>
      <c r="T88">
        <v>170.52631578947361</v>
      </c>
      <c r="U88">
        <v>99.473684210526287</v>
      </c>
      <c r="V88">
        <v>0</v>
      </c>
    </row>
    <row r="89" spans="2:22">
      <c r="B89" s="225" t="s">
        <v>5691</v>
      </c>
      <c r="L89" t="s">
        <v>87</v>
      </c>
      <c r="M89" t="s">
        <v>7007</v>
      </c>
      <c r="N89">
        <v>41820</v>
      </c>
      <c r="O89">
        <v>43661</v>
      </c>
      <c r="P89" t="s">
        <v>25</v>
      </c>
      <c r="Q89">
        <v>512.87615184917252</v>
      </c>
      <c r="R89">
        <v>72.349836059698987</v>
      </c>
      <c r="S89">
        <v>170.52631578947361</v>
      </c>
      <c r="T89">
        <v>170.52631578947361</v>
      </c>
      <c r="U89">
        <v>99.473684210526287</v>
      </c>
      <c r="V89">
        <v>0</v>
      </c>
    </row>
    <row r="90" spans="2:22">
      <c r="B90" s="502" t="str">
        <f>'16-Endividamento Bancario'!B96</f>
        <v>US$: 1,00 para R$: 3,1743</v>
      </c>
      <c r="L90"/>
      <c r="M90"/>
      <c r="N90"/>
      <c r="O90"/>
      <c r="P90"/>
      <c r="Q90"/>
      <c r="R90"/>
      <c r="S90"/>
      <c r="T90"/>
      <c r="U90"/>
      <c r="V90"/>
    </row>
    <row r="91" spans="2:22">
      <c r="L91"/>
      <c r="M91"/>
      <c r="N91"/>
      <c r="O91" t="s">
        <v>91</v>
      </c>
      <c r="P91"/>
      <c r="Q91">
        <v>1854.7877425895099</v>
      </c>
      <c r="R91">
        <v>379.04021467882444</v>
      </c>
      <c r="S91">
        <v>898.5626794258369</v>
      </c>
      <c r="T91">
        <v>439.07783094098897</v>
      </c>
      <c r="U91">
        <v>138.10701754385963</v>
      </c>
      <c r="V91">
        <v>0</v>
      </c>
    </row>
    <row r="92" spans="2:22">
      <c r="L92"/>
      <c r="M92"/>
      <c r="N92"/>
      <c r="O92"/>
      <c r="P92"/>
      <c r="Q92"/>
      <c r="R92"/>
      <c r="S92"/>
      <c r="T92"/>
      <c r="U92"/>
      <c r="V92"/>
    </row>
    <row r="93" spans="2:22">
      <c r="L93"/>
      <c r="M93"/>
      <c r="N93"/>
      <c r="O93"/>
      <c r="P93"/>
      <c r="Q93" t="s">
        <v>92</v>
      </c>
      <c r="R93">
        <v>379.04021467882444</v>
      </c>
      <c r="S93">
        <v>1475.7475279106854</v>
      </c>
      <c r="T93"/>
      <c r="U93"/>
      <c r="V93"/>
    </row>
    <row r="94" spans="2:22">
      <c r="L94"/>
      <c r="M94"/>
      <c r="N94"/>
      <c r="O94"/>
      <c r="P94"/>
      <c r="Q94"/>
      <c r="R94"/>
      <c r="S94"/>
      <c r="T94"/>
      <c r="U94"/>
      <c r="V94"/>
    </row>
    <row r="95" spans="2:22">
      <c r="L95" t="s">
        <v>5689</v>
      </c>
      <c r="M95"/>
      <c r="N95"/>
      <c r="O95"/>
      <c r="P95"/>
      <c r="Q95"/>
      <c r="R95"/>
      <c r="S95"/>
      <c r="T95"/>
      <c r="U95"/>
      <c r="V95"/>
    </row>
    <row r="96" spans="2:22">
      <c r="L96"/>
      <c r="M96"/>
      <c r="N96"/>
      <c r="O96"/>
      <c r="P96"/>
      <c r="Q96"/>
      <c r="R96"/>
      <c r="S96"/>
      <c r="T96"/>
      <c r="U96"/>
      <c r="V96"/>
    </row>
    <row r="97" spans="12:22" ht="15.75" customHeight="1">
      <c r="L97" t="s">
        <v>97</v>
      </c>
      <c r="M97"/>
      <c r="N97"/>
      <c r="O97"/>
      <c r="P97"/>
      <c r="Q97">
        <v>67789.2775331999</v>
      </c>
      <c r="R97">
        <v>6641.5775331998948</v>
      </c>
      <c r="S97">
        <v>14482.35</v>
      </c>
      <c r="T97">
        <v>14482.35</v>
      </c>
      <c r="U97">
        <v>8045.75</v>
      </c>
      <c r="V97">
        <v>24137.25</v>
      </c>
    </row>
    <row r="98" spans="12:22">
      <c r="L98" t="s">
        <v>98</v>
      </c>
      <c r="M98" t="s">
        <v>7005</v>
      </c>
      <c r="N98">
        <v>41250</v>
      </c>
      <c r="O98">
        <v>44727</v>
      </c>
      <c r="P98" t="s">
        <v>22</v>
      </c>
      <c r="Q98">
        <v>67789.2775331999</v>
      </c>
      <c r="R98">
        <v>6641.5775331998948</v>
      </c>
      <c r="S98">
        <v>14482.35</v>
      </c>
      <c r="T98">
        <v>14482.35</v>
      </c>
      <c r="U98">
        <v>8045.75</v>
      </c>
      <c r="V98">
        <v>24137.25</v>
      </c>
    </row>
    <row r="99" spans="12:22">
      <c r="L99"/>
      <c r="M99"/>
      <c r="N99"/>
      <c r="O99"/>
      <c r="P99"/>
      <c r="Q99"/>
      <c r="R99"/>
      <c r="S99"/>
      <c r="T99"/>
      <c r="U99"/>
      <c r="V99"/>
    </row>
    <row r="100" spans="12:22">
      <c r="L100"/>
      <c r="M100"/>
      <c r="N100"/>
      <c r="O100" t="s">
        <v>91</v>
      </c>
      <c r="P100"/>
      <c r="Q100">
        <v>67789.2775331999</v>
      </c>
      <c r="R100">
        <v>6641.5775331998948</v>
      </c>
      <c r="S100">
        <v>14482.35</v>
      </c>
      <c r="T100">
        <v>14482.35</v>
      </c>
      <c r="U100">
        <v>8045.75</v>
      </c>
      <c r="V100">
        <v>24137.25</v>
      </c>
    </row>
    <row r="101" spans="12:22">
      <c r="L101"/>
      <c r="M101"/>
      <c r="N101"/>
      <c r="O101"/>
      <c r="P101"/>
      <c r="Q101"/>
      <c r="R101"/>
      <c r="S101"/>
      <c r="T101"/>
      <c r="U101"/>
      <c r="V101"/>
    </row>
    <row r="102" spans="12:22">
      <c r="L102"/>
      <c r="M102"/>
      <c r="N102"/>
      <c r="O102"/>
      <c r="P102"/>
      <c r="Q102" t="s">
        <v>92</v>
      </c>
      <c r="R102">
        <v>6641.5775331998948</v>
      </c>
      <c r="S102">
        <v>61147.7</v>
      </c>
      <c r="T102"/>
      <c r="U102"/>
      <c r="V102"/>
    </row>
    <row r="103" spans="12:22">
      <c r="L103"/>
      <c r="M103"/>
      <c r="N103"/>
      <c r="O103"/>
      <c r="P103"/>
      <c r="Q103"/>
      <c r="R103"/>
      <c r="S103"/>
      <c r="T103"/>
      <c r="U103"/>
      <c r="V103"/>
    </row>
    <row r="104" spans="12:22">
      <c r="L104"/>
      <c r="M104"/>
      <c r="N104"/>
      <c r="O104"/>
      <c r="P104"/>
      <c r="Q104"/>
      <c r="R104"/>
      <c r="S104"/>
      <c r="T104"/>
      <c r="U104"/>
      <c r="V104"/>
    </row>
    <row r="105" spans="12:22">
      <c r="L105" t="s">
        <v>93</v>
      </c>
      <c r="M105"/>
      <c r="N105"/>
      <c r="O105"/>
      <c r="P105"/>
      <c r="Q105"/>
      <c r="R105"/>
      <c r="S105"/>
      <c r="T105"/>
      <c r="U105"/>
      <c r="V105"/>
    </row>
    <row r="106" spans="12:22" ht="15.75" customHeight="1">
      <c r="L106"/>
      <c r="M106"/>
      <c r="N106"/>
      <c r="O106"/>
      <c r="P106"/>
      <c r="Q106"/>
      <c r="R106"/>
      <c r="S106"/>
      <c r="T106"/>
      <c r="U106"/>
      <c r="V106"/>
    </row>
    <row r="107" spans="12:22">
      <c r="L107"/>
      <c r="M107"/>
      <c r="N107"/>
      <c r="O107"/>
      <c r="P107"/>
      <c r="Q107"/>
      <c r="R107"/>
      <c r="S107"/>
      <c r="T107"/>
      <c r="U107"/>
      <c r="V107"/>
    </row>
    <row r="108" spans="12:22">
      <c r="L108" t="s">
        <v>1010</v>
      </c>
      <c r="M108"/>
      <c r="N108"/>
      <c r="O108"/>
      <c r="P108"/>
      <c r="Q108">
        <v>1163.205978665532</v>
      </c>
      <c r="R108">
        <v>0</v>
      </c>
      <c r="S108">
        <v>232.44397866553214</v>
      </c>
      <c r="T108">
        <v>20.916</v>
      </c>
      <c r="U108">
        <v>20.916</v>
      </c>
      <c r="V108">
        <v>888.93</v>
      </c>
    </row>
    <row r="109" spans="12:22">
      <c r="L109" t="s">
        <v>95</v>
      </c>
      <c r="M109" t="s">
        <v>1073</v>
      </c>
      <c r="N109">
        <v>41729</v>
      </c>
      <c r="O109">
        <v>45361</v>
      </c>
      <c r="P109" t="s">
        <v>25</v>
      </c>
      <c r="Q109">
        <v>1163.205978665532</v>
      </c>
      <c r="R109">
        <v>0</v>
      </c>
      <c r="S109">
        <v>232.44397866553214</v>
      </c>
      <c r="T109">
        <v>20.916</v>
      </c>
      <c r="U109">
        <v>20.916</v>
      </c>
      <c r="V109">
        <v>888.93</v>
      </c>
    </row>
    <row r="110" spans="12:22">
      <c r="L110"/>
      <c r="M110"/>
      <c r="N110"/>
      <c r="O110"/>
      <c r="P110"/>
      <c r="Q110"/>
      <c r="R110"/>
      <c r="S110"/>
      <c r="T110"/>
      <c r="U110"/>
      <c r="V110"/>
    </row>
    <row r="111" spans="12:22">
      <c r="L111" t="s">
        <v>100</v>
      </c>
      <c r="M111"/>
      <c r="N111"/>
      <c r="O111"/>
      <c r="P111"/>
      <c r="Q111">
        <v>43281.021873879989</v>
      </c>
      <c r="R111">
        <v>17367.480239198616</v>
      </c>
      <c r="S111">
        <v>25913.541634681373</v>
      </c>
      <c r="T111">
        <v>0</v>
      </c>
      <c r="U111">
        <v>0</v>
      </c>
      <c r="V111">
        <v>0</v>
      </c>
    </row>
    <row r="112" spans="12:22">
      <c r="L112" t="s">
        <v>96</v>
      </c>
      <c r="M112" t="s">
        <v>7008</v>
      </c>
      <c r="N112">
        <v>42109</v>
      </c>
      <c r="O112">
        <v>43041</v>
      </c>
      <c r="P112" t="s">
        <v>22</v>
      </c>
      <c r="Q112">
        <v>43281.021873879989</v>
      </c>
      <c r="R112">
        <v>17367.480239198616</v>
      </c>
      <c r="S112">
        <v>25913.541634681373</v>
      </c>
      <c r="T112">
        <v>0</v>
      </c>
      <c r="U112">
        <v>0</v>
      </c>
      <c r="V112">
        <v>0</v>
      </c>
    </row>
    <row r="113" spans="12:22">
      <c r="L113"/>
      <c r="M113"/>
      <c r="N113"/>
      <c r="O113"/>
      <c r="P113"/>
      <c r="Q113"/>
      <c r="R113"/>
      <c r="S113"/>
      <c r="T113"/>
      <c r="U113"/>
      <c r="V113"/>
    </row>
    <row r="114" spans="12:22">
      <c r="L114" t="s">
        <v>86</v>
      </c>
      <c r="M114"/>
      <c r="N114"/>
      <c r="O114"/>
      <c r="P114"/>
      <c r="Q114">
        <v>252.68730748924708</v>
      </c>
      <c r="R114">
        <v>5.187307489247063</v>
      </c>
      <c r="S114">
        <v>49.5</v>
      </c>
      <c r="T114">
        <v>49.5</v>
      </c>
      <c r="U114">
        <v>49.5</v>
      </c>
      <c r="V114">
        <v>99</v>
      </c>
    </row>
    <row r="115" spans="12:22">
      <c r="L115" t="s">
        <v>87</v>
      </c>
      <c r="M115" t="s">
        <v>5340</v>
      </c>
      <c r="N115">
        <v>42109</v>
      </c>
      <c r="O115">
        <v>44242</v>
      </c>
      <c r="P115" t="s">
        <v>25</v>
      </c>
      <c r="Q115">
        <v>252.68730748924708</v>
      </c>
      <c r="R115">
        <v>5.187307489247063</v>
      </c>
      <c r="S115">
        <v>49.5</v>
      </c>
      <c r="T115">
        <v>49.5</v>
      </c>
      <c r="U115">
        <v>49.5</v>
      </c>
      <c r="V115">
        <v>99</v>
      </c>
    </row>
    <row r="116" spans="12:22">
      <c r="L116"/>
      <c r="M116"/>
      <c r="N116"/>
      <c r="O116"/>
      <c r="P116"/>
      <c r="Q116"/>
      <c r="R116"/>
      <c r="S116"/>
      <c r="T116"/>
      <c r="U116"/>
      <c r="V116"/>
    </row>
    <row r="117" spans="12:22">
      <c r="L117" t="s">
        <v>94</v>
      </c>
      <c r="M117"/>
      <c r="N117"/>
      <c r="O117"/>
      <c r="P117"/>
      <c r="Q117">
        <v>31970.021046011876</v>
      </c>
      <c r="R117">
        <v>1939.7481484838409</v>
      </c>
      <c r="S117">
        <v>30030.272897528033</v>
      </c>
      <c r="T117">
        <v>0</v>
      </c>
      <c r="U117">
        <v>0</v>
      </c>
      <c r="V117">
        <v>0</v>
      </c>
    </row>
    <row r="118" spans="12:22">
      <c r="L118" t="s">
        <v>95</v>
      </c>
      <c r="M118" t="s">
        <v>1217</v>
      </c>
      <c r="N118">
        <v>40477</v>
      </c>
      <c r="O118">
        <v>43039</v>
      </c>
      <c r="P118" t="s">
        <v>22</v>
      </c>
      <c r="Q118">
        <v>31970.021046011876</v>
      </c>
      <c r="R118">
        <v>1939.7481484838409</v>
      </c>
      <c r="S118">
        <v>30030.272897528033</v>
      </c>
      <c r="T118">
        <v>0</v>
      </c>
      <c r="U118">
        <v>0</v>
      </c>
      <c r="V118">
        <v>0</v>
      </c>
    </row>
    <row r="119" spans="12:22">
      <c r="L119"/>
      <c r="M119"/>
      <c r="N119"/>
      <c r="O119"/>
      <c r="P119"/>
      <c r="Q119"/>
      <c r="R119"/>
      <c r="S119"/>
      <c r="T119"/>
      <c r="U119"/>
      <c r="V119"/>
    </row>
    <row r="120" spans="12:22">
      <c r="L120"/>
      <c r="M120"/>
      <c r="N120"/>
      <c r="O120"/>
      <c r="P120"/>
      <c r="Q120"/>
      <c r="R120"/>
      <c r="S120"/>
      <c r="T120"/>
      <c r="U120"/>
      <c r="V120"/>
    </row>
    <row r="121" spans="12:22">
      <c r="L121" t="s">
        <v>1174</v>
      </c>
      <c r="M121"/>
      <c r="N121"/>
      <c r="O121"/>
      <c r="P121"/>
      <c r="Q121">
        <v>4809.80739888264</v>
      </c>
      <c r="R121">
        <v>387.49697608678986</v>
      </c>
      <c r="S121">
        <v>1775.5604227958506</v>
      </c>
      <c r="T121">
        <v>937.5</v>
      </c>
      <c r="U121">
        <v>889.125</v>
      </c>
      <c r="V121">
        <v>820.125</v>
      </c>
    </row>
    <row r="122" spans="12:22">
      <c r="L122" t="s">
        <v>87</v>
      </c>
      <c r="M122" t="s">
        <v>6974</v>
      </c>
      <c r="N122">
        <v>37230</v>
      </c>
      <c r="O122">
        <v>43966</v>
      </c>
      <c r="P122" t="s">
        <v>25</v>
      </c>
      <c r="Q122">
        <v>4809.80739888264</v>
      </c>
      <c r="R122">
        <v>387.49697608678986</v>
      </c>
      <c r="S122">
        <v>1775.5604227958506</v>
      </c>
      <c r="T122">
        <v>937.5</v>
      </c>
      <c r="U122">
        <v>889.125</v>
      </c>
      <c r="V122">
        <v>820.125</v>
      </c>
    </row>
    <row r="123" spans="12:22">
      <c r="L123"/>
      <c r="M123"/>
      <c r="N123"/>
      <c r="O123"/>
      <c r="P123"/>
      <c r="Q123"/>
      <c r="R123"/>
      <c r="S123"/>
      <c r="T123"/>
      <c r="U123"/>
      <c r="V123"/>
    </row>
    <row r="124" spans="12:22">
      <c r="L124" t="s">
        <v>104</v>
      </c>
      <c r="M124"/>
      <c r="N124"/>
      <c r="O124"/>
      <c r="P124"/>
      <c r="Q124">
        <v>25254.428943423471</v>
      </c>
      <c r="R124">
        <v>4272.0272087009962</v>
      </c>
      <c r="S124">
        <v>5819.106279911045</v>
      </c>
      <c r="T124">
        <v>4469.0572856377148</v>
      </c>
      <c r="U124">
        <v>3762.1506656377151</v>
      </c>
      <c r="V124">
        <v>6932.0875035360004</v>
      </c>
    </row>
    <row r="125" spans="12:22">
      <c r="L125" t="s">
        <v>87</v>
      </c>
      <c r="M125" t="s">
        <v>7009</v>
      </c>
      <c r="N125">
        <v>41306</v>
      </c>
      <c r="O125">
        <v>44696</v>
      </c>
      <c r="P125" t="s">
        <v>25</v>
      </c>
      <c r="Q125">
        <v>17301.294580685739</v>
      </c>
      <c r="R125">
        <v>145.740612972859</v>
      </c>
      <c r="S125">
        <v>3807.4289528914514</v>
      </c>
      <c r="T125">
        <v>3673.1590155357148</v>
      </c>
      <c r="U125">
        <v>2966.2523955357151</v>
      </c>
      <c r="V125">
        <v>6708.7136037500004</v>
      </c>
    </row>
    <row r="126" spans="12:22">
      <c r="L126" t="s">
        <v>1446</v>
      </c>
      <c r="M126" t="s">
        <v>6975</v>
      </c>
      <c r="N126">
        <v>40709</v>
      </c>
      <c r="O126">
        <v>43936</v>
      </c>
      <c r="P126" t="s">
        <v>22</v>
      </c>
      <c r="Q126">
        <v>7953.1343627377319</v>
      </c>
      <c r="R126">
        <v>4126.2865957281374</v>
      </c>
      <c r="S126">
        <v>2011.6773270195936</v>
      </c>
      <c r="T126">
        <v>795.89827010200008</v>
      </c>
      <c r="U126">
        <v>795.89827010200008</v>
      </c>
      <c r="V126">
        <v>223.37389978599998</v>
      </c>
    </row>
    <row r="127" spans="12:22">
      <c r="L127"/>
      <c r="M127"/>
      <c r="N127"/>
      <c r="O127"/>
      <c r="P127"/>
      <c r="Q127"/>
      <c r="R127"/>
      <c r="S127"/>
      <c r="T127"/>
      <c r="U127"/>
      <c r="V127"/>
    </row>
    <row r="128" spans="12:22">
      <c r="L128" t="s">
        <v>101</v>
      </c>
      <c r="M128"/>
      <c r="N128"/>
      <c r="O128"/>
      <c r="P128"/>
      <c r="Q128">
        <v>17185.628679268262</v>
      </c>
      <c r="R128">
        <v>192</v>
      </c>
      <c r="S128">
        <v>3260.097159268259</v>
      </c>
      <c r="T128">
        <v>3192.8828800000001</v>
      </c>
      <c r="U128">
        <v>3192.8828800000006</v>
      </c>
      <c r="V128">
        <v>7347.765760000002</v>
      </c>
    </row>
    <row r="129" spans="12:22">
      <c r="L129" t="s">
        <v>102</v>
      </c>
      <c r="M129" t="s">
        <v>6800</v>
      </c>
      <c r="N129">
        <v>37425</v>
      </c>
      <c r="O129">
        <v>45961</v>
      </c>
      <c r="P129" t="s">
        <v>25</v>
      </c>
      <c r="Q129">
        <v>2114</v>
      </c>
      <c r="R129">
        <v>192</v>
      </c>
      <c r="S129">
        <v>192</v>
      </c>
      <c r="T129">
        <v>192</v>
      </c>
      <c r="U129">
        <v>192</v>
      </c>
      <c r="V129">
        <v>1346</v>
      </c>
    </row>
    <row r="130" spans="12:22">
      <c r="L130" t="s">
        <v>1008</v>
      </c>
      <c r="M130" t="s">
        <v>1009</v>
      </c>
      <c r="N130">
        <v>40633</v>
      </c>
      <c r="O130">
        <v>42459</v>
      </c>
      <c r="P130" t="s">
        <v>25</v>
      </c>
      <c r="Q130">
        <v>15071.628679268262</v>
      </c>
      <c r="R130">
        <v>0</v>
      </c>
      <c r="S130">
        <v>3068.097159268259</v>
      </c>
      <c r="T130">
        <v>3000.8828800000001</v>
      </c>
      <c r="U130">
        <v>3000.8828800000006</v>
      </c>
      <c r="V130">
        <v>6001.765760000002</v>
      </c>
    </row>
    <row r="131" spans="12:22">
      <c r="L131"/>
      <c r="M131"/>
      <c r="N131"/>
      <c r="O131"/>
      <c r="P131"/>
      <c r="Q131"/>
      <c r="R131"/>
      <c r="S131"/>
      <c r="T131"/>
      <c r="U131"/>
      <c r="V131"/>
    </row>
    <row r="132" spans="12:22">
      <c r="L132" t="s">
        <v>90</v>
      </c>
      <c r="M132"/>
      <c r="N132"/>
      <c r="O132"/>
      <c r="P132"/>
      <c r="Q132">
        <v>49714.58798544512</v>
      </c>
      <c r="R132">
        <v>14410.876621719861</v>
      </c>
      <c r="S132">
        <v>20335.710413725265</v>
      </c>
      <c r="T132">
        <v>6946.1277900000005</v>
      </c>
      <c r="U132">
        <v>5521.2927899999995</v>
      </c>
      <c r="V132">
        <v>2500.5803700000001</v>
      </c>
    </row>
    <row r="133" spans="12:22">
      <c r="L133" t="s">
        <v>98</v>
      </c>
      <c r="M133" t="s">
        <v>5610</v>
      </c>
      <c r="N133">
        <v>40877</v>
      </c>
      <c r="O133">
        <v>42674</v>
      </c>
      <c r="P133" t="s">
        <v>22</v>
      </c>
      <c r="Q133">
        <v>5439.6656865447976</v>
      </c>
      <c r="R133">
        <v>5439.6656865447976</v>
      </c>
      <c r="S133">
        <v>0</v>
      </c>
      <c r="T133">
        <v>0</v>
      </c>
      <c r="U133">
        <v>0</v>
      </c>
      <c r="V133">
        <v>0</v>
      </c>
    </row>
    <row r="134" spans="12:22">
      <c r="L134" t="s">
        <v>95</v>
      </c>
      <c r="M134">
        <v>8.7499999999999994E-2</v>
      </c>
      <c r="N134">
        <v>42226</v>
      </c>
      <c r="O134">
        <v>42584</v>
      </c>
      <c r="P134" t="s">
        <v>25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2:22">
      <c r="L135" t="s">
        <v>96</v>
      </c>
      <c r="M135" t="s">
        <v>5609</v>
      </c>
      <c r="N135">
        <v>41838</v>
      </c>
      <c r="O135">
        <v>43059</v>
      </c>
      <c r="P135" t="s">
        <v>22</v>
      </c>
      <c r="Q135">
        <v>30080.186045446964</v>
      </c>
      <c r="R135">
        <v>6218.2424381565997</v>
      </c>
      <c r="S135">
        <v>15558.729607290366</v>
      </c>
      <c r="T135">
        <v>4151.607</v>
      </c>
      <c r="U135">
        <v>4151.607</v>
      </c>
      <c r="V135">
        <v>0</v>
      </c>
    </row>
    <row r="136" spans="12:22">
      <c r="L136" t="s">
        <v>87</v>
      </c>
      <c r="M136" t="s">
        <v>6976</v>
      </c>
      <c r="N136">
        <v>40424</v>
      </c>
      <c r="O136">
        <v>44849</v>
      </c>
      <c r="P136" t="s">
        <v>25</v>
      </c>
      <c r="Q136">
        <v>14002.23625345336</v>
      </c>
      <c r="R136">
        <v>2752.9684970184644</v>
      </c>
      <c r="S136">
        <v>4584.4808064348972</v>
      </c>
      <c r="T136">
        <v>2794.52079</v>
      </c>
      <c r="U136">
        <v>1369.68579</v>
      </c>
      <c r="V136">
        <v>2500.5803700000001</v>
      </c>
    </row>
    <row r="137" spans="12:22">
      <c r="L137" t="s">
        <v>98</v>
      </c>
      <c r="M137" t="s">
        <v>4468</v>
      </c>
      <c r="N137">
        <v>42041</v>
      </c>
      <c r="O137">
        <v>42765</v>
      </c>
      <c r="P137" t="s">
        <v>25</v>
      </c>
      <c r="Q137">
        <v>192.5</v>
      </c>
      <c r="R137">
        <v>0</v>
      </c>
      <c r="S137">
        <v>192.5</v>
      </c>
      <c r="T137">
        <v>0</v>
      </c>
      <c r="U137">
        <v>0</v>
      </c>
      <c r="V137">
        <v>0</v>
      </c>
    </row>
    <row r="138" spans="12:22">
      <c r="L138"/>
      <c r="M138"/>
      <c r="N138"/>
      <c r="O138"/>
      <c r="P138"/>
      <c r="Q138"/>
      <c r="R138"/>
      <c r="S138"/>
      <c r="T138"/>
      <c r="U138"/>
      <c r="V138"/>
    </row>
    <row r="139" spans="12:22">
      <c r="L139" t="s">
        <v>7020</v>
      </c>
      <c r="M139"/>
      <c r="N139"/>
      <c r="O139"/>
      <c r="P139"/>
      <c r="Q139">
        <v>10000.710510557399</v>
      </c>
      <c r="R139">
        <v>0</v>
      </c>
      <c r="S139">
        <v>3667.3784923173994</v>
      </c>
      <c r="T139">
        <v>6333.3320182399993</v>
      </c>
      <c r="U139">
        <v>0</v>
      </c>
      <c r="V139">
        <v>0</v>
      </c>
    </row>
    <row r="140" spans="12:22">
      <c r="L140" t="s">
        <v>7022</v>
      </c>
      <c r="M140" t="s">
        <v>7023</v>
      </c>
      <c r="N140">
        <v>42580</v>
      </c>
      <c r="O140">
        <v>43248</v>
      </c>
      <c r="P140" t="s">
        <v>22</v>
      </c>
      <c r="Q140">
        <v>10000.710510557399</v>
      </c>
      <c r="R140">
        <v>0</v>
      </c>
      <c r="S140">
        <v>3667.3784923173994</v>
      </c>
      <c r="T140">
        <v>6333.3320182399993</v>
      </c>
      <c r="U140">
        <v>0</v>
      </c>
      <c r="V140">
        <v>0</v>
      </c>
    </row>
    <row r="141" spans="12:22">
      <c r="L141"/>
      <c r="M141"/>
      <c r="N141"/>
      <c r="O141"/>
      <c r="P141"/>
      <c r="Q141"/>
      <c r="R141"/>
      <c r="S141"/>
      <c r="T141"/>
      <c r="U141"/>
      <c r="V141"/>
    </row>
    <row r="142" spans="12:22">
      <c r="L142" t="s">
        <v>4469</v>
      </c>
      <c r="M142"/>
      <c r="N142"/>
      <c r="O142"/>
      <c r="P142"/>
      <c r="Q142">
        <v>16263.959986460932</v>
      </c>
      <c r="R142">
        <v>172.45998646093193</v>
      </c>
      <c r="S142">
        <v>16091.5</v>
      </c>
      <c r="T142">
        <v>0</v>
      </c>
      <c r="U142">
        <v>0</v>
      </c>
      <c r="V142">
        <v>0</v>
      </c>
    </row>
    <row r="143" spans="12:22">
      <c r="L143" t="s">
        <v>95</v>
      </c>
      <c r="M143" t="s">
        <v>6737</v>
      </c>
      <c r="N143">
        <v>42347</v>
      </c>
      <c r="O143">
        <v>42765</v>
      </c>
      <c r="P143" t="s">
        <v>22</v>
      </c>
      <c r="Q143">
        <v>16263.959986460932</v>
      </c>
      <c r="R143">
        <v>172.45998646093193</v>
      </c>
      <c r="S143">
        <v>16091.5</v>
      </c>
      <c r="T143">
        <v>0</v>
      </c>
      <c r="U143">
        <v>0</v>
      </c>
      <c r="V143">
        <v>0</v>
      </c>
    </row>
    <row r="144" spans="12:22">
      <c r="L144"/>
      <c r="M144"/>
      <c r="N144"/>
      <c r="O144"/>
      <c r="P144"/>
      <c r="Q144"/>
      <c r="R144"/>
      <c r="S144"/>
      <c r="T144"/>
      <c r="U144"/>
      <c r="V144"/>
    </row>
    <row r="145" spans="12:22">
      <c r="L145" t="s">
        <v>1173</v>
      </c>
      <c r="M145"/>
      <c r="N145"/>
      <c r="O145"/>
      <c r="P145"/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2:22">
      <c r="L146"/>
      <c r="M146"/>
      <c r="N146"/>
      <c r="O146"/>
      <c r="P146"/>
      <c r="Q146"/>
      <c r="R146"/>
      <c r="S146"/>
      <c r="T146"/>
      <c r="U146"/>
      <c r="V146"/>
    </row>
    <row r="147" spans="12:22">
      <c r="L147"/>
      <c r="M147"/>
      <c r="N147"/>
      <c r="O147"/>
      <c r="P147"/>
      <c r="Q147"/>
      <c r="R147"/>
      <c r="S147"/>
      <c r="T147"/>
      <c r="U147"/>
      <c r="V147"/>
    </row>
    <row r="148" spans="12:22">
      <c r="L148" t="s">
        <v>97</v>
      </c>
      <c r="M148"/>
      <c r="N148"/>
      <c r="O148"/>
      <c r="P148"/>
      <c r="Q148">
        <v>65007.036600352141</v>
      </c>
      <c r="R148">
        <v>7077.6366003521462</v>
      </c>
      <c r="S148">
        <v>6436.6</v>
      </c>
      <c r="T148">
        <v>6436.6</v>
      </c>
      <c r="U148">
        <v>6436.6</v>
      </c>
      <c r="V148">
        <v>38619.599999999999</v>
      </c>
    </row>
    <row r="149" spans="12:22">
      <c r="L149" t="s">
        <v>98</v>
      </c>
      <c r="M149" t="s">
        <v>6776</v>
      </c>
      <c r="N149">
        <v>42212</v>
      </c>
      <c r="O149">
        <v>46006</v>
      </c>
      <c r="P149" t="s">
        <v>22</v>
      </c>
      <c r="Q149">
        <v>65007.036600352141</v>
      </c>
      <c r="R149">
        <v>7077.6366003521462</v>
      </c>
      <c r="S149">
        <v>6436.6</v>
      </c>
      <c r="T149">
        <v>6436.6</v>
      </c>
      <c r="U149">
        <v>6436.6</v>
      </c>
      <c r="V149">
        <v>38619.599999999999</v>
      </c>
    </row>
    <row r="150" spans="12:22">
      <c r="L150"/>
      <c r="M150"/>
      <c r="N150"/>
      <c r="O150"/>
      <c r="P150"/>
      <c r="Q150"/>
      <c r="R150"/>
      <c r="S150"/>
      <c r="T150"/>
      <c r="U150"/>
      <c r="V150"/>
    </row>
    <row r="151" spans="12:22">
      <c r="L151" t="s">
        <v>99</v>
      </c>
      <c r="M151"/>
      <c r="N151"/>
      <c r="O151"/>
      <c r="P151"/>
      <c r="Q151">
        <v>16890.311795920556</v>
      </c>
      <c r="R151">
        <v>16890.311795920556</v>
      </c>
      <c r="S151">
        <v>0</v>
      </c>
      <c r="T151">
        <v>0</v>
      </c>
      <c r="U151">
        <v>0</v>
      </c>
      <c r="V151">
        <v>0</v>
      </c>
    </row>
    <row r="152" spans="12:22">
      <c r="L152" t="s">
        <v>98</v>
      </c>
      <c r="M152" t="s">
        <v>6987</v>
      </c>
      <c r="N152">
        <v>42425</v>
      </c>
      <c r="O152">
        <v>42663</v>
      </c>
      <c r="P152" t="s">
        <v>22</v>
      </c>
      <c r="Q152">
        <v>16890.311795920556</v>
      </c>
      <c r="R152">
        <v>16890.311795920556</v>
      </c>
      <c r="S152">
        <v>0</v>
      </c>
      <c r="T152">
        <v>0</v>
      </c>
      <c r="U152">
        <v>0</v>
      </c>
      <c r="V152">
        <v>0</v>
      </c>
    </row>
    <row r="153" spans="12:22">
      <c r="L153" s="516"/>
      <c r="M153" s="517"/>
      <c r="N153" s="518"/>
      <c r="O153" s="518"/>
      <c r="P153" s="519"/>
      <c r="Q153" s="520"/>
      <c r="R153" s="520"/>
      <c r="S153" s="520"/>
      <c r="T153" s="520"/>
      <c r="U153" s="520"/>
      <c r="V153" s="520"/>
    </row>
    <row r="154" spans="12:22">
      <c r="L154" s="523"/>
      <c r="M154" s="539"/>
      <c r="N154" s="540"/>
      <c r="O154" s="540"/>
      <c r="P154" s="541"/>
      <c r="Q154" s="542"/>
      <c r="R154" s="542"/>
      <c r="S154" s="542"/>
      <c r="T154" s="542"/>
      <c r="U154" s="542"/>
      <c r="V154" s="542"/>
    </row>
    <row r="155" spans="12:22">
      <c r="L155" s="516"/>
      <c r="M155" s="517"/>
      <c r="N155" s="518"/>
      <c r="O155" s="518"/>
      <c r="P155" s="519"/>
      <c r="Q155" s="520"/>
      <c r="R155" s="520"/>
      <c r="S155" s="520"/>
      <c r="T155" s="520"/>
      <c r="U155" s="520"/>
      <c r="V155" s="520"/>
    </row>
    <row r="156" spans="12:22">
      <c r="L156" s="516"/>
      <c r="M156" s="517"/>
      <c r="N156" s="518"/>
      <c r="O156" s="518"/>
      <c r="P156" s="519"/>
      <c r="Q156" s="520"/>
      <c r="R156" s="520"/>
      <c r="S156" s="520"/>
      <c r="T156" s="520"/>
      <c r="U156" s="520"/>
      <c r="V156" s="520"/>
    </row>
    <row r="157" spans="12:22">
      <c r="L157" s="523"/>
      <c r="M157" s="539"/>
      <c r="N157" s="540"/>
      <c r="O157" s="540"/>
      <c r="P157" s="541"/>
      <c r="Q157" s="542"/>
      <c r="R157" s="542"/>
      <c r="S157" s="542"/>
      <c r="T157" s="542"/>
      <c r="U157" s="542"/>
      <c r="V157" s="542"/>
    </row>
    <row r="158" spans="12:22">
      <c r="L158" s="516"/>
      <c r="M158" s="517"/>
      <c r="N158" s="518"/>
      <c r="O158" s="518"/>
      <c r="P158" s="519"/>
      <c r="Q158" s="520"/>
      <c r="R158" s="520"/>
      <c r="S158" s="520"/>
      <c r="T158" s="520"/>
      <c r="U158" s="520"/>
      <c r="V158" s="520"/>
    </row>
  </sheetData>
  <sheetProtection selectLockedCells="1" selectUnlockedCells="1"/>
  <pageMargins left="0.72" right="0.25" top="0.75" bottom="0.75" header="0.3" footer="0.3"/>
  <pageSetup paperSize="9" scale="68" firstPageNumber="0" orientation="portrait" r:id="rId1"/>
  <customProperties>
    <customPr name="Microsoft.PowerBI.Client.ExcelAddIn.SheetId" r:id="rId2"/>
  </customProperties>
  <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showGridLines="0" zoomScale="95" zoomScaleNormal="95" workbookViewId="0">
      <pane ySplit="6" topLeftCell="A13" activePane="bottomLeft" state="frozen"/>
      <selection activeCell="BA18" sqref="BA18"/>
      <selection pane="bottomLeft" activeCell="F30" sqref="F30"/>
    </sheetView>
  </sheetViews>
  <sheetFormatPr defaultRowHeight="15"/>
  <cols>
    <col min="1" max="1" width="1.7109375" style="225" customWidth="1"/>
    <col min="2" max="2" width="43.5703125" style="225" customWidth="1"/>
    <col min="3" max="4" width="15.7109375" style="225" customWidth="1"/>
    <col min="5" max="6" width="9.5703125" style="225" customWidth="1"/>
    <col min="7" max="7" width="13.7109375" style="225" customWidth="1"/>
    <col min="8" max="12" width="16.7109375" style="225" customWidth="1"/>
    <col min="13" max="16384" width="9.140625" style="225"/>
  </cols>
  <sheetData>
    <row r="1" spans="1:12" ht="16.5" customHeight="1">
      <c r="C1" s="293" t="s">
        <v>325</v>
      </c>
    </row>
    <row r="2" spans="1:12" s="227" customFormat="1" ht="16.5" customHeight="1">
      <c r="B2" s="626"/>
      <c r="C2" s="570" t="s">
        <v>7026</v>
      </c>
      <c r="D2" s="626"/>
    </row>
    <row r="3" spans="1:12" s="227" customFormat="1" ht="16.5" customHeight="1">
      <c r="B3" s="626"/>
      <c r="C3" s="626"/>
      <c r="D3" s="626"/>
      <c r="E3" s="487"/>
      <c r="F3" s="487"/>
      <c r="G3" s="487"/>
    </row>
    <row r="4" spans="1:12" s="227" customFormat="1">
      <c r="B4" s="229"/>
      <c r="H4" s="767" t="s">
        <v>4625</v>
      </c>
      <c r="I4" s="767">
        <v>42369</v>
      </c>
      <c r="J4" s="767">
        <v>42735</v>
      </c>
      <c r="K4" s="767">
        <v>43100</v>
      </c>
      <c r="L4" s="767">
        <v>43465</v>
      </c>
    </row>
    <row r="5" spans="1:12" ht="16.5" customHeight="1">
      <c r="B5" s="989" t="s">
        <v>326</v>
      </c>
      <c r="C5" s="989" t="s">
        <v>327</v>
      </c>
      <c r="D5" s="989" t="s">
        <v>866</v>
      </c>
      <c r="E5" s="988" t="s">
        <v>868</v>
      </c>
      <c r="F5" s="988"/>
      <c r="G5" s="988" t="s">
        <v>21</v>
      </c>
      <c r="H5" s="781" t="s">
        <v>81</v>
      </c>
      <c r="I5" s="991" t="s">
        <v>82</v>
      </c>
      <c r="J5" s="991"/>
      <c r="K5" s="991"/>
      <c r="L5" s="991"/>
    </row>
    <row r="6" spans="1:12" ht="15.75">
      <c r="B6" s="989"/>
      <c r="C6" s="989"/>
      <c r="D6" s="989"/>
      <c r="E6" s="782" t="s">
        <v>24</v>
      </c>
      <c r="F6" s="782" t="s">
        <v>20</v>
      </c>
      <c r="G6" s="988"/>
      <c r="H6" s="783" t="s">
        <v>5982</v>
      </c>
      <c r="I6" s="783" t="s">
        <v>5759</v>
      </c>
      <c r="J6" s="783" t="s">
        <v>84</v>
      </c>
      <c r="K6" s="783" t="s">
        <v>5760</v>
      </c>
      <c r="L6" s="784" t="s">
        <v>5761</v>
      </c>
    </row>
    <row r="7" spans="1:12" s="230" customFormat="1">
      <c r="B7" s="768"/>
      <c r="C7" s="769"/>
      <c r="D7" s="769"/>
      <c r="E7" s="386"/>
      <c r="F7" s="386"/>
      <c r="G7" s="386"/>
      <c r="H7" s="386"/>
      <c r="I7" s="386"/>
      <c r="J7" s="386"/>
      <c r="K7" s="386"/>
      <c r="L7" s="386"/>
    </row>
    <row r="8" spans="1:12" s="240" customFormat="1" ht="16.5" customHeight="1">
      <c r="B8" s="785" t="s">
        <v>1176</v>
      </c>
      <c r="C8" s="786"/>
      <c r="D8" s="786"/>
      <c r="E8" s="785"/>
      <c r="F8" s="785"/>
      <c r="G8" s="785"/>
      <c r="H8" s="785"/>
      <c r="I8" s="785"/>
      <c r="J8" s="785"/>
      <c r="K8" s="785"/>
      <c r="L8" s="785"/>
    </row>
    <row r="9" spans="1:12" s="240" customFormat="1" ht="5.0999999999999996" customHeight="1">
      <c r="B9" s="403"/>
      <c r="C9" s="772"/>
      <c r="D9" s="772"/>
      <c r="E9" s="386"/>
      <c r="F9" s="386"/>
      <c r="G9" s="386"/>
      <c r="H9" s="386"/>
      <c r="I9" s="386"/>
      <c r="J9" s="386"/>
      <c r="K9" s="386"/>
      <c r="L9" s="386"/>
    </row>
    <row r="10" spans="1:12" ht="16.5" customHeight="1">
      <c r="B10" s="787" t="s">
        <v>4622</v>
      </c>
      <c r="C10" s="788" t="s">
        <v>328</v>
      </c>
      <c r="D10" s="789" t="s">
        <v>1179</v>
      </c>
      <c r="E10" s="790" t="s">
        <v>25</v>
      </c>
      <c r="F10" s="790"/>
      <c r="G10" s="791">
        <f>SUM(H10:L10)</f>
        <v>26550.800000000003</v>
      </c>
      <c r="H10" s="791">
        <v>0</v>
      </c>
      <c r="I10" s="791">
        <v>6638</v>
      </c>
      <c r="J10" s="791">
        <v>6637.6</v>
      </c>
      <c r="K10" s="791">
        <v>6637.6</v>
      </c>
      <c r="L10" s="791">
        <v>6637.6</v>
      </c>
    </row>
    <row r="11" spans="1:12" ht="16.5" customHeight="1">
      <c r="B11" s="792" t="s">
        <v>4624</v>
      </c>
      <c r="C11" s="793" t="s">
        <v>330</v>
      </c>
      <c r="D11" s="794" t="s">
        <v>1180</v>
      </c>
      <c r="E11" s="795" t="s">
        <v>25</v>
      </c>
      <c r="F11" s="795"/>
      <c r="G11" s="796">
        <f>SUM(H11:L11)</f>
        <v>1000000</v>
      </c>
      <c r="H11" s="796">
        <v>0</v>
      </c>
      <c r="I11" s="796">
        <v>0</v>
      </c>
      <c r="J11" s="796">
        <v>1000000</v>
      </c>
      <c r="K11" s="796">
        <v>0</v>
      </c>
      <c r="L11" s="796">
        <v>0</v>
      </c>
    </row>
    <row r="12" spans="1:12" ht="16.5" customHeight="1">
      <c r="B12" s="797" t="s">
        <v>4623</v>
      </c>
      <c r="C12" s="797" t="s">
        <v>1466</v>
      </c>
      <c r="D12" s="789" t="s">
        <v>1180</v>
      </c>
      <c r="E12" s="422" t="s">
        <v>25</v>
      </c>
      <c r="F12" s="797"/>
      <c r="G12" s="791">
        <f>SUM(H12:L12)</f>
        <v>500000</v>
      </c>
      <c r="H12" s="798">
        <v>0</v>
      </c>
      <c r="I12" s="798">
        <v>0</v>
      </c>
      <c r="J12" s="798">
        <v>500000</v>
      </c>
      <c r="K12" s="798">
        <v>0</v>
      </c>
      <c r="L12" s="798">
        <v>0</v>
      </c>
    </row>
    <row r="13" spans="1:12" ht="8.1" customHeight="1">
      <c r="B13" s="469"/>
      <c r="C13" s="469"/>
      <c r="D13" s="675"/>
      <c r="E13" s="675"/>
      <c r="F13" s="469"/>
      <c r="G13" s="799"/>
      <c r="H13" s="799"/>
      <c r="I13" s="799"/>
      <c r="J13" s="799"/>
      <c r="K13" s="799"/>
      <c r="L13" s="799"/>
    </row>
    <row r="14" spans="1:12" s="249" customFormat="1" ht="16.5" customHeight="1">
      <c r="B14" s="469"/>
      <c r="C14" s="800"/>
      <c r="D14" s="801"/>
      <c r="E14" s="999" t="s">
        <v>1450</v>
      </c>
      <c r="F14" s="999"/>
      <c r="G14" s="804">
        <f t="shared" ref="G14:L14" si="0">SUM(G10:G12)</f>
        <v>1526550.8</v>
      </c>
      <c r="H14" s="804">
        <f t="shared" si="0"/>
        <v>0</v>
      </c>
      <c r="I14" s="804">
        <f t="shared" si="0"/>
        <v>6638</v>
      </c>
      <c r="J14" s="804">
        <f t="shared" si="0"/>
        <v>1506637.6</v>
      </c>
      <c r="K14" s="804">
        <f t="shared" si="0"/>
        <v>6637.6</v>
      </c>
      <c r="L14" s="804">
        <f t="shared" si="0"/>
        <v>6637.6</v>
      </c>
    </row>
    <row r="15" spans="1:12" s="249" customFormat="1" ht="5.0999999999999996" customHeight="1">
      <c r="A15" s="501" t="s">
        <v>865</v>
      </c>
      <c r="B15" s="718"/>
      <c r="C15" s="802"/>
      <c r="D15" s="801"/>
      <c r="E15" s="805"/>
      <c r="F15" s="806"/>
      <c r="G15" s="807"/>
      <c r="H15" s="807"/>
      <c r="I15" s="807"/>
      <c r="J15" s="807"/>
      <c r="K15" s="807"/>
      <c r="L15" s="807"/>
    </row>
    <row r="16" spans="1:12" s="502" customFormat="1" ht="16.5" customHeight="1">
      <c r="B16" s="803"/>
      <c r="C16" s="749"/>
      <c r="D16" s="803"/>
      <c r="E16" s="808"/>
      <c r="F16" s="809"/>
      <c r="G16" s="810" t="s">
        <v>92</v>
      </c>
      <c r="H16" s="810">
        <f>H14</f>
        <v>0</v>
      </c>
      <c r="I16" s="992">
        <f>SUM(I14:L14)</f>
        <v>1526550.8000000003</v>
      </c>
      <c r="J16" s="992"/>
      <c r="K16" s="992"/>
      <c r="L16" s="992"/>
    </row>
    <row r="17" spans="1:12">
      <c r="B17" s="229"/>
      <c r="C17" s="489"/>
      <c r="D17" s="489"/>
      <c r="E17" s="229"/>
      <c r="F17" s="229"/>
      <c r="G17" s="229"/>
      <c r="H17" s="229"/>
      <c r="I17" s="229"/>
      <c r="J17" s="229"/>
      <c r="K17" s="229"/>
      <c r="L17" s="229"/>
    </row>
    <row r="18" spans="1:12" s="230" customFormat="1">
      <c r="B18" s="768"/>
      <c r="C18" s="769"/>
      <c r="D18" s="769"/>
      <c r="E18" s="386"/>
      <c r="F18" s="386"/>
      <c r="G18" s="386"/>
      <c r="H18" s="386"/>
      <c r="I18" s="386"/>
      <c r="J18" s="386"/>
      <c r="K18" s="386"/>
      <c r="L18" s="386"/>
    </row>
    <row r="19" spans="1:12" s="240" customFormat="1" ht="16.5" customHeight="1">
      <c r="B19" s="785" t="s">
        <v>869</v>
      </c>
      <c r="C19" s="773"/>
      <c r="D19" s="773"/>
      <c r="E19" s="770"/>
      <c r="F19" s="770"/>
      <c r="G19" s="770"/>
      <c r="H19" s="770"/>
      <c r="I19" s="770"/>
      <c r="J19" s="770"/>
      <c r="K19" s="770"/>
      <c r="L19" s="770"/>
    </row>
    <row r="20" spans="1:12" s="240" customFormat="1" ht="5.0999999999999996" customHeight="1">
      <c r="B20" s="403"/>
      <c r="C20" s="772"/>
      <c r="D20" s="772"/>
      <c r="E20" s="386"/>
      <c r="F20" s="386"/>
      <c r="G20" s="386"/>
      <c r="H20" s="386"/>
      <c r="I20" s="386"/>
      <c r="J20" s="386"/>
      <c r="K20" s="386"/>
      <c r="L20" s="386"/>
    </row>
    <row r="21" spans="1:12" ht="16.5" customHeight="1">
      <c r="B21" s="787" t="s">
        <v>4621</v>
      </c>
      <c r="C21" s="788" t="s">
        <v>329</v>
      </c>
      <c r="D21" s="812" t="s">
        <v>1178</v>
      </c>
      <c r="E21" s="790" t="s">
        <v>25</v>
      </c>
      <c r="F21" s="790"/>
      <c r="G21" s="791">
        <f>SUM(H21:L21)</f>
        <v>500000</v>
      </c>
      <c r="H21" s="791">
        <v>0</v>
      </c>
      <c r="I21" s="791">
        <v>0</v>
      </c>
      <c r="J21" s="791">
        <v>500000</v>
      </c>
      <c r="K21" s="791">
        <v>0</v>
      </c>
      <c r="L21" s="791">
        <v>0</v>
      </c>
    </row>
    <row r="22" spans="1:12" ht="8.1" customHeight="1">
      <c r="B22" s="469"/>
      <c r="C22" s="469"/>
      <c r="D22" s="675"/>
      <c r="E22" s="675"/>
      <c r="F22" s="469"/>
      <c r="G22" s="469"/>
      <c r="H22" s="469"/>
      <c r="I22" s="469"/>
      <c r="J22" s="469"/>
      <c r="K22" s="469"/>
      <c r="L22" s="469"/>
    </row>
    <row r="23" spans="1:12" s="249" customFormat="1" ht="16.5" customHeight="1">
      <c r="B23" s="469"/>
      <c r="C23" s="800"/>
      <c r="D23" s="801"/>
      <c r="E23" s="998" t="s">
        <v>1450</v>
      </c>
      <c r="F23" s="998"/>
      <c r="G23" s="804">
        <f t="shared" ref="G23:L23" si="1">SUM(G21:G21)</f>
        <v>500000</v>
      </c>
      <c r="H23" s="804">
        <f t="shared" si="1"/>
        <v>0</v>
      </c>
      <c r="I23" s="804">
        <f t="shared" si="1"/>
        <v>0</v>
      </c>
      <c r="J23" s="804">
        <f t="shared" si="1"/>
        <v>500000</v>
      </c>
      <c r="K23" s="804">
        <f t="shared" si="1"/>
        <v>0</v>
      </c>
      <c r="L23" s="804">
        <f t="shared" si="1"/>
        <v>0</v>
      </c>
    </row>
    <row r="24" spans="1:12" s="249" customFormat="1" ht="5.0999999999999996" customHeight="1">
      <c r="A24" s="501" t="s">
        <v>865</v>
      </c>
      <c r="B24" s="718"/>
      <c r="C24" s="802"/>
      <c r="D24" s="801"/>
      <c r="E24" s="805"/>
      <c r="F24" s="806"/>
      <c r="G24" s="807"/>
      <c r="H24" s="807"/>
      <c r="I24" s="807"/>
      <c r="J24" s="807"/>
      <c r="K24" s="807"/>
      <c r="L24" s="807"/>
    </row>
    <row r="25" spans="1:12" s="502" customFormat="1" ht="16.5" customHeight="1">
      <c r="B25" s="803"/>
      <c r="C25" s="749"/>
      <c r="D25" s="803"/>
      <c r="E25" s="808"/>
      <c r="F25" s="809"/>
      <c r="G25" s="810" t="s">
        <v>92</v>
      </c>
      <c r="H25" s="810">
        <f>H23</f>
        <v>0</v>
      </c>
      <c r="I25" s="992">
        <f>SUM(I23:L23)</f>
        <v>500000</v>
      </c>
      <c r="J25" s="992"/>
      <c r="K25" s="992"/>
      <c r="L25" s="992"/>
    </row>
    <row r="26" spans="1:12">
      <c r="B26" s="229"/>
      <c r="C26" s="489"/>
      <c r="D26" s="489"/>
      <c r="E26" s="229"/>
      <c r="F26" s="229"/>
      <c r="G26" s="229"/>
      <c r="H26" s="229"/>
      <c r="I26" s="229"/>
      <c r="J26" s="229"/>
      <c r="K26" s="229"/>
      <c r="L26" s="229"/>
    </row>
    <row r="27" spans="1:12" s="230" customFormat="1">
      <c r="B27" s="811"/>
      <c r="C27" s="769"/>
      <c r="D27" s="769"/>
      <c r="E27" s="386"/>
      <c r="F27" s="386"/>
      <c r="G27" s="386"/>
      <c r="H27" s="386"/>
      <c r="I27" s="386"/>
      <c r="J27" s="386"/>
      <c r="K27" s="386"/>
      <c r="L27" s="386"/>
    </row>
    <row r="28" spans="1:12" ht="16.5" customHeight="1">
      <c r="B28" s="785" t="s">
        <v>870</v>
      </c>
      <c r="C28" s="771"/>
      <c r="D28" s="771"/>
      <c r="E28" s="770"/>
      <c r="F28" s="770"/>
      <c r="G28" s="774"/>
      <c r="H28" s="774"/>
      <c r="I28" s="774"/>
      <c r="J28" s="774"/>
      <c r="K28" s="774"/>
      <c r="L28" s="774"/>
    </row>
    <row r="29" spans="1:12" s="240" customFormat="1" ht="5.0999999999999996" customHeight="1">
      <c r="B29" s="406"/>
      <c r="C29" s="775"/>
      <c r="D29" s="775"/>
      <c r="E29" s="506"/>
      <c r="F29" s="506"/>
      <c r="G29" s="226"/>
      <c r="H29" s="506"/>
      <c r="I29" s="506"/>
      <c r="J29" s="506"/>
      <c r="K29" s="506"/>
      <c r="L29" s="506"/>
    </row>
    <row r="30" spans="1:12" ht="16.5" customHeight="1">
      <c r="B30" s="787" t="s">
        <v>5062</v>
      </c>
      <c r="C30" s="788" t="s">
        <v>328</v>
      </c>
      <c r="D30" s="812" t="s">
        <v>1177</v>
      </c>
      <c r="E30" s="790" t="s">
        <v>867</v>
      </c>
      <c r="F30" s="791">
        <f>G30/50.71</f>
        <v>26621.968053638335</v>
      </c>
      <c r="G30" s="791">
        <f>SUM(H30:L30)</f>
        <v>1350000</v>
      </c>
      <c r="H30" s="791">
        <v>0</v>
      </c>
      <c r="I30" s="791">
        <v>0</v>
      </c>
      <c r="J30" s="791">
        <v>100000</v>
      </c>
      <c r="K30" s="791">
        <v>500000</v>
      </c>
      <c r="L30" s="791">
        <v>750000</v>
      </c>
    </row>
    <row r="31" spans="1:12" ht="8.1" customHeight="1">
      <c r="B31" s="451"/>
      <c r="C31" s="451"/>
      <c r="D31" s="524"/>
      <c r="E31" s="524"/>
      <c r="F31" s="451"/>
      <c r="G31" s="451"/>
      <c r="H31" s="451"/>
      <c r="I31" s="451"/>
      <c r="J31" s="451"/>
      <c r="K31" s="451"/>
      <c r="L31" s="451"/>
    </row>
    <row r="32" spans="1:12" s="249" customFormat="1" ht="18" customHeight="1">
      <c r="B32" s="451"/>
      <c r="C32" s="527"/>
      <c r="D32" s="526"/>
      <c r="E32" s="993" t="s">
        <v>1450</v>
      </c>
      <c r="F32" s="994"/>
      <c r="G32" s="816">
        <f t="shared" ref="G32:L32" si="2">G30</f>
        <v>1350000</v>
      </c>
      <c r="H32" s="816">
        <f t="shared" si="2"/>
        <v>0</v>
      </c>
      <c r="I32" s="816">
        <f t="shared" si="2"/>
        <v>0</v>
      </c>
      <c r="J32" s="816">
        <f t="shared" si="2"/>
        <v>100000</v>
      </c>
      <c r="K32" s="816">
        <f t="shared" si="2"/>
        <v>500000</v>
      </c>
      <c r="L32" s="816">
        <f t="shared" si="2"/>
        <v>750000</v>
      </c>
    </row>
    <row r="33" spans="1:12" s="249" customFormat="1" ht="5.0999999999999996" customHeight="1">
      <c r="A33" s="501" t="s">
        <v>865</v>
      </c>
      <c r="B33" s="525"/>
      <c r="C33" s="528"/>
      <c r="D33" s="526"/>
      <c r="E33" s="532"/>
      <c r="F33" s="533"/>
      <c r="G33" s="534"/>
      <c r="H33" s="534"/>
      <c r="I33" s="534"/>
      <c r="J33" s="534"/>
      <c r="K33" s="534"/>
      <c r="L33" s="534"/>
    </row>
    <row r="34" spans="1:12" s="502" customFormat="1" ht="16.5" customHeight="1">
      <c r="B34" s="529"/>
      <c r="C34" s="530"/>
      <c r="D34" s="529"/>
      <c r="E34" s="535"/>
      <c r="F34" s="536"/>
      <c r="G34" s="810" t="s">
        <v>92</v>
      </c>
      <c r="H34" s="810">
        <f>H32</f>
        <v>0</v>
      </c>
      <c r="I34" s="995">
        <f>SUM(I32:L32)</f>
        <v>1350000</v>
      </c>
      <c r="J34" s="996"/>
      <c r="K34" s="996"/>
      <c r="L34" s="997"/>
    </row>
    <row r="35" spans="1:12" ht="16.5" customHeight="1">
      <c r="B35" s="813"/>
      <c r="C35" s="814"/>
      <c r="D35" s="814"/>
      <c r="E35" s="817"/>
      <c r="F35" s="817"/>
      <c r="G35" s="818"/>
      <c r="H35" s="818"/>
      <c r="I35" s="818"/>
      <c r="J35" s="818"/>
      <c r="K35" s="818"/>
      <c r="L35" s="818"/>
    </row>
    <row r="36" spans="1:12" s="427" customFormat="1" ht="16.5" customHeight="1">
      <c r="B36" s="815"/>
      <c r="C36" s="402"/>
      <c r="D36" s="402"/>
      <c r="E36" s="990" t="s">
        <v>105</v>
      </c>
      <c r="F36" s="990"/>
      <c r="G36" s="819">
        <f>G32+G23+G14</f>
        <v>3376550.8</v>
      </c>
      <c r="H36" s="819">
        <f>H34+H25+H16</f>
        <v>0</v>
      </c>
      <c r="I36" s="992">
        <f>SUM(I16)+SUM(I25)+SUM(I34)</f>
        <v>3376550.8000000003</v>
      </c>
      <c r="J36" s="992"/>
      <c r="K36" s="992"/>
      <c r="L36" s="992"/>
    </row>
    <row r="38" spans="1:12">
      <c r="B38" s="777" t="s">
        <v>1451</v>
      </c>
      <c r="C38" s="283"/>
      <c r="D38" s="283"/>
      <c r="E38" s="283"/>
      <c r="F38" s="283"/>
      <c r="G38" s="430"/>
    </row>
    <row r="39" spans="1:12">
      <c r="B39" s="778"/>
      <c r="C39" s="283"/>
      <c r="D39" s="283"/>
      <c r="E39" s="283"/>
      <c r="F39" s="283"/>
      <c r="G39" s="430"/>
    </row>
    <row r="40" spans="1:12">
      <c r="B40" s="779"/>
      <c r="C40" s="283"/>
      <c r="D40" s="283"/>
      <c r="E40" s="283"/>
      <c r="F40" s="283"/>
      <c r="G40" s="430"/>
    </row>
    <row r="41" spans="1:12">
      <c r="B41" s="429" t="s">
        <v>6</v>
      </c>
      <c r="C41" s="951">
        <v>42587</v>
      </c>
      <c r="D41" s="951"/>
      <c r="E41" s="951"/>
      <c r="F41" s="780"/>
      <c r="G41" s="776"/>
    </row>
  </sheetData>
  <sheetProtection selectLockedCells="1" selectUnlockedCells="1"/>
  <mergeCells count="15">
    <mergeCell ref="I5:L5"/>
    <mergeCell ref="I36:L36"/>
    <mergeCell ref="D5:D6"/>
    <mergeCell ref="E32:F32"/>
    <mergeCell ref="I34:L34"/>
    <mergeCell ref="E23:F23"/>
    <mergeCell ref="I25:L25"/>
    <mergeCell ref="E14:F14"/>
    <mergeCell ref="I16:L16"/>
    <mergeCell ref="C41:E41"/>
    <mergeCell ref="E5:F5"/>
    <mergeCell ref="B5:B6"/>
    <mergeCell ref="C5:C6"/>
    <mergeCell ref="G5:G6"/>
    <mergeCell ref="E36:F36"/>
  </mergeCells>
  <pageMargins left="0.47" right="0.25" top="0.75" bottom="0.75" header="0.3" footer="0.3"/>
  <pageSetup paperSize="9" scale="72" firstPageNumber="0" fitToHeight="0" orientation="landscape" horizontalDpi="200" verticalDpi="2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"/>
  <sheetViews>
    <sheetView showGridLines="0" zoomScale="110" zoomScaleNormal="110" workbookViewId="0">
      <selection activeCell="C26" sqref="C26"/>
    </sheetView>
  </sheetViews>
  <sheetFormatPr defaultRowHeight="15"/>
  <cols>
    <col min="1" max="1" width="1.7109375" style="225" customWidth="1"/>
    <col min="2" max="2" width="30.7109375" style="225" customWidth="1"/>
    <col min="3" max="5" width="19.140625" style="225" customWidth="1"/>
    <col min="6" max="6" width="20.7109375" style="429" customWidth="1"/>
    <col min="7" max="16384" width="9.140625" style="225"/>
  </cols>
  <sheetData>
    <row r="1" spans="1:6" ht="16.5" customHeight="1">
      <c r="C1" s="293" t="s">
        <v>1190</v>
      </c>
    </row>
    <row r="2" spans="1:6" s="227" customFormat="1" ht="16.5" customHeight="1">
      <c r="B2" s="626"/>
      <c r="C2" s="570" t="s">
        <v>8156</v>
      </c>
      <c r="F2" s="695"/>
    </row>
    <row r="3" spans="1:6" s="227" customFormat="1" ht="16.5" customHeight="1">
      <c r="B3" s="570"/>
      <c r="C3" s="569"/>
      <c r="F3" s="695"/>
    </row>
    <row r="4" spans="1:6" s="227" customFormat="1">
      <c r="B4" s="229"/>
      <c r="F4" s="695"/>
    </row>
    <row r="5" spans="1:6" ht="15.75">
      <c r="B5" s="709" t="s">
        <v>1078</v>
      </c>
      <c r="C5" s="709" t="s">
        <v>1172</v>
      </c>
      <c r="D5" s="709" t="s">
        <v>1077</v>
      </c>
      <c r="E5" s="824" t="s">
        <v>29</v>
      </c>
      <c r="F5" s="709" t="s">
        <v>21</v>
      </c>
    </row>
    <row r="6" spans="1:6" s="249" customFormat="1">
      <c r="B6" s="718"/>
      <c r="C6" s="719"/>
      <c r="D6" s="719"/>
      <c r="E6" s="719"/>
      <c r="F6" s="720"/>
    </row>
    <row r="7" spans="1:6" s="249" customFormat="1">
      <c r="B7" s="756" t="s">
        <v>1188</v>
      </c>
      <c r="C7" s="757">
        <v>24680</v>
      </c>
      <c r="D7" s="757">
        <v>0</v>
      </c>
      <c r="E7" s="757">
        <v>0</v>
      </c>
      <c r="F7" s="757">
        <f>SUM(C7:E7)</f>
        <v>24680</v>
      </c>
    </row>
    <row r="8" spans="1:6" s="249" customFormat="1">
      <c r="B8" s="718" t="s">
        <v>1189</v>
      </c>
      <c r="C8" s="719">
        <v>4767</v>
      </c>
      <c r="D8" s="719">
        <v>0</v>
      </c>
      <c r="E8" s="719">
        <v>0</v>
      </c>
      <c r="F8" s="719">
        <f>SUM(C8:E8)</f>
        <v>4767</v>
      </c>
    </row>
    <row r="9" spans="1:6" s="249" customFormat="1">
      <c r="B9" s="756" t="s">
        <v>1200</v>
      </c>
      <c r="C9" s="757">
        <v>0</v>
      </c>
      <c r="D9" s="757">
        <v>0</v>
      </c>
      <c r="E9" s="757">
        <v>0</v>
      </c>
      <c r="F9" s="757">
        <v>0</v>
      </c>
    </row>
    <row r="10" spans="1:6" s="249" customFormat="1">
      <c r="B10" s="718"/>
      <c r="C10" s="719"/>
      <c r="D10" s="719"/>
      <c r="E10" s="719"/>
      <c r="F10" s="720"/>
    </row>
    <row r="11" spans="1:6" s="249" customFormat="1">
      <c r="A11" s="820"/>
      <c r="B11" s="751" t="s">
        <v>1165</v>
      </c>
      <c r="C11" s="721">
        <f>SUM(C7:C9)</f>
        <v>29447</v>
      </c>
      <c r="D11" s="721">
        <f>SUM(D7:D9)</f>
        <v>0</v>
      </c>
      <c r="E11" s="721">
        <f>SUM(E7:E9)</f>
        <v>0</v>
      </c>
      <c r="F11" s="721">
        <f>SUM(F7:F9)</f>
        <v>29447</v>
      </c>
    </row>
    <row r="16" spans="1:6">
      <c r="B16" s="821"/>
      <c r="C16" s="430"/>
    </row>
  </sheetData>
  <sheetProtection selectLockedCells="1" selectUnlockedCells="1"/>
  <printOptions horizontalCentered="1"/>
  <pageMargins left="0.39374999999999999" right="0.39374999999999999" top="0.19652777777777777" bottom="0.19652777777777777" header="0.51180555555555551" footer="0.19652777777777777"/>
  <pageSetup paperSize="9" scale="88" firstPageNumber="0" orientation="portrait" horizontalDpi="300" verticalDpi="300" r:id="rId1"/>
  <headerFooter alignWithMargins="0">
    <oddFooter>&amp;R&amp;9&amp;Z&amp;F</oddFooter>
  </headerFooter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8"/>
  <sheetViews>
    <sheetView showGridLines="0" zoomScaleNormal="100" workbookViewId="0">
      <selection activeCell="D12" sqref="D12"/>
    </sheetView>
  </sheetViews>
  <sheetFormatPr defaultRowHeight="15"/>
  <cols>
    <col min="1" max="1" width="1.7109375" style="225" customWidth="1"/>
    <col min="2" max="2" width="39.28515625" style="225" customWidth="1"/>
    <col min="3" max="4" width="19.140625" style="225" customWidth="1"/>
    <col min="5" max="5" width="20.7109375" style="429" customWidth="1"/>
    <col min="6" max="6" width="9.140625" style="225"/>
    <col min="7" max="7" width="11.28515625" style="225" bestFit="1" customWidth="1"/>
    <col min="8" max="8" width="14" style="225" bestFit="1" customWidth="1"/>
    <col min="9" max="9" width="14.28515625" style="225" bestFit="1" customWidth="1"/>
    <col min="10" max="16384" width="9.140625" style="225"/>
  </cols>
  <sheetData>
    <row r="1" spans="2:9" ht="18.75">
      <c r="C1" s="293" t="s">
        <v>1191</v>
      </c>
    </row>
    <row r="2" spans="2:9" s="227" customFormat="1" ht="18.75">
      <c r="B2" s="381"/>
      <c r="C2" s="299" t="s">
        <v>6983</v>
      </c>
      <c r="E2" s="695"/>
    </row>
    <row r="3" spans="2:9" s="227" customFormat="1" ht="15.75">
      <c r="B3" s="299"/>
      <c r="E3" s="695"/>
    </row>
    <row r="4" spans="2:9" s="227" customFormat="1">
      <c r="B4" s="229"/>
      <c r="E4" s="695"/>
    </row>
    <row r="5" spans="2:9" ht="15.75">
      <c r="B5" s="709" t="s">
        <v>1078</v>
      </c>
      <c r="C5" s="709" t="s">
        <v>20</v>
      </c>
      <c r="D5" s="709" t="s">
        <v>1192</v>
      </c>
      <c r="E5" s="709" t="s">
        <v>21</v>
      </c>
    </row>
    <row r="6" spans="2:9" s="249" customFormat="1">
      <c r="B6" s="746"/>
      <c r="C6" s="822"/>
      <c r="D6" s="822"/>
      <c r="E6" s="823"/>
      <c r="H6" s="745"/>
    </row>
    <row r="7" spans="2:9" s="249" customFormat="1" ht="15.75">
      <c r="B7" s="829" t="s">
        <v>1195</v>
      </c>
      <c r="C7" s="829"/>
      <c r="D7" s="829"/>
      <c r="E7" s="830">
        <f>SUM(E8:E12)</f>
        <v>24227346</v>
      </c>
      <c r="G7" s="825"/>
      <c r="H7" s="745"/>
    </row>
    <row r="8" spans="2:9" s="249" customFormat="1">
      <c r="B8" s="756" t="s">
        <v>1194</v>
      </c>
      <c r="C8" s="757">
        <v>372527</v>
      </c>
      <c r="D8" s="831">
        <v>65</v>
      </c>
      <c r="E8" s="757">
        <f>D8*C8</f>
        <v>24214255</v>
      </c>
      <c r="H8" s="745"/>
    </row>
    <row r="9" spans="2:9" s="249" customFormat="1">
      <c r="B9" s="759" t="s">
        <v>1193</v>
      </c>
      <c r="C9" s="737">
        <v>83</v>
      </c>
      <c r="D9" s="827">
        <v>22</v>
      </c>
      <c r="E9" s="737">
        <f>D9*C9</f>
        <v>1826</v>
      </c>
      <c r="H9" s="745"/>
    </row>
    <row r="10" spans="2:9" s="249" customFormat="1">
      <c r="B10" s="756" t="s">
        <v>1207</v>
      </c>
      <c r="C10" s="757">
        <v>0</v>
      </c>
      <c r="D10" s="831">
        <v>0</v>
      </c>
      <c r="E10" s="757">
        <v>0</v>
      </c>
      <c r="H10" s="745"/>
    </row>
    <row r="11" spans="2:9" s="249" customFormat="1">
      <c r="B11" s="759" t="s">
        <v>5063</v>
      </c>
      <c r="C11" s="737">
        <v>2246</v>
      </c>
      <c r="D11" s="827">
        <f>E11/C11*1000</f>
        <v>4992.4309884238646</v>
      </c>
      <c r="E11" s="737">
        <v>11213</v>
      </c>
      <c r="H11" s="745"/>
    </row>
    <row r="12" spans="2:9" s="249" customFormat="1">
      <c r="B12" s="756" t="s">
        <v>5064</v>
      </c>
      <c r="C12" s="757"/>
      <c r="D12" s="831"/>
      <c r="E12" s="757">
        <v>52</v>
      </c>
      <c r="H12" s="745"/>
      <c r="I12" s="551"/>
    </row>
    <row r="13" spans="2:9" s="249" customFormat="1">
      <c r="B13" s="746"/>
      <c r="C13" s="822"/>
      <c r="D13" s="822"/>
      <c r="E13" s="822"/>
      <c r="H13" s="745"/>
    </row>
    <row r="14" spans="2:9" s="249" customFormat="1" ht="15.75">
      <c r="B14" s="829" t="s">
        <v>1188</v>
      </c>
      <c r="C14" s="829"/>
      <c r="D14" s="829"/>
      <c r="E14" s="830">
        <f>SUM(E15:E17)</f>
        <v>37076</v>
      </c>
      <c r="H14" s="745"/>
    </row>
    <row r="15" spans="2:9" s="249" customFormat="1">
      <c r="B15" s="756" t="s">
        <v>1197</v>
      </c>
      <c r="C15" s="757"/>
      <c r="D15" s="757"/>
      <c r="E15" s="757">
        <v>14344</v>
      </c>
      <c r="H15" s="745"/>
    </row>
    <row r="16" spans="2:9" s="249" customFormat="1">
      <c r="B16" s="759" t="s">
        <v>1198</v>
      </c>
      <c r="C16" s="737"/>
      <c r="D16" s="737"/>
      <c r="E16" s="737">
        <v>21816</v>
      </c>
      <c r="H16" s="745"/>
    </row>
    <row r="17" spans="1:8" s="249" customFormat="1">
      <c r="B17" s="756" t="s">
        <v>1199</v>
      </c>
      <c r="C17" s="757"/>
      <c r="D17" s="757"/>
      <c r="E17" s="757">
        <v>916</v>
      </c>
      <c r="H17" s="745"/>
    </row>
    <row r="18" spans="1:8" s="249" customFormat="1">
      <c r="B18" s="746"/>
      <c r="C18" s="822"/>
      <c r="D18" s="822"/>
      <c r="E18" s="822"/>
      <c r="H18" s="745"/>
    </row>
    <row r="19" spans="1:8" s="249" customFormat="1" ht="15.75">
      <c r="B19" s="829" t="s">
        <v>1200</v>
      </c>
      <c r="C19" s="829"/>
      <c r="D19" s="829"/>
      <c r="E19" s="830">
        <f>SUM(E20:E22)</f>
        <v>10709</v>
      </c>
      <c r="H19" s="745"/>
    </row>
    <row r="20" spans="1:8" s="249" customFormat="1">
      <c r="B20" s="756" t="s">
        <v>1206</v>
      </c>
      <c r="C20" s="757"/>
      <c r="D20" s="757"/>
      <c r="E20" s="757">
        <v>1960</v>
      </c>
      <c r="H20" s="745"/>
    </row>
    <row r="21" spans="1:8" s="249" customFormat="1">
      <c r="B21" s="759" t="s">
        <v>1205</v>
      </c>
      <c r="C21" s="737"/>
      <c r="D21" s="737"/>
      <c r="E21" s="737">
        <v>5537</v>
      </c>
      <c r="H21" s="745"/>
    </row>
    <row r="22" spans="1:8" s="249" customFormat="1">
      <c r="B22" s="756" t="s">
        <v>4626</v>
      </c>
      <c r="C22" s="757"/>
      <c r="D22" s="757"/>
      <c r="E22" s="757">
        <v>3212</v>
      </c>
      <c r="H22" s="745"/>
    </row>
    <row r="23" spans="1:8" s="249" customFormat="1">
      <c r="B23" s="746"/>
      <c r="C23" s="822"/>
      <c r="D23" s="822"/>
      <c r="E23" s="823"/>
      <c r="H23" s="745"/>
    </row>
    <row r="24" spans="1:8" s="249" customFormat="1" ht="17.25">
      <c r="A24" s="820"/>
      <c r="B24" s="751" t="s">
        <v>1208</v>
      </c>
      <c r="C24" s="721" t="s">
        <v>20</v>
      </c>
      <c r="D24" s="721"/>
      <c r="E24" s="721">
        <f>E19+E14+E7</f>
        <v>24275131</v>
      </c>
      <c r="G24" s="826"/>
    </row>
    <row r="25" spans="1:8">
      <c r="B25" s="433"/>
      <c r="C25" s="433"/>
      <c r="D25" s="433"/>
      <c r="E25" s="708"/>
    </row>
    <row r="26" spans="1:8">
      <c r="B26" s="433"/>
      <c r="C26" s="433"/>
      <c r="D26" s="433"/>
      <c r="E26" s="708"/>
    </row>
    <row r="27" spans="1:8" ht="15.75">
      <c r="B27" s="829" t="s">
        <v>1097</v>
      </c>
      <c r="C27" s="829"/>
      <c r="D27" s="829"/>
      <c r="E27" s="830">
        <f>SUM(E28:E31)</f>
        <v>32991</v>
      </c>
    </row>
    <row r="28" spans="1:8">
      <c r="B28" s="763" t="s">
        <v>1203</v>
      </c>
      <c r="C28" s="764">
        <v>18470</v>
      </c>
      <c r="D28" s="764"/>
      <c r="E28" s="764">
        <v>21138</v>
      </c>
    </row>
    <row r="29" spans="1:8">
      <c r="B29" s="765" t="s">
        <v>1204</v>
      </c>
      <c r="C29" s="766"/>
      <c r="D29" s="766"/>
      <c r="E29" s="766">
        <v>20</v>
      </c>
    </row>
    <row r="30" spans="1:8">
      <c r="B30" s="763" t="s">
        <v>1196</v>
      </c>
      <c r="C30" s="764"/>
      <c r="D30" s="764"/>
      <c r="E30" s="764">
        <v>11000</v>
      </c>
    </row>
    <row r="31" spans="1:8">
      <c r="B31" s="765" t="s">
        <v>6775</v>
      </c>
      <c r="C31" s="766"/>
      <c r="D31" s="766"/>
      <c r="E31" s="766">
        <v>833</v>
      </c>
    </row>
    <row r="32" spans="1:8">
      <c r="B32" s="433"/>
      <c r="C32" s="433"/>
      <c r="D32" s="433"/>
      <c r="E32" s="708"/>
    </row>
    <row r="33" spans="2:5" ht="15.75">
      <c r="B33" s="829" t="s">
        <v>1201</v>
      </c>
      <c r="C33" s="829"/>
      <c r="D33" s="829"/>
      <c r="E33" s="830">
        <f>SUM(E34:E37)</f>
        <v>45442</v>
      </c>
    </row>
    <row r="34" spans="2:5">
      <c r="B34" s="756" t="s">
        <v>1080</v>
      </c>
      <c r="C34" s="757"/>
      <c r="D34" s="757"/>
      <c r="E34" s="757">
        <v>14911</v>
      </c>
    </row>
    <row r="35" spans="2:5">
      <c r="B35" s="718" t="s">
        <v>9</v>
      </c>
      <c r="C35" s="719"/>
      <c r="D35" s="719"/>
      <c r="E35" s="719">
        <v>12118</v>
      </c>
    </row>
    <row r="36" spans="2:5">
      <c r="B36" s="797" t="s">
        <v>8</v>
      </c>
      <c r="C36" s="757"/>
      <c r="D36" s="757"/>
      <c r="E36" s="757">
        <v>18149</v>
      </c>
    </row>
    <row r="37" spans="2:5">
      <c r="B37" s="419" t="s">
        <v>1200</v>
      </c>
      <c r="C37" s="419"/>
      <c r="D37" s="419"/>
      <c r="E37" s="719">
        <v>264</v>
      </c>
    </row>
    <row r="38" spans="2:5">
      <c r="B38" s="751" t="s">
        <v>1202</v>
      </c>
      <c r="C38" s="721"/>
      <c r="D38" s="828"/>
      <c r="E38" s="721">
        <f>E33+E27</f>
        <v>78433</v>
      </c>
    </row>
  </sheetData>
  <sheetProtection selectLockedCells="1" selectUnlockedCells="1"/>
  <printOptions horizontalCentered="1"/>
  <pageMargins left="0.39374999999999999" right="0.39374999999999999" top="0.41" bottom="0.19652777777777777" header="0.41" footer="0.19652777777777777"/>
  <pageSetup paperSize="9" scale="95" firstPageNumber="0" orientation="portrait" horizontalDpi="300" verticalDpi="300" r:id="rId1"/>
  <headerFooter alignWithMargins="0">
    <oddFooter>&amp;R&amp;9&amp;Z&amp;F</oddFooter>
  </headerFooter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8"/>
  <sheetViews>
    <sheetView workbookViewId="0">
      <selection activeCell="C19" sqref="C19"/>
    </sheetView>
  </sheetViews>
  <sheetFormatPr defaultRowHeight="14.25"/>
  <cols>
    <col min="1" max="1" width="1.7109375" style="23" customWidth="1"/>
    <col min="2" max="2" width="30.7109375" style="23" customWidth="1"/>
    <col min="3" max="3" width="0.85546875" style="23" customWidth="1"/>
    <col min="4" max="4" width="9.7109375" style="23" bestFit="1" customWidth="1"/>
    <col min="5" max="5" width="0.85546875" style="23" customWidth="1"/>
    <col min="6" max="6" width="19.140625" style="23" customWidth="1"/>
    <col min="7" max="7" width="0.85546875" style="23" customWidth="1"/>
    <col min="8" max="8" width="20.7109375" style="47" customWidth="1"/>
    <col min="9" max="10" width="9.140625" style="23"/>
    <col min="11" max="11" width="14" style="23" bestFit="1" customWidth="1"/>
    <col min="12" max="16384" width="9.140625" style="23"/>
  </cols>
  <sheetData>
    <row r="2" spans="1:11" s="25" customFormat="1" ht="23.25" customHeight="1">
      <c r="B2" s="959" t="s">
        <v>1106</v>
      </c>
      <c r="C2" s="959"/>
      <c r="D2" s="959"/>
      <c r="G2" s="24"/>
      <c r="H2" s="48"/>
    </row>
    <row r="3" spans="1:11" s="25" customFormat="1" ht="18.75" customHeight="1">
      <c r="B3" s="959"/>
      <c r="C3" s="959"/>
      <c r="D3" s="959"/>
      <c r="G3" s="26"/>
      <c r="H3" s="48"/>
    </row>
    <row r="4" spans="1:11" s="25" customFormat="1" ht="18">
      <c r="B4" s="26"/>
      <c r="C4" s="65"/>
      <c r="D4" s="65"/>
      <c r="E4" s="26"/>
      <c r="G4" s="26"/>
      <c r="H4" s="48"/>
    </row>
    <row r="5" spans="1:11" s="25" customFormat="1" ht="18.75" thickBot="1">
      <c r="B5" s="26"/>
      <c r="C5" s="26"/>
      <c r="E5" s="26"/>
      <c r="G5" s="26"/>
      <c r="H5" s="48"/>
    </row>
    <row r="6" spans="1:11" s="25" customFormat="1" ht="15.75">
      <c r="B6" s="102" t="s">
        <v>1458</v>
      </c>
      <c r="C6" s="46"/>
      <c r="D6" s="37"/>
      <c r="E6" s="46"/>
      <c r="F6" s="37"/>
      <c r="G6" s="46"/>
      <c r="H6" s="58"/>
    </row>
    <row r="7" spans="1:11" s="25" customFormat="1" ht="16.5" thickBot="1">
      <c r="B7" s="101" t="s">
        <v>1483</v>
      </c>
      <c r="C7" s="28"/>
      <c r="D7" s="38"/>
      <c r="E7" s="28"/>
      <c r="F7" s="38"/>
      <c r="G7" s="28"/>
      <c r="H7" s="59"/>
    </row>
    <row r="8" spans="1:11" s="25" customFormat="1" ht="15">
      <c r="B8" s="29"/>
      <c r="C8" s="29"/>
      <c r="E8" s="29"/>
      <c r="G8" s="29"/>
      <c r="H8" s="48"/>
    </row>
    <row r="9" spans="1:11" ht="16.5" customHeight="1">
      <c r="B9" s="132" t="s">
        <v>1459</v>
      </c>
      <c r="C9" s="75"/>
      <c r="D9" s="132" t="s">
        <v>327</v>
      </c>
      <c r="E9" s="75"/>
      <c r="F9" s="132" t="s">
        <v>1211</v>
      </c>
      <c r="G9" s="75"/>
      <c r="H9" s="132" t="s">
        <v>21</v>
      </c>
    </row>
    <row r="10" spans="1:11" s="54" customFormat="1" ht="15.75">
      <c r="B10" s="60" t="s">
        <v>1462</v>
      </c>
      <c r="C10" s="52"/>
      <c r="D10" s="62"/>
      <c r="E10" s="30"/>
      <c r="F10" s="62"/>
      <c r="G10" s="30"/>
      <c r="H10" s="135"/>
      <c r="K10" s="63"/>
    </row>
    <row r="11" spans="1:11" s="54" customFormat="1" ht="15.75">
      <c r="B11" s="60" t="s">
        <v>1460</v>
      </c>
      <c r="C11" s="52"/>
      <c r="D11" s="133" t="s">
        <v>1461</v>
      </c>
      <c r="E11" s="30"/>
      <c r="F11" s="62">
        <v>40000</v>
      </c>
      <c r="G11" s="30"/>
      <c r="H11" s="135">
        <v>27398</v>
      </c>
      <c r="K11" s="63"/>
    </row>
    <row r="12" spans="1:11" s="54" customFormat="1" ht="15.75">
      <c r="B12" s="60"/>
      <c r="C12" s="52"/>
      <c r="D12" s="62"/>
      <c r="E12" s="30"/>
      <c r="F12" s="62"/>
      <c r="G12" s="30"/>
      <c r="H12" s="135"/>
      <c r="K12" s="63"/>
    </row>
    <row r="13" spans="1:11" s="54" customFormat="1" ht="15">
      <c r="A13" s="116"/>
      <c r="B13" s="78" t="s">
        <v>1165</v>
      </c>
      <c r="C13" s="75"/>
      <c r="D13" s="91"/>
      <c r="E13" s="75"/>
      <c r="F13" s="91">
        <f>SUM(F11:F11)</f>
        <v>40000</v>
      </c>
      <c r="G13" s="75"/>
      <c r="H13" s="136">
        <f>SUM(H11:H11)</f>
        <v>27398</v>
      </c>
    </row>
    <row r="18" spans="2:6">
      <c r="B18" s="47" t="s">
        <v>6</v>
      </c>
      <c r="C18" s="1000">
        <v>42073</v>
      </c>
      <c r="D18" s="1000"/>
      <c r="E18" s="1000"/>
      <c r="F18" s="1000"/>
    </row>
  </sheetData>
  <mergeCells count="2">
    <mergeCell ref="B2:D3"/>
    <mergeCell ref="C18:F18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2"/>
  <sheetViews>
    <sheetView workbookViewId="0">
      <selection activeCell="N18" sqref="N18"/>
    </sheetView>
  </sheetViews>
  <sheetFormatPr defaultRowHeight="14.25"/>
  <cols>
    <col min="1" max="1" width="1.7109375" style="23" customWidth="1"/>
    <col min="2" max="2" width="40.7109375" style="23" customWidth="1"/>
    <col min="3" max="3" width="0.85546875" style="23" customWidth="1"/>
    <col min="4" max="4" width="19.140625" style="23" customWidth="1"/>
    <col min="5" max="5" width="0.85546875" style="23" customWidth="1"/>
    <col min="6" max="6" width="19.140625" style="23" customWidth="1"/>
    <col min="7" max="7" width="0.85546875" style="23" customWidth="1"/>
    <col min="8" max="8" width="20.7109375" style="47" customWidth="1"/>
    <col min="9" max="10" width="9.140625" style="23"/>
    <col min="11" max="11" width="14" style="23" bestFit="1" customWidth="1"/>
    <col min="12" max="16384" width="9.140625" style="23"/>
  </cols>
  <sheetData>
    <row r="2" spans="2:11" s="25" customFormat="1" ht="23.25" customHeight="1">
      <c r="B2" s="959" t="s">
        <v>1106</v>
      </c>
      <c r="C2" s="959"/>
      <c r="D2" s="959"/>
      <c r="H2" s="48"/>
    </row>
    <row r="3" spans="2:11" s="25" customFormat="1" ht="18.75" customHeight="1">
      <c r="B3" s="959"/>
      <c r="C3" s="959"/>
      <c r="D3" s="959"/>
      <c r="H3" s="48"/>
    </row>
    <row r="4" spans="2:11" s="25" customFormat="1" ht="18">
      <c r="B4" s="26"/>
      <c r="C4" s="65"/>
      <c r="D4" s="65"/>
      <c r="E4" s="26"/>
      <c r="G4" s="26"/>
      <c r="H4" s="48"/>
    </row>
    <row r="5" spans="2:11" s="25" customFormat="1" ht="18.75" thickBot="1">
      <c r="B5" s="26"/>
      <c r="C5" s="26"/>
      <c r="E5" s="26"/>
      <c r="G5" s="26"/>
      <c r="H5" s="48"/>
    </row>
    <row r="6" spans="2:11" s="25" customFormat="1" ht="15.75">
      <c r="B6" s="102" t="s">
        <v>1463</v>
      </c>
      <c r="C6" s="46"/>
      <c r="D6" s="37"/>
      <c r="E6" s="46"/>
      <c r="F6" s="37"/>
      <c r="G6" s="46"/>
      <c r="H6" s="58"/>
    </row>
    <row r="7" spans="2:11" s="25" customFormat="1" ht="16.5" thickBot="1">
      <c r="B7" s="101" t="s">
        <v>1467</v>
      </c>
      <c r="C7" s="28"/>
      <c r="D7" s="38"/>
      <c r="E7" s="28"/>
      <c r="F7" s="38"/>
      <c r="G7" s="28"/>
      <c r="H7" s="59"/>
    </row>
    <row r="8" spans="2:11" s="25" customFormat="1" ht="15">
      <c r="B8" s="29"/>
      <c r="C8" s="29"/>
      <c r="E8" s="29"/>
      <c r="G8" s="29"/>
      <c r="H8" s="48"/>
    </row>
    <row r="9" spans="2:11" ht="16.5" customHeight="1">
      <c r="B9" s="134" t="s">
        <v>1459</v>
      </c>
      <c r="C9" s="75"/>
      <c r="D9" s="134" t="s">
        <v>1464</v>
      </c>
      <c r="E9" s="75"/>
      <c r="F9" s="134" t="s">
        <v>1465</v>
      </c>
      <c r="G9" s="75"/>
      <c r="H9" s="134" t="s">
        <v>21</v>
      </c>
    </row>
    <row r="10" spans="2:11" s="54" customFormat="1" ht="15">
      <c r="B10" s="137"/>
      <c r="C10" s="139"/>
      <c r="D10" s="138"/>
      <c r="E10" s="139"/>
      <c r="F10" s="138"/>
      <c r="G10" s="139"/>
      <c r="H10" s="140"/>
      <c r="K10" s="63"/>
    </row>
    <row r="11" spans="2:11" s="54" customFormat="1" ht="15">
      <c r="B11" s="145" t="s">
        <v>90</v>
      </c>
      <c r="C11" s="146"/>
      <c r="D11" s="147">
        <v>0</v>
      </c>
      <c r="E11" s="147"/>
      <c r="F11" s="138">
        <v>0</v>
      </c>
      <c r="G11" s="148"/>
      <c r="H11" s="138">
        <f>SUM(D11:G11)</f>
        <v>0</v>
      </c>
      <c r="K11" s="63"/>
    </row>
    <row r="12" spans="2:11" s="54" customFormat="1" ht="15">
      <c r="B12" s="145" t="s">
        <v>101</v>
      </c>
      <c r="C12" s="146"/>
      <c r="D12" s="147">
        <v>13</v>
      </c>
      <c r="E12" s="147"/>
      <c r="F12" s="138">
        <v>0</v>
      </c>
      <c r="G12" s="148"/>
      <c r="H12" s="138">
        <f>SUM(D12:G12)</f>
        <v>13</v>
      </c>
      <c r="K12" s="63"/>
    </row>
    <row r="13" spans="2:11" s="54" customFormat="1" ht="15">
      <c r="B13" s="145" t="s">
        <v>1074</v>
      </c>
      <c r="C13" s="146"/>
      <c r="D13" s="147">
        <v>0</v>
      </c>
      <c r="E13" s="147"/>
      <c r="F13" s="138">
        <v>1990</v>
      </c>
      <c r="G13" s="148"/>
      <c r="H13" s="138">
        <f>SUM(D13:G13)</f>
        <v>1990</v>
      </c>
      <c r="K13" s="63"/>
    </row>
    <row r="14" spans="2:11" s="54" customFormat="1" ht="15">
      <c r="B14" s="145" t="s">
        <v>99</v>
      </c>
      <c r="C14" s="146"/>
      <c r="D14" s="147">
        <v>3657</v>
      </c>
      <c r="E14" s="147"/>
      <c r="F14" s="138">
        <v>0</v>
      </c>
      <c r="G14" s="148"/>
      <c r="H14" s="138">
        <f>SUM(D14:G14)</f>
        <v>3657</v>
      </c>
      <c r="K14" s="63"/>
    </row>
    <row r="15" spans="2:11" s="54" customFormat="1" ht="15">
      <c r="B15" s="145" t="s">
        <v>100</v>
      </c>
      <c r="C15" s="146"/>
      <c r="D15" s="147">
        <v>4609</v>
      </c>
      <c r="E15" s="147"/>
      <c r="F15" s="138">
        <v>0</v>
      </c>
      <c r="G15" s="148"/>
      <c r="H15" s="138">
        <f>SUM(D15:G15)</f>
        <v>4609</v>
      </c>
      <c r="K15" s="63"/>
    </row>
    <row r="16" spans="2:11" s="54" customFormat="1" ht="15">
      <c r="B16" s="145"/>
      <c r="C16" s="146"/>
      <c r="D16" s="147"/>
      <c r="E16" s="147"/>
      <c r="F16" s="138"/>
      <c r="G16" s="148"/>
      <c r="H16" s="138"/>
      <c r="K16" s="63"/>
    </row>
    <row r="17" spans="1:8" s="54" customFormat="1">
      <c r="A17" s="116"/>
      <c r="B17" s="141" t="s">
        <v>1165</v>
      </c>
      <c r="C17" s="142"/>
      <c r="D17" s="143">
        <f>SUM(D11:D15)</f>
        <v>8279</v>
      </c>
      <c r="E17" s="144"/>
      <c r="F17" s="143">
        <f>SUM(F11:F15)</f>
        <v>1990</v>
      </c>
      <c r="G17" s="144"/>
      <c r="H17" s="143">
        <f>SUM(H11:H15)</f>
        <v>10269</v>
      </c>
    </row>
    <row r="22" spans="1:8">
      <c r="B22" s="47" t="s">
        <v>6</v>
      </c>
      <c r="C22" s="923">
        <v>42055</v>
      </c>
      <c r="D22" s="923"/>
      <c r="E22" s="923"/>
    </row>
  </sheetData>
  <mergeCells count="2">
    <mergeCell ref="B2:D3"/>
    <mergeCell ref="C22:E2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5"/>
  <sheetViews>
    <sheetView zoomScale="85" zoomScaleNormal="85" workbookViewId="0">
      <selection activeCell="I26" sqref="I26"/>
    </sheetView>
  </sheetViews>
  <sheetFormatPr defaultRowHeight="14.25"/>
  <cols>
    <col min="1" max="1" width="1.7109375" style="23" customWidth="1"/>
    <col min="2" max="2" width="30.7109375" style="23" customWidth="1"/>
    <col min="3" max="3" width="21.42578125" style="23" customWidth="1"/>
    <col min="4" max="5" width="13.7109375" style="23" customWidth="1"/>
    <col min="6" max="6" width="10" style="23" customWidth="1"/>
    <col min="7" max="12" width="16.7109375" style="23" customWidth="1"/>
    <col min="13" max="13" width="14.5703125" style="40" customWidth="1"/>
    <col min="14" max="16384" width="9.140625" style="23"/>
  </cols>
  <sheetData>
    <row r="2" spans="2:13" s="25" customFormat="1">
      <c r="B2" s="959" t="s">
        <v>4503</v>
      </c>
      <c r="C2" s="959"/>
      <c r="D2" s="959"/>
      <c r="M2" s="41"/>
    </row>
    <row r="3" spans="2:13" s="25" customFormat="1" ht="15">
      <c r="B3" s="959"/>
      <c r="C3" s="959"/>
      <c r="D3" s="959"/>
      <c r="E3" s="65"/>
      <c r="F3" s="66"/>
      <c r="G3" s="66"/>
      <c r="J3" s="128"/>
      <c r="M3" s="41"/>
    </row>
    <row r="4" spans="2:13" s="25" customFormat="1" ht="18">
      <c r="B4" s="26"/>
      <c r="E4" s="65"/>
      <c r="F4" s="66"/>
      <c r="G4" s="66"/>
      <c r="M4" s="41"/>
    </row>
    <row r="5" spans="2:13" s="25" customFormat="1" ht="18.75" thickBot="1">
      <c r="B5" s="26"/>
      <c r="M5" s="41"/>
    </row>
    <row r="6" spans="2:13" s="25" customFormat="1" ht="15.75">
      <c r="B6" s="102" t="s">
        <v>1011</v>
      </c>
      <c r="C6" s="37"/>
      <c r="D6" s="37"/>
      <c r="E6" s="37"/>
      <c r="F6" s="37"/>
      <c r="G6" s="37"/>
      <c r="H6" s="37"/>
      <c r="I6" s="37"/>
      <c r="J6" s="37"/>
      <c r="K6" s="37"/>
      <c r="L6" s="37"/>
      <c r="M6" s="41"/>
    </row>
    <row r="7" spans="2:13" s="25" customFormat="1" ht="16.5" thickBot="1">
      <c r="B7" s="101" t="s">
        <v>4470</v>
      </c>
      <c r="C7" s="38"/>
      <c r="D7" s="38"/>
      <c r="E7" s="38"/>
      <c r="F7" s="38"/>
      <c r="G7" s="38"/>
      <c r="H7" s="38"/>
      <c r="I7" s="38"/>
      <c r="J7" s="38"/>
      <c r="K7" s="38"/>
      <c r="L7" s="38"/>
      <c r="M7" s="41"/>
    </row>
    <row r="8" spans="2:13" s="25" customFormat="1" ht="15.75" thickBot="1">
      <c r="B8" s="29"/>
      <c r="M8" s="41"/>
    </row>
    <row r="9" spans="2:13" ht="16.5" customHeight="1" thickBot="1">
      <c r="B9" s="1005" t="s">
        <v>77</v>
      </c>
      <c r="C9" s="1005" t="s">
        <v>78</v>
      </c>
      <c r="D9" s="1001" t="s">
        <v>79</v>
      </c>
      <c r="E9" s="1005" t="s">
        <v>80</v>
      </c>
      <c r="F9" s="1001" t="s">
        <v>24</v>
      </c>
      <c r="G9" s="1001" t="s">
        <v>21</v>
      </c>
      <c r="H9" s="157" t="s">
        <v>81</v>
      </c>
      <c r="I9" s="1001" t="s">
        <v>82</v>
      </c>
      <c r="J9" s="1001"/>
      <c r="K9" s="1001"/>
      <c r="L9" s="1001"/>
    </row>
    <row r="10" spans="2:13" ht="16.5" customHeight="1" thickBot="1">
      <c r="B10" s="1005"/>
      <c r="C10" s="1005"/>
      <c r="D10" s="1001"/>
      <c r="E10" s="1005"/>
      <c r="F10" s="1001"/>
      <c r="G10" s="1001"/>
      <c r="H10" s="119" t="s">
        <v>1215</v>
      </c>
      <c r="I10" s="119" t="s">
        <v>1216</v>
      </c>
      <c r="J10" s="119" t="s">
        <v>83</v>
      </c>
      <c r="K10" s="119" t="s">
        <v>84</v>
      </c>
      <c r="L10" s="158" t="s">
        <v>85</v>
      </c>
    </row>
    <row r="11" spans="2:13" ht="15">
      <c r="B11" s="29"/>
      <c r="C11" s="29"/>
      <c r="D11" s="67"/>
      <c r="E11" s="67"/>
      <c r="F11" s="29"/>
      <c r="G11" s="29"/>
      <c r="H11" s="29"/>
      <c r="I11" s="29"/>
      <c r="J11" s="29"/>
      <c r="K11" s="29"/>
      <c r="L11" s="29"/>
    </row>
    <row r="12" spans="2:13" ht="15">
      <c r="B12" s="92" t="s">
        <v>4503</v>
      </c>
      <c r="C12" s="93"/>
      <c r="D12" s="92"/>
      <c r="E12" s="94"/>
      <c r="F12" s="92"/>
      <c r="G12" s="92"/>
      <c r="H12" s="92"/>
      <c r="I12" s="92"/>
      <c r="J12" s="92"/>
      <c r="K12" s="92"/>
      <c r="L12" s="92"/>
    </row>
    <row r="13" spans="2:13" ht="8.1" customHeight="1">
      <c r="B13" s="29"/>
      <c r="C13" s="29"/>
      <c r="D13" s="67"/>
      <c r="E13" s="67"/>
      <c r="F13" s="29"/>
      <c r="G13" s="29"/>
      <c r="H13" s="29"/>
      <c r="I13" s="29"/>
      <c r="J13" s="29"/>
      <c r="K13" s="29"/>
      <c r="L13" s="29"/>
    </row>
    <row r="14" spans="2:13" s="82" customFormat="1" ht="15.75">
      <c r="B14" s="95" t="s">
        <v>1010</v>
      </c>
      <c r="C14" s="96"/>
      <c r="D14" s="95"/>
      <c r="E14" s="97"/>
      <c r="F14" s="95"/>
      <c r="G14" s="98">
        <f t="shared" ref="G14:L14" si="0">G15</f>
        <v>1476</v>
      </c>
      <c r="H14" s="98">
        <f t="shared" si="0"/>
        <v>0</v>
      </c>
      <c r="I14" s="98">
        <f t="shared" si="0"/>
        <v>0</v>
      </c>
      <c r="J14" s="98">
        <f t="shared" si="0"/>
        <v>391</v>
      </c>
      <c r="K14" s="98">
        <f t="shared" si="0"/>
        <v>154</v>
      </c>
      <c r="L14" s="98">
        <f t="shared" si="0"/>
        <v>931</v>
      </c>
      <c r="M14" s="88"/>
    </row>
    <row r="15" spans="2:13" s="88" customFormat="1" ht="15">
      <c r="B15" s="60" t="s">
        <v>98</v>
      </c>
      <c r="C15" s="68" t="s">
        <v>4502</v>
      </c>
      <c r="D15" s="69">
        <v>41683</v>
      </c>
      <c r="E15" s="69">
        <v>42536</v>
      </c>
      <c r="F15" s="70" t="s">
        <v>25</v>
      </c>
      <c r="G15" s="71">
        <f>SUM(H15:L15)</f>
        <v>1476</v>
      </c>
      <c r="H15" s="71">
        <v>0</v>
      </c>
      <c r="I15" s="71">
        <v>0</v>
      </c>
      <c r="J15" s="71">
        <v>391</v>
      </c>
      <c r="K15" s="71">
        <v>154</v>
      </c>
      <c r="L15" s="71">
        <v>931</v>
      </c>
    </row>
    <row r="16" spans="2:13" s="54" customFormat="1" ht="5.0999999999999996" customHeight="1">
      <c r="B16" s="60"/>
      <c r="C16" s="61"/>
      <c r="D16" s="69"/>
      <c r="E16" s="69"/>
      <c r="F16" s="70"/>
      <c r="G16" s="71"/>
      <c r="H16" s="71"/>
      <c r="I16" s="71"/>
      <c r="J16" s="71"/>
      <c r="K16" s="71"/>
      <c r="L16" s="71"/>
      <c r="M16" s="126"/>
    </row>
    <row r="17" spans="1:13" ht="8.1" customHeight="1" thickBot="1">
      <c r="B17" s="29"/>
      <c r="C17" s="29"/>
      <c r="D17" s="67"/>
      <c r="E17" s="67"/>
      <c r="F17" s="29"/>
      <c r="G17" s="29"/>
      <c r="H17" s="29"/>
      <c r="I17" s="29"/>
      <c r="J17" s="29"/>
      <c r="K17" s="29"/>
      <c r="L17" s="29"/>
    </row>
    <row r="18" spans="1:13" s="54" customFormat="1" ht="16.5" customHeight="1" thickBot="1">
      <c r="B18" s="29"/>
      <c r="D18" s="69"/>
      <c r="E18" s="1003" t="s">
        <v>91</v>
      </c>
      <c r="F18" s="1003"/>
      <c r="G18" s="120">
        <f t="shared" ref="G18:L18" si="1">G14</f>
        <v>1476</v>
      </c>
      <c r="H18" s="120">
        <f t="shared" si="1"/>
        <v>0</v>
      </c>
      <c r="I18" s="120">
        <f t="shared" si="1"/>
        <v>0</v>
      </c>
      <c r="J18" s="120">
        <f t="shared" si="1"/>
        <v>391</v>
      </c>
      <c r="K18" s="120">
        <f t="shared" si="1"/>
        <v>154</v>
      </c>
      <c r="L18" s="120">
        <f t="shared" si="1"/>
        <v>931</v>
      </c>
      <c r="M18" s="126"/>
    </row>
    <row r="19" spans="1:13" s="54" customFormat="1" ht="5.0999999999999996" customHeight="1" thickBot="1">
      <c r="A19" s="72"/>
      <c r="B19" s="60"/>
      <c r="C19" s="61"/>
      <c r="D19" s="69"/>
      <c r="E19" s="69"/>
      <c r="F19" s="70"/>
      <c r="G19" s="71"/>
      <c r="H19" s="71"/>
      <c r="I19" s="71"/>
      <c r="J19" s="71"/>
      <c r="K19" s="71"/>
      <c r="L19" s="71"/>
      <c r="M19" s="126"/>
    </row>
    <row r="20" spans="1:13" s="73" customFormat="1" ht="16.5" customHeight="1" thickBot="1">
      <c r="C20" s="64"/>
      <c r="E20" s="74"/>
      <c r="G20" s="159" t="s">
        <v>92</v>
      </c>
      <c r="H20" s="159">
        <f>H18</f>
        <v>0</v>
      </c>
      <c r="I20" s="1004">
        <f>SUM(I18:L18)</f>
        <v>1476</v>
      </c>
      <c r="J20" s="1004"/>
      <c r="K20" s="1004"/>
      <c r="L20" s="1004"/>
      <c r="M20" s="127"/>
    </row>
    <row r="21" spans="1:13" s="73" customFormat="1" ht="16.5" customHeight="1">
      <c r="M21" s="127"/>
    </row>
    <row r="23" spans="1:13">
      <c r="D23" s="1002" t="s">
        <v>4500</v>
      </c>
      <c r="E23" s="1002"/>
      <c r="F23" s="1002"/>
      <c r="G23" s="1002"/>
      <c r="H23" s="1002"/>
      <c r="I23" s="1002"/>
      <c r="J23" s="1002"/>
      <c r="K23" s="1002"/>
      <c r="L23" s="1002"/>
    </row>
    <row r="24" spans="1:13">
      <c r="H24" s="71"/>
      <c r="I24" s="118"/>
    </row>
    <row r="25" spans="1:13">
      <c r="H25" s="118"/>
      <c r="I25" s="118"/>
    </row>
  </sheetData>
  <mergeCells count="11">
    <mergeCell ref="B2:D3"/>
    <mergeCell ref="B9:B10"/>
    <mergeCell ref="C9:C10"/>
    <mergeCell ref="D9:D10"/>
    <mergeCell ref="E9:E10"/>
    <mergeCell ref="F9:F10"/>
    <mergeCell ref="D23:L23"/>
    <mergeCell ref="G9:G10"/>
    <mergeCell ref="I9:L9"/>
    <mergeCell ref="E18:F18"/>
    <mergeCell ref="I20:L20"/>
  </mergeCells>
  <pageMargins left="0.511811024" right="0.511811024" top="0.78740157499999996" bottom="0.78740157499999996" header="0.31496062000000002" footer="0.31496062000000002"/>
  <pageSetup paperSize="9" scale="70" orientation="landscape" horizontalDpi="200" verticalDpi="20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2"/>
  <sheetViews>
    <sheetView zoomScale="85" zoomScaleNormal="85" workbookViewId="0">
      <selection activeCell="F38" sqref="F38"/>
    </sheetView>
  </sheetViews>
  <sheetFormatPr defaultRowHeight="14.25"/>
  <cols>
    <col min="1" max="1" width="1.7109375" style="23" customWidth="1"/>
    <col min="2" max="2" width="30.7109375" style="23" customWidth="1"/>
    <col min="3" max="3" width="21.42578125" style="23" customWidth="1"/>
    <col min="4" max="5" width="13.7109375" style="23" customWidth="1"/>
    <col min="6" max="6" width="10" style="23" customWidth="1"/>
    <col min="7" max="12" width="16.7109375" style="23" customWidth="1"/>
    <col min="13" max="13" width="14.5703125" style="40" customWidth="1"/>
    <col min="14" max="16384" width="9.140625" style="23"/>
  </cols>
  <sheetData>
    <row r="2" spans="2:13" s="25" customFormat="1">
      <c r="B2" s="959" t="s">
        <v>4501</v>
      </c>
      <c r="C2" s="959"/>
      <c r="D2" s="959"/>
      <c r="M2" s="41"/>
    </row>
    <row r="3" spans="2:13" s="25" customFormat="1" ht="15">
      <c r="B3" s="959"/>
      <c r="C3" s="959"/>
      <c r="D3" s="959"/>
      <c r="E3" s="65"/>
      <c r="F3" s="66"/>
      <c r="G3" s="66"/>
      <c r="J3" s="128"/>
      <c r="M3" s="41"/>
    </row>
    <row r="4" spans="2:13" s="25" customFormat="1" ht="18">
      <c r="B4" s="26"/>
      <c r="E4" s="65"/>
      <c r="F4" s="66"/>
      <c r="G4" s="66"/>
      <c r="M4" s="41"/>
    </row>
    <row r="5" spans="2:13" s="25" customFormat="1" ht="18.75" thickBot="1">
      <c r="B5" s="26"/>
      <c r="M5" s="41"/>
    </row>
    <row r="6" spans="2:13" s="25" customFormat="1" ht="15.75">
      <c r="B6" s="102" t="s">
        <v>1011</v>
      </c>
      <c r="C6" s="37"/>
      <c r="D6" s="37"/>
      <c r="E6" s="37"/>
      <c r="F6" s="37"/>
      <c r="G6" s="37"/>
      <c r="H6" s="37"/>
      <c r="I6" s="37"/>
      <c r="J6" s="37"/>
      <c r="K6" s="37"/>
      <c r="L6" s="37"/>
      <c r="M6" s="41"/>
    </row>
    <row r="7" spans="2:13" s="25" customFormat="1" ht="16.5" thickBot="1">
      <c r="B7" s="101" t="s">
        <v>4470</v>
      </c>
      <c r="C7" s="38"/>
      <c r="D7" s="38"/>
      <c r="E7" s="38"/>
      <c r="F7" s="38"/>
      <c r="G7" s="38"/>
      <c r="H7" s="38"/>
      <c r="I7" s="38"/>
      <c r="J7" s="38"/>
      <c r="K7" s="38"/>
      <c r="L7" s="38"/>
      <c r="M7" s="41"/>
    </row>
    <row r="8" spans="2:13" s="25" customFormat="1" ht="15.75" thickBot="1">
      <c r="B8" s="29"/>
      <c r="M8" s="41"/>
    </row>
    <row r="9" spans="2:13" ht="16.5" customHeight="1" thickBot="1">
      <c r="B9" s="1005" t="s">
        <v>77</v>
      </c>
      <c r="C9" s="1005" t="s">
        <v>78</v>
      </c>
      <c r="D9" s="1001" t="s">
        <v>79</v>
      </c>
      <c r="E9" s="1005" t="s">
        <v>80</v>
      </c>
      <c r="F9" s="1001" t="s">
        <v>24</v>
      </c>
      <c r="G9" s="1001" t="s">
        <v>21</v>
      </c>
      <c r="H9" s="157" t="s">
        <v>81</v>
      </c>
      <c r="I9" s="1001" t="s">
        <v>82</v>
      </c>
      <c r="J9" s="1001"/>
      <c r="K9" s="1001"/>
      <c r="L9" s="1001"/>
    </row>
    <row r="10" spans="2:13" ht="16.5" customHeight="1" thickBot="1">
      <c r="B10" s="1005"/>
      <c r="C10" s="1005"/>
      <c r="D10" s="1001"/>
      <c r="E10" s="1005"/>
      <c r="F10" s="1001"/>
      <c r="G10" s="1001"/>
      <c r="H10" s="119" t="s">
        <v>1215</v>
      </c>
      <c r="I10" s="119" t="s">
        <v>1216</v>
      </c>
      <c r="J10" s="119" t="s">
        <v>83</v>
      </c>
      <c r="K10" s="119" t="s">
        <v>84</v>
      </c>
      <c r="L10" s="158" t="s">
        <v>85</v>
      </c>
    </row>
    <row r="11" spans="2:13" ht="15">
      <c r="B11" s="29"/>
      <c r="C11" s="29"/>
      <c r="D11" s="67"/>
      <c r="E11" s="67"/>
      <c r="F11" s="29"/>
      <c r="G11" s="29"/>
      <c r="H11" s="29"/>
      <c r="I11" s="29"/>
      <c r="J11" s="29"/>
      <c r="K11" s="29"/>
      <c r="L11" s="29"/>
    </row>
    <row r="12" spans="2:13" ht="15">
      <c r="B12" s="92" t="s">
        <v>4501</v>
      </c>
      <c r="C12" s="93"/>
      <c r="D12" s="92"/>
      <c r="E12" s="94"/>
      <c r="F12" s="92"/>
      <c r="G12" s="92"/>
      <c r="H12" s="92"/>
      <c r="I12" s="92"/>
      <c r="J12" s="92"/>
      <c r="K12" s="92"/>
      <c r="L12" s="92"/>
    </row>
    <row r="13" spans="2:13" ht="8.1" customHeight="1">
      <c r="B13" s="29"/>
      <c r="C13" s="29"/>
      <c r="D13" s="67"/>
      <c r="E13" s="67"/>
      <c r="F13" s="29"/>
      <c r="G13" s="29"/>
      <c r="H13" s="29"/>
      <c r="I13" s="29"/>
      <c r="J13" s="29"/>
      <c r="K13" s="29"/>
      <c r="L13" s="29"/>
    </row>
    <row r="14" spans="2:13" s="82" customFormat="1" ht="15.75">
      <c r="B14" s="95" t="s">
        <v>103</v>
      </c>
      <c r="C14" s="96"/>
      <c r="D14" s="95"/>
      <c r="E14" s="97"/>
      <c r="F14" s="95"/>
      <c r="G14" s="98">
        <f t="shared" ref="G14:L14" si="0">G15</f>
        <v>1476</v>
      </c>
      <c r="H14" s="98">
        <f t="shared" si="0"/>
        <v>0</v>
      </c>
      <c r="I14" s="98">
        <f t="shared" si="0"/>
        <v>0</v>
      </c>
      <c r="J14" s="98">
        <f t="shared" si="0"/>
        <v>391</v>
      </c>
      <c r="K14" s="98">
        <f t="shared" si="0"/>
        <v>154</v>
      </c>
      <c r="L14" s="98">
        <f t="shared" si="0"/>
        <v>931</v>
      </c>
      <c r="M14" s="88"/>
    </row>
    <row r="15" spans="2:13" s="82" customFormat="1" ht="15">
      <c r="B15" s="60" t="s">
        <v>87</v>
      </c>
      <c r="C15" s="68" t="s">
        <v>4502</v>
      </c>
      <c r="D15" s="69">
        <v>41683</v>
      </c>
      <c r="E15" s="69">
        <v>42536</v>
      </c>
      <c r="F15" s="70" t="s">
        <v>25</v>
      </c>
      <c r="G15" s="71">
        <f>SUM(H15:L15)</f>
        <v>1476</v>
      </c>
      <c r="H15" s="71">
        <v>0</v>
      </c>
      <c r="I15" s="71">
        <v>0</v>
      </c>
      <c r="J15" s="71">
        <v>391</v>
      </c>
      <c r="K15" s="71">
        <v>154</v>
      </c>
      <c r="L15" s="71">
        <v>931</v>
      </c>
      <c r="M15" s="88"/>
    </row>
    <row r="16" spans="2:13" s="82" customFormat="1" ht="9" customHeight="1">
      <c r="B16" s="160"/>
      <c r="C16" s="161"/>
      <c r="D16" s="160"/>
      <c r="E16" s="162"/>
      <c r="F16" s="160"/>
      <c r="G16" s="163"/>
      <c r="H16" s="163"/>
      <c r="I16" s="163"/>
      <c r="J16" s="163"/>
      <c r="K16" s="163"/>
      <c r="L16" s="163"/>
      <c r="M16" s="88"/>
    </row>
    <row r="17" spans="1:13" s="82" customFormat="1" ht="15.75">
      <c r="B17" s="95" t="s">
        <v>104</v>
      </c>
      <c r="C17" s="96"/>
      <c r="D17" s="95"/>
      <c r="E17" s="97"/>
      <c r="F17" s="95"/>
      <c r="G17" s="98">
        <f t="shared" ref="G17:L17" si="1">G18+G19</f>
        <v>6633</v>
      </c>
      <c r="H17" s="98">
        <f t="shared" si="1"/>
        <v>1072</v>
      </c>
      <c r="I17" s="98">
        <f t="shared" si="1"/>
        <v>0</v>
      </c>
      <c r="J17" s="98">
        <f t="shared" si="1"/>
        <v>890</v>
      </c>
      <c r="K17" s="98">
        <f t="shared" si="1"/>
        <v>890</v>
      </c>
      <c r="L17" s="98">
        <f t="shared" si="1"/>
        <v>3781</v>
      </c>
      <c r="M17" s="88"/>
    </row>
    <row r="18" spans="1:13" s="82" customFormat="1" ht="15">
      <c r="B18" s="60" t="s">
        <v>1446</v>
      </c>
      <c r="C18" s="68" t="s">
        <v>4504</v>
      </c>
      <c r="D18" s="69">
        <v>41862</v>
      </c>
      <c r="E18" s="69">
        <v>43570</v>
      </c>
      <c r="F18" s="70" t="s">
        <v>22</v>
      </c>
      <c r="G18" s="71">
        <f>SUM(H18:L18)</f>
        <v>712</v>
      </c>
      <c r="H18" s="71">
        <v>160</v>
      </c>
      <c r="I18" s="71">
        <v>0</v>
      </c>
      <c r="J18" s="71">
        <v>138</v>
      </c>
      <c r="K18" s="71">
        <v>138</v>
      </c>
      <c r="L18" s="71">
        <v>276</v>
      </c>
      <c r="M18" s="88"/>
    </row>
    <row r="19" spans="1:13" s="82" customFormat="1" ht="15">
      <c r="B19" s="60" t="s">
        <v>87</v>
      </c>
      <c r="C19" s="68" t="s">
        <v>4505</v>
      </c>
      <c r="D19" s="69">
        <v>41862</v>
      </c>
      <c r="E19" s="69">
        <v>44696</v>
      </c>
      <c r="F19" s="70" t="s">
        <v>25</v>
      </c>
      <c r="G19" s="71">
        <f>SUM(H19:L19)</f>
        <v>5921</v>
      </c>
      <c r="H19" s="71">
        <v>912</v>
      </c>
      <c r="I19" s="71">
        <v>0</v>
      </c>
      <c r="J19" s="71">
        <v>752</v>
      </c>
      <c r="K19" s="71">
        <v>752</v>
      </c>
      <c r="L19" s="71">
        <v>3505</v>
      </c>
      <c r="M19" s="88"/>
    </row>
    <row r="20" spans="1:13" s="82" customFormat="1" ht="8.25" customHeight="1">
      <c r="B20" s="160"/>
      <c r="C20" s="161"/>
      <c r="D20" s="160"/>
      <c r="E20" s="162"/>
      <c r="F20" s="160"/>
      <c r="G20" s="163"/>
      <c r="H20" s="163"/>
      <c r="I20" s="163"/>
      <c r="J20" s="163"/>
      <c r="K20" s="163"/>
      <c r="L20" s="163"/>
      <c r="M20" s="88"/>
    </row>
    <row r="21" spans="1:13" s="82" customFormat="1" ht="15.75">
      <c r="B21" s="95" t="s">
        <v>90</v>
      </c>
      <c r="C21" s="96"/>
      <c r="D21" s="95"/>
      <c r="E21" s="97"/>
      <c r="F21" s="95"/>
      <c r="G21" s="98">
        <f t="shared" ref="G21:L21" si="2">G22</f>
        <v>392</v>
      </c>
      <c r="H21" s="98">
        <f t="shared" si="2"/>
        <v>57</v>
      </c>
      <c r="I21" s="98">
        <f t="shared" si="2"/>
        <v>0</v>
      </c>
      <c r="J21" s="98">
        <f t="shared" si="2"/>
        <v>48</v>
      </c>
      <c r="K21" s="98">
        <f t="shared" si="2"/>
        <v>48</v>
      </c>
      <c r="L21" s="98">
        <f t="shared" si="2"/>
        <v>239</v>
      </c>
      <c r="M21" s="88"/>
    </row>
    <row r="22" spans="1:13" s="82" customFormat="1" ht="15">
      <c r="B22" s="60" t="s">
        <v>87</v>
      </c>
      <c r="C22" s="68" t="s">
        <v>4505</v>
      </c>
      <c r="D22" s="69">
        <v>41891</v>
      </c>
      <c r="E22" s="69">
        <v>44727</v>
      </c>
      <c r="F22" s="70" t="s">
        <v>25</v>
      </c>
      <c r="G22" s="71">
        <f>SUM(H22:L22)</f>
        <v>392</v>
      </c>
      <c r="H22" s="71">
        <v>57</v>
      </c>
      <c r="I22" s="71">
        <v>0</v>
      </c>
      <c r="J22" s="71">
        <v>48</v>
      </c>
      <c r="K22" s="71">
        <v>48</v>
      </c>
      <c r="L22" s="71">
        <v>239</v>
      </c>
      <c r="M22" s="88"/>
    </row>
    <row r="23" spans="1:13" s="54" customFormat="1" ht="5.0999999999999996" customHeight="1">
      <c r="B23" s="60"/>
      <c r="C23" s="61"/>
      <c r="D23" s="69"/>
      <c r="E23" s="69"/>
      <c r="F23" s="70"/>
      <c r="G23" s="71"/>
      <c r="H23" s="71"/>
      <c r="I23" s="71"/>
      <c r="J23" s="71"/>
      <c r="K23" s="71"/>
      <c r="L23" s="71"/>
      <c r="M23" s="126"/>
    </row>
    <row r="24" spans="1:13" ht="8.1" customHeight="1" thickBot="1">
      <c r="B24" s="29"/>
      <c r="C24" s="29"/>
      <c r="D24" s="67"/>
      <c r="E24" s="67"/>
      <c r="F24" s="29"/>
      <c r="G24" s="29"/>
      <c r="H24" s="29"/>
      <c r="I24" s="29"/>
      <c r="J24" s="29"/>
      <c r="K24" s="29"/>
      <c r="L24" s="29"/>
    </row>
    <row r="25" spans="1:13" s="54" customFormat="1" ht="16.5" customHeight="1" thickBot="1">
      <c r="B25" s="29"/>
      <c r="D25" s="69"/>
      <c r="E25" s="1003" t="s">
        <v>91</v>
      </c>
      <c r="F25" s="1003"/>
      <c r="G25" s="120">
        <f t="shared" ref="G25:L25" si="3">G14+G17+G21</f>
        <v>8501</v>
      </c>
      <c r="H25" s="120">
        <f t="shared" si="3"/>
        <v>1129</v>
      </c>
      <c r="I25" s="120">
        <f t="shared" si="3"/>
        <v>0</v>
      </c>
      <c r="J25" s="120">
        <f t="shared" si="3"/>
        <v>1329</v>
      </c>
      <c r="K25" s="120">
        <f t="shared" si="3"/>
        <v>1092</v>
      </c>
      <c r="L25" s="120">
        <f t="shared" si="3"/>
        <v>4951</v>
      </c>
      <c r="M25" s="126"/>
    </row>
    <row r="26" spans="1:13" s="54" customFormat="1" ht="5.0999999999999996" customHeight="1" thickBot="1">
      <c r="A26" s="72"/>
      <c r="B26" s="60"/>
      <c r="C26" s="61"/>
      <c r="D26" s="69"/>
      <c r="E26" s="69"/>
      <c r="F26" s="70"/>
      <c r="G26" s="71"/>
      <c r="H26" s="71"/>
      <c r="I26" s="71"/>
      <c r="J26" s="71"/>
      <c r="K26" s="71"/>
      <c r="L26" s="71"/>
      <c r="M26" s="126"/>
    </row>
    <row r="27" spans="1:13" s="73" customFormat="1" ht="16.5" customHeight="1" thickBot="1">
      <c r="C27" s="64"/>
      <c r="E27" s="74"/>
      <c r="G27" s="159" t="s">
        <v>92</v>
      </c>
      <c r="H27" s="159">
        <f>H25</f>
        <v>1129</v>
      </c>
      <c r="I27" s="1004">
        <f>I25+J25+K25+L25</f>
        <v>7372</v>
      </c>
      <c r="J27" s="1004"/>
      <c r="K27" s="1004"/>
      <c r="L27" s="1004"/>
      <c r="M27" s="127"/>
    </row>
    <row r="28" spans="1:13" s="73" customFormat="1" ht="16.5" customHeight="1">
      <c r="M28" s="127"/>
    </row>
    <row r="30" spans="1:13">
      <c r="D30" s="1002" t="s">
        <v>4500</v>
      </c>
      <c r="E30" s="1002"/>
      <c r="F30" s="1002"/>
      <c r="G30" s="1002"/>
      <c r="H30" s="1002"/>
      <c r="I30" s="1002"/>
      <c r="J30" s="1002"/>
      <c r="K30" s="1002"/>
      <c r="L30" s="1002"/>
    </row>
    <row r="31" spans="1:13">
      <c r="H31" s="71"/>
      <c r="I31" s="118"/>
    </row>
    <row r="32" spans="1:13">
      <c r="H32" s="118"/>
      <c r="I32" s="118"/>
    </row>
  </sheetData>
  <mergeCells count="11">
    <mergeCell ref="B2:D3"/>
    <mergeCell ref="B9:B10"/>
    <mergeCell ref="C9:C10"/>
    <mergeCell ref="D9:D10"/>
    <mergeCell ref="E9:E10"/>
    <mergeCell ref="F9:F10"/>
    <mergeCell ref="G9:G10"/>
    <mergeCell ref="I9:L9"/>
    <mergeCell ref="E25:F25"/>
    <mergeCell ref="I27:L27"/>
    <mergeCell ref="D30:L30"/>
  </mergeCells>
  <pageMargins left="0.511811024" right="0.511811024" top="0.78740157499999996" bottom="0.78740157499999996" header="0.31496062000000002" footer="0.31496062000000002"/>
  <pageSetup paperSize="9" scale="70" orientation="landscape" horizontalDpi="200" verticalDpi="20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A42" sqref="A42"/>
    </sheetView>
  </sheetViews>
  <sheetFormatPr defaultRowHeight="15"/>
  <cols>
    <col min="1" max="1" width="34" bestFit="1" customWidth="1"/>
  </cols>
  <sheetData>
    <row r="1" spans="1:1">
      <c r="A1" s="842" t="s">
        <v>1488</v>
      </c>
    </row>
    <row r="2" spans="1:1">
      <c r="A2" s="846" t="s">
        <v>43</v>
      </c>
    </row>
    <row r="3" spans="1:1">
      <c r="A3" s="846" t="s">
        <v>51</v>
      </c>
    </row>
    <row r="4" spans="1:1">
      <c r="A4" s="846" t="s">
        <v>53</v>
      </c>
    </row>
    <row r="5" spans="1:1">
      <c r="A5" s="846" t="s">
        <v>54</v>
      </c>
    </row>
    <row r="6" spans="1:1">
      <c r="A6" s="846" t="s">
        <v>55</v>
      </c>
    </row>
    <row r="7" spans="1:1">
      <c r="A7" s="846" t="s">
        <v>59</v>
      </c>
    </row>
    <row r="8" spans="1:1">
      <c r="A8" s="846" t="s">
        <v>69</v>
      </c>
    </row>
  </sheetData>
  <autoFilter ref="A1:A8">
    <sortState ref="A2:A8">
      <sortCondition ref="A1:A8"/>
    </sortState>
  </autoFilter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2D4AA4-40B8-4803-82F1-C14F6DFBD10E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49</vt:i4>
      </vt:variant>
      <vt:variant>
        <vt:lpstr>Intervalos nomeados</vt:lpstr>
      </vt:variant>
      <vt:variant>
        <vt:i4>24</vt:i4>
      </vt:variant>
    </vt:vector>
  </HeadingPairs>
  <TitlesOfParts>
    <vt:vector size="73" baseType="lpstr">
      <vt:lpstr>BD Anexo 01 e 02</vt:lpstr>
      <vt:lpstr>FatMasutti2016</vt:lpstr>
      <vt:lpstr>05-Fat ACJ Geral 12 meses (2)</vt:lpstr>
      <vt:lpstr>01-Fat CLM Geral 12 meses</vt:lpstr>
      <vt:lpstr>02-Fat CLM Produto 12 meses</vt:lpstr>
      <vt:lpstr>03-Fat Consolidado </vt:lpstr>
      <vt:lpstr>04-Fat AGR Geral 12 meses</vt:lpstr>
      <vt:lpstr>05-Fat ACJ Geral 12 meses</vt:lpstr>
      <vt:lpstr>06-Fat REL Geral 12 meses</vt:lpstr>
      <vt:lpstr>07.1-Safra1112</vt:lpstr>
      <vt:lpstr>07-Safra1213</vt:lpstr>
      <vt:lpstr>08-Safra1314</vt:lpstr>
      <vt:lpstr>09-2 SAFRA 1415</vt:lpstr>
      <vt:lpstr>09.1-safra 1516</vt:lpstr>
      <vt:lpstr>safra 16 17 </vt:lpstr>
      <vt:lpstr>10-Areas e Unidades</vt:lpstr>
      <vt:lpstr>11-Patrimonio Consolidado</vt:lpstr>
      <vt:lpstr>12-Capex 2012</vt:lpstr>
      <vt:lpstr>13-Capex 2013</vt:lpstr>
      <vt:lpstr>BD Anexo 11</vt:lpstr>
      <vt:lpstr>capex2015</vt:lpstr>
      <vt:lpstr>14.2-Capex 2016</vt:lpstr>
      <vt:lpstr>pat_2016</vt:lpstr>
      <vt:lpstr>14.1-Capex 2015</vt:lpstr>
      <vt:lpstr>14-Capex 2014</vt:lpstr>
      <vt:lpstr>BD Anexo 14-1</vt:lpstr>
      <vt:lpstr>BD Anexo 14</vt:lpstr>
      <vt:lpstr>15-Contratos Algodao 1314</vt:lpstr>
      <vt:lpstr>bd_algodao</vt:lpstr>
      <vt:lpstr>15.1-Contratos Algodao 1415</vt:lpstr>
      <vt:lpstr>Contratos Graos 1516 (2)</vt:lpstr>
      <vt:lpstr>Contratos Graos 1617</vt:lpstr>
      <vt:lpstr>Contratos Graos 1516</vt:lpstr>
      <vt:lpstr>19-Contratos graos 1415</vt:lpstr>
      <vt:lpstr>finan_graos</vt:lpstr>
      <vt:lpstr>Plan2</vt:lpstr>
      <vt:lpstr>BD_CONTRATOS_GRAOS</vt:lpstr>
      <vt:lpstr>16-Endividamento Bancario</vt:lpstr>
      <vt:lpstr>16.1-Perfil Divida</vt:lpstr>
      <vt:lpstr>17-Endividamento Terras</vt:lpstr>
      <vt:lpstr>18-Endividamento Fornecedores</vt:lpstr>
      <vt:lpstr>20-Estoques</vt:lpstr>
      <vt:lpstr>Plan1</vt:lpstr>
      <vt:lpstr>21-Adto.Clientes</vt:lpstr>
      <vt:lpstr>22-Saldos Bancarios</vt:lpstr>
      <vt:lpstr>Endividamento Juca</vt:lpstr>
      <vt:lpstr>Endividamento Volnei</vt:lpstr>
      <vt:lpstr>Plan3</vt:lpstr>
      <vt:lpstr>Plan5</vt:lpstr>
      <vt:lpstr>'01-Fat CLM Geral 12 meses'!Area_de_impressao</vt:lpstr>
      <vt:lpstr>'02-Fat CLM Produto 12 meses'!Area_de_impressao</vt:lpstr>
      <vt:lpstr>'03-Fat Consolidado '!Area_de_impressao</vt:lpstr>
      <vt:lpstr>'05-Fat ACJ Geral 12 meses'!Area_de_impressao</vt:lpstr>
      <vt:lpstr>'05-Fat ACJ Geral 12 meses (2)'!Area_de_impressao</vt:lpstr>
      <vt:lpstr>'07-Safra1213'!Area_de_impressao</vt:lpstr>
      <vt:lpstr>'08-Safra1314'!Area_de_impressao</vt:lpstr>
      <vt:lpstr>'09.1-safra 1516'!Area_de_impressao</vt:lpstr>
      <vt:lpstr>'09-2 SAFRA 1415'!Area_de_impressao</vt:lpstr>
      <vt:lpstr>'10-Areas e Unidades'!Area_de_impressao</vt:lpstr>
      <vt:lpstr>'11-Patrimonio Consolidado'!Area_de_impressao</vt:lpstr>
      <vt:lpstr>'14.1-Capex 2015'!Area_de_impressao</vt:lpstr>
      <vt:lpstr>'14.2-Capex 2016'!Area_de_impressao</vt:lpstr>
      <vt:lpstr>'14-Capex 2014'!Area_de_impressao</vt:lpstr>
      <vt:lpstr>'15.1-Contratos Algodao 1415'!Area_de_impressao</vt:lpstr>
      <vt:lpstr>'15-Contratos Algodao 1314'!Area_de_impressao</vt:lpstr>
      <vt:lpstr>'16.1-Perfil Divida'!Area_de_impressao</vt:lpstr>
      <vt:lpstr>'16-Endividamento Bancario'!Area_de_impressao</vt:lpstr>
      <vt:lpstr>'17-Endividamento Terras'!Area_de_impressao</vt:lpstr>
      <vt:lpstr>'19-Contratos graos 1415'!Area_de_impressao</vt:lpstr>
      <vt:lpstr>'Contratos Graos 1516'!Area_de_impressao</vt:lpstr>
      <vt:lpstr>'Contratos Graos 1516 (2)'!Area_de_impressao</vt:lpstr>
      <vt:lpstr>'Contratos Graos 1617'!Area_de_impressao</vt:lpstr>
      <vt:lpstr>FatMasutti2016!Area_de_impressao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Marcio Lisboa Junior</dc:creator>
  <cp:lastModifiedBy>MARCIO:.</cp:lastModifiedBy>
  <cp:lastPrinted>2016-08-18T13:25:56Z</cp:lastPrinted>
  <dcterms:created xsi:type="dcterms:W3CDTF">2014-04-22T13:56:58Z</dcterms:created>
  <dcterms:modified xsi:type="dcterms:W3CDTF">2016-08-24T11:51:13Z</dcterms:modified>
</cp:coreProperties>
</file>