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P\Simulacao\"/>
    </mc:Choice>
  </mc:AlternateContent>
  <xr:revisionPtr revIDLastSave="0" documentId="13_ncr:1_{8A7357B0-1A71-4D1D-A7A6-5096A3C19068}" xr6:coauthVersionLast="47" xr6:coauthVersionMax="47" xr10:uidLastSave="{00000000-0000-0000-0000-000000000000}"/>
  <bookViews>
    <workbookView xWindow="-110" yWindow="-110" windowWidth="19420" windowHeight="10300" tabRatio="775" xr2:uid="{724D8CB7-409F-4C9D-AFFE-D18B6D17B685}"/>
  </bookViews>
  <sheets>
    <sheet name="geral" sheetId="1" r:id="rId1"/>
    <sheet name="tam_plat" sheetId="12" r:id="rId2"/>
    <sheet name="trem" sheetId="2" r:id="rId3"/>
    <sheet name="txc" sheetId="3" r:id="rId4"/>
    <sheet name="loc_est" sheetId="4" r:id="rId5"/>
    <sheet name="loc_ret" sheetId="5" r:id="rId6"/>
    <sheet name="davis" sheetId="13" r:id="rId7"/>
    <sheet name="ramp" sheetId="6" r:id="rId8"/>
    <sheet name="curv" sheetId="7" r:id="rId9"/>
    <sheet name="cross" sheetId="9" r:id="rId10"/>
    <sheet name="eletrica" sheetId="8" r:id="rId11"/>
    <sheet name="dados_rets" sheetId="10" r:id="rId12"/>
    <sheet name="antenas" sheetId="1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C3" i="3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2" i="11"/>
  <c r="B12" i="10"/>
  <c r="C12" i="10" s="1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B13" i="8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2" i="11"/>
  <c r="B2" i="13"/>
  <c r="B4" i="13"/>
  <c r="B47" i="4"/>
  <c r="B10" i="1"/>
  <c r="E143" i="11" s="1"/>
  <c r="E142" i="11" s="1"/>
  <c r="E170" i="11"/>
  <c r="E169" i="11" s="1"/>
  <c r="E152" i="11"/>
  <c r="E151" i="11" s="1"/>
  <c r="E131" i="11"/>
  <c r="E130" i="11" s="1"/>
  <c r="E121" i="11"/>
  <c r="E120" i="11" s="1"/>
  <c r="E109" i="11"/>
  <c r="E108" i="11" s="1"/>
  <c r="E106" i="11"/>
  <c r="E105" i="11" s="1"/>
  <c r="E89" i="11"/>
  <c r="E88" i="11" s="1"/>
  <c r="E85" i="11"/>
  <c r="E84" i="11" s="1"/>
  <c r="E82" i="11"/>
  <c r="E81" i="11" s="1"/>
  <c r="E79" i="11"/>
  <c r="E78" i="11" s="1"/>
  <c r="E75" i="11"/>
  <c r="E74" i="11" s="1"/>
  <c r="E72" i="11"/>
  <c r="E71" i="11" s="1"/>
  <c r="E69" i="11"/>
  <c r="E68" i="11" s="1"/>
  <c r="E64" i="11"/>
  <c r="E63" i="11" s="1"/>
  <c r="E61" i="11"/>
  <c r="E60" i="11" s="1"/>
  <c r="E58" i="11"/>
  <c r="E57" i="11" s="1"/>
  <c r="E55" i="11"/>
  <c r="E54" i="11" s="1"/>
  <c r="E52" i="11"/>
  <c r="E51" i="11" s="1"/>
  <c r="E49" i="11"/>
  <c r="E48" i="11" s="1"/>
  <c r="E45" i="11"/>
  <c r="E44" i="11" s="1"/>
  <c r="E41" i="11"/>
  <c r="E40" i="11" s="1"/>
  <c r="E38" i="11"/>
  <c r="E37" i="11" s="1"/>
  <c r="E35" i="11"/>
  <c r="E34" i="11" s="1"/>
  <c r="E31" i="11"/>
  <c r="E30" i="11" s="1"/>
  <c r="E26" i="11"/>
  <c r="E25" i="11" s="1"/>
  <c r="E21" i="11"/>
  <c r="E20" i="11" s="1"/>
  <c r="E16" i="11"/>
  <c r="E15" i="11" s="1"/>
  <c r="E12" i="11"/>
  <c r="E11" i="11" s="1"/>
  <c r="E7" i="11"/>
  <c r="E6" i="11" s="1"/>
  <c r="E2" i="11"/>
  <c r="H2" i="11"/>
  <c r="H3" i="11"/>
  <c r="H4" i="11"/>
  <c r="H5" i="11"/>
  <c r="H7" i="11"/>
  <c r="H8" i="11"/>
  <c r="H9" i="11"/>
  <c r="H10" i="11"/>
  <c r="H12" i="11"/>
  <c r="H13" i="11"/>
  <c r="H14" i="11"/>
  <c r="H16" i="11"/>
  <c r="H17" i="11"/>
  <c r="H18" i="11"/>
  <c r="H19" i="11"/>
  <c r="H21" i="11"/>
  <c r="H22" i="11"/>
  <c r="H23" i="11"/>
  <c r="H24" i="11"/>
  <c r="H26" i="11"/>
  <c r="H27" i="11"/>
  <c r="H28" i="11"/>
  <c r="H29" i="11"/>
  <c r="H31" i="11"/>
  <c r="H32" i="11"/>
  <c r="H33" i="11"/>
  <c r="H35" i="11"/>
  <c r="H36" i="11"/>
  <c r="H38" i="11"/>
  <c r="H39" i="11"/>
  <c r="H41" i="11"/>
  <c r="H42" i="11"/>
  <c r="H43" i="11"/>
  <c r="H45" i="11"/>
  <c r="H46" i="11"/>
  <c r="H47" i="11"/>
  <c r="H49" i="11"/>
  <c r="H50" i="11"/>
  <c r="H52" i="11"/>
  <c r="H53" i="11"/>
  <c r="H55" i="11"/>
  <c r="H56" i="11"/>
  <c r="H58" i="11"/>
  <c r="H59" i="11"/>
  <c r="H61" i="11"/>
  <c r="H62" i="11"/>
  <c r="H64" i="11"/>
  <c r="H65" i="11"/>
  <c r="H66" i="11"/>
  <c r="H67" i="11"/>
  <c r="H69" i="11"/>
  <c r="H70" i="11"/>
  <c r="H72" i="11"/>
  <c r="H73" i="11"/>
  <c r="H75" i="11"/>
  <c r="H76" i="11"/>
  <c r="H77" i="11"/>
  <c r="H79" i="11"/>
  <c r="H80" i="11"/>
  <c r="H82" i="11"/>
  <c r="H83" i="11"/>
  <c r="H85" i="11"/>
  <c r="H87" i="11"/>
  <c r="H89" i="11"/>
  <c r="H90" i="11"/>
  <c r="H91" i="11"/>
  <c r="H93" i="11"/>
  <c r="H94" i="11"/>
  <c r="H95" i="11"/>
  <c r="H97" i="11"/>
  <c r="H98" i="11"/>
  <c r="H99" i="11"/>
  <c r="H100" i="11"/>
  <c r="H101" i="11"/>
  <c r="H103" i="11"/>
  <c r="H104" i="11"/>
  <c r="H106" i="11"/>
  <c r="H107" i="11"/>
  <c r="H109" i="11"/>
  <c r="H110" i="11"/>
  <c r="H111" i="11"/>
  <c r="H112" i="11"/>
  <c r="H114" i="11"/>
  <c r="H115" i="11"/>
  <c r="H116" i="11"/>
  <c r="H118" i="11"/>
  <c r="H119" i="11"/>
  <c r="H121" i="11"/>
  <c r="H122" i="11"/>
  <c r="H123" i="11"/>
  <c r="H125" i="11"/>
  <c r="H126" i="11"/>
  <c r="H128" i="11"/>
  <c r="H129" i="11"/>
  <c r="H131" i="11"/>
  <c r="H132" i="11"/>
  <c r="H134" i="11"/>
  <c r="H135" i="11"/>
  <c r="H137" i="11"/>
  <c r="H138" i="11"/>
  <c r="H140" i="11"/>
  <c r="H141" i="11"/>
  <c r="H143" i="11"/>
  <c r="H144" i="11"/>
  <c r="H145" i="11"/>
  <c r="H147" i="11"/>
  <c r="H148" i="11"/>
  <c r="H149" i="11"/>
  <c r="H150" i="11"/>
  <c r="H152" i="11"/>
  <c r="H153" i="11"/>
  <c r="H154" i="11"/>
  <c r="H155" i="11"/>
  <c r="H157" i="11"/>
  <c r="H158" i="11"/>
  <c r="H159" i="11"/>
  <c r="H161" i="11"/>
  <c r="H162" i="11"/>
  <c r="H163" i="11"/>
  <c r="H165" i="11"/>
  <c r="H166" i="11"/>
  <c r="H167" i="11"/>
  <c r="H168" i="11"/>
  <c r="H170" i="11"/>
  <c r="H171" i="11"/>
  <c r="H172" i="11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G3" i="11"/>
  <c r="G4" i="11" s="1"/>
  <c r="G5" i="11" s="1"/>
  <c r="G6" i="11" s="1"/>
  <c r="G8" i="11"/>
  <c r="G9" i="11" s="1"/>
  <c r="G10" i="11" s="1"/>
  <c r="G11" i="11" s="1"/>
  <c r="G13" i="11"/>
  <c r="G14" i="11" s="1"/>
  <c r="G15" i="11" s="1"/>
  <c r="G17" i="11"/>
  <c r="G18" i="11" s="1"/>
  <c r="G19" i="11" s="1"/>
  <c r="G20" i="11" s="1"/>
  <c r="G22" i="11"/>
  <c r="G23" i="11" s="1"/>
  <c r="G24" i="11" s="1"/>
  <c r="G25" i="11" s="1"/>
  <c r="G27" i="11"/>
  <c r="G28" i="11" s="1"/>
  <c r="G29" i="11" s="1"/>
  <c r="G30" i="11" s="1"/>
  <c r="G32" i="11"/>
  <c r="G33" i="11" s="1"/>
  <c r="G34" i="11" s="1"/>
  <c r="G36" i="11"/>
  <c r="G37" i="11" s="1"/>
  <c r="G39" i="11"/>
  <c r="G40" i="11" s="1"/>
  <c r="G42" i="11"/>
  <c r="G43" i="11" s="1"/>
  <c r="G44" i="11" s="1"/>
  <c r="G46" i="11"/>
  <c r="G47" i="11" s="1"/>
  <c r="G48" i="11" s="1"/>
  <c r="G50" i="11"/>
  <c r="G51" i="11" s="1"/>
  <c r="G53" i="11"/>
  <c r="G54" i="11" s="1"/>
  <c r="G56" i="11"/>
  <c r="G57" i="11" s="1"/>
  <c r="G59" i="11"/>
  <c r="G60" i="11" s="1"/>
  <c r="G62" i="11"/>
  <c r="G63" i="11" s="1"/>
  <c r="G65" i="11"/>
  <c r="G66" i="11" s="1"/>
  <c r="G67" i="11" s="1"/>
  <c r="G68" i="11" s="1"/>
  <c r="G70" i="11"/>
  <c r="G71" i="11" s="1"/>
  <c r="G73" i="11"/>
  <c r="G74" i="11" s="1"/>
  <c r="G76" i="11"/>
  <c r="G77" i="11" s="1"/>
  <c r="G78" i="11" s="1"/>
  <c r="G80" i="11"/>
  <c r="G81" i="11" s="1"/>
  <c r="G83" i="11"/>
  <c r="G84" i="11" s="1"/>
  <c r="G86" i="11"/>
  <c r="G88" i="11"/>
  <c r="G90" i="11"/>
  <c r="G91" i="11" s="1"/>
  <c r="G92" i="11" s="1"/>
  <c r="G94" i="11"/>
  <c r="G95" i="11" s="1"/>
  <c r="G96" i="11" s="1"/>
  <c r="G98" i="11"/>
  <c r="G99" i="11" s="1"/>
  <c r="G100" i="11" s="1"/>
  <c r="G101" i="11" s="1"/>
  <c r="G102" i="11" s="1"/>
  <c r="G104" i="11"/>
  <c r="G105" i="11" s="1"/>
  <c r="G107" i="11"/>
  <c r="G108" i="11" s="1"/>
  <c r="G110" i="11"/>
  <c r="G111" i="11" s="1"/>
  <c r="G112" i="11" s="1"/>
  <c r="G113" i="11" s="1"/>
  <c r="G115" i="11"/>
  <c r="G116" i="11" s="1"/>
  <c r="G117" i="11" s="1"/>
  <c r="G119" i="11"/>
  <c r="G120" i="11" s="1"/>
  <c r="G122" i="11"/>
  <c r="G123" i="11" s="1"/>
  <c r="G124" i="11" s="1"/>
  <c r="G126" i="11"/>
  <c r="G127" i="11" s="1"/>
  <c r="G129" i="11"/>
  <c r="G130" i="11" s="1"/>
  <c r="G132" i="11"/>
  <c r="G133" i="11" s="1"/>
  <c r="G135" i="11"/>
  <c r="G136" i="11" s="1"/>
  <c r="G138" i="11"/>
  <c r="G139" i="11" s="1"/>
  <c r="G141" i="11"/>
  <c r="G142" i="11" s="1"/>
  <c r="G144" i="11"/>
  <c r="G145" i="11" s="1"/>
  <c r="G146" i="11" s="1"/>
  <c r="G148" i="11"/>
  <c r="G149" i="11" s="1"/>
  <c r="G150" i="11" s="1"/>
  <c r="G151" i="11" s="1"/>
  <c r="G153" i="11"/>
  <c r="G154" i="11" s="1"/>
  <c r="G155" i="11" s="1"/>
  <c r="G156" i="11" s="1"/>
  <c r="G158" i="11"/>
  <c r="G159" i="11" s="1"/>
  <c r="G160" i="11" s="1"/>
  <c r="G162" i="11"/>
  <c r="G163" i="11" s="1"/>
  <c r="G164" i="11" s="1"/>
  <c r="G166" i="11"/>
  <c r="G167" i="11" s="1"/>
  <c r="G168" i="11" s="1"/>
  <c r="G169" i="11" s="1"/>
  <c r="G171" i="11"/>
  <c r="G172" i="11" s="1"/>
  <c r="G173" i="11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2" i="7"/>
  <c r="E163" i="11"/>
  <c r="E87" i="11"/>
  <c r="E86" i="11" s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2" i="9"/>
  <c r="B10" i="10"/>
  <c r="V7" i="10"/>
  <c r="V6" i="10"/>
  <c r="U7" i="10"/>
  <c r="U6" i="10"/>
  <c r="T7" i="10"/>
  <c r="T6" i="10"/>
  <c r="S7" i="10"/>
  <c r="S6" i="10"/>
  <c r="P7" i="10"/>
  <c r="P6" i="10"/>
  <c r="N7" i="10"/>
  <c r="N6" i="10"/>
  <c r="L7" i="10"/>
  <c r="L6" i="10"/>
  <c r="I7" i="10"/>
  <c r="I6" i="10"/>
  <c r="G7" i="10"/>
  <c r="G6" i="10"/>
  <c r="E7" i="10"/>
  <c r="E6" i="10"/>
  <c r="C7" i="10"/>
  <c r="C6" i="10"/>
  <c r="R7" i="10"/>
  <c r="R6" i="10"/>
  <c r="Q7" i="10"/>
  <c r="Q6" i="10"/>
  <c r="O7" i="10"/>
  <c r="O6" i="10"/>
  <c r="M7" i="10"/>
  <c r="M6" i="10"/>
  <c r="K7" i="10"/>
  <c r="K6" i="10"/>
  <c r="J7" i="10"/>
  <c r="J6" i="10"/>
  <c r="H7" i="10"/>
  <c r="H6" i="10"/>
  <c r="F7" i="10"/>
  <c r="F6" i="10"/>
  <c r="D7" i="10"/>
  <c r="D6" i="10"/>
  <c r="B7" i="10"/>
  <c r="B6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B5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B4" i="10"/>
  <c r="B12" i="8"/>
  <c r="B10" i="8"/>
  <c r="B8" i="8"/>
  <c r="B8" i="2"/>
  <c r="B7" i="2"/>
  <c r="C18" i="3" l="1"/>
  <c r="C14" i="3"/>
  <c r="C42" i="3"/>
  <c r="C26" i="3"/>
  <c r="C10" i="3"/>
  <c r="C34" i="3"/>
  <c r="C46" i="3"/>
  <c r="C30" i="3"/>
  <c r="C38" i="3"/>
  <c r="C22" i="3"/>
  <c r="C6" i="3"/>
  <c r="C45" i="3"/>
  <c r="C41" i="3"/>
  <c r="C37" i="3"/>
  <c r="C33" i="3"/>
  <c r="C29" i="3"/>
  <c r="C25" i="3"/>
  <c r="C21" i="3"/>
  <c r="C17" i="3"/>
  <c r="C13" i="3"/>
  <c r="C9" i="3"/>
  <c r="C5" i="3"/>
  <c r="C2" i="3"/>
  <c r="C44" i="3"/>
  <c r="C40" i="3"/>
  <c r="C36" i="3"/>
  <c r="C32" i="3"/>
  <c r="C28" i="3"/>
  <c r="C24" i="3"/>
  <c r="C20" i="3"/>
  <c r="C16" i="3"/>
  <c r="C12" i="3"/>
  <c r="C8" i="3"/>
  <c r="C4" i="3"/>
  <c r="C47" i="3"/>
  <c r="C43" i="3"/>
  <c r="C39" i="3"/>
  <c r="C35" i="3"/>
  <c r="C31" i="3"/>
  <c r="C27" i="3"/>
  <c r="C23" i="3"/>
  <c r="C19" i="3"/>
  <c r="C15" i="3"/>
  <c r="C11" i="3"/>
  <c r="C7" i="3"/>
  <c r="E128" i="11"/>
  <c r="E127" i="11" s="1"/>
  <c r="E134" i="11"/>
  <c r="E133" i="11" s="1"/>
  <c r="E140" i="11"/>
  <c r="E139" i="11" s="1"/>
  <c r="E147" i="11"/>
  <c r="E146" i="11" s="1"/>
  <c r="E93" i="11"/>
  <c r="E92" i="11" s="1"/>
  <c r="E157" i="11"/>
  <c r="E156" i="11" s="1"/>
  <c r="E103" i="11"/>
  <c r="E102" i="11" s="1"/>
  <c r="E165" i="11"/>
  <c r="E164" i="11" s="1"/>
  <c r="E118" i="11"/>
  <c r="E117" i="11" s="1"/>
  <c r="E114" i="11"/>
  <c r="E113" i="11" s="1"/>
  <c r="E161" i="11"/>
  <c r="E160" i="11" s="1"/>
  <c r="E174" i="11"/>
  <c r="E173" i="11" s="1"/>
  <c r="E125" i="11"/>
  <c r="E124" i="11" s="1"/>
  <c r="E137" i="11"/>
  <c r="E136" i="11" s="1"/>
  <c r="E97" i="11"/>
  <c r="E96" i="11" s="1"/>
  <c r="E149" i="11"/>
  <c r="E99" i="11"/>
  <c r="E115" i="11"/>
  <c r="E132" i="11"/>
  <c r="E100" i="11"/>
  <c r="E116" i="11"/>
  <c r="E150" i="11"/>
  <c r="E166" i="11"/>
  <c r="E101" i="11"/>
  <c r="E135" i="11"/>
  <c r="E167" i="11"/>
  <c r="E119" i="11"/>
  <c r="E153" i="11"/>
  <c r="E168" i="11"/>
  <c r="E104" i="11"/>
  <c r="E138" i="11"/>
  <c r="E154" i="11"/>
  <c r="E90" i="11"/>
  <c r="E122" i="11"/>
  <c r="E155" i="11"/>
  <c r="E171" i="11"/>
  <c r="E91" i="11"/>
  <c r="E107" i="11"/>
  <c r="E123" i="11"/>
  <c r="E141" i="11"/>
  <c r="E172" i="11"/>
  <c r="E158" i="11"/>
  <c r="E94" i="11"/>
  <c r="E110" i="11"/>
  <c r="E126" i="11"/>
  <c r="E144" i="11"/>
  <c r="E159" i="11"/>
  <c r="E95" i="11"/>
  <c r="E111" i="11"/>
  <c r="E145" i="11"/>
  <c r="E112" i="11"/>
  <c r="E129" i="11"/>
  <c r="E162" i="11"/>
  <c r="E98" i="11"/>
  <c r="E148" i="11"/>
</calcChain>
</file>

<file path=xl/sharedStrings.xml><?xml version="1.0" encoding="utf-8"?>
<sst xmlns="http://schemas.openxmlformats.org/spreadsheetml/2006/main" count="475" uniqueCount="193">
  <si>
    <t>nmaximo</t>
  </si>
  <si>
    <t>num_est</t>
  </si>
  <si>
    <t>num_ramp</t>
  </si>
  <si>
    <t>num_curva</t>
  </si>
  <si>
    <t>num_trem</t>
  </si>
  <si>
    <t>num_ret</t>
  </si>
  <si>
    <t>num_arm</t>
  </si>
  <si>
    <t>num_cross</t>
  </si>
  <si>
    <t>tam_trem</t>
  </si>
  <si>
    <t>acc</t>
  </si>
  <si>
    <t>dcc</t>
  </si>
  <si>
    <t>mv</t>
  </si>
  <si>
    <t>mc</t>
  </si>
  <si>
    <t>txr</t>
  </si>
  <si>
    <t>paux</t>
  </si>
  <si>
    <t>rfr</t>
  </si>
  <si>
    <t>vpct</t>
  </si>
  <si>
    <t>tt</t>
  </si>
  <si>
    <t>vpcf</t>
  </si>
  <si>
    <t>tf</t>
  </si>
  <si>
    <t>redc</t>
  </si>
  <si>
    <t>diam</t>
  </si>
  <si>
    <t>ne</t>
  </si>
  <si>
    <t>lt</t>
  </si>
  <si>
    <t>at</t>
  </si>
  <si>
    <t>rend</t>
  </si>
  <si>
    <t>JAB</t>
  </si>
  <si>
    <t>CON</t>
  </si>
  <si>
    <t>JUD</t>
  </si>
  <si>
    <t>SAU</t>
  </si>
  <si>
    <t>ARV</t>
  </si>
  <si>
    <t>SCZ</t>
  </si>
  <si>
    <t>VMN</t>
  </si>
  <si>
    <t>ANR</t>
  </si>
  <si>
    <t>PSO</t>
  </si>
  <si>
    <t>VGO</t>
  </si>
  <si>
    <t>JQM</t>
  </si>
  <si>
    <t>LIB</t>
  </si>
  <si>
    <t>PSE</t>
  </si>
  <si>
    <t>BTO</t>
  </si>
  <si>
    <t>LUZ</t>
  </si>
  <si>
    <t>TRD</t>
  </si>
  <si>
    <t>PPQ</t>
  </si>
  <si>
    <t>TTE</t>
  </si>
  <si>
    <t>CDU</t>
  </si>
  <si>
    <t>SAN</t>
  </si>
  <si>
    <t>JPA</t>
  </si>
  <si>
    <t>PIG</t>
  </si>
  <si>
    <t>TUC</t>
  </si>
  <si>
    <t>TM3 de TUC</t>
  </si>
  <si>
    <t>WJA</t>
  </si>
  <si>
    <t>WCO</t>
  </si>
  <si>
    <t>WJU</t>
  </si>
  <si>
    <t>WSA</t>
  </si>
  <si>
    <t>WAR</t>
  </si>
  <si>
    <t>WSC</t>
  </si>
  <si>
    <t>WVM</t>
  </si>
  <si>
    <t>WAN</t>
  </si>
  <si>
    <t>WPS</t>
  </si>
  <si>
    <t>WJQ</t>
  </si>
  <si>
    <t>WLI</t>
  </si>
  <si>
    <t>WSE</t>
  </si>
  <si>
    <t>WBT</t>
  </si>
  <si>
    <t>WLU</t>
  </si>
  <si>
    <t>WPP</t>
  </si>
  <si>
    <t>WTT</t>
  </si>
  <si>
    <t>WCD</t>
  </si>
  <si>
    <t>WZI</t>
  </si>
  <si>
    <t>WJP</t>
  </si>
  <si>
    <t>WPI</t>
  </si>
  <si>
    <t>WTU</t>
  </si>
  <si>
    <t>\1</t>
  </si>
  <si>
    <t>\9</t>
  </si>
  <si>
    <t>\2</t>
  </si>
  <si>
    <t>\3</t>
  </si>
  <si>
    <t>\4</t>
  </si>
  <si>
    <t>\5</t>
  </si>
  <si>
    <t>\6</t>
  </si>
  <si>
    <t>\7</t>
  </si>
  <si>
    <t>\8</t>
  </si>
  <si>
    <t>\10</t>
  </si>
  <si>
    <t>\11</t>
  </si>
  <si>
    <t>\12</t>
  </si>
  <si>
    <t>\13</t>
  </si>
  <si>
    <t>\14</t>
  </si>
  <si>
    <t>\15</t>
  </si>
  <si>
    <t>\16</t>
  </si>
  <si>
    <t>\17</t>
  </si>
  <si>
    <t>\18</t>
  </si>
  <si>
    <t>\19</t>
  </si>
  <si>
    <t>\20</t>
  </si>
  <si>
    <t>\21</t>
  </si>
  <si>
    <t>\22</t>
  </si>
  <si>
    <t>\23</t>
  </si>
  <si>
    <t>\24</t>
  </si>
  <si>
    <t>\25</t>
  </si>
  <si>
    <t>\26</t>
  </si>
  <si>
    <t>\27</t>
  </si>
  <si>
    <t>\28</t>
  </si>
  <si>
    <t>\29</t>
  </si>
  <si>
    <t>\30</t>
  </si>
  <si>
    <t>\31</t>
  </si>
  <si>
    <t>\32</t>
  </si>
  <si>
    <t>\33</t>
  </si>
  <si>
    <t>\34</t>
  </si>
  <si>
    <t>\35</t>
  </si>
  <si>
    <t>\36</t>
  </si>
  <si>
    <t>\37</t>
  </si>
  <si>
    <t>\38</t>
  </si>
  <si>
    <t>\39</t>
  </si>
  <si>
    <t>\40</t>
  </si>
  <si>
    <t>\41</t>
  </si>
  <si>
    <t>\42</t>
  </si>
  <si>
    <t>\43</t>
  </si>
  <si>
    <t>\44</t>
  </si>
  <si>
    <t>\45</t>
  </si>
  <si>
    <t>\46</t>
  </si>
  <si>
    <t>\47</t>
  </si>
  <si>
    <t>\48</t>
  </si>
  <si>
    <t>\49</t>
  </si>
  <si>
    <t>\50</t>
  </si>
  <si>
    <t>\51</t>
  </si>
  <si>
    <t>\52</t>
  </si>
  <si>
    <t>\53</t>
  </si>
  <si>
    <t>\54</t>
  </si>
  <si>
    <t>\55</t>
  </si>
  <si>
    <t>\56</t>
  </si>
  <si>
    <t>\57</t>
  </si>
  <si>
    <t>\58</t>
  </si>
  <si>
    <t>\59</t>
  </si>
  <si>
    <t>\60</t>
  </si>
  <si>
    <t>\61</t>
  </si>
  <si>
    <t>Número da rampa</t>
  </si>
  <si>
    <t>Marco inicial</t>
  </si>
  <si>
    <t>Marco final</t>
  </si>
  <si>
    <t>Inclinação</t>
  </si>
  <si>
    <t>Número da curva</t>
  </si>
  <si>
    <t>Marco Inicial</t>
  </si>
  <si>
    <t>Marco Final</t>
  </si>
  <si>
    <t>Raio</t>
  </si>
  <si>
    <t>Ud</t>
  </si>
  <si>
    <t>imp_pos</t>
  </si>
  <si>
    <t>imp_neg</t>
  </si>
  <si>
    <t>Umin2</t>
  </si>
  <si>
    <t>a</t>
  </si>
  <si>
    <t>Umax1</t>
  </si>
  <si>
    <t>Umax2</t>
  </si>
  <si>
    <t>Umaxfe</t>
  </si>
  <si>
    <t>Umax3</t>
  </si>
  <si>
    <t>Glig</t>
  </si>
  <si>
    <t>Gearth</t>
  </si>
  <si>
    <t>Verro</t>
  </si>
  <si>
    <t>Efreio</t>
  </si>
  <si>
    <t>Número do crossbound</t>
  </si>
  <si>
    <t>Marco</t>
  </si>
  <si>
    <t>Pret</t>
  </si>
  <si>
    <t>Ud0</t>
  </si>
  <si>
    <t>Gterra</t>
  </si>
  <si>
    <t>Gcret</t>
  </si>
  <si>
    <t>Gretpos</t>
  </si>
  <si>
    <t>Gretneg</t>
  </si>
  <si>
    <t>Sret</t>
  </si>
  <si>
    <t>Variável</t>
  </si>
  <si>
    <t>nr</t>
  </si>
  <si>
    <t>Condutância</t>
  </si>
  <si>
    <t>Marco topografico</t>
  </si>
  <si>
    <t>Número da antena</t>
  </si>
  <si>
    <t>Velocidade comandada [m/s]</t>
  </si>
  <si>
    <t>Estação</t>
  </si>
  <si>
    <t>Antena de parada programada</t>
  </si>
  <si>
    <t>ext_linha</t>
  </si>
  <si>
    <t>Força Restritiva Curva - Rockl</t>
  </si>
  <si>
    <t>Velocidade máxima [km/h]</t>
  </si>
  <si>
    <t>Taxa de redução da aceleração 
(1; 0,63; 0,5)</t>
  </si>
  <si>
    <t>Tempo parado na estação (s)</t>
  </si>
  <si>
    <t>Taxa de redução da desaceleração 
(meio do caminho 1; 0,654 (0,85); 0,578 (0,75); 0,5154(0,67))</t>
  </si>
  <si>
    <t>Fim da via</t>
  </si>
  <si>
    <t>A</t>
  </si>
  <si>
    <t>Constantes de Davis - restrição ao movimento devido a velocidade</t>
  </si>
  <si>
    <t>B</t>
  </si>
  <si>
    <t>C</t>
  </si>
  <si>
    <t>Passos de simulação parado na estação (t)</t>
  </si>
  <si>
    <t>delta_t (s)</t>
  </si>
  <si>
    <t>Rret</t>
  </si>
  <si>
    <t>JAB (final da via)</t>
  </si>
  <si>
    <t>Ativo</t>
  </si>
  <si>
    <t>Ret</t>
  </si>
  <si>
    <t>Redução de velocidade máxima (%)</t>
  </si>
  <si>
    <t>fator de correção</t>
  </si>
  <si>
    <t>txc original para 41 trens</t>
  </si>
  <si>
    <t>txc original</t>
  </si>
  <si>
    <t>txc corrigido</t>
  </si>
  <si>
    <t>Redução no limite de velocidade [km/h]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</si>
</sst>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21C9-2B26-4610-9D6D-BD43105B698F}">
  <dimension ref="A1:B10"/>
  <sheetViews>
    <sheetView tabSelected="1" workbookViewId="0">
      <selection activeCell="C6" sqref="C6"/>
    </sheetView>
  </sheetViews>
  <sheetFormatPr defaultRowHeight="14.5" x14ac:dyDescent="0.35"/>
  <cols>
    <col min="1" max="1" width="11" bestFit="1" customWidth="1"/>
  </cols>
  <sheetData>
    <row r="1" spans="1:2" x14ac:dyDescent="0.35">
      <c r="A1" t="s">
        <v>182</v>
      </c>
      <c r="B1">
        <v>0.25</v>
      </c>
    </row>
    <row r="2" spans="1:2" x14ac:dyDescent="0.35">
      <c r="A2" t="s">
        <v>0</v>
      </c>
      <c r="B2">
        <v>250</v>
      </c>
    </row>
    <row r="3" spans="1:2" x14ac:dyDescent="0.35">
      <c r="A3" t="s">
        <v>1</v>
      </c>
      <c r="B3">
        <v>24</v>
      </c>
    </row>
    <row r="4" spans="1:2" x14ac:dyDescent="0.35">
      <c r="A4" t="s">
        <v>2</v>
      </c>
      <c r="B4">
        <v>61</v>
      </c>
    </row>
    <row r="5" spans="1:2" x14ac:dyDescent="0.35">
      <c r="A5" t="s">
        <v>3</v>
      </c>
      <c r="B5">
        <v>61</v>
      </c>
    </row>
    <row r="6" spans="1:2" x14ac:dyDescent="0.35">
      <c r="A6" t="s">
        <v>4</v>
      </c>
      <c r="B6">
        <v>41</v>
      </c>
    </row>
    <row r="7" spans="1:2" x14ac:dyDescent="0.35">
      <c r="A7" t="s">
        <v>5</v>
      </c>
      <c r="B7">
        <v>21</v>
      </c>
    </row>
    <row r="8" spans="1:2" x14ac:dyDescent="0.35">
      <c r="A8" t="s">
        <v>6</v>
      </c>
      <c r="B8">
        <v>0</v>
      </c>
    </row>
    <row r="9" spans="1:2" x14ac:dyDescent="0.35">
      <c r="A9" t="s">
        <v>7</v>
      </c>
      <c r="B9">
        <v>39</v>
      </c>
    </row>
    <row r="10" spans="1:2" x14ac:dyDescent="0.35">
      <c r="A10" t="s">
        <v>170</v>
      </c>
      <c r="B10">
        <f>loc_est!B24</f>
        <v>21011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3EA6-A278-41C9-8075-C23AEA49F430}">
  <dimension ref="A1:C40"/>
  <sheetViews>
    <sheetView workbookViewId="0">
      <selection activeCell="B2" sqref="B2"/>
    </sheetView>
  </sheetViews>
  <sheetFormatPr defaultRowHeight="14.5" x14ac:dyDescent="0.35"/>
  <cols>
    <col min="1" max="1" width="22" bestFit="1" customWidth="1"/>
    <col min="2" max="2" width="6.453125" bestFit="1" customWidth="1"/>
    <col min="3" max="3" width="12" bestFit="1" customWidth="1"/>
  </cols>
  <sheetData>
    <row r="1" spans="1:3" x14ac:dyDescent="0.35">
      <c r="A1" t="s">
        <v>153</v>
      </c>
      <c r="B1" t="s">
        <v>154</v>
      </c>
      <c r="C1" t="s">
        <v>164</v>
      </c>
    </row>
    <row r="2" spans="1:3" x14ac:dyDescent="0.35">
      <c r="A2" t="s">
        <v>71</v>
      </c>
      <c r="B2">
        <v>519</v>
      </c>
      <c r="C2">
        <f>1/(30*0.00004005)</f>
        <v>832.29296712442783</v>
      </c>
    </row>
    <row r="3" spans="1:3" x14ac:dyDescent="0.35">
      <c r="A3" t="s">
        <v>73</v>
      </c>
      <c r="B3">
        <v>849</v>
      </c>
      <c r="C3">
        <f t="shared" ref="C3:C40" si="0">1/(30*0.00004005)</f>
        <v>832.29296712442783</v>
      </c>
    </row>
    <row r="4" spans="1:3" x14ac:dyDescent="0.35">
      <c r="A4" t="s">
        <v>74</v>
      </c>
      <c r="B4">
        <v>1180</v>
      </c>
      <c r="C4">
        <f t="shared" si="0"/>
        <v>832.29296712442783</v>
      </c>
    </row>
    <row r="5" spans="1:3" x14ac:dyDescent="0.35">
      <c r="A5" t="s">
        <v>75</v>
      </c>
      <c r="B5">
        <v>1811</v>
      </c>
      <c r="C5">
        <f t="shared" si="0"/>
        <v>832.29296712442783</v>
      </c>
    </row>
    <row r="6" spans="1:3" x14ac:dyDescent="0.35">
      <c r="A6" t="s">
        <v>76</v>
      </c>
      <c r="B6">
        <v>2116</v>
      </c>
      <c r="C6">
        <f t="shared" si="0"/>
        <v>832.29296712442783</v>
      </c>
    </row>
    <row r="7" spans="1:3" x14ac:dyDescent="0.35">
      <c r="A7" t="s">
        <v>77</v>
      </c>
      <c r="B7">
        <v>2780</v>
      </c>
      <c r="C7">
        <f t="shared" si="0"/>
        <v>832.29296712442783</v>
      </c>
    </row>
    <row r="8" spans="1:3" x14ac:dyDescent="0.35">
      <c r="A8" t="s">
        <v>78</v>
      </c>
      <c r="B8">
        <v>3067</v>
      </c>
      <c r="C8">
        <f t="shared" si="0"/>
        <v>832.29296712442783</v>
      </c>
    </row>
    <row r="9" spans="1:3" x14ac:dyDescent="0.35">
      <c r="A9" t="s">
        <v>79</v>
      </c>
      <c r="B9">
        <v>3625</v>
      </c>
      <c r="C9">
        <f t="shared" si="0"/>
        <v>832.29296712442783</v>
      </c>
    </row>
    <row r="10" spans="1:3" x14ac:dyDescent="0.35">
      <c r="A10" t="s">
        <v>72</v>
      </c>
      <c r="B10">
        <v>4460</v>
      </c>
      <c r="C10">
        <f t="shared" si="0"/>
        <v>832.29296712442783</v>
      </c>
    </row>
    <row r="11" spans="1:3" x14ac:dyDescent="0.35">
      <c r="A11" t="s">
        <v>80</v>
      </c>
      <c r="B11">
        <v>4782</v>
      </c>
      <c r="C11">
        <f t="shared" si="0"/>
        <v>832.29296712442783</v>
      </c>
    </row>
    <row r="12" spans="1:3" x14ac:dyDescent="0.35">
      <c r="A12" t="s">
        <v>81</v>
      </c>
      <c r="B12">
        <v>5437</v>
      </c>
      <c r="C12">
        <f t="shared" si="0"/>
        <v>832.29296712442783</v>
      </c>
    </row>
    <row r="13" spans="1:3" x14ac:dyDescent="0.35">
      <c r="A13" t="s">
        <v>82</v>
      </c>
      <c r="B13">
        <v>5763</v>
      </c>
      <c r="C13">
        <f t="shared" si="0"/>
        <v>832.29296712442783</v>
      </c>
    </row>
    <row r="14" spans="1:3" x14ac:dyDescent="0.35">
      <c r="A14" t="s">
        <v>83</v>
      </c>
      <c r="B14">
        <v>6097</v>
      </c>
      <c r="C14">
        <f t="shared" si="0"/>
        <v>832.29296712442783</v>
      </c>
    </row>
    <row r="15" spans="1:3" x14ac:dyDescent="0.35">
      <c r="A15" t="s">
        <v>84</v>
      </c>
      <c r="B15">
        <v>6919</v>
      </c>
      <c r="C15">
        <f t="shared" si="0"/>
        <v>832.29296712442783</v>
      </c>
    </row>
    <row r="16" spans="1:3" x14ac:dyDescent="0.35">
      <c r="A16" t="s">
        <v>85</v>
      </c>
      <c r="B16">
        <v>7557</v>
      </c>
      <c r="C16">
        <f t="shared" si="0"/>
        <v>832.29296712442783</v>
      </c>
    </row>
    <row r="17" spans="1:3" x14ac:dyDescent="0.35">
      <c r="A17" t="s">
        <v>86</v>
      </c>
      <c r="B17">
        <v>8597</v>
      </c>
      <c r="C17">
        <f t="shared" si="0"/>
        <v>832.29296712442783</v>
      </c>
    </row>
    <row r="18" spans="1:3" x14ac:dyDescent="0.35">
      <c r="A18" t="s">
        <v>87</v>
      </c>
      <c r="B18">
        <v>8934</v>
      </c>
      <c r="C18">
        <f t="shared" si="0"/>
        <v>832.29296712442783</v>
      </c>
    </row>
    <row r="19" spans="1:3" x14ac:dyDescent="0.35">
      <c r="A19" t="s">
        <v>88</v>
      </c>
      <c r="B19">
        <v>9233</v>
      </c>
      <c r="C19">
        <f t="shared" si="0"/>
        <v>832.29296712442783</v>
      </c>
    </row>
    <row r="20" spans="1:3" x14ac:dyDescent="0.35">
      <c r="A20" t="s">
        <v>89</v>
      </c>
      <c r="B20">
        <v>9777</v>
      </c>
      <c r="C20">
        <f t="shared" si="0"/>
        <v>832.29296712442783</v>
      </c>
    </row>
    <row r="21" spans="1:3" x14ac:dyDescent="0.35">
      <c r="A21" t="s">
        <v>90</v>
      </c>
      <c r="B21">
        <v>10111</v>
      </c>
      <c r="C21">
        <f t="shared" si="0"/>
        <v>832.29296712442783</v>
      </c>
    </row>
    <row r="22" spans="1:3" x14ac:dyDescent="0.35">
      <c r="A22" t="s">
        <v>91</v>
      </c>
      <c r="B22">
        <v>10807</v>
      </c>
      <c r="C22">
        <f t="shared" si="0"/>
        <v>832.29296712442783</v>
      </c>
    </row>
    <row r="23" spans="1:3" x14ac:dyDescent="0.35">
      <c r="A23" t="s">
        <v>92</v>
      </c>
      <c r="B23">
        <v>11437</v>
      </c>
      <c r="C23">
        <f t="shared" si="0"/>
        <v>832.29296712442783</v>
      </c>
    </row>
    <row r="24" spans="1:3" x14ac:dyDescent="0.35">
      <c r="A24" t="s">
        <v>93</v>
      </c>
      <c r="B24">
        <v>12232</v>
      </c>
      <c r="C24">
        <f t="shared" si="0"/>
        <v>832.29296712442783</v>
      </c>
    </row>
    <row r="25" spans="1:3" x14ac:dyDescent="0.35">
      <c r="A25" t="s">
        <v>94</v>
      </c>
      <c r="B25">
        <v>13072</v>
      </c>
      <c r="C25">
        <f t="shared" si="0"/>
        <v>832.29296712442783</v>
      </c>
    </row>
    <row r="26" spans="1:3" x14ac:dyDescent="0.35">
      <c r="A26" t="s">
        <v>95</v>
      </c>
      <c r="B26">
        <v>13398</v>
      </c>
      <c r="C26">
        <f t="shared" si="0"/>
        <v>832.29296712442783</v>
      </c>
    </row>
    <row r="27" spans="1:3" x14ac:dyDescent="0.35">
      <c r="A27" t="s">
        <v>96</v>
      </c>
      <c r="B27">
        <v>13926</v>
      </c>
      <c r="C27">
        <f t="shared" si="0"/>
        <v>832.29296712442783</v>
      </c>
    </row>
    <row r="28" spans="1:3" x14ac:dyDescent="0.35">
      <c r="A28" t="s">
        <v>97</v>
      </c>
      <c r="B28">
        <v>14204</v>
      </c>
      <c r="C28">
        <f t="shared" si="0"/>
        <v>832.29296712442783</v>
      </c>
    </row>
    <row r="29" spans="1:3" x14ac:dyDescent="0.35">
      <c r="A29" t="s">
        <v>98</v>
      </c>
      <c r="B29">
        <v>14899</v>
      </c>
      <c r="C29">
        <f t="shared" si="0"/>
        <v>832.29296712442783</v>
      </c>
    </row>
    <row r="30" spans="1:3" x14ac:dyDescent="0.35">
      <c r="A30" t="s">
        <v>99</v>
      </c>
      <c r="B30">
        <v>15170</v>
      </c>
      <c r="C30">
        <f t="shared" si="0"/>
        <v>832.29296712442783</v>
      </c>
    </row>
    <row r="31" spans="1:3" x14ac:dyDescent="0.35">
      <c r="A31" t="s">
        <v>100</v>
      </c>
      <c r="B31">
        <v>15483</v>
      </c>
      <c r="C31">
        <f t="shared" si="0"/>
        <v>832.29296712442783</v>
      </c>
    </row>
    <row r="32" spans="1:3" x14ac:dyDescent="0.35">
      <c r="A32" t="s">
        <v>101</v>
      </c>
      <c r="B32">
        <v>16219</v>
      </c>
      <c r="C32">
        <f t="shared" si="0"/>
        <v>832.29296712442783</v>
      </c>
    </row>
    <row r="33" spans="1:3" x14ac:dyDescent="0.35">
      <c r="A33" t="s">
        <v>102</v>
      </c>
      <c r="B33">
        <v>16527</v>
      </c>
      <c r="C33">
        <f t="shared" si="0"/>
        <v>832.29296712442783</v>
      </c>
    </row>
    <row r="34" spans="1:3" x14ac:dyDescent="0.35">
      <c r="A34" t="s">
        <v>103</v>
      </c>
      <c r="B34">
        <v>16834</v>
      </c>
      <c r="C34">
        <f t="shared" si="0"/>
        <v>832.29296712442783</v>
      </c>
    </row>
    <row r="35" spans="1:3" x14ac:dyDescent="0.35">
      <c r="A35" t="s">
        <v>104</v>
      </c>
      <c r="B35">
        <v>17146</v>
      </c>
      <c r="C35">
        <f t="shared" si="0"/>
        <v>832.29296712442783</v>
      </c>
    </row>
    <row r="36" spans="1:3" x14ac:dyDescent="0.35">
      <c r="A36" t="s">
        <v>105</v>
      </c>
      <c r="B36">
        <v>17850</v>
      </c>
      <c r="C36">
        <f t="shared" si="0"/>
        <v>832.29296712442783</v>
      </c>
    </row>
    <row r="37" spans="1:3" x14ac:dyDescent="0.35">
      <c r="A37" t="s">
        <v>106</v>
      </c>
      <c r="B37">
        <v>18654</v>
      </c>
      <c r="C37">
        <f t="shared" si="0"/>
        <v>832.29296712442783</v>
      </c>
    </row>
    <row r="38" spans="1:3" x14ac:dyDescent="0.35">
      <c r="A38" t="s">
        <v>107</v>
      </c>
      <c r="B38">
        <v>19728</v>
      </c>
      <c r="C38">
        <f t="shared" si="0"/>
        <v>832.29296712442783</v>
      </c>
    </row>
    <row r="39" spans="1:3" x14ac:dyDescent="0.35">
      <c r="A39" t="s">
        <v>108</v>
      </c>
      <c r="B39">
        <v>20109</v>
      </c>
      <c r="C39">
        <f t="shared" si="0"/>
        <v>832.29296712442783</v>
      </c>
    </row>
    <row r="40" spans="1:3" x14ac:dyDescent="0.35">
      <c r="A40" t="s">
        <v>109</v>
      </c>
      <c r="B40">
        <v>21011</v>
      </c>
      <c r="C40">
        <f t="shared" si="0"/>
        <v>832.29296712442783</v>
      </c>
    </row>
  </sheetData>
  <sortState xmlns:xlrd2="http://schemas.microsoft.com/office/spreadsheetml/2017/richdata2" ref="B2:B40">
    <sortCondition ref="B2:B40"/>
  </sortState>
  <phoneticPr fontId="1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3D3-10FD-4ACC-964E-2A15A0E0E762}">
  <dimension ref="A1:B13"/>
  <sheetViews>
    <sheetView workbookViewId="0">
      <selection activeCell="K17" sqref="K17"/>
    </sheetView>
  </sheetViews>
  <sheetFormatPr defaultRowHeight="14.5" x14ac:dyDescent="0.35"/>
  <cols>
    <col min="2" max="2" width="10" bestFit="1" customWidth="1"/>
  </cols>
  <sheetData>
    <row r="1" spans="1:2" x14ac:dyDescent="0.35">
      <c r="A1" t="s">
        <v>140</v>
      </c>
      <c r="B1">
        <v>750</v>
      </c>
    </row>
    <row r="2" spans="1:2" x14ac:dyDescent="0.35">
      <c r="A2" t="s">
        <v>141</v>
      </c>
      <c r="B2">
        <v>6.4999999999999996E-6</v>
      </c>
    </row>
    <row r="3" spans="1:2" x14ac:dyDescent="0.35">
      <c r="A3" t="s">
        <v>142</v>
      </c>
      <c r="B3">
        <v>1.7499999999999998E-5</v>
      </c>
    </row>
    <row r="4" spans="1:2" x14ac:dyDescent="0.35">
      <c r="A4" t="s">
        <v>143</v>
      </c>
      <c r="B4">
        <v>500</v>
      </c>
    </row>
    <row r="5" spans="1:2" x14ac:dyDescent="0.35">
      <c r="A5" t="s">
        <v>144</v>
      </c>
      <c r="B5">
        <v>0.8</v>
      </c>
    </row>
    <row r="6" spans="1:2" x14ac:dyDescent="0.35">
      <c r="A6" t="s">
        <v>145</v>
      </c>
      <c r="B6">
        <v>900</v>
      </c>
    </row>
    <row r="7" spans="1:2" x14ac:dyDescent="0.35">
      <c r="A7" t="s">
        <v>146</v>
      </c>
      <c r="B7">
        <v>1000</v>
      </c>
    </row>
    <row r="8" spans="1:2" x14ac:dyDescent="0.35">
      <c r="A8" t="s">
        <v>147</v>
      </c>
      <c r="B8">
        <f>(3*B7+B6)/4</f>
        <v>975</v>
      </c>
    </row>
    <row r="9" spans="1:2" x14ac:dyDescent="0.35">
      <c r="A9" t="s">
        <v>148</v>
      </c>
      <c r="B9">
        <v>1270</v>
      </c>
    </row>
    <row r="10" spans="1:2" x14ac:dyDescent="0.35">
      <c r="A10" t="s">
        <v>149</v>
      </c>
      <c r="B10">
        <f>1/0.000001</f>
        <v>1000000</v>
      </c>
    </row>
    <row r="11" spans="1:2" x14ac:dyDescent="0.35">
      <c r="A11" t="s">
        <v>150</v>
      </c>
      <c r="B11">
        <v>1E-4</v>
      </c>
    </row>
    <row r="12" spans="1:2" x14ac:dyDescent="0.35">
      <c r="A12" t="s">
        <v>151</v>
      </c>
      <c r="B12">
        <f>0.001*B1</f>
        <v>0.75</v>
      </c>
    </row>
    <row r="13" spans="1:2" x14ac:dyDescent="0.35">
      <c r="A13" t="s">
        <v>152</v>
      </c>
      <c r="B13">
        <f>0.01*B6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903D-C6EB-4AE4-8083-AC4BDEA7CF16}">
  <dimension ref="A1:V13"/>
  <sheetViews>
    <sheetView workbookViewId="0">
      <selection activeCell="S15" sqref="S15"/>
    </sheetView>
  </sheetViews>
  <sheetFormatPr defaultColWidth="9.1796875" defaultRowHeight="14.5" x14ac:dyDescent="0.35"/>
  <cols>
    <col min="1" max="1" width="8.26953125" style="4" bestFit="1" customWidth="1"/>
    <col min="2" max="22" width="10.54296875" style="4" customWidth="1"/>
    <col min="23" max="16384" width="9.1796875" style="4"/>
  </cols>
  <sheetData>
    <row r="1" spans="1:22" x14ac:dyDescent="0.35">
      <c r="A1" s="4" t="s">
        <v>162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  <c r="U1" s="4" t="s">
        <v>69</v>
      </c>
      <c r="V1" s="4" t="s">
        <v>70</v>
      </c>
    </row>
    <row r="2" spans="1:22" x14ac:dyDescent="0.35">
      <c r="A2" s="3" t="s">
        <v>155</v>
      </c>
      <c r="B2" s="4">
        <v>5000000</v>
      </c>
      <c r="C2" s="4">
        <v>4250000</v>
      </c>
      <c r="D2" s="4">
        <v>5000000</v>
      </c>
      <c r="E2" s="4">
        <v>4250000</v>
      </c>
      <c r="F2" s="4">
        <v>5000000</v>
      </c>
      <c r="G2" s="4">
        <v>4250000</v>
      </c>
      <c r="H2" s="4">
        <v>5000000</v>
      </c>
      <c r="I2" s="4">
        <v>4250000</v>
      </c>
      <c r="J2" s="4">
        <v>5000000</v>
      </c>
      <c r="K2" s="4">
        <v>5000000</v>
      </c>
      <c r="L2" s="4">
        <v>4250000</v>
      </c>
      <c r="M2" s="4">
        <v>5000000</v>
      </c>
      <c r="N2" s="4">
        <v>4250000</v>
      </c>
      <c r="O2" s="4">
        <v>5000000</v>
      </c>
      <c r="P2" s="4">
        <v>4250000</v>
      </c>
      <c r="Q2" s="4">
        <v>5000000</v>
      </c>
      <c r="R2" s="4">
        <v>5000000</v>
      </c>
      <c r="S2" s="4">
        <v>4250000</v>
      </c>
      <c r="T2" s="4">
        <v>4250000</v>
      </c>
      <c r="U2" s="4">
        <v>4250000</v>
      </c>
      <c r="V2" s="4">
        <v>4250000</v>
      </c>
    </row>
    <row r="3" spans="1:22" x14ac:dyDescent="0.35">
      <c r="A3" s="3" t="s">
        <v>156</v>
      </c>
      <c r="B3" s="4">
        <v>820</v>
      </c>
      <c r="C3" s="4">
        <v>820</v>
      </c>
      <c r="D3" s="4">
        <v>820</v>
      </c>
      <c r="E3" s="4">
        <v>820</v>
      </c>
      <c r="F3" s="4">
        <v>820</v>
      </c>
      <c r="G3" s="4">
        <v>820</v>
      </c>
      <c r="H3" s="4">
        <v>820</v>
      </c>
      <c r="I3" s="4">
        <v>820</v>
      </c>
      <c r="J3" s="4">
        <v>820</v>
      </c>
      <c r="K3" s="4">
        <v>820</v>
      </c>
      <c r="L3" s="4">
        <v>820</v>
      </c>
      <c r="M3" s="4">
        <v>820</v>
      </c>
      <c r="N3" s="4">
        <v>820</v>
      </c>
      <c r="O3" s="4">
        <v>820</v>
      </c>
      <c r="P3" s="4">
        <v>820</v>
      </c>
      <c r="Q3" s="4">
        <v>820</v>
      </c>
      <c r="R3" s="4">
        <v>820</v>
      </c>
      <c r="S3" s="4">
        <v>820</v>
      </c>
      <c r="T3" s="4">
        <v>820</v>
      </c>
      <c r="U3" s="4">
        <v>820</v>
      </c>
      <c r="V3" s="4">
        <v>820</v>
      </c>
    </row>
    <row r="4" spans="1:22" x14ac:dyDescent="0.35">
      <c r="A4" s="3" t="s">
        <v>157</v>
      </c>
      <c r="B4" s="4">
        <f>1/5</f>
        <v>0.2</v>
      </c>
      <c r="C4" s="4">
        <f t="shared" ref="C4:V4" si="0">1/5</f>
        <v>0.2</v>
      </c>
      <c r="D4" s="4">
        <f t="shared" si="0"/>
        <v>0.2</v>
      </c>
      <c r="E4" s="4">
        <f t="shared" si="0"/>
        <v>0.2</v>
      </c>
      <c r="F4" s="4">
        <f t="shared" si="0"/>
        <v>0.2</v>
      </c>
      <c r="G4" s="4">
        <f t="shared" si="0"/>
        <v>0.2</v>
      </c>
      <c r="H4" s="4">
        <f t="shared" si="0"/>
        <v>0.2</v>
      </c>
      <c r="I4" s="4">
        <f t="shared" si="0"/>
        <v>0.2</v>
      </c>
      <c r="J4" s="4">
        <f t="shared" si="0"/>
        <v>0.2</v>
      </c>
      <c r="K4" s="4">
        <f t="shared" si="0"/>
        <v>0.2</v>
      </c>
      <c r="L4" s="4">
        <f t="shared" si="0"/>
        <v>0.2</v>
      </c>
      <c r="M4" s="4">
        <f t="shared" si="0"/>
        <v>0.2</v>
      </c>
      <c r="N4" s="4">
        <f t="shared" si="0"/>
        <v>0.2</v>
      </c>
      <c r="O4" s="4">
        <f t="shared" si="0"/>
        <v>0.2</v>
      </c>
      <c r="P4" s="4">
        <f t="shared" si="0"/>
        <v>0.2</v>
      </c>
      <c r="Q4" s="4">
        <f t="shared" si="0"/>
        <v>0.2</v>
      </c>
      <c r="R4" s="4">
        <f t="shared" si="0"/>
        <v>0.2</v>
      </c>
      <c r="S4" s="4">
        <f t="shared" si="0"/>
        <v>0.2</v>
      </c>
      <c r="T4" s="4">
        <f t="shared" si="0"/>
        <v>0.2</v>
      </c>
      <c r="U4" s="4">
        <f t="shared" si="0"/>
        <v>0.2</v>
      </c>
      <c r="V4" s="4">
        <f t="shared" si="0"/>
        <v>0.2</v>
      </c>
    </row>
    <row r="5" spans="1:22" x14ac:dyDescent="0.35">
      <c r="A5" s="3" t="s">
        <v>158</v>
      </c>
      <c r="B5" s="4">
        <f>1/(30*0.00004)</f>
        <v>833.33333333333326</v>
      </c>
      <c r="C5" s="4">
        <f t="shared" ref="C5:V5" si="1">1/(30*0.00004)</f>
        <v>833.33333333333326</v>
      </c>
      <c r="D5" s="4">
        <f t="shared" si="1"/>
        <v>833.33333333333326</v>
      </c>
      <c r="E5" s="4">
        <f t="shared" si="1"/>
        <v>833.33333333333326</v>
      </c>
      <c r="F5" s="4">
        <f t="shared" si="1"/>
        <v>833.33333333333326</v>
      </c>
      <c r="G5" s="4">
        <f t="shared" si="1"/>
        <v>833.33333333333326</v>
      </c>
      <c r="H5" s="4">
        <f t="shared" si="1"/>
        <v>833.33333333333326</v>
      </c>
      <c r="I5" s="4">
        <f t="shared" si="1"/>
        <v>833.33333333333326</v>
      </c>
      <c r="J5" s="4">
        <f t="shared" si="1"/>
        <v>833.33333333333326</v>
      </c>
      <c r="K5" s="4">
        <f t="shared" si="1"/>
        <v>833.33333333333326</v>
      </c>
      <c r="L5" s="4">
        <f t="shared" si="1"/>
        <v>833.33333333333326</v>
      </c>
      <c r="M5" s="4">
        <f t="shared" si="1"/>
        <v>833.33333333333326</v>
      </c>
      <c r="N5" s="4">
        <f t="shared" si="1"/>
        <v>833.33333333333326</v>
      </c>
      <c r="O5" s="4">
        <f t="shared" si="1"/>
        <v>833.33333333333326</v>
      </c>
      <c r="P5" s="4">
        <f t="shared" si="1"/>
        <v>833.33333333333326</v>
      </c>
      <c r="Q5" s="4">
        <f t="shared" si="1"/>
        <v>833.33333333333326</v>
      </c>
      <c r="R5" s="4">
        <f t="shared" si="1"/>
        <v>833.33333333333326</v>
      </c>
      <c r="S5" s="4">
        <f t="shared" si="1"/>
        <v>833.33333333333326</v>
      </c>
      <c r="T5" s="4">
        <f t="shared" si="1"/>
        <v>833.33333333333326</v>
      </c>
      <c r="U5" s="4">
        <f t="shared" si="1"/>
        <v>833.33333333333326</v>
      </c>
      <c r="V5" s="4">
        <f t="shared" si="1"/>
        <v>833.33333333333326</v>
      </c>
    </row>
    <row r="6" spans="1:22" x14ac:dyDescent="0.35">
      <c r="A6" s="3" t="s">
        <v>159</v>
      </c>
      <c r="B6" s="4">
        <f>1/(200*0.00000745)</f>
        <v>671.14093959731542</v>
      </c>
      <c r="C6" s="4">
        <f>1/(100*0.00000972)</f>
        <v>1028.80658436214</v>
      </c>
      <c r="D6" s="4">
        <f>1/(200*0.00000745)</f>
        <v>671.14093959731542</v>
      </c>
      <c r="E6" s="4">
        <f>1/(100*0.00000972)</f>
        <v>1028.80658436214</v>
      </c>
      <c r="F6" s="4">
        <f>1/(200*0.00000745)</f>
        <v>671.14093959731542</v>
      </c>
      <c r="G6" s="4">
        <f>1/(100*0.00000972)</f>
        <v>1028.80658436214</v>
      </c>
      <c r="H6" s="4">
        <f>1/(200*0.00000745)</f>
        <v>671.14093959731542</v>
      </c>
      <c r="I6" s="4">
        <f>1/(100*0.00000972)</f>
        <v>1028.80658436214</v>
      </c>
      <c r="J6" s="4">
        <f>1/(200*0.00000745)</f>
        <v>671.14093959731542</v>
      </c>
      <c r="K6" s="4">
        <f>1/(200*0.00000745)</f>
        <v>671.14093959731542</v>
      </c>
      <c r="L6" s="4">
        <f>1/(100*0.00000972)</f>
        <v>1028.80658436214</v>
      </c>
      <c r="M6" s="4">
        <f>1/(200*0.00000745)</f>
        <v>671.14093959731542</v>
      </c>
      <c r="N6" s="4">
        <f>1/(100*0.00000972)</f>
        <v>1028.80658436214</v>
      </c>
      <c r="O6" s="4">
        <f>1/(200*0.00000745)</f>
        <v>671.14093959731542</v>
      </c>
      <c r="P6" s="4">
        <f>1/(100*0.00000972)</f>
        <v>1028.80658436214</v>
      </c>
      <c r="Q6" s="4">
        <f>1/(200*0.00000745)</f>
        <v>671.14093959731542</v>
      </c>
      <c r="R6" s="4">
        <f>1/(200*0.00000745)</f>
        <v>671.14093959731542</v>
      </c>
      <c r="S6" s="4">
        <f>1/(100*0.00000972)</f>
        <v>1028.80658436214</v>
      </c>
      <c r="T6" s="4">
        <f>1/(100*0.00000972)</f>
        <v>1028.80658436214</v>
      </c>
      <c r="U6" s="4">
        <f>1/(100*0.00000972)</f>
        <v>1028.80658436214</v>
      </c>
      <c r="V6" s="4">
        <f>1/(100*0.00000972)</f>
        <v>1028.80658436214</v>
      </c>
    </row>
    <row r="7" spans="1:22" x14ac:dyDescent="0.35">
      <c r="A7" s="3" t="s">
        <v>160</v>
      </c>
      <c r="B7" s="4">
        <f>1/(220*0.00000596)</f>
        <v>762.66015863331302</v>
      </c>
      <c r="C7" s="4">
        <f>1/(110*0.00000972)</f>
        <v>935.27871305649091</v>
      </c>
      <c r="D7" s="4">
        <f>1/(220*0.00000596)</f>
        <v>762.66015863331302</v>
      </c>
      <c r="E7" s="4">
        <f>1/(110*0.00000972)</f>
        <v>935.27871305649091</v>
      </c>
      <c r="F7" s="4">
        <f>1/(220*0.00000596)</f>
        <v>762.66015863331302</v>
      </c>
      <c r="G7" s="4">
        <f>1/(110*0.00000972)</f>
        <v>935.27871305649091</v>
      </c>
      <c r="H7" s="4">
        <f>1/(220*0.00000596)</f>
        <v>762.66015863331302</v>
      </c>
      <c r="I7" s="4">
        <f>1/(110*0.00000972)</f>
        <v>935.27871305649091</v>
      </c>
      <c r="J7" s="4">
        <f>1/(220*0.00000596)</f>
        <v>762.66015863331302</v>
      </c>
      <c r="K7" s="4">
        <f>1/(220*0.00000596)</f>
        <v>762.66015863331302</v>
      </c>
      <c r="L7" s="4">
        <f>1/(110*0.00000972)</f>
        <v>935.27871305649091</v>
      </c>
      <c r="M7" s="4">
        <f>1/(220*0.00000596)</f>
        <v>762.66015863331302</v>
      </c>
      <c r="N7" s="4">
        <f>1/(110*0.00000972)</f>
        <v>935.27871305649091</v>
      </c>
      <c r="O7" s="4">
        <f>1/(220*0.00000596)</f>
        <v>762.66015863331302</v>
      </c>
      <c r="P7" s="4">
        <f>1/(110*0.00000972)</f>
        <v>935.27871305649091</v>
      </c>
      <c r="Q7" s="4">
        <f>1/(220*0.00000596)</f>
        <v>762.66015863331302</v>
      </c>
      <c r="R7" s="4">
        <f>1/(220*0.00000596)</f>
        <v>762.66015863331302</v>
      </c>
      <c r="S7" s="4">
        <f>1/(110*0.00000972)</f>
        <v>935.27871305649091</v>
      </c>
      <c r="T7" s="4">
        <f>1/(110*0.00000972)</f>
        <v>935.27871305649091</v>
      </c>
      <c r="U7" s="4">
        <f>1/(110*0.00000972)</f>
        <v>935.27871305649091</v>
      </c>
      <c r="V7" s="4">
        <f>1/(110*0.00000972)</f>
        <v>935.27871305649091</v>
      </c>
    </row>
    <row r="8" spans="1:22" x14ac:dyDescent="0.35">
      <c r="A8" s="3" t="s">
        <v>161</v>
      </c>
      <c r="B8" s="4">
        <f>loc_ret!B1</f>
        <v>0</v>
      </c>
      <c r="C8" s="4">
        <f>loc_ret!B2</f>
        <v>1498</v>
      </c>
      <c r="D8" s="4">
        <f>loc_ret!B3</f>
        <v>2438</v>
      </c>
      <c r="E8" s="4">
        <f>loc_ret!B4</f>
        <v>3331</v>
      </c>
      <c r="F8" s="4">
        <f>loc_ret!B5</f>
        <v>4124</v>
      </c>
      <c r="G8" s="4">
        <f>loc_ret!B6</f>
        <v>5109</v>
      </c>
      <c r="H8" s="4">
        <f>loc_ret!B7</f>
        <v>6574</v>
      </c>
      <c r="I8" s="4">
        <f>loc_ret!B8</f>
        <v>7282</v>
      </c>
      <c r="J8" s="4">
        <f>loc_ret!B9</f>
        <v>8105</v>
      </c>
      <c r="K8" s="4">
        <f>loc_ret!B10</f>
        <v>9493</v>
      </c>
      <c r="L8" s="4">
        <f>loc_ret!B11</f>
        <v>10434</v>
      </c>
      <c r="M8" s="4">
        <f>loc_ret!B12</f>
        <v>10994</v>
      </c>
      <c r="N8" s="4">
        <f>loc_ret!B13</f>
        <v>11888</v>
      </c>
      <c r="O8" s="4">
        <f>loc_ret!B14</f>
        <v>12741</v>
      </c>
      <c r="P8" s="4">
        <f>loc_ret!B15</f>
        <v>13652</v>
      </c>
      <c r="Q8" s="4">
        <f>loc_ret!B16</f>
        <v>14632</v>
      </c>
      <c r="R8" s="4">
        <f>loc_ret!B17</f>
        <v>15931</v>
      </c>
      <c r="S8" s="4">
        <f>loc_ret!B18</f>
        <v>17521</v>
      </c>
      <c r="T8" s="4">
        <f>loc_ret!B19</f>
        <v>18147</v>
      </c>
      <c r="U8" s="4">
        <f>loc_ret!B20</f>
        <v>19202</v>
      </c>
      <c r="V8" s="4">
        <f>loc_ret!B21</f>
        <v>20389</v>
      </c>
    </row>
    <row r="9" spans="1:22" x14ac:dyDescent="0.35">
      <c r="A9" s="3" t="s">
        <v>183</v>
      </c>
      <c r="B9" s="4">
        <f>((B3*eletrica!$B$1)-eletrica!$B$1^2)/B2</f>
        <v>1.0500000000000001E-2</v>
      </c>
      <c r="C9" s="4">
        <f>((C3*eletrica!$B$1)-eletrica!$B$1^2)/C2</f>
        <v>1.2352941176470587E-2</v>
      </c>
      <c r="D9" s="4">
        <f>((D3*eletrica!$B$1)-eletrica!$B$1^2)/D2</f>
        <v>1.0500000000000001E-2</v>
      </c>
      <c r="E9" s="4">
        <f>((E3*eletrica!$B$1)-eletrica!$B$1^2)/E2</f>
        <v>1.2352941176470587E-2</v>
      </c>
      <c r="F9" s="4">
        <f>((F3*eletrica!$B$1)-eletrica!$B$1^2)/F2</f>
        <v>1.0500000000000001E-2</v>
      </c>
      <c r="G9" s="4">
        <f>((G3*eletrica!$B$1)-eletrica!$B$1^2)/G2</f>
        <v>1.2352941176470587E-2</v>
      </c>
      <c r="H9" s="4">
        <f>((H3*eletrica!$B$1)-eletrica!$B$1^2)/H2</f>
        <v>1.0500000000000001E-2</v>
      </c>
      <c r="I9" s="4">
        <f>((I3*eletrica!$B$1)-eletrica!$B$1^2)/I2</f>
        <v>1.2352941176470587E-2</v>
      </c>
      <c r="J9" s="4">
        <f>((J3*eletrica!$B$1)-eletrica!$B$1^2)/J2</f>
        <v>1.0500000000000001E-2</v>
      </c>
      <c r="K9" s="4">
        <f>((K3*eletrica!$B$1)-eletrica!$B$1^2)/K2</f>
        <v>1.0500000000000001E-2</v>
      </c>
      <c r="L9" s="4">
        <f>((L3*eletrica!$B$1)-eletrica!$B$1^2)/L2</f>
        <v>1.2352941176470587E-2</v>
      </c>
      <c r="M9" s="4">
        <f>((M3*eletrica!$B$1)-eletrica!$B$1^2)/M2</f>
        <v>1.0500000000000001E-2</v>
      </c>
      <c r="N9" s="4">
        <f>((N3*eletrica!$B$1)-eletrica!$B$1^2)/N2</f>
        <v>1.2352941176470587E-2</v>
      </c>
      <c r="O9" s="4">
        <f>((O3*eletrica!$B$1)-eletrica!$B$1^2)/O2</f>
        <v>1.0500000000000001E-2</v>
      </c>
      <c r="P9" s="4">
        <f>((P3*eletrica!$B$1)-eletrica!$B$1^2)/P2</f>
        <v>1.2352941176470587E-2</v>
      </c>
      <c r="Q9" s="4">
        <f>((Q3*eletrica!$B$1)-eletrica!$B$1^2)/Q2</f>
        <v>1.0500000000000001E-2</v>
      </c>
      <c r="R9" s="4">
        <f>((R3*eletrica!$B$1)-eletrica!$B$1^2)/R2</f>
        <v>1.0500000000000001E-2</v>
      </c>
      <c r="S9" s="4">
        <f>((S3*eletrica!$B$1)-eletrica!$B$1^2)/S2</f>
        <v>1.2352941176470587E-2</v>
      </c>
      <c r="T9" s="4">
        <f>((T3*eletrica!$B$1)-eletrica!$B$1^2)/T2</f>
        <v>1.2352941176470587E-2</v>
      </c>
      <c r="U9" s="4">
        <f>((U3*eletrica!$B$1)-eletrica!$B$1^2)/U2</f>
        <v>1.2352941176470587E-2</v>
      </c>
      <c r="V9" s="4">
        <f>((V3*eletrica!$B$1)-eletrica!$B$1^2)/V2</f>
        <v>1.2352941176470587E-2</v>
      </c>
    </row>
    <row r="10" spans="1:22" x14ac:dyDescent="0.35">
      <c r="A10" s="3" t="s">
        <v>163</v>
      </c>
      <c r="B10" s="4">
        <f>COUNTA(B2:DG2)</f>
        <v>21</v>
      </c>
    </row>
    <row r="12" spans="1:22" x14ac:dyDescent="0.35">
      <c r="A12" s="3" t="s">
        <v>185</v>
      </c>
      <c r="B12" s="4">
        <f>geral!B6+1</f>
        <v>42</v>
      </c>
      <c r="C12" s="4">
        <f>B12+1</f>
        <v>43</v>
      </c>
      <c r="D12" s="4">
        <f>C12+1</f>
        <v>44</v>
      </c>
      <c r="E12" s="4">
        <f t="shared" ref="E12:V12" si="2">D12+1</f>
        <v>45</v>
      </c>
      <c r="F12" s="4">
        <f t="shared" si="2"/>
        <v>46</v>
      </c>
      <c r="G12" s="4">
        <f t="shared" si="2"/>
        <v>47</v>
      </c>
      <c r="H12" s="4">
        <f t="shared" si="2"/>
        <v>48</v>
      </c>
      <c r="I12" s="4">
        <f t="shared" si="2"/>
        <v>49</v>
      </c>
      <c r="J12" s="4">
        <f t="shared" si="2"/>
        <v>50</v>
      </c>
      <c r="K12" s="4">
        <f t="shared" si="2"/>
        <v>51</v>
      </c>
      <c r="L12" s="4">
        <f t="shared" si="2"/>
        <v>52</v>
      </c>
      <c r="M12" s="4">
        <f t="shared" si="2"/>
        <v>53</v>
      </c>
      <c r="N12" s="4">
        <f t="shared" si="2"/>
        <v>54</v>
      </c>
      <c r="O12" s="4">
        <f t="shared" si="2"/>
        <v>55</v>
      </c>
      <c r="P12" s="4">
        <f t="shared" si="2"/>
        <v>56</v>
      </c>
      <c r="Q12" s="4">
        <f t="shared" si="2"/>
        <v>57</v>
      </c>
      <c r="R12" s="4">
        <f t="shared" si="2"/>
        <v>58</v>
      </c>
      <c r="S12" s="4">
        <f t="shared" si="2"/>
        <v>59</v>
      </c>
      <c r="T12" s="4">
        <f t="shared" si="2"/>
        <v>60</v>
      </c>
      <c r="U12" s="4">
        <f t="shared" si="2"/>
        <v>61</v>
      </c>
      <c r="V12" s="4">
        <f t="shared" si="2"/>
        <v>62</v>
      </c>
    </row>
    <row r="13" spans="1:22" x14ac:dyDescent="0.35">
      <c r="A13" s="4" t="s">
        <v>186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  <c r="J13" s="4">
        <v>9</v>
      </c>
      <c r="K13" s="4">
        <v>10</v>
      </c>
      <c r="L13" s="4">
        <v>11</v>
      </c>
      <c r="M13" s="4">
        <v>12</v>
      </c>
      <c r="N13" s="4">
        <v>13</v>
      </c>
      <c r="O13" s="4">
        <v>14</v>
      </c>
      <c r="P13" s="4">
        <v>15</v>
      </c>
      <c r="Q13" s="4">
        <v>16</v>
      </c>
      <c r="R13" s="4">
        <v>17</v>
      </c>
      <c r="S13" s="4">
        <v>18</v>
      </c>
      <c r="T13" s="4">
        <v>19</v>
      </c>
      <c r="U13" s="4">
        <v>20</v>
      </c>
      <c r="V13" s="4">
        <v>21</v>
      </c>
    </row>
  </sheetData>
  <pageMargins left="0.511811024" right="0.511811024" top="0.78740157499999996" bottom="0.78740157499999996" header="0.31496062000000002" footer="0.31496062000000002"/>
  <ignoredErrors>
    <ignoredError sqref="C6:P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238D-5B5D-4575-9355-FF041468F690}">
  <dimension ref="A1:N175"/>
  <sheetViews>
    <sheetView workbookViewId="0">
      <pane ySplit="1" topLeftCell="A2" activePane="bottomLeft" state="frozen"/>
      <selection pane="bottomLeft" activeCell="K1" sqref="K1"/>
    </sheetView>
  </sheetViews>
  <sheetFormatPr defaultColWidth="18.26953125" defaultRowHeight="14.5" x14ac:dyDescent="0.35"/>
  <cols>
    <col min="4" max="4" width="18.26953125" style="4"/>
    <col min="7" max="7" width="18.26953125" customWidth="1"/>
    <col min="8" max="8" width="23.7265625" customWidth="1"/>
    <col min="12" max="12" width="7.1796875" customWidth="1"/>
    <col min="13" max="13" width="18.26953125" customWidth="1"/>
  </cols>
  <sheetData>
    <row r="1" spans="1:14" s="7" customFormat="1" ht="72.5" x14ac:dyDescent="0.35">
      <c r="A1" s="8" t="s">
        <v>168</v>
      </c>
      <c r="B1" s="8" t="s">
        <v>166</v>
      </c>
      <c r="C1" s="8" t="s">
        <v>169</v>
      </c>
      <c r="D1" s="8" t="s">
        <v>172</v>
      </c>
      <c r="E1" s="8" t="s">
        <v>165</v>
      </c>
      <c r="F1" s="8" t="s">
        <v>167</v>
      </c>
      <c r="G1" s="8" t="s">
        <v>173</v>
      </c>
      <c r="H1" s="8" t="s">
        <v>175</v>
      </c>
      <c r="I1" s="8" t="s">
        <v>174</v>
      </c>
      <c r="J1" s="8" t="s">
        <v>181</v>
      </c>
      <c r="K1" s="9" t="s">
        <v>192</v>
      </c>
      <c r="L1" s="9">
        <v>5</v>
      </c>
      <c r="M1" s="9" t="s">
        <v>187</v>
      </c>
      <c r="N1" s="9">
        <v>0</v>
      </c>
    </row>
    <row r="2" spans="1:14" x14ac:dyDescent="0.35">
      <c r="A2" t="s">
        <v>26</v>
      </c>
      <c r="B2" s="4">
        <v>1</v>
      </c>
      <c r="C2" s="4">
        <v>0</v>
      </c>
      <c r="D2" s="4">
        <v>75</v>
      </c>
      <c r="E2" s="11">
        <f>loc_est!B1+(tam_plat!B1/2)</f>
        <v>145</v>
      </c>
      <c r="F2" s="6">
        <f>IF(D2&gt;0,((D2*(1-($N$1/100)))-$L$1)/3.6,0)</f>
        <v>19.444444444444443</v>
      </c>
      <c r="G2" s="6">
        <v>1</v>
      </c>
      <c r="H2" s="10">
        <f>IF(C2=0,1,"")</f>
        <v>1</v>
      </c>
      <c r="I2" s="6">
        <v>18</v>
      </c>
      <c r="J2" s="6">
        <f>I2/geral!$B$1</f>
        <v>72</v>
      </c>
    </row>
    <row r="3" spans="1:14" x14ac:dyDescent="0.35">
      <c r="B3" s="4">
        <v>2</v>
      </c>
      <c r="C3" s="4">
        <v>0</v>
      </c>
      <c r="D3" s="4">
        <v>87</v>
      </c>
      <c r="E3" s="4">
        <v>351</v>
      </c>
      <c r="F3" s="6">
        <f t="shared" ref="F3:F66" si="0">IF(D3&gt;0,((D3*(1-($N$1/100)))-$L$1)/3.6,0)</f>
        <v>22.777777777777779</v>
      </c>
      <c r="G3" s="6">
        <f>IF(ISBLANK(A3),G2,"")</f>
        <v>1</v>
      </c>
      <c r="H3" s="10">
        <f t="shared" ref="H3:H66" si="1">IF(C3=0,1,"")</f>
        <v>1</v>
      </c>
      <c r="I3" s="6">
        <v>18</v>
      </c>
      <c r="J3" s="6">
        <f>I3/geral!$B$1</f>
        <v>72</v>
      </c>
    </row>
    <row r="4" spans="1:14" x14ac:dyDescent="0.35">
      <c r="B4" s="4">
        <v>3</v>
      </c>
      <c r="C4" s="4">
        <v>0</v>
      </c>
      <c r="D4" s="4">
        <v>75</v>
      </c>
      <c r="E4" s="4">
        <v>793</v>
      </c>
      <c r="F4" s="6">
        <f t="shared" si="0"/>
        <v>19.444444444444443</v>
      </c>
      <c r="G4" s="6">
        <f>IF(ISBLANK(A4),G3,"")</f>
        <v>1</v>
      </c>
      <c r="H4" s="10">
        <f t="shared" si="1"/>
        <v>1</v>
      </c>
      <c r="I4" s="6">
        <v>18</v>
      </c>
      <c r="J4" s="6">
        <f>I4/geral!$B$1</f>
        <v>72</v>
      </c>
    </row>
    <row r="5" spans="1:14" x14ac:dyDescent="0.35">
      <c r="B5" s="4">
        <v>4</v>
      </c>
      <c r="C5" s="4">
        <v>0</v>
      </c>
      <c r="D5" s="4">
        <v>44</v>
      </c>
      <c r="E5" s="4">
        <v>1101</v>
      </c>
      <c r="F5" s="6">
        <f t="shared" si="0"/>
        <v>10.833333333333334</v>
      </c>
      <c r="G5" s="6">
        <f>IF(ISBLANK(A5),G4,"")</f>
        <v>1</v>
      </c>
      <c r="H5" s="10">
        <f t="shared" si="1"/>
        <v>1</v>
      </c>
      <c r="I5" s="6">
        <v>18</v>
      </c>
      <c r="J5" s="6">
        <f>I5/geral!$B$1</f>
        <v>72</v>
      </c>
    </row>
    <row r="6" spans="1:14" x14ac:dyDescent="0.35">
      <c r="B6" s="4">
        <v>5</v>
      </c>
      <c r="C6" s="4">
        <v>1</v>
      </c>
      <c r="D6" s="4">
        <v>0</v>
      </c>
      <c r="E6" s="4">
        <f>E7-tam_plat!B2</f>
        <v>1196</v>
      </c>
      <c r="F6" s="6">
        <f t="shared" si="0"/>
        <v>0</v>
      </c>
      <c r="G6" s="6">
        <f>IF(ISBLANK(A6),G5,"")</f>
        <v>1</v>
      </c>
      <c r="H6" s="10">
        <v>0.65400000000000003</v>
      </c>
      <c r="I6" s="6">
        <v>18</v>
      </c>
      <c r="J6" s="6">
        <f>I6/geral!$B$1</f>
        <v>72</v>
      </c>
    </row>
    <row r="7" spans="1:14" x14ac:dyDescent="0.35">
      <c r="A7" t="s">
        <v>27</v>
      </c>
      <c r="B7" s="4">
        <v>6</v>
      </c>
      <c r="C7" s="4">
        <v>0</v>
      </c>
      <c r="D7" s="4">
        <v>75</v>
      </c>
      <c r="E7" s="4">
        <f>loc_est!B2+(tam_plat!B2/2)</f>
        <v>1332</v>
      </c>
      <c r="F7" s="6">
        <f t="shared" si="0"/>
        <v>19.444444444444443</v>
      </c>
      <c r="G7" s="6">
        <v>1</v>
      </c>
      <c r="H7" s="10">
        <f t="shared" si="1"/>
        <v>1</v>
      </c>
      <c r="I7" s="6">
        <v>18</v>
      </c>
      <c r="J7" s="6">
        <f>I7/geral!$B$1</f>
        <v>72</v>
      </c>
    </row>
    <row r="8" spans="1:14" x14ac:dyDescent="0.35">
      <c r="B8" s="4">
        <v>7</v>
      </c>
      <c r="C8" s="4">
        <v>0</v>
      </c>
      <c r="D8" s="4">
        <v>87</v>
      </c>
      <c r="E8" s="4">
        <v>1496</v>
      </c>
      <c r="F8" s="6">
        <f t="shared" si="0"/>
        <v>22.777777777777779</v>
      </c>
      <c r="G8" s="6">
        <f>IF(ISBLANK(A8),G7,"")</f>
        <v>1</v>
      </c>
      <c r="H8" s="10">
        <f t="shared" si="1"/>
        <v>1</v>
      </c>
      <c r="I8" s="6">
        <v>18</v>
      </c>
      <c r="J8" s="6">
        <f>I8/geral!$B$1</f>
        <v>72</v>
      </c>
    </row>
    <row r="9" spans="1:14" x14ac:dyDescent="0.35">
      <c r="B9" s="4">
        <v>8</v>
      </c>
      <c r="C9" s="4">
        <v>0</v>
      </c>
      <c r="D9" s="4">
        <v>75</v>
      </c>
      <c r="E9" s="4">
        <v>1938</v>
      </c>
      <c r="F9" s="6">
        <f t="shared" si="0"/>
        <v>19.444444444444443</v>
      </c>
      <c r="G9" s="6">
        <f>IF(ISBLANK(A9),G8,"")</f>
        <v>1</v>
      </c>
      <c r="H9" s="10">
        <f t="shared" si="1"/>
        <v>1</v>
      </c>
      <c r="I9" s="6">
        <v>18</v>
      </c>
      <c r="J9" s="6">
        <f>I9/geral!$B$1</f>
        <v>72</v>
      </c>
    </row>
    <row r="10" spans="1:14" x14ac:dyDescent="0.35">
      <c r="B10" s="4">
        <v>9</v>
      </c>
      <c r="C10" s="4">
        <v>0</v>
      </c>
      <c r="D10" s="4">
        <v>44</v>
      </c>
      <c r="E10" s="4">
        <v>2113</v>
      </c>
      <c r="F10" s="6">
        <f t="shared" si="0"/>
        <v>10.833333333333334</v>
      </c>
      <c r="G10" s="6">
        <f>IF(ISBLANK(A10),G9,"")</f>
        <v>1</v>
      </c>
      <c r="H10" s="10">
        <f t="shared" si="1"/>
        <v>1</v>
      </c>
      <c r="I10" s="6">
        <v>18</v>
      </c>
      <c r="J10" s="6">
        <f>I10/geral!$B$1</f>
        <v>72</v>
      </c>
    </row>
    <row r="11" spans="1:14" x14ac:dyDescent="0.35">
      <c r="B11" s="4">
        <v>10</v>
      </c>
      <c r="C11" s="4">
        <v>1</v>
      </c>
      <c r="D11" s="4">
        <v>0</v>
      </c>
      <c r="E11" s="4">
        <f>E12-tam_plat!B3</f>
        <v>2289</v>
      </c>
      <c r="F11" s="6">
        <f t="shared" si="0"/>
        <v>0</v>
      </c>
      <c r="G11" s="6">
        <f>IF(ISBLANK(A11),G10,"")</f>
        <v>1</v>
      </c>
      <c r="H11" s="10">
        <v>0.65400000000000003</v>
      </c>
      <c r="I11" s="6">
        <v>18</v>
      </c>
      <c r="J11" s="6">
        <f>I11/geral!$B$1</f>
        <v>72</v>
      </c>
    </row>
    <row r="12" spans="1:14" x14ac:dyDescent="0.35">
      <c r="A12" t="s">
        <v>28</v>
      </c>
      <c r="B12" s="4">
        <v>11</v>
      </c>
      <c r="C12" s="4">
        <v>0</v>
      </c>
      <c r="D12" s="4">
        <v>75</v>
      </c>
      <c r="E12" s="4">
        <f>loc_est!B3+(tam_plat!B3/2)</f>
        <v>2425</v>
      </c>
      <c r="F12" s="6">
        <f t="shared" si="0"/>
        <v>19.444444444444443</v>
      </c>
      <c r="G12" s="6">
        <v>1</v>
      </c>
      <c r="H12" s="10">
        <f t="shared" si="1"/>
        <v>1</v>
      </c>
      <c r="I12" s="6">
        <v>18</v>
      </c>
      <c r="J12" s="6">
        <f>I12/geral!$B$1</f>
        <v>72</v>
      </c>
    </row>
    <row r="13" spans="1:14" x14ac:dyDescent="0.35">
      <c r="B13" s="4">
        <v>12</v>
      </c>
      <c r="C13" s="4">
        <v>0</v>
      </c>
      <c r="D13" s="4">
        <v>62</v>
      </c>
      <c r="E13" s="4">
        <v>2902</v>
      </c>
      <c r="F13" s="6">
        <f t="shared" si="0"/>
        <v>15.833333333333332</v>
      </c>
      <c r="G13" s="6">
        <f>IF(ISBLANK(A13),G12,"")</f>
        <v>1</v>
      </c>
      <c r="H13" s="10">
        <f t="shared" si="1"/>
        <v>1</v>
      </c>
      <c r="I13" s="6">
        <v>18</v>
      </c>
      <c r="J13" s="6">
        <f>I13/geral!$B$1</f>
        <v>72</v>
      </c>
    </row>
    <row r="14" spans="1:14" x14ac:dyDescent="0.35">
      <c r="B14" s="4">
        <v>13</v>
      </c>
      <c r="C14" s="4">
        <v>0</v>
      </c>
      <c r="D14" s="4">
        <v>44</v>
      </c>
      <c r="E14" s="4">
        <v>2977</v>
      </c>
      <c r="F14" s="6">
        <f t="shared" si="0"/>
        <v>10.833333333333334</v>
      </c>
      <c r="G14" s="6">
        <f>IF(ISBLANK(A14),G13,"")</f>
        <v>1</v>
      </c>
      <c r="H14" s="10">
        <f t="shared" si="1"/>
        <v>1</v>
      </c>
      <c r="I14" s="6">
        <v>18</v>
      </c>
      <c r="J14" s="6">
        <f>I14/geral!$B$1</f>
        <v>72</v>
      </c>
    </row>
    <row r="15" spans="1:14" x14ac:dyDescent="0.35">
      <c r="B15" s="4">
        <v>14</v>
      </c>
      <c r="C15" s="4">
        <v>1</v>
      </c>
      <c r="D15" s="4">
        <v>0</v>
      </c>
      <c r="E15" s="4">
        <f>E16-tam_plat!B4</f>
        <v>3084</v>
      </c>
      <c r="F15" s="6">
        <f t="shared" si="0"/>
        <v>0</v>
      </c>
      <c r="G15" s="6">
        <f>IF(ISBLANK(A15),G14,"")</f>
        <v>1</v>
      </c>
      <c r="H15" s="10">
        <v>0.65400000000000003</v>
      </c>
      <c r="I15" s="6">
        <v>18</v>
      </c>
      <c r="J15" s="6">
        <f>I15/geral!$B$1</f>
        <v>72</v>
      </c>
    </row>
    <row r="16" spans="1:14" x14ac:dyDescent="0.35">
      <c r="A16" t="s">
        <v>29</v>
      </c>
      <c r="B16" s="4">
        <v>15</v>
      </c>
      <c r="C16" s="4">
        <v>0</v>
      </c>
      <c r="D16" s="4">
        <v>62</v>
      </c>
      <c r="E16" s="4">
        <f>loc_est!B4+(tam_plat!B4/2)</f>
        <v>3220</v>
      </c>
      <c r="F16" s="6">
        <f t="shared" si="0"/>
        <v>15.833333333333332</v>
      </c>
      <c r="G16" s="6">
        <v>1</v>
      </c>
      <c r="H16" s="10">
        <f t="shared" si="1"/>
        <v>1</v>
      </c>
      <c r="I16" s="6">
        <v>18</v>
      </c>
      <c r="J16" s="6">
        <f>I16/geral!$B$1</f>
        <v>72</v>
      </c>
    </row>
    <row r="17" spans="1:10" x14ac:dyDescent="0.35">
      <c r="B17" s="4">
        <v>16</v>
      </c>
      <c r="C17" s="4">
        <v>0</v>
      </c>
      <c r="D17" s="4">
        <v>87</v>
      </c>
      <c r="E17" s="4">
        <v>3328</v>
      </c>
      <c r="F17" s="6">
        <f t="shared" si="0"/>
        <v>22.777777777777779</v>
      </c>
      <c r="G17" s="6">
        <f>IF(ISBLANK(A17),G16,"")</f>
        <v>1</v>
      </c>
      <c r="H17" s="10">
        <f t="shared" si="1"/>
        <v>1</v>
      </c>
      <c r="I17" s="6">
        <v>18</v>
      </c>
      <c r="J17" s="6">
        <f>I17/geral!$B$1</f>
        <v>72</v>
      </c>
    </row>
    <row r="18" spans="1:10" x14ac:dyDescent="0.35">
      <c r="B18" s="4">
        <v>17</v>
      </c>
      <c r="C18" s="4">
        <v>0</v>
      </c>
      <c r="D18" s="4">
        <v>75</v>
      </c>
      <c r="E18" s="4">
        <v>3622</v>
      </c>
      <c r="F18" s="6">
        <f t="shared" si="0"/>
        <v>19.444444444444443</v>
      </c>
      <c r="G18" s="6">
        <f>IF(ISBLANK(A18),G17,"")</f>
        <v>1</v>
      </c>
      <c r="H18" s="10">
        <f t="shared" si="1"/>
        <v>1</v>
      </c>
      <c r="I18" s="6">
        <v>18</v>
      </c>
      <c r="J18" s="6">
        <f>I18/geral!$B$1</f>
        <v>72</v>
      </c>
    </row>
    <row r="19" spans="1:10" x14ac:dyDescent="0.35">
      <c r="B19" s="4">
        <v>18</v>
      </c>
      <c r="C19" s="4">
        <v>0</v>
      </c>
      <c r="D19" s="4">
        <v>44</v>
      </c>
      <c r="E19" s="4">
        <v>3780</v>
      </c>
      <c r="F19" s="6">
        <f t="shared" si="0"/>
        <v>10.833333333333334</v>
      </c>
      <c r="G19" s="6">
        <f>IF(ISBLANK(A19),G18,"")</f>
        <v>1</v>
      </c>
      <c r="H19" s="10">
        <f t="shared" si="1"/>
        <v>1</v>
      </c>
      <c r="I19" s="6">
        <v>18</v>
      </c>
      <c r="J19" s="6">
        <f>I19/geral!$B$1</f>
        <v>72</v>
      </c>
    </row>
    <row r="20" spans="1:10" x14ac:dyDescent="0.35">
      <c r="B20" s="4">
        <v>19</v>
      </c>
      <c r="C20" s="4">
        <v>1</v>
      </c>
      <c r="D20" s="4">
        <v>0</v>
      </c>
      <c r="E20" s="4">
        <f>E21-tam_plat!B5</f>
        <v>3979</v>
      </c>
      <c r="F20" s="6">
        <f t="shared" si="0"/>
        <v>0</v>
      </c>
      <c r="G20" s="6">
        <f>IF(ISBLANK(A20),G19,"")</f>
        <v>1</v>
      </c>
      <c r="H20" s="10">
        <v>0.65400000000000003</v>
      </c>
      <c r="I20" s="6">
        <v>18</v>
      </c>
      <c r="J20" s="6">
        <f>I20/geral!$B$1</f>
        <v>72</v>
      </c>
    </row>
    <row r="21" spans="1:10" x14ac:dyDescent="0.35">
      <c r="A21" t="s">
        <v>30</v>
      </c>
      <c r="B21" s="4">
        <v>20</v>
      </c>
      <c r="C21" s="4">
        <v>0</v>
      </c>
      <c r="D21" s="4">
        <v>75</v>
      </c>
      <c r="E21" s="4">
        <f>loc_est!B5+(tam_plat!B5/2)</f>
        <v>4115</v>
      </c>
      <c r="F21" s="6">
        <f t="shared" si="0"/>
        <v>19.444444444444443</v>
      </c>
      <c r="G21" s="6">
        <v>1</v>
      </c>
      <c r="H21" s="10">
        <f t="shared" si="1"/>
        <v>1</v>
      </c>
      <c r="I21" s="6">
        <v>18</v>
      </c>
      <c r="J21" s="6">
        <f>I21/geral!$B$1</f>
        <v>72</v>
      </c>
    </row>
    <row r="22" spans="1:10" x14ac:dyDescent="0.35">
      <c r="B22" s="4">
        <v>21</v>
      </c>
      <c r="C22" s="4">
        <v>0</v>
      </c>
      <c r="D22" s="4">
        <v>87</v>
      </c>
      <c r="E22" s="4">
        <v>4287</v>
      </c>
      <c r="F22" s="6">
        <f t="shared" si="0"/>
        <v>22.777777777777779</v>
      </c>
      <c r="G22" s="6">
        <f>IF(ISBLANK(A22),G21,"")</f>
        <v>1</v>
      </c>
      <c r="H22" s="10">
        <f t="shared" si="1"/>
        <v>1</v>
      </c>
      <c r="I22" s="6">
        <v>18</v>
      </c>
      <c r="J22" s="6">
        <f>I22/geral!$B$1</f>
        <v>72</v>
      </c>
    </row>
    <row r="23" spans="1:10" x14ac:dyDescent="0.35">
      <c r="B23" s="4">
        <v>22</v>
      </c>
      <c r="C23" s="4">
        <v>0</v>
      </c>
      <c r="D23" s="4">
        <v>75</v>
      </c>
      <c r="E23" s="4">
        <v>4940</v>
      </c>
      <c r="F23" s="6">
        <f t="shared" si="0"/>
        <v>19.444444444444443</v>
      </c>
      <c r="G23" s="6">
        <f>IF(ISBLANK(A23),G22,"")</f>
        <v>1</v>
      </c>
      <c r="H23" s="10">
        <f t="shared" si="1"/>
        <v>1</v>
      </c>
      <c r="I23" s="6">
        <v>18</v>
      </c>
      <c r="J23" s="6">
        <f>I23/geral!$B$1</f>
        <v>72</v>
      </c>
    </row>
    <row r="24" spans="1:10" x14ac:dyDescent="0.35">
      <c r="B24" s="4">
        <v>23</v>
      </c>
      <c r="C24" s="4">
        <v>0</v>
      </c>
      <c r="D24" s="4">
        <v>44</v>
      </c>
      <c r="E24" s="4">
        <v>5107</v>
      </c>
      <c r="F24" s="6">
        <f t="shared" si="0"/>
        <v>10.833333333333334</v>
      </c>
      <c r="G24" s="6">
        <f>IF(ISBLANK(A24),G23,"")</f>
        <v>1</v>
      </c>
      <c r="H24" s="10">
        <f t="shared" si="1"/>
        <v>1</v>
      </c>
      <c r="I24" s="6">
        <v>18</v>
      </c>
      <c r="J24" s="6">
        <f>I24/geral!$B$1</f>
        <v>72</v>
      </c>
    </row>
    <row r="25" spans="1:10" x14ac:dyDescent="0.35">
      <c r="B25" s="4">
        <v>24</v>
      </c>
      <c r="C25" s="4">
        <v>1</v>
      </c>
      <c r="D25" s="4">
        <v>0</v>
      </c>
      <c r="E25" s="4">
        <f>E26-tam_plat!B6</f>
        <v>5285</v>
      </c>
      <c r="F25" s="6">
        <f t="shared" si="0"/>
        <v>0</v>
      </c>
      <c r="G25" s="6">
        <f>IF(ISBLANK(A25),G24,"")</f>
        <v>1</v>
      </c>
      <c r="H25" s="10">
        <v>0.65400000000000003</v>
      </c>
      <c r="I25" s="6">
        <v>18</v>
      </c>
      <c r="J25" s="6">
        <f>I25/geral!$B$1</f>
        <v>72</v>
      </c>
    </row>
    <row r="26" spans="1:10" x14ac:dyDescent="0.35">
      <c r="A26" t="s">
        <v>31</v>
      </c>
      <c r="B26" s="4">
        <v>25</v>
      </c>
      <c r="C26" s="4">
        <v>0</v>
      </c>
      <c r="D26" s="4">
        <v>75</v>
      </c>
      <c r="E26" s="4">
        <f>loc_est!B6+(tam_plat!B6/2)</f>
        <v>5421</v>
      </c>
      <c r="F26" s="6">
        <f t="shared" si="0"/>
        <v>19.444444444444443</v>
      </c>
      <c r="G26" s="6">
        <v>1</v>
      </c>
      <c r="H26" s="10">
        <f t="shared" si="1"/>
        <v>1</v>
      </c>
      <c r="I26" s="6">
        <v>18</v>
      </c>
      <c r="J26" s="6">
        <f>I26/geral!$B$1</f>
        <v>72</v>
      </c>
    </row>
    <row r="27" spans="1:10" x14ac:dyDescent="0.35">
      <c r="B27" s="4">
        <v>26</v>
      </c>
      <c r="C27" s="4">
        <v>0</v>
      </c>
      <c r="D27" s="4">
        <v>87</v>
      </c>
      <c r="E27" s="4">
        <v>5588</v>
      </c>
      <c r="F27" s="6">
        <f t="shared" si="0"/>
        <v>22.777777777777779</v>
      </c>
      <c r="G27" s="6">
        <f>IF(ISBLANK(A27),G26,"")</f>
        <v>1</v>
      </c>
      <c r="H27" s="10">
        <f t="shared" si="1"/>
        <v>1</v>
      </c>
      <c r="I27" s="6">
        <v>18</v>
      </c>
      <c r="J27" s="6">
        <f>I27/geral!$B$1</f>
        <v>72</v>
      </c>
    </row>
    <row r="28" spans="1:10" x14ac:dyDescent="0.35">
      <c r="B28" s="4">
        <v>27</v>
      </c>
      <c r="C28" s="4">
        <v>0</v>
      </c>
      <c r="D28" s="4">
        <v>75</v>
      </c>
      <c r="E28" s="4">
        <v>6093</v>
      </c>
      <c r="F28" s="6">
        <f t="shared" si="0"/>
        <v>19.444444444444443</v>
      </c>
      <c r="G28" s="6">
        <f>IF(ISBLANK(A28),G27,"")</f>
        <v>1</v>
      </c>
      <c r="H28" s="10">
        <f t="shared" si="1"/>
        <v>1</v>
      </c>
      <c r="I28" s="6">
        <v>18</v>
      </c>
      <c r="J28" s="6">
        <f>I28/geral!$B$1</f>
        <v>72</v>
      </c>
    </row>
    <row r="29" spans="1:10" x14ac:dyDescent="0.35">
      <c r="B29" s="4">
        <v>28</v>
      </c>
      <c r="C29" s="4">
        <v>0</v>
      </c>
      <c r="D29" s="4">
        <v>44</v>
      </c>
      <c r="E29" s="4">
        <v>6245</v>
      </c>
      <c r="F29" s="6">
        <f t="shared" si="0"/>
        <v>10.833333333333334</v>
      </c>
      <c r="G29" s="6">
        <f>IF(ISBLANK(A29),G28,"")</f>
        <v>1</v>
      </c>
      <c r="H29" s="10">
        <f t="shared" si="1"/>
        <v>1</v>
      </c>
      <c r="I29" s="6">
        <v>18</v>
      </c>
      <c r="J29" s="6">
        <f>I29/geral!$B$1</f>
        <v>72</v>
      </c>
    </row>
    <row r="30" spans="1:10" x14ac:dyDescent="0.35">
      <c r="B30" s="4">
        <v>29</v>
      </c>
      <c r="C30" s="4">
        <v>1</v>
      </c>
      <c r="D30" s="4">
        <v>0</v>
      </c>
      <c r="E30" s="4">
        <f>E31-tam_plat!B7</f>
        <v>6426</v>
      </c>
      <c r="F30" s="6">
        <f t="shared" si="0"/>
        <v>0</v>
      </c>
      <c r="G30" s="6">
        <f>IF(ISBLANK(A30),G29,"")</f>
        <v>1</v>
      </c>
      <c r="H30" s="10">
        <v>0.65400000000000003</v>
      </c>
      <c r="I30" s="6">
        <v>18</v>
      </c>
      <c r="J30" s="6">
        <f>I30/geral!$B$1</f>
        <v>72</v>
      </c>
    </row>
    <row r="31" spans="1:10" x14ac:dyDescent="0.35">
      <c r="A31" t="s">
        <v>32</v>
      </c>
      <c r="B31" s="4">
        <v>30</v>
      </c>
      <c r="C31" s="4">
        <v>0</v>
      </c>
      <c r="D31" s="4">
        <v>75</v>
      </c>
      <c r="E31" s="4">
        <f>loc_est!B7+(tam_plat!B7/2)</f>
        <v>6562</v>
      </c>
      <c r="F31" s="6">
        <f t="shared" si="0"/>
        <v>19.444444444444443</v>
      </c>
      <c r="G31" s="6">
        <v>1</v>
      </c>
      <c r="H31" s="10">
        <f t="shared" si="1"/>
        <v>1</v>
      </c>
      <c r="I31" s="6">
        <v>18</v>
      </c>
      <c r="J31" s="6">
        <f>I31/geral!$B$1</f>
        <v>72</v>
      </c>
    </row>
    <row r="32" spans="1:10" x14ac:dyDescent="0.35">
      <c r="B32" s="4">
        <v>31</v>
      </c>
      <c r="C32" s="4">
        <v>0</v>
      </c>
      <c r="D32" s="4">
        <v>62</v>
      </c>
      <c r="E32" s="4">
        <v>7180</v>
      </c>
      <c r="F32" s="6">
        <f t="shared" si="0"/>
        <v>15.833333333333332</v>
      </c>
      <c r="G32" s="6">
        <f>IF(ISBLANK(A32),G31,"")</f>
        <v>1</v>
      </c>
      <c r="H32" s="10">
        <f t="shared" si="1"/>
        <v>1</v>
      </c>
      <c r="I32" s="6">
        <v>18</v>
      </c>
      <c r="J32" s="6">
        <f>I32/geral!$B$1</f>
        <v>72</v>
      </c>
    </row>
    <row r="33" spans="1:10" x14ac:dyDescent="0.35">
      <c r="B33" s="4">
        <v>32</v>
      </c>
      <c r="C33" s="4">
        <v>0</v>
      </c>
      <c r="D33" s="4">
        <v>44</v>
      </c>
      <c r="E33" s="4">
        <v>7268</v>
      </c>
      <c r="F33" s="6">
        <f t="shared" si="0"/>
        <v>10.833333333333334</v>
      </c>
      <c r="G33" s="6">
        <f>IF(ISBLANK(A33),G32,"")</f>
        <v>1</v>
      </c>
      <c r="H33" s="10">
        <f t="shared" si="1"/>
        <v>1</v>
      </c>
      <c r="I33" s="6">
        <v>18</v>
      </c>
      <c r="J33" s="6">
        <f>I33/geral!$B$1</f>
        <v>72</v>
      </c>
    </row>
    <row r="34" spans="1:10" x14ac:dyDescent="0.35">
      <c r="B34" s="4">
        <v>33</v>
      </c>
      <c r="C34" s="4">
        <v>1</v>
      </c>
      <c r="D34" s="4">
        <v>0</v>
      </c>
      <c r="E34" s="4">
        <f>E35-tam_plat!B8</f>
        <v>7398</v>
      </c>
      <c r="F34" s="6">
        <f t="shared" si="0"/>
        <v>0</v>
      </c>
      <c r="G34" s="6">
        <f>IF(ISBLANK(A34),G33,"")</f>
        <v>1</v>
      </c>
      <c r="H34" s="10">
        <v>0.65400000000000003</v>
      </c>
      <c r="I34" s="6">
        <v>18</v>
      </c>
      <c r="J34" s="6">
        <f>I34/geral!$B$1</f>
        <v>72</v>
      </c>
    </row>
    <row r="35" spans="1:10" x14ac:dyDescent="0.35">
      <c r="A35" t="s">
        <v>33</v>
      </c>
      <c r="B35" s="4">
        <v>34</v>
      </c>
      <c r="C35" s="4">
        <v>0</v>
      </c>
      <c r="D35" s="4">
        <v>75</v>
      </c>
      <c r="E35" s="4">
        <f>loc_est!B8+(tam_plat!B8/2)</f>
        <v>7534</v>
      </c>
      <c r="F35" s="6">
        <f t="shared" si="0"/>
        <v>19.444444444444443</v>
      </c>
      <c r="G35" s="6">
        <v>1</v>
      </c>
      <c r="H35" s="10">
        <f t="shared" si="1"/>
        <v>1</v>
      </c>
      <c r="I35" s="6">
        <v>18</v>
      </c>
      <c r="J35" s="6">
        <f>I35/geral!$B$1</f>
        <v>72</v>
      </c>
    </row>
    <row r="36" spans="1:10" x14ac:dyDescent="0.35">
      <c r="B36" s="4">
        <v>35</v>
      </c>
      <c r="C36" s="4">
        <v>0</v>
      </c>
      <c r="D36" s="4">
        <v>44</v>
      </c>
      <c r="E36" s="4">
        <v>7921</v>
      </c>
      <c r="F36" s="6">
        <f t="shared" si="0"/>
        <v>10.833333333333334</v>
      </c>
      <c r="G36" s="6">
        <f>IF(ISBLANK(A36),G35,"")</f>
        <v>1</v>
      </c>
      <c r="H36" s="10">
        <f t="shared" si="1"/>
        <v>1</v>
      </c>
      <c r="I36" s="6">
        <v>18</v>
      </c>
      <c r="J36" s="6">
        <f>I36/geral!$B$1</f>
        <v>72</v>
      </c>
    </row>
    <row r="37" spans="1:10" x14ac:dyDescent="0.35">
      <c r="B37" s="4">
        <v>36</v>
      </c>
      <c r="C37" s="4">
        <v>1</v>
      </c>
      <c r="D37" s="4">
        <v>0</v>
      </c>
      <c r="E37" s="4">
        <f>E38-tam_plat!B9</f>
        <v>8113</v>
      </c>
      <c r="F37" s="6">
        <f t="shared" si="0"/>
        <v>0</v>
      </c>
      <c r="G37" s="6">
        <f>IF(ISBLANK(A37),G36,"")</f>
        <v>1</v>
      </c>
      <c r="H37" s="10">
        <v>0.65400000000000003</v>
      </c>
      <c r="I37" s="6">
        <v>18</v>
      </c>
      <c r="J37" s="6">
        <f>I37/geral!$B$1</f>
        <v>72</v>
      </c>
    </row>
    <row r="38" spans="1:10" x14ac:dyDescent="0.35">
      <c r="A38" t="s">
        <v>34</v>
      </c>
      <c r="B38" s="4">
        <v>37</v>
      </c>
      <c r="C38" s="4">
        <v>0</v>
      </c>
      <c r="D38" s="4">
        <v>75</v>
      </c>
      <c r="E38" s="4">
        <f>loc_est!B9+(tam_plat!B9/2)</f>
        <v>8249</v>
      </c>
      <c r="F38" s="6">
        <f t="shared" si="0"/>
        <v>19.444444444444443</v>
      </c>
      <c r="G38" s="6">
        <v>1</v>
      </c>
      <c r="H38" s="10">
        <f t="shared" si="1"/>
        <v>1</v>
      </c>
      <c r="I38" s="6">
        <v>18</v>
      </c>
      <c r="J38" s="6">
        <f>I38/geral!$B$1</f>
        <v>72</v>
      </c>
    </row>
    <row r="39" spans="1:10" x14ac:dyDescent="0.35">
      <c r="B39" s="4">
        <v>38</v>
      </c>
      <c r="C39" s="4">
        <v>0</v>
      </c>
      <c r="D39" s="4">
        <v>44</v>
      </c>
      <c r="E39" s="4">
        <v>8591</v>
      </c>
      <c r="F39" s="6">
        <f t="shared" si="0"/>
        <v>10.833333333333334</v>
      </c>
      <c r="G39" s="6">
        <f>IF(ISBLANK(A39),G38,"")</f>
        <v>1</v>
      </c>
      <c r="H39" s="10">
        <f t="shared" si="1"/>
        <v>1</v>
      </c>
      <c r="I39" s="6">
        <v>18</v>
      </c>
      <c r="J39" s="6">
        <f>I39/geral!$B$1</f>
        <v>72</v>
      </c>
    </row>
    <row r="40" spans="1:10" x14ac:dyDescent="0.35">
      <c r="B40" s="4">
        <v>39</v>
      </c>
      <c r="C40" s="4">
        <v>1</v>
      </c>
      <c r="D40" s="4">
        <v>0</v>
      </c>
      <c r="E40" s="4">
        <f>E41-tam_plat!B10</f>
        <v>8787</v>
      </c>
      <c r="F40" s="6">
        <f t="shared" si="0"/>
        <v>0</v>
      </c>
      <c r="G40" s="6">
        <f>IF(ISBLANK(A40),G39,"")</f>
        <v>1</v>
      </c>
      <c r="H40" s="10">
        <v>0.65400000000000003</v>
      </c>
      <c r="I40" s="6">
        <v>18</v>
      </c>
      <c r="J40" s="6">
        <f>I40/geral!$B$1</f>
        <v>72</v>
      </c>
    </row>
    <row r="41" spans="1:10" x14ac:dyDescent="0.35">
      <c r="A41" t="s">
        <v>35</v>
      </c>
      <c r="B41" s="4">
        <v>40</v>
      </c>
      <c r="C41" s="4">
        <v>0</v>
      </c>
      <c r="D41" s="4">
        <v>75</v>
      </c>
      <c r="E41" s="4">
        <f>loc_est!B10+(tam_plat!B10/2)</f>
        <v>8923</v>
      </c>
      <c r="F41" s="6">
        <f t="shared" si="0"/>
        <v>19.444444444444443</v>
      </c>
      <c r="G41" s="6">
        <v>1</v>
      </c>
      <c r="H41" s="10">
        <f t="shared" si="1"/>
        <v>1</v>
      </c>
      <c r="I41" s="6">
        <v>18</v>
      </c>
      <c r="J41" s="6">
        <f>I41/geral!$B$1</f>
        <v>72</v>
      </c>
    </row>
    <row r="42" spans="1:10" x14ac:dyDescent="0.35">
      <c r="B42" s="4">
        <v>41</v>
      </c>
      <c r="C42" s="4">
        <v>0</v>
      </c>
      <c r="D42" s="4">
        <v>62</v>
      </c>
      <c r="E42" s="4">
        <v>9349</v>
      </c>
      <c r="F42" s="6">
        <f t="shared" si="0"/>
        <v>15.833333333333332</v>
      </c>
      <c r="G42" s="6">
        <f>IF(ISBLANK(A42),G41,"")</f>
        <v>1</v>
      </c>
      <c r="H42" s="10">
        <f t="shared" si="1"/>
        <v>1</v>
      </c>
      <c r="I42" s="6">
        <v>18</v>
      </c>
      <c r="J42" s="6">
        <f>I42/geral!$B$1</f>
        <v>72</v>
      </c>
    </row>
    <row r="43" spans="1:10" x14ac:dyDescent="0.35">
      <c r="B43" s="4">
        <v>42</v>
      </c>
      <c r="C43" s="4">
        <v>0</v>
      </c>
      <c r="D43" s="4">
        <v>44</v>
      </c>
      <c r="E43" s="4">
        <v>9490</v>
      </c>
      <c r="F43" s="6">
        <f t="shared" si="0"/>
        <v>10.833333333333334</v>
      </c>
      <c r="G43" s="6">
        <f>IF(ISBLANK(A43),G42,"")</f>
        <v>1</v>
      </c>
      <c r="H43" s="10">
        <f t="shared" si="1"/>
        <v>1</v>
      </c>
      <c r="I43" s="6">
        <v>18</v>
      </c>
      <c r="J43" s="6">
        <f>I43/geral!$B$1</f>
        <v>72</v>
      </c>
    </row>
    <row r="44" spans="1:10" x14ac:dyDescent="0.35">
      <c r="B44" s="4">
        <v>43</v>
      </c>
      <c r="C44" s="4">
        <v>1</v>
      </c>
      <c r="D44" s="4">
        <v>0</v>
      </c>
      <c r="E44" s="4">
        <f>E45-tam_plat!B11</f>
        <v>9619</v>
      </c>
      <c r="F44" s="6">
        <f t="shared" si="0"/>
        <v>0</v>
      </c>
      <c r="G44" s="6">
        <f>IF(ISBLANK(A44),G43,"")</f>
        <v>1</v>
      </c>
      <c r="H44" s="10">
        <v>0.65400000000000003</v>
      </c>
      <c r="I44" s="6">
        <v>18</v>
      </c>
      <c r="J44" s="6">
        <f>I44/geral!$B$1</f>
        <v>72</v>
      </c>
    </row>
    <row r="45" spans="1:10" x14ac:dyDescent="0.35">
      <c r="A45" t="s">
        <v>36</v>
      </c>
      <c r="B45" s="4">
        <v>44</v>
      </c>
      <c r="C45" s="4">
        <v>0</v>
      </c>
      <c r="D45" s="4">
        <v>75</v>
      </c>
      <c r="E45" s="4">
        <f>loc_est!B11+(tam_plat!B11/2)</f>
        <v>9755</v>
      </c>
      <c r="F45" s="6">
        <f t="shared" si="0"/>
        <v>19.444444444444443</v>
      </c>
      <c r="G45" s="6">
        <v>1</v>
      </c>
      <c r="H45" s="10">
        <f t="shared" si="1"/>
        <v>1</v>
      </c>
      <c r="I45" s="6">
        <v>18</v>
      </c>
      <c r="J45" s="6">
        <f>I45/geral!$B$1</f>
        <v>72</v>
      </c>
    </row>
    <row r="46" spans="1:10" x14ac:dyDescent="0.35">
      <c r="B46" s="4">
        <v>45</v>
      </c>
      <c r="C46" s="4">
        <v>0</v>
      </c>
      <c r="D46" s="4">
        <v>62</v>
      </c>
      <c r="E46" s="4">
        <v>10108</v>
      </c>
      <c r="F46" s="6">
        <f t="shared" si="0"/>
        <v>15.833333333333332</v>
      </c>
      <c r="G46" s="6">
        <f>IF(ISBLANK(A46),G45,"")</f>
        <v>1</v>
      </c>
      <c r="H46" s="10">
        <f t="shared" si="1"/>
        <v>1</v>
      </c>
      <c r="I46" s="6">
        <v>18</v>
      </c>
      <c r="J46" s="6">
        <f>I46/geral!$B$1</f>
        <v>72</v>
      </c>
    </row>
    <row r="47" spans="1:10" x14ac:dyDescent="0.35">
      <c r="B47" s="4">
        <v>46</v>
      </c>
      <c r="C47" s="4">
        <v>0</v>
      </c>
      <c r="D47" s="4">
        <v>44</v>
      </c>
      <c r="E47" s="4">
        <v>10265</v>
      </c>
      <c r="F47" s="6">
        <f t="shared" si="0"/>
        <v>10.833333333333334</v>
      </c>
      <c r="G47" s="6">
        <f>IF(ISBLANK(A47),G46,"")</f>
        <v>1</v>
      </c>
      <c r="H47" s="10">
        <f t="shared" si="1"/>
        <v>1</v>
      </c>
      <c r="I47" s="6">
        <v>18</v>
      </c>
      <c r="J47" s="6">
        <f>I47/geral!$B$1</f>
        <v>72</v>
      </c>
    </row>
    <row r="48" spans="1:10" x14ac:dyDescent="0.35">
      <c r="B48" s="4">
        <v>47</v>
      </c>
      <c r="C48" s="4">
        <v>1</v>
      </c>
      <c r="D48" s="4">
        <v>0</v>
      </c>
      <c r="E48" s="4">
        <f>E49-tam_plat!B12</f>
        <v>10453</v>
      </c>
      <c r="F48" s="6">
        <f t="shared" si="0"/>
        <v>0</v>
      </c>
      <c r="G48" s="6">
        <f>IF(ISBLANK(A48),G47,"")</f>
        <v>1</v>
      </c>
      <c r="H48" s="10">
        <v>0.65400000000000003</v>
      </c>
      <c r="I48" s="6">
        <v>18</v>
      </c>
      <c r="J48" s="6">
        <f>I48/geral!$B$1</f>
        <v>72</v>
      </c>
    </row>
    <row r="49" spans="1:10" x14ac:dyDescent="0.35">
      <c r="A49" t="s">
        <v>37</v>
      </c>
      <c r="B49" s="4">
        <v>48</v>
      </c>
      <c r="C49" s="4">
        <v>0</v>
      </c>
      <c r="D49" s="4">
        <v>62</v>
      </c>
      <c r="E49" s="4">
        <f>loc_est!B12+(tam_plat!B12/2)</f>
        <v>10589</v>
      </c>
      <c r="F49" s="6">
        <f t="shared" si="0"/>
        <v>15.833333333333332</v>
      </c>
      <c r="G49" s="6">
        <v>1</v>
      </c>
      <c r="H49" s="10">
        <f t="shared" si="1"/>
        <v>1</v>
      </c>
      <c r="I49" s="6">
        <v>18</v>
      </c>
      <c r="J49" s="6">
        <f>I49/geral!$B$1</f>
        <v>72</v>
      </c>
    </row>
    <row r="50" spans="1:10" x14ac:dyDescent="0.35">
      <c r="B50" s="4">
        <v>49</v>
      </c>
      <c r="C50" s="4">
        <v>0</v>
      </c>
      <c r="D50" s="4">
        <v>44</v>
      </c>
      <c r="E50" s="4">
        <v>10789</v>
      </c>
      <c r="F50" s="6">
        <f t="shared" si="0"/>
        <v>10.833333333333334</v>
      </c>
      <c r="G50" s="6">
        <f>IF(ISBLANK(A50),G49,"")</f>
        <v>1</v>
      </c>
      <c r="H50" s="10">
        <f t="shared" si="1"/>
        <v>1</v>
      </c>
      <c r="I50" s="6">
        <v>18</v>
      </c>
      <c r="J50" s="6">
        <f>I50/geral!$B$1</f>
        <v>72</v>
      </c>
    </row>
    <row r="51" spans="1:10" x14ac:dyDescent="0.35">
      <c r="B51" s="4">
        <v>50</v>
      </c>
      <c r="C51" s="4">
        <v>1</v>
      </c>
      <c r="D51" s="4">
        <v>0</v>
      </c>
      <c r="E51" s="4">
        <f>E52-tam_plat!B13</f>
        <v>11040</v>
      </c>
      <c r="F51" s="6">
        <f t="shared" si="0"/>
        <v>0</v>
      </c>
      <c r="G51" s="6">
        <f>IF(ISBLANK(A51),G50,"")</f>
        <v>1</v>
      </c>
      <c r="H51" s="10">
        <v>0.65400000000000003</v>
      </c>
      <c r="I51" s="6">
        <v>18</v>
      </c>
      <c r="J51" s="6">
        <f>I51/geral!$B$1</f>
        <v>72</v>
      </c>
    </row>
    <row r="52" spans="1:10" x14ac:dyDescent="0.35">
      <c r="A52" t="s">
        <v>38</v>
      </c>
      <c r="B52" s="4">
        <v>51</v>
      </c>
      <c r="C52" s="4">
        <v>0</v>
      </c>
      <c r="D52" s="4">
        <v>75</v>
      </c>
      <c r="E52" s="4">
        <f>loc_est!B13+(tam_plat!B13/2)</f>
        <v>11176</v>
      </c>
      <c r="F52" s="6">
        <f t="shared" si="0"/>
        <v>19.444444444444443</v>
      </c>
      <c r="G52" s="6">
        <v>1</v>
      </c>
      <c r="H52" s="10">
        <f t="shared" si="1"/>
        <v>1</v>
      </c>
      <c r="I52" s="6">
        <v>18</v>
      </c>
      <c r="J52" s="6">
        <f>I52/geral!$B$1</f>
        <v>72</v>
      </c>
    </row>
    <row r="53" spans="1:10" x14ac:dyDescent="0.35">
      <c r="B53" s="4">
        <v>52</v>
      </c>
      <c r="C53" s="4">
        <v>0</v>
      </c>
      <c r="D53" s="4">
        <v>44</v>
      </c>
      <c r="E53" s="4">
        <v>11578</v>
      </c>
      <c r="F53" s="6">
        <f t="shared" si="0"/>
        <v>10.833333333333334</v>
      </c>
      <c r="G53" s="6">
        <f>IF(ISBLANK(A53),G52,"")</f>
        <v>1</v>
      </c>
      <c r="H53" s="10">
        <f t="shared" si="1"/>
        <v>1</v>
      </c>
      <c r="I53" s="6">
        <v>18</v>
      </c>
      <c r="J53" s="6">
        <f>I53/geral!$B$1</f>
        <v>72</v>
      </c>
    </row>
    <row r="54" spans="1:10" x14ac:dyDescent="0.35">
      <c r="B54" s="4">
        <v>53</v>
      </c>
      <c r="C54" s="4">
        <v>1</v>
      </c>
      <c r="D54" s="4">
        <v>0</v>
      </c>
      <c r="E54" s="4">
        <f>E55-tam_plat!B14</f>
        <v>11741</v>
      </c>
      <c r="F54" s="6">
        <f t="shared" si="0"/>
        <v>0</v>
      </c>
      <c r="G54" s="6">
        <f>IF(ISBLANK(A54),G53,"")</f>
        <v>1</v>
      </c>
      <c r="H54" s="10">
        <v>0.65400000000000003</v>
      </c>
      <c r="I54" s="6">
        <v>18</v>
      </c>
      <c r="J54" s="6">
        <f>I54/geral!$B$1</f>
        <v>72</v>
      </c>
    </row>
    <row r="55" spans="1:10" x14ac:dyDescent="0.35">
      <c r="A55" t="s">
        <v>39</v>
      </c>
      <c r="B55" s="4">
        <v>54</v>
      </c>
      <c r="C55" s="4">
        <v>0</v>
      </c>
      <c r="D55" s="4">
        <v>75</v>
      </c>
      <c r="E55" s="4">
        <f>loc_est!B14+(tam_plat!B14/2)</f>
        <v>11877</v>
      </c>
      <c r="F55" s="6">
        <f t="shared" si="0"/>
        <v>19.444444444444443</v>
      </c>
      <c r="G55" s="6">
        <v>1</v>
      </c>
      <c r="H55" s="10">
        <f t="shared" si="1"/>
        <v>1</v>
      </c>
      <c r="I55" s="6">
        <v>18</v>
      </c>
      <c r="J55" s="6">
        <f>I55/geral!$B$1</f>
        <v>72</v>
      </c>
    </row>
    <row r="56" spans="1:10" x14ac:dyDescent="0.35">
      <c r="B56" s="4">
        <v>55</v>
      </c>
      <c r="C56" s="4">
        <v>0</v>
      </c>
      <c r="D56" s="4">
        <v>44</v>
      </c>
      <c r="E56" s="4">
        <v>12402</v>
      </c>
      <c r="F56" s="6">
        <f t="shared" si="0"/>
        <v>10.833333333333334</v>
      </c>
      <c r="G56" s="6">
        <f>IF(ISBLANK(A56),G55,"")</f>
        <v>1</v>
      </c>
      <c r="H56" s="10">
        <f t="shared" si="1"/>
        <v>1</v>
      </c>
      <c r="I56" s="6">
        <v>18</v>
      </c>
      <c r="J56" s="6">
        <f>I56/geral!$B$1</f>
        <v>72</v>
      </c>
    </row>
    <row r="57" spans="1:10" x14ac:dyDescent="0.35">
      <c r="B57" s="4">
        <v>56</v>
      </c>
      <c r="C57" s="4">
        <v>1</v>
      </c>
      <c r="D57" s="4">
        <v>0</v>
      </c>
      <c r="E57" s="4">
        <f>E58-tam_plat!B15</f>
        <v>12592</v>
      </c>
      <c r="F57" s="6">
        <f t="shared" si="0"/>
        <v>0</v>
      </c>
      <c r="G57" s="6">
        <f>IF(ISBLANK(A57),G56,"")</f>
        <v>1</v>
      </c>
      <c r="H57" s="10">
        <v>0.65400000000000003</v>
      </c>
      <c r="I57" s="6">
        <v>18</v>
      </c>
      <c r="J57" s="6">
        <f>I57/geral!$B$1</f>
        <v>72</v>
      </c>
    </row>
    <row r="58" spans="1:10" x14ac:dyDescent="0.35">
      <c r="A58" t="s">
        <v>40</v>
      </c>
      <c r="B58" s="4">
        <v>57</v>
      </c>
      <c r="C58" s="4">
        <v>0</v>
      </c>
      <c r="D58" s="4">
        <v>75</v>
      </c>
      <c r="E58" s="4">
        <f>loc_est!B15+(tam_plat!B15/2)</f>
        <v>12728</v>
      </c>
      <c r="F58" s="6">
        <f t="shared" si="0"/>
        <v>19.444444444444443</v>
      </c>
      <c r="G58" s="6">
        <v>1</v>
      </c>
      <c r="H58" s="10">
        <f t="shared" si="1"/>
        <v>1</v>
      </c>
      <c r="I58" s="6">
        <v>18</v>
      </c>
      <c r="J58" s="6">
        <f>I58/geral!$B$1</f>
        <v>72</v>
      </c>
    </row>
    <row r="59" spans="1:10" x14ac:dyDescent="0.35">
      <c r="B59" s="4">
        <v>58</v>
      </c>
      <c r="C59" s="4">
        <v>0</v>
      </c>
      <c r="D59" s="4">
        <v>44</v>
      </c>
      <c r="E59" s="4">
        <v>13073</v>
      </c>
      <c r="F59" s="6">
        <f t="shared" si="0"/>
        <v>10.833333333333334</v>
      </c>
      <c r="G59" s="6">
        <f>IF(ISBLANK(A59),G58,"")</f>
        <v>1</v>
      </c>
      <c r="H59" s="10">
        <f t="shared" si="1"/>
        <v>1</v>
      </c>
      <c r="I59" s="6">
        <v>18</v>
      </c>
      <c r="J59" s="6">
        <f>I59/geral!$B$1</f>
        <v>72</v>
      </c>
    </row>
    <row r="60" spans="1:10" x14ac:dyDescent="0.35">
      <c r="B60" s="4">
        <v>59</v>
      </c>
      <c r="C60" s="4">
        <v>1</v>
      </c>
      <c r="D60" s="4">
        <v>0</v>
      </c>
      <c r="E60" s="4">
        <f>E61-tam_plat!B16</f>
        <v>13248</v>
      </c>
      <c r="F60" s="6">
        <f t="shared" si="0"/>
        <v>0</v>
      </c>
      <c r="G60" s="6">
        <f>IF(ISBLANK(A60),G59,"")</f>
        <v>1</v>
      </c>
      <c r="H60" s="10">
        <v>0.65400000000000003</v>
      </c>
      <c r="I60" s="6">
        <v>18</v>
      </c>
      <c r="J60" s="6">
        <f>I60/geral!$B$1</f>
        <v>72</v>
      </c>
    </row>
    <row r="61" spans="1:10" x14ac:dyDescent="0.35">
      <c r="A61" t="s">
        <v>41</v>
      </c>
      <c r="B61" s="4">
        <v>60</v>
      </c>
      <c r="C61" s="4">
        <v>0</v>
      </c>
      <c r="D61" s="4">
        <v>75</v>
      </c>
      <c r="E61" s="4">
        <f>loc_est!B16+(tam_plat!B16/2)</f>
        <v>13384</v>
      </c>
      <c r="F61" s="6">
        <f t="shared" si="0"/>
        <v>19.444444444444443</v>
      </c>
      <c r="G61" s="6">
        <v>1</v>
      </c>
      <c r="H61" s="10">
        <f t="shared" si="1"/>
        <v>1</v>
      </c>
      <c r="I61" s="6">
        <v>18</v>
      </c>
      <c r="J61" s="6">
        <f>I61/geral!$B$1</f>
        <v>72</v>
      </c>
    </row>
    <row r="62" spans="1:10" x14ac:dyDescent="0.35">
      <c r="B62" s="4">
        <v>61</v>
      </c>
      <c r="C62" s="4">
        <v>0</v>
      </c>
      <c r="D62" s="4">
        <v>44</v>
      </c>
      <c r="E62" s="4">
        <v>13792</v>
      </c>
      <c r="F62" s="6">
        <f t="shared" si="0"/>
        <v>10.833333333333334</v>
      </c>
      <c r="G62" s="6">
        <f>IF(ISBLANK(A62),G61,"")</f>
        <v>1</v>
      </c>
      <c r="H62" s="10">
        <f t="shared" si="1"/>
        <v>1</v>
      </c>
      <c r="I62" s="6">
        <v>18</v>
      </c>
      <c r="J62" s="6">
        <f>I62/geral!$B$1</f>
        <v>72</v>
      </c>
    </row>
    <row r="63" spans="1:10" x14ac:dyDescent="0.35">
      <c r="B63" s="4">
        <v>62</v>
      </c>
      <c r="C63" s="4">
        <v>1</v>
      </c>
      <c r="D63" s="4">
        <v>0</v>
      </c>
      <c r="E63" s="4">
        <f>E64-tam_plat!B17</f>
        <v>13939</v>
      </c>
      <c r="F63" s="6">
        <f t="shared" si="0"/>
        <v>0</v>
      </c>
      <c r="G63" s="6">
        <f>IF(ISBLANK(A63),G62,"")</f>
        <v>1</v>
      </c>
      <c r="H63" s="10">
        <v>0.65400000000000003</v>
      </c>
      <c r="I63" s="6">
        <v>18</v>
      </c>
      <c r="J63" s="6">
        <f>I63/geral!$B$1</f>
        <v>72</v>
      </c>
    </row>
    <row r="64" spans="1:10" x14ac:dyDescent="0.35">
      <c r="A64" t="s">
        <v>42</v>
      </c>
      <c r="B64" s="4">
        <v>63</v>
      </c>
      <c r="C64" s="4">
        <v>0</v>
      </c>
      <c r="D64" s="4">
        <v>75</v>
      </c>
      <c r="E64" s="4">
        <f>loc_est!B17+(tam_plat!B17/2)</f>
        <v>14075</v>
      </c>
      <c r="F64" s="6">
        <f t="shared" si="0"/>
        <v>19.444444444444443</v>
      </c>
      <c r="G64" s="6">
        <v>1</v>
      </c>
      <c r="H64" s="10">
        <f t="shared" si="1"/>
        <v>1</v>
      </c>
      <c r="I64" s="6">
        <v>18</v>
      </c>
      <c r="J64" s="6">
        <f>I64/geral!$B$1</f>
        <v>72</v>
      </c>
    </row>
    <row r="65" spans="1:10" x14ac:dyDescent="0.35">
      <c r="B65" s="4">
        <v>64</v>
      </c>
      <c r="C65" s="4">
        <v>0</v>
      </c>
      <c r="D65" s="4">
        <v>87</v>
      </c>
      <c r="E65" s="4">
        <v>14629</v>
      </c>
      <c r="F65" s="6">
        <f t="shared" si="0"/>
        <v>22.777777777777779</v>
      </c>
      <c r="G65" s="6">
        <f>IF(ISBLANK(A65),G64,"")</f>
        <v>1</v>
      </c>
      <c r="H65" s="10">
        <f t="shared" si="1"/>
        <v>1</v>
      </c>
      <c r="I65" s="6">
        <v>18</v>
      </c>
      <c r="J65" s="6">
        <f>I65/geral!$B$1</f>
        <v>72</v>
      </c>
    </row>
    <row r="66" spans="1:10" x14ac:dyDescent="0.35">
      <c r="B66" s="4">
        <v>65</v>
      </c>
      <c r="C66" s="4">
        <v>0</v>
      </c>
      <c r="D66" s="4">
        <v>75</v>
      </c>
      <c r="E66" s="4">
        <v>14896</v>
      </c>
      <c r="F66" s="6">
        <f t="shared" si="0"/>
        <v>19.444444444444443</v>
      </c>
      <c r="G66" s="6">
        <f>IF(ISBLANK(A66),G65,"")</f>
        <v>1</v>
      </c>
      <c r="H66" s="10">
        <f t="shared" si="1"/>
        <v>1</v>
      </c>
      <c r="I66" s="6">
        <v>18</v>
      </c>
      <c r="J66" s="6">
        <f>I66/geral!$B$1</f>
        <v>72</v>
      </c>
    </row>
    <row r="67" spans="1:10" x14ac:dyDescent="0.35">
      <c r="B67" s="4">
        <v>66</v>
      </c>
      <c r="C67" s="4">
        <v>0</v>
      </c>
      <c r="D67" s="4">
        <v>44</v>
      </c>
      <c r="E67" s="4">
        <v>15031</v>
      </c>
      <c r="F67" s="6">
        <f t="shared" ref="F67:F130" si="2">IF(D67&gt;0,((D67*(1-($N$1/100)))-$L$1)/3.6,0)</f>
        <v>10.833333333333334</v>
      </c>
      <c r="G67" s="6">
        <f>IF(ISBLANK(A67),G66,"")</f>
        <v>1</v>
      </c>
      <c r="H67" s="10">
        <f t="shared" ref="H67:H129" si="3">IF(C67=0,1,"")</f>
        <v>1</v>
      </c>
      <c r="I67" s="6">
        <v>18</v>
      </c>
      <c r="J67" s="6">
        <f>I67/geral!$B$1</f>
        <v>72</v>
      </c>
    </row>
    <row r="68" spans="1:10" x14ac:dyDescent="0.35">
      <c r="B68" s="4">
        <v>67</v>
      </c>
      <c r="C68" s="4">
        <v>1</v>
      </c>
      <c r="D68" s="4">
        <v>0</v>
      </c>
      <c r="E68" s="4">
        <f>E69-tam_plat!B18</f>
        <v>15182</v>
      </c>
      <c r="F68" s="6">
        <f t="shared" si="2"/>
        <v>0</v>
      </c>
      <c r="G68" s="6">
        <f>IF(ISBLANK(A68),G67,"")</f>
        <v>1</v>
      </c>
      <c r="H68" s="10">
        <v>0.65400000000000003</v>
      </c>
      <c r="I68" s="6">
        <v>18</v>
      </c>
      <c r="J68" s="6">
        <f>I68/geral!$B$1</f>
        <v>72</v>
      </c>
    </row>
    <row r="69" spans="1:10" x14ac:dyDescent="0.35">
      <c r="A69" t="s">
        <v>43</v>
      </c>
      <c r="B69" s="4">
        <v>68</v>
      </c>
      <c r="C69" s="4">
        <v>0</v>
      </c>
      <c r="D69" s="4">
        <v>75</v>
      </c>
      <c r="E69" s="4">
        <f>loc_est!B18+(tam_plat!B18/2)</f>
        <v>15318</v>
      </c>
      <c r="F69" s="6">
        <f t="shared" si="2"/>
        <v>19.444444444444443</v>
      </c>
      <c r="G69" s="6">
        <v>1</v>
      </c>
      <c r="H69" s="10">
        <f t="shared" si="3"/>
        <v>1</v>
      </c>
      <c r="I69" s="6">
        <v>18</v>
      </c>
      <c r="J69" s="6">
        <f>I69/geral!$B$1</f>
        <v>72</v>
      </c>
    </row>
    <row r="70" spans="1:10" x14ac:dyDescent="0.35">
      <c r="B70" s="4">
        <v>69</v>
      </c>
      <c r="C70" s="4">
        <v>0</v>
      </c>
      <c r="D70" s="4">
        <v>44</v>
      </c>
      <c r="E70" s="4">
        <v>15779</v>
      </c>
      <c r="F70" s="6">
        <f t="shared" si="2"/>
        <v>10.833333333333334</v>
      </c>
      <c r="G70" s="6">
        <f>IF(ISBLANK(A70),G69,"")</f>
        <v>1</v>
      </c>
      <c r="H70" s="10">
        <f t="shared" si="3"/>
        <v>1</v>
      </c>
      <c r="I70" s="6">
        <v>18</v>
      </c>
      <c r="J70" s="6">
        <f>I70/geral!$B$1</f>
        <v>72</v>
      </c>
    </row>
    <row r="71" spans="1:10" x14ac:dyDescent="0.35">
      <c r="B71" s="4">
        <v>70</v>
      </c>
      <c r="C71" s="4">
        <v>1</v>
      </c>
      <c r="D71" s="4">
        <v>0</v>
      </c>
      <c r="E71" s="4">
        <f>E72-tam_plat!B19</f>
        <v>15945</v>
      </c>
      <c r="F71" s="6">
        <f t="shared" si="2"/>
        <v>0</v>
      </c>
      <c r="G71" s="6">
        <f>IF(ISBLANK(A71),G70,"")</f>
        <v>1</v>
      </c>
      <c r="H71" s="10">
        <v>0.65400000000000003</v>
      </c>
      <c r="I71" s="6">
        <v>18</v>
      </c>
      <c r="J71" s="6">
        <f>I71/geral!$B$1</f>
        <v>72</v>
      </c>
    </row>
    <row r="72" spans="1:10" x14ac:dyDescent="0.35">
      <c r="A72" t="s">
        <v>44</v>
      </c>
      <c r="B72" s="4">
        <v>71</v>
      </c>
      <c r="C72" s="4">
        <v>0</v>
      </c>
      <c r="D72" s="4">
        <v>75</v>
      </c>
      <c r="E72" s="4">
        <f>loc_est!B19+(tam_plat!B19/2)</f>
        <v>16081</v>
      </c>
      <c r="F72" s="6">
        <f t="shared" si="2"/>
        <v>19.444444444444443</v>
      </c>
      <c r="G72" s="6">
        <v>1</v>
      </c>
      <c r="H72" s="10">
        <f t="shared" si="3"/>
        <v>1</v>
      </c>
      <c r="I72" s="6">
        <v>18</v>
      </c>
      <c r="J72" s="6">
        <f>I72/geral!$B$1</f>
        <v>72</v>
      </c>
    </row>
    <row r="73" spans="1:10" x14ac:dyDescent="0.35">
      <c r="B73" s="4">
        <v>72</v>
      </c>
      <c r="C73" s="4">
        <v>0</v>
      </c>
      <c r="D73" s="4">
        <v>44</v>
      </c>
      <c r="E73" s="4">
        <v>16524</v>
      </c>
      <c r="F73" s="6">
        <f t="shared" si="2"/>
        <v>10.833333333333334</v>
      </c>
      <c r="G73" s="6">
        <f>IF(ISBLANK(A73),G72,"")</f>
        <v>1</v>
      </c>
      <c r="H73" s="10">
        <f t="shared" si="3"/>
        <v>1</v>
      </c>
      <c r="I73" s="6">
        <v>18</v>
      </c>
      <c r="J73" s="6">
        <f>I73/geral!$B$1</f>
        <v>72</v>
      </c>
    </row>
    <row r="74" spans="1:10" x14ac:dyDescent="0.35">
      <c r="B74" s="4">
        <v>73</v>
      </c>
      <c r="C74" s="4">
        <v>1</v>
      </c>
      <c r="D74" s="4">
        <v>0</v>
      </c>
      <c r="E74" s="4">
        <f>E75-tam_plat!B20</f>
        <v>16684</v>
      </c>
      <c r="F74" s="6">
        <f t="shared" si="2"/>
        <v>0</v>
      </c>
      <c r="G74" s="6">
        <f>IF(ISBLANK(A74),G73,"")</f>
        <v>1</v>
      </c>
      <c r="H74" s="10">
        <v>0.65400000000000003</v>
      </c>
      <c r="I74" s="6">
        <v>18</v>
      </c>
      <c r="J74" s="6">
        <f>I74/geral!$B$1</f>
        <v>72</v>
      </c>
    </row>
    <row r="75" spans="1:10" x14ac:dyDescent="0.35">
      <c r="A75" t="s">
        <v>45</v>
      </c>
      <c r="B75" s="4">
        <v>74</v>
      </c>
      <c r="C75" s="4">
        <v>0</v>
      </c>
      <c r="D75" s="4">
        <v>75</v>
      </c>
      <c r="E75" s="4">
        <f>loc_est!B20+(tam_plat!B20/2)</f>
        <v>16820</v>
      </c>
      <c r="F75" s="6">
        <f t="shared" si="2"/>
        <v>19.444444444444443</v>
      </c>
      <c r="G75" s="6">
        <v>1</v>
      </c>
      <c r="H75" s="10">
        <f t="shared" si="3"/>
        <v>1</v>
      </c>
      <c r="I75" s="6">
        <v>18</v>
      </c>
      <c r="J75" s="6">
        <f>I75/geral!$B$1</f>
        <v>72</v>
      </c>
    </row>
    <row r="76" spans="1:10" x14ac:dyDescent="0.35">
      <c r="B76" s="4">
        <v>75</v>
      </c>
      <c r="C76" s="4">
        <v>0</v>
      </c>
      <c r="D76" s="4">
        <v>62</v>
      </c>
      <c r="E76" s="4">
        <v>17952</v>
      </c>
      <c r="F76" s="6">
        <f t="shared" si="2"/>
        <v>15.833333333333332</v>
      </c>
      <c r="G76" s="6">
        <f>IF(ISBLANK(A76),G75,"")</f>
        <v>1</v>
      </c>
      <c r="H76" s="10">
        <f t="shared" si="3"/>
        <v>1</v>
      </c>
      <c r="I76" s="6">
        <v>18</v>
      </c>
      <c r="J76" s="6">
        <f>I76/geral!$B$1</f>
        <v>72</v>
      </c>
    </row>
    <row r="77" spans="1:10" x14ac:dyDescent="0.35">
      <c r="B77" s="4">
        <v>76</v>
      </c>
      <c r="C77" s="4">
        <v>0</v>
      </c>
      <c r="D77" s="4">
        <v>44</v>
      </c>
      <c r="E77" s="4">
        <v>18001</v>
      </c>
      <c r="F77" s="6">
        <f t="shared" si="2"/>
        <v>10.833333333333334</v>
      </c>
      <c r="G77" s="6">
        <f>IF(ISBLANK(A77),G76,"")</f>
        <v>1</v>
      </c>
      <c r="H77" s="10">
        <f t="shared" si="3"/>
        <v>1</v>
      </c>
      <c r="I77" s="6">
        <v>18</v>
      </c>
      <c r="J77" s="6">
        <f>I77/geral!$B$1</f>
        <v>72</v>
      </c>
    </row>
    <row r="78" spans="1:10" x14ac:dyDescent="0.35">
      <c r="B78" s="4">
        <v>77</v>
      </c>
      <c r="C78" s="4">
        <v>1</v>
      </c>
      <c r="D78" s="4">
        <v>0</v>
      </c>
      <c r="E78" s="4">
        <f>E79-tam_plat!B21</f>
        <v>18161</v>
      </c>
      <c r="F78" s="6">
        <f t="shared" si="2"/>
        <v>0</v>
      </c>
      <c r="G78" s="6">
        <f>IF(ISBLANK(A78),G77,"")</f>
        <v>1</v>
      </c>
      <c r="H78" s="10">
        <v>0.65400000000000003</v>
      </c>
      <c r="I78" s="6">
        <v>18</v>
      </c>
      <c r="J78" s="6">
        <f>I78/geral!$B$1</f>
        <v>72</v>
      </c>
    </row>
    <row r="79" spans="1:10" x14ac:dyDescent="0.35">
      <c r="A79" t="s">
        <v>46</v>
      </c>
      <c r="B79" s="4">
        <v>78</v>
      </c>
      <c r="C79" s="4">
        <v>0</v>
      </c>
      <c r="D79" s="4">
        <v>62</v>
      </c>
      <c r="E79" s="4">
        <f>loc_est!B21+(tam_plat!B21/2)</f>
        <v>18297</v>
      </c>
      <c r="F79" s="6">
        <f t="shared" si="2"/>
        <v>15.833333333333332</v>
      </c>
      <c r="G79" s="6">
        <v>1</v>
      </c>
      <c r="H79" s="10">
        <f t="shared" si="3"/>
        <v>1</v>
      </c>
      <c r="I79" s="6">
        <v>18</v>
      </c>
      <c r="J79" s="6">
        <f>I79/geral!$B$1</f>
        <v>72</v>
      </c>
    </row>
    <row r="80" spans="1:10" x14ac:dyDescent="0.35">
      <c r="B80" s="4">
        <v>79</v>
      </c>
      <c r="C80" s="4">
        <v>0</v>
      </c>
      <c r="D80" s="4">
        <v>44</v>
      </c>
      <c r="E80" s="4">
        <v>19040</v>
      </c>
      <c r="F80" s="6">
        <f t="shared" si="2"/>
        <v>10.833333333333334</v>
      </c>
      <c r="G80" s="6">
        <f>IF(ISBLANK(A80),G79,"")</f>
        <v>1</v>
      </c>
      <c r="H80" s="10">
        <f t="shared" si="3"/>
        <v>1</v>
      </c>
      <c r="I80" s="6">
        <v>18</v>
      </c>
      <c r="J80" s="6">
        <f>I80/geral!$B$1</f>
        <v>72</v>
      </c>
    </row>
    <row r="81" spans="1:10" x14ac:dyDescent="0.35">
      <c r="B81" s="4">
        <v>80</v>
      </c>
      <c r="C81" s="4">
        <v>1</v>
      </c>
      <c r="D81" s="4">
        <v>0</v>
      </c>
      <c r="E81" s="4">
        <f>E82-tam_plat!B22</f>
        <v>19216</v>
      </c>
      <c r="F81" s="6">
        <f t="shared" si="2"/>
        <v>0</v>
      </c>
      <c r="G81" s="6">
        <f>IF(ISBLANK(A81),G80,"")</f>
        <v>1</v>
      </c>
      <c r="H81" s="10">
        <v>0.65400000000000003</v>
      </c>
      <c r="I81" s="6">
        <v>18</v>
      </c>
      <c r="J81" s="6">
        <f>I81/geral!$B$1</f>
        <v>72</v>
      </c>
    </row>
    <row r="82" spans="1:10" x14ac:dyDescent="0.35">
      <c r="A82" t="s">
        <v>47</v>
      </c>
      <c r="B82" s="4">
        <v>81</v>
      </c>
      <c r="C82" s="4">
        <v>0</v>
      </c>
      <c r="D82" s="4">
        <v>75</v>
      </c>
      <c r="E82" s="4">
        <f>loc_est!B22+(tam_plat!B22/2)</f>
        <v>19352</v>
      </c>
      <c r="F82" s="6">
        <f t="shared" si="2"/>
        <v>19.444444444444443</v>
      </c>
      <c r="G82" s="6">
        <v>1</v>
      </c>
      <c r="H82" s="10">
        <f t="shared" si="3"/>
        <v>1</v>
      </c>
      <c r="I82" s="6">
        <v>18</v>
      </c>
      <c r="J82" s="6">
        <f>I82/geral!$B$1</f>
        <v>72</v>
      </c>
    </row>
    <row r="83" spans="1:10" x14ac:dyDescent="0.35">
      <c r="B83" s="4">
        <v>82</v>
      </c>
      <c r="C83" s="4">
        <v>0</v>
      </c>
      <c r="D83" s="4">
        <v>44</v>
      </c>
      <c r="E83" s="4">
        <v>20059</v>
      </c>
      <c r="F83" s="6">
        <f t="shared" si="2"/>
        <v>10.833333333333334</v>
      </c>
      <c r="G83" s="6">
        <f>IF(ISBLANK(A83),G82,"")</f>
        <v>1</v>
      </c>
      <c r="H83" s="10">
        <f t="shared" si="3"/>
        <v>1</v>
      </c>
      <c r="I83" s="6">
        <v>18</v>
      </c>
      <c r="J83" s="6">
        <f>I83/geral!$B$1</f>
        <v>72</v>
      </c>
    </row>
    <row r="84" spans="1:10" x14ac:dyDescent="0.35">
      <c r="B84" s="4">
        <v>83</v>
      </c>
      <c r="C84" s="4">
        <v>1</v>
      </c>
      <c r="D84" s="4">
        <v>0</v>
      </c>
      <c r="E84" s="4">
        <f>E85-tam_plat!B23</f>
        <v>20208</v>
      </c>
      <c r="F84" s="6">
        <f t="shared" si="2"/>
        <v>0</v>
      </c>
      <c r="G84" s="6">
        <f>IF(ISBLANK(A84),G83,"")</f>
        <v>1</v>
      </c>
      <c r="H84" s="10">
        <v>0.65400000000000003</v>
      </c>
      <c r="I84" s="6">
        <v>18</v>
      </c>
      <c r="J84" s="6">
        <f>I84/geral!$B$1</f>
        <v>72</v>
      </c>
    </row>
    <row r="85" spans="1:10" x14ac:dyDescent="0.35">
      <c r="A85" t="s">
        <v>48</v>
      </c>
      <c r="B85" s="4">
        <v>84</v>
      </c>
      <c r="C85" s="4">
        <v>0</v>
      </c>
      <c r="D85" s="4">
        <v>44</v>
      </c>
      <c r="E85" s="4">
        <f>loc_est!B23+(tam_plat!B23/2)</f>
        <v>20344</v>
      </c>
      <c r="F85" s="6">
        <f t="shared" si="2"/>
        <v>10.833333333333334</v>
      </c>
      <c r="G85" s="6">
        <v>1</v>
      </c>
      <c r="H85" s="10">
        <f t="shared" si="3"/>
        <v>1</v>
      </c>
      <c r="I85" s="6">
        <v>18</v>
      </c>
      <c r="J85" s="6">
        <f>I85/geral!$B$1</f>
        <v>72</v>
      </c>
    </row>
    <row r="86" spans="1:10" x14ac:dyDescent="0.35">
      <c r="B86" s="4">
        <v>85</v>
      </c>
      <c r="C86" s="4">
        <v>1</v>
      </c>
      <c r="D86" s="4">
        <v>0</v>
      </c>
      <c r="E86" s="4">
        <f>E87-tam_plat!B24</f>
        <v>20875</v>
      </c>
      <c r="F86" s="6">
        <f t="shared" si="2"/>
        <v>0</v>
      </c>
      <c r="G86" s="6">
        <f>IF(ISBLANK(A86),G85,"")</f>
        <v>1</v>
      </c>
      <c r="H86" s="10">
        <v>0.65400000000000003</v>
      </c>
      <c r="I86" s="6">
        <v>18</v>
      </c>
      <c r="J86" s="6">
        <f>I86/geral!$B$1</f>
        <v>72</v>
      </c>
    </row>
    <row r="87" spans="1:10" x14ac:dyDescent="0.35">
      <c r="A87" t="s">
        <v>49</v>
      </c>
      <c r="B87" s="4">
        <v>86</v>
      </c>
      <c r="C87" s="4">
        <v>0</v>
      </c>
      <c r="D87" s="4">
        <v>44</v>
      </c>
      <c r="E87" s="4">
        <f>loc_est!B24</f>
        <v>21011</v>
      </c>
      <c r="F87" s="6">
        <f t="shared" si="2"/>
        <v>10.833333333333334</v>
      </c>
      <c r="G87" s="6">
        <v>1</v>
      </c>
      <c r="H87" s="10">
        <f t="shared" si="3"/>
        <v>1</v>
      </c>
      <c r="I87" s="6">
        <v>30</v>
      </c>
      <c r="J87" s="6">
        <f>I87/geral!$B$1</f>
        <v>120</v>
      </c>
    </row>
    <row r="88" spans="1:10" x14ac:dyDescent="0.35">
      <c r="B88" s="4">
        <v>87</v>
      </c>
      <c r="C88" s="4">
        <v>1</v>
      </c>
      <c r="D88" s="4">
        <v>0</v>
      </c>
      <c r="E88" s="4">
        <f>E89-tam_plat!B25</f>
        <v>21678</v>
      </c>
      <c r="F88" s="6">
        <f t="shared" si="2"/>
        <v>0</v>
      </c>
      <c r="G88" s="6">
        <f>IF(ISBLANK(A88),G87,"")</f>
        <v>1</v>
      </c>
      <c r="H88" s="10">
        <v>0.65400000000000003</v>
      </c>
      <c r="I88" s="6">
        <v>18</v>
      </c>
      <c r="J88" s="6">
        <f>I88/geral!$B$1</f>
        <v>72</v>
      </c>
    </row>
    <row r="89" spans="1:10" x14ac:dyDescent="0.35">
      <c r="A89" t="s">
        <v>48</v>
      </c>
      <c r="B89" s="4">
        <v>88</v>
      </c>
      <c r="C89" s="4">
        <v>0</v>
      </c>
      <c r="D89" s="4">
        <v>62</v>
      </c>
      <c r="E89" s="4">
        <f>(2*geral!$B$10)-loc_est!B23+(tam_plat!B25/2)</f>
        <v>21814</v>
      </c>
      <c r="F89" s="6">
        <f t="shared" si="2"/>
        <v>15.833333333333332</v>
      </c>
      <c r="G89" s="6">
        <v>1</v>
      </c>
      <c r="H89" s="10">
        <f t="shared" si="3"/>
        <v>1</v>
      </c>
      <c r="I89" s="6">
        <v>18</v>
      </c>
      <c r="J89" s="6">
        <f>I89/geral!$B$1</f>
        <v>72</v>
      </c>
    </row>
    <row r="90" spans="1:10" x14ac:dyDescent="0.35">
      <c r="B90" s="4">
        <v>89</v>
      </c>
      <c r="C90" s="4">
        <v>0</v>
      </c>
      <c r="D90" s="4">
        <v>75</v>
      </c>
      <c r="E90" s="4">
        <f>(2*geral!$B$10)-20188</f>
        <v>21834</v>
      </c>
      <c r="F90" s="6">
        <f t="shared" si="2"/>
        <v>19.444444444444443</v>
      </c>
      <c r="G90" s="6">
        <f>IF(ISBLANK(A90),G89,"")</f>
        <v>1</v>
      </c>
      <c r="H90" s="10">
        <f t="shared" si="3"/>
        <v>1</v>
      </c>
      <c r="I90" s="6">
        <v>18</v>
      </c>
      <c r="J90" s="6">
        <f>I90/geral!$B$1</f>
        <v>72</v>
      </c>
    </row>
    <row r="91" spans="1:10" x14ac:dyDescent="0.35">
      <c r="B91" s="4">
        <v>90</v>
      </c>
      <c r="C91" s="4">
        <v>0</v>
      </c>
      <c r="D91" s="4">
        <v>44</v>
      </c>
      <c r="E91" s="4">
        <f>(2*geral!$B$10)-19545</f>
        <v>22477</v>
      </c>
      <c r="F91" s="6">
        <f t="shared" si="2"/>
        <v>10.833333333333334</v>
      </c>
      <c r="G91" s="6">
        <f>IF(ISBLANK(A91),G90,"")</f>
        <v>1</v>
      </c>
      <c r="H91" s="10">
        <f t="shared" si="3"/>
        <v>1</v>
      </c>
      <c r="I91" s="6">
        <v>18</v>
      </c>
      <c r="J91" s="6">
        <f>I91/geral!$B$1</f>
        <v>72</v>
      </c>
    </row>
    <row r="92" spans="1:10" x14ac:dyDescent="0.35">
      <c r="B92" s="4">
        <v>91</v>
      </c>
      <c r="C92" s="4">
        <v>1</v>
      </c>
      <c r="D92" s="4">
        <v>0</v>
      </c>
      <c r="E92" s="4">
        <f>E93-tam_plat!B26</f>
        <v>22670</v>
      </c>
      <c r="F92" s="6">
        <f t="shared" si="2"/>
        <v>0</v>
      </c>
      <c r="G92" s="6">
        <f>IF(ISBLANK(A92),G91,"")</f>
        <v>1</v>
      </c>
      <c r="H92" s="10">
        <v>0.65400000000000003</v>
      </c>
      <c r="I92" s="6">
        <v>18</v>
      </c>
      <c r="J92" s="6">
        <f>I92/geral!$B$1</f>
        <v>72</v>
      </c>
    </row>
    <row r="93" spans="1:10" x14ac:dyDescent="0.35">
      <c r="A93" t="s">
        <v>47</v>
      </c>
      <c r="B93" s="4">
        <v>92</v>
      </c>
      <c r="C93" s="4">
        <v>0</v>
      </c>
      <c r="D93" s="4">
        <v>75</v>
      </c>
      <c r="E93" s="4">
        <f>(2*geral!$B$10)-loc_est!B22+(tam_plat!B26/2)</f>
        <v>22806</v>
      </c>
      <c r="F93" s="6">
        <f t="shared" si="2"/>
        <v>19.444444444444443</v>
      </c>
      <c r="G93" s="6">
        <v>1</v>
      </c>
      <c r="H93" s="10">
        <f t="shared" si="3"/>
        <v>1</v>
      </c>
      <c r="I93" s="6">
        <v>18</v>
      </c>
      <c r="J93" s="6">
        <f>I93/geral!$B$1</f>
        <v>72</v>
      </c>
    </row>
    <row r="94" spans="1:10" x14ac:dyDescent="0.35">
      <c r="B94" s="4">
        <v>93</v>
      </c>
      <c r="C94" s="4">
        <v>0</v>
      </c>
      <c r="D94" s="4">
        <v>62</v>
      </c>
      <c r="E94" s="4">
        <f>(2*geral!$B$10)-18564</f>
        <v>23458</v>
      </c>
      <c r="F94" s="6">
        <f t="shared" si="2"/>
        <v>15.833333333333332</v>
      </c>
      <c r="G94" s="6">
        <f>IF(ISBLANK(A94),G93,"")</f>
        <v>1</v>
      </c>
      <c r="H94" s="10">
        <f t="shared" si="3"/>
        <v>1</v>
      </c>
      <c r="I94" s="6">
        <v>18</v>
      </c>
      <c r="J94" s="6">
        <f>I94/geral!$B$1</f>
        <v>72</v>
      </c>
    </row>
    <row r="95" spans="1:10" x14ac:dyDescent="0.35">
      <c r="B95" s="4">
        <v>94</v>
      </c>
      <c r="C95" s="4">
        <v>0</v>
      </c>
      <c r="D95" s="4">
        <v>44</v>
      </c>
      <c r="E95" s="4">
        <f>(2*geral!$B$10)-18407</f>
        <v>23615</v>
      </c>
      <c r="F95" s="6">
        <f t="shared" si="2"/>
        <v>10.833333333333334</v>
      </c>
      <c r="G95" s="6">
        <f>IF(ISBLANK(A95),G94,"")</f>
        <v>1</v>
      </c>
      <c r="H95" s="10">
        <f t="shared" si="3"/>
        <v>1</v>
      </c>
      <c r="I95" s="6">
        <v>18</v>
      </c>
      <c r="J95" s="6">
        <f>I95/geral!$B$1</f>
        <v>72</v>
      </c>
    </row>
    <row r="96" spans="1:10" x14ac:dyDescent="0.35">
      <c r="B96" s="4">
        <v>95</v>
      </c>
      <c r="C96" s="4">
        <v>1</v>
      </c>
      <c r="D96" s="4">
        <v>0</v>
      </c>
      <c r="E96" s="4">
        <f>E97-tam_plat!B27</f>
        <v>23725</v>
      </c>
      <c r="F96" s="6">
        <f t="shared" si="2"/>
        <v>0</v>
      </c>
      <c r="G96" s="6">
        <f>IF(ISBLANK(A96),G95,"")</f>
        <v>1</v>
      </c>
      <c r="H96" s="10">
        <v>0.65400000000000003</v>
      </c>
      <c r="I96" s="6">
        <v>18</v>
      </c>
      <c r="J96" s="6">
        <f>I96/geral!$B$1</f>
        <v>72</v>
      </c>
    </row>
    <row r="97" spans="1:10" x14ac:dyDescent="0.35">
      <c r="A97" t="s">
        <v>46</v>
      </c>
      <c r="B97" s="4">
        <v>96</v>
      </c>
      <c r="C97" s="4">
        <v>0</v>
      </c>
      <c r="D97" s="4">
        <v>75</v>
      </c>
      <c r="E97" s="4">
        <f>(2*geral!$B$10)-loc_est!B21+(tam_plat!B27/2)</f>
        <v>23861</v>
      </c>
      <c r="F97" s="6">
        <f t="shared" si="2"/>
        <v>19.444444444444443</v>
      </c>
      <c r="G97" s="6">
        <v>1</v>
      </c>
      <c r="H97" s="10">
        <f t="shared" si="3"/>
        <v>1</v>
      </c>
      <c r="I97" s="6">
        <v>18</v>
      </c>
      <c r="J97" s="6">
        <f>I97/geral!$B$1</f>
        <v>72</v>
      </c>
    </row>
    <row r="98" spans="1:10" x14ac:dyDescent="0.35">
      <c r="B98" s="4">
        <v>97</v>
      </c>
      <c r="C98" s="4">
        <v>0</v>
      </c>
      <c r="D98" s="4">
        <v>87</v>
      </c>
      <c r="E98" s="4">
        <f>(2*geral!$B$10)-17999</f>
        <v>24023</v>
      </c>
      <c r="F98" s="6">
        <f t="shared" si="2"/>
        <v>22.777777777777779</v>
      </c>
      <c r="G98" s="6">
        <f>IF(ISBLANK(A98),G97,"")</f>
        <v>1</v>
      </c>
      <c r="H98" s="10">
        <f t="shared" si="3"/>
        <v>1</v>
      </c>
      <c r="I98" s="6">
        <v>18</v>
      </c>
      <c r="J98" s="6">
        <f>I98/geral!$B$1</f>
        <v>72</v>
      </c>
    </row>
    <row r="99" spans="1:10" x14ac:dyDescent="0.35">
      <c r="B99" s="4">
        <v>98</v>
      </c>
      <c r="C99" s="4">
        <v>0</v>
      </c>
      <c r="D99" s="4">
        <v>75</v>
      </c>
      <c r="E99" s="4">
        <f>(2*geral!$B$10)-17369</f>
        <v>24653</v>
      </c>
      <c r="F99" s="6">
        <f t="shared" si="2"/>
        <v>19.444444444444443</v>
      </c>
      <c r="G99" s="6">
        <f>IF(ISBLANK(A99),G98,"")</f>
        <v>1</v>
      </c>
      <c r="H99" s="10">
        <f t="shared" si="3"/>
        <v>1</v>
      </c>
      <c r="I99" s="6">
        <v>18</v>
      </c>
      <c r="J99" s="6">
        <f>I99/geral!$B$1</f>
        <v>72</v>
      </c>
    </row>
    <row r="100" spans="1:10" x14ac:dyDescent="0.35">
      <c r="B100" s="4">
        <v>99</v>
      </c>
      <c r="C100" s="4">
        <v>0</v>
      </c>
      <c r="D100" s="4">
        <v>62</v>
      </c>
      <c r="E100" s="4">
        <f>(2*geral!$B$10)-17009</f>
        <v>25013</v>
      </c>
      <c r="F100" s="6">
        <f t="shared" si="2"/>
        <v>15.833333333333332</v>
      </c>
      <c r="G100" s="6">
        <f>IF(ISBLANK(A100),G99,"")</f>
        <v>1</v>
      </c>
      <c r="H100" s="10">
        <f t="shared" si="3"/>
        <v>1</v>
      </c>
      <c r="I100" s="6">
        <v>18</v>
      </c>
      <c r="J100" s="6">
        <f>I100/geral!$B$1</f>
        <v>72</v>
      </c>
    </row>
    <row r="101" spans="1:10" x14ac:dyDescent="0.35">
      <c r="B101" s="4">
        <v>100</v>
      </c>
      <c r="C101" s="4">
        <v>0</v>
      </c>
      <c r="D101" s="4">
        <v>44</v>
      </c>
      <c r="E101" s="4">
        <f>(2*geral!$B$10)-16925</f>
        <v>25097</v>
      </c>
      <c r="F101" s="6">
        <f t="shared" si="2"/>
        <v>10.833333333333334</v>
      </c>
      <c r="G101" s="6">
        <f>IF(ISBLANK(A101),G100,"")</f>
        <v>1</v>
      </c>
      <c r="H101" s="10">
        <f t="shared" si="3"/>
        <v>1</v>
      </c>
      <c r="I101" s="6">
        <v>18</v>
      </c>
      <c r="J101" s="6">
        <f>I101/geral!$B$1</f>
        <v>72</v>
      </c>
    </row>
    <row r="102" spans="1:10" x14ac:dyDescent="0.35">
      <c r="B102" s="4">
        <v>101</v>
      </c>
      <c r="C102" s="4">
        <v>1</v>
      </c>
      <c r="D102" s="4">
        <v>0</v>
      </c>
      <c r="E102" s="4">
        <f>E103-tam_plat!B28</f>
        <v>25202</v>
      </c>
      <c r="F102" s="6">
        <f t="shared" si="2"/>
        <v>0</v>
      </c>
      <c r="G102" s="6">
        <f>IF(ISBLANK(A102),G101,"")</f>
        <v>1</v>
      </c>
      <c r="H102" s="10">
        <v>0.65400000000000003</v>
      </c>
      <c r="I102" s="6">
        <v>18</v>
      </c>
      <c r="J102" s="6">
        <f>I102/geral!$B$1</f>
        <v>72</v>
      </c>
    </row>
    <row r="103" spans="1:10" x14ac:dyDescent="0.35">
      <c r="A103" t="s">
        <v>45</v>
      </c>
      <c r="B103" s="4">
        <v>102</v>
      </c>
      <c r="C103" s="4">
        <v>0</v>
      </c>
      <c r="D103" s="4">
        <v>75</v>
      </c>
      <c r="E103" s="4">
        <f>(2*geral!$B$10)-loc_est!B20+(tam_plat!B28/2)</f>
        <v>25338</v>
      </c>
      <c r="F103" s="6">
        <f t="shared" si="2"/>
        <v>19.444444444444443</v>
      </c>
      <c r="G103" s="6">
        <v>1</v>
      </c>
      <c r="H103" s="10">
        <f t="shared" si="3"/>
        <v>1</v>
      </c>
      <c r="I103" s="6">
        <v>18</v>
      </c>
      <c r="J103" s="6">
        <f>I103/geral!$B$1</f>
        <v>72</v>
      </c>
    </row>
    <row r="104" spans="1:10" x14ac:dyDescent="0.35">
      <c r="B104" s="4">
        <v>103</v>
      </c>
      <c r="C104" s="4">
        <v>0</v>
      </c>
      <c r="D104" s="4">
        <v>44</v>
      </c>
      <c r="E104" s="4">
        <f>(2*geral!$B$10)-16222</f>
        <v>25800</v>
      </c>
      <c r="F104" s="6">
        <f t="shared" si="2"/>
        <v>10.833333333333334</v>
      </c>
      <c r="G104" s="6">
        <f>IF(ISBLANK(A104),G103,"")</f>
        <v>1</v>
      </c>
      <c r="H104" s="10">
        <f t="shared" si="3"/>
        <v>1</v>
      </c>
      <c r="I104" s="6">
        <v>18</v>
      </c>
      <c r="J104" s="6">
        <f>I104/geral!$B$1</f>
        <v>72</v>
      </c>
    </row>
    <row r="105" spans="1:10" x14ac:dyDescent="0.35">
      <c r="B105" s="4">
        <v>104</v>
      </c>
      <c r="C105" s="4">
        <v>1</v>
      </c>
      <c r="D105" s="4">
        <v>0</v>
      </c>
      <c r="E105" s="4">
        <f>E106-tam_plat!B29</f>
        <v>25941</v>
      </c>
      <c r="F105" s="6">
        <f t="shared" si="2"/>
        <v>0</v>
      </c>
      <c r="G105" s="6">
        <f>IF(ISBLANK(A105),G104,"")</f>
        <v>1</v>
      </c>
      <c r="H105" s="10">
        <v>0.65400000000000003</v>
      </c>
      <c r="I105" s="6">
        <v>18</v>
      </c>
      <c r="J105" s="6">
        <f>I105/geral!$B$1</f>
        <v>72</v>
      </c>
    </row>
    <row r="106" spans="1:10" x14ac:dyDescent="0.35">
      <c r="A106" t="s">
        <v>44</v>
      </c>
      <c r="B106" s="4">
        <v>105</v>
      </c>
      <c r="C106" s="4">
        <v>0</v>
      </c>
      <c r="D106" s="4">
        <v>75</v>
      </c>
      <c r="E106" s="4">
        <f>(2*geral!$B$10)-loc_est!B19+(tam_plat!B29/2)</f>
        <v>26077</v>
      </c>
      <c r="F106" s="6">
        <f t="shared" si="2"/>
        <v>19.444444444444443</v>
      </c>
      <c r="G106" s="6">
        <v>1</v>
      </c>
      <c r="H106" s="10">
        <f t="shared" si="3"/>
        <v>1</v>
      </c>
      <c r="I106" s="6">
        <v>18</v>
      </c>
      <c r="J106" s="6">
        <f>I106/geral!$B$1</f>
        <v>72</v>
      </c>
    </row>
    <row r="107" spans="1:10" x14ac:dyDescent="0.35">
      <c r="B107" s="4">
        <v>106</v>
      </c>
      <c r="C107" s="4">
        <v>0</v>
      </c>
      <c r="D107" s="4">
        <v>44</v>
      </c>
      <c r="E107" s="4">
        <f>(2*geral!$B$10)-15486</f>
        <v>26536</v>
      </c>
      <c r="F107" s="6">
        <f t="shared" si="2"/>
        <v>10.833333333333334</v>
      </c>
      <c r="G107" s="6">
        <f>IF(ISBLANK(A107),G106,"")</f>
        <v>1</v>
      </c>
      <c r="H107" s="10">
        <f t="shared" si="3"/>
        <v>1</v>
      </c>
      <c r="I107" s="6">
        <v>18</v>
      </c>
      <c r="J107" s="6">
        <f>I107/geral!$B$1</f>
        <v>72</v>
      </c>
    </row>
    <row r="108" spans="1:10" x14ac:dyDescent="0.35">
      <c r="B108" s="4">
        <v>107</v>
      </c>
      <c r="C108" s="4">
        <v>1</v>
      </c>
      <c r="D108" s="4">
        <v>0</v>
      </c>
      <c r="E108" s="4">
        <f>E109-tam_plat!B30</f>
        <v>26704</v>
      </c>
      <c r="F108" s="6">
        <f t="shared" si="2"/>
        <v>0</v>
      </c>
      <c r="G108" s="6">
        <f>IF(ISBLANK(A108),G107,"")</f>
        <v>1</v>
      </c>
      <c r="H108" s="10">
        <v>0.65400000000000003</v>
      </c>
      <c r="I108" s="6">
        <v>18</v>
      </c>
      <c r="J108" s="6">
        <f>I108/geral!$B$1</f>
        <v>72</v>
      </c>
    </row>
    <row r="109" spans="1:10" x14ac:dyDescent="0.35">
      <c r="A109" t="s">
        <v>43</v>
      </c>
      <c r="B109" s="4">
        <v>108</v>
      </c>
      <c r="C109" s="4">
        <v>0</v>
      </c>
      <c r="D109" s="4">
        <v>75</v>
      </c>
      <c r="E109" s="4">
        <f>(2*geral!$B$10)-loc_est!B18+(tam_plat!B30/2)</f>
        <v>26840</v>
      </c>
      <c r="F109" s="6">
        <f t="shared" si="2"/>
        <v>19.444444444444443</v>
      </c>
      <c r="G109" s="6">
        <v>1</v>
      </c>
      <c r="H109" s="10">
        <f t="shared" si="3"/>
        <v>1</v>
      </c>
      <c r="I109" s="6">
        <v>18</v>
      </c>
      <c r="J109" s="6">
        <f>I109/geral!$B$1</f>
        <v>72</v>
      </c>
    </row>
    <row r="110" spans="1:10" x14ac:dyDescent="0.35">
      <c r="B110" s="4">
        <v>109</v>
      </c>
      <c r="C110" s="4">
        <v>0</v>
      </c>
      <c r="D110" s="4">
        <v>87</v>
      </c>
      <c r="E110" s="4">
        <f>(2*geral!$B$10)-15035</f>
        <v>26987</v>
      </c>
      <c r="F110" s="6">
        <f t="shared" si="2"/>
        <v>22.777777777777779</v>
      </c>
      <c r="G110" s="6">
        <f>IF(ISBLANK(A110),G109,"")</f>
        <v>1</v>
      </c>
      <c r="H110" s="10">
        <f t="shared" si="3"/>
        <v>1</v>
      </c>
      <c r="I110" s="6">
        <v>18</v>
      </c>
      <c r="J110" s="6">
        <f>I110/geral!$B$1</f>
        <v>72</v>
      </c>
    </row>
    <row r="111" spans="1:10" x14ac:dyDescent="0.35">
      <c r="B111" s="4">
        <v>110</v>
      </c>
      <c r="C111" s="4">
        <v>0</v>
      </c>
      <c r="D111" s="4">
        <v>75</v>
      </c>
      <c r="E111" s="4">
        <f>(2*geral!$B$10)-14765</f>
        <v>27257</v>
      </c>
      <c r="F111" s="6">
        <f t="shared" si="2"/>
        <v>19.444444444444443</v>
      </c>
      <c r="G111" s="6">
        <f>IF(ISBLANK(A111),G110,"")</f>
        <v>1</v>
      </c>
      <c r="H111" s="10">
        <f t="shared" si="3"/>
        <v>1</v>
      </c>
      <c r="I111" s="6">
        <v>18</v>
      </c>
      <c r="J111" s="6">
        <f>I111/geral!$B$1</f>
        <v>72</v>
      </c>
    </row>
    <row r="112" spans="1:10" x14ac:dyDescent="0.35">
      <c r="B112" s="4">
        <v>111</v>
      </c>
      <c r="C112" s="4">
        <v>0</v>
      </c>
      <c r="D112" s="4">
        <v>44</v>
      </c>
      <c r="E112" s="4">
        <f>(2*geral!$B$10)-14207</f>
        <v>27815</v>
      </c>
      <c r="F112" s="6">
        <f t="shared" si="2"/>
        <v>10.833333333333334</v>
      </c>
      <c r="G112" s="6">
        <f>IF(ISBLANK(A112),G111,"")</f>
        <v>1</v>
      </c>
      <c r="H112" s="10">
        <f t="shared" si="3"/>
        <v>1</v>
      </c>
      <c r="I112" s="6">
        <v>18</v>
      </c>
      <c r="J112" s="6">
        <f>I112/geral!$B$1</f>
        <v>72</v>
      </c>
    </row>
    <row r="113" spans="1:10" x14ac:dyDescent="0.35">
      <c r="B113" s="4">
        <v>112</v>
      </c>
      <c r="C113" s="4">
        <v>1</v>
      </c>
      <c r="D113" s="4">
        <v>0</v>
      </c>
      <c r="E113" s="4">
        <f>E114-tam_plat!B31</f>
        <v>27947</v>
      </c>
      <c r="F113" s="6">
        <f t="shared" si="2"/>
        <v>0</v>
      </c>
      <c r="G113" s="6">
        <f>IF(ISBLANK(A113),G112,"")</f>
        <v>1</v>
      </c>
      <c r="H113" s="10">
        <v>0.65400000000000003</v>
      </c>
      <c r="I113" s="6">
        <v>18</v>
      </c>
      <c r="J113" s="6">
        <f>I113/geral!$B$1</f>
        <v>72</v>
      </c>
    </row>
    <row r="114" spans="1:10" x14ac:dyDescent="0.35">
      <c r="A114" t="s">
        <v>42</v>
      </c>
      <c r="B114" s="4">
        <v>113</v>
      </c>
      <c r="C114" s="4">
        <v>0</v>
      </c>
      <c r="D114" s="4">
        <v>75</v>
      </c>
      <c r="E114" s="4">
        <f>(2*geral!$B$10)-loc_est!B17+(tam_plat!B31/2)</f>
        <v>28083</v>
      </c>
      <c r="F114" s="6">
        <f t="shared" si="2"/>
        <v>19.444444444444443</v>
      </c>
      <c r="G114" s="6">
        <v>1</v>
      </c>
      <c r="H114" s="10">
        <f t="shared" si="3"/>
        <v>1</v>
      </c>
      <c r="I114" s="6">
        <v>18</v>
      </c>
      <c r="J114" s="6">
        <f>I114/geral!$B$1</f>
        <v>72</v>
      </c>
    </row>
    <row r="115" spans="1:10" x14ac:dyDescent="0.35">
      <c r="B115" s="4">
        <v>114</v>
      </c>
      <c r="C115" s="4">
        <v>0</v>
      </c>
      <c r="D115" s="4">
        <v>62</v>
      </c>
      <c r="E115" s="4">
        <f>(2*geral!$B$10)-13655</f>
        <v>28367</v>
      </c>
      <c r="F115" s="6">
        <f t="shared" si="2"/>
        <v>15.833333333333332</v>
      </c>
      <c r="G115" s="6">
        <f>IF(ISBLANK(A115),G114,"")</f>
        <v>1</v>
      </c>
      <c r="H115" s="10">
        <f t="shared" si="3"/>
        <v>1</v>
      </c>
      <c r="I115" s="6">
        <v>18</v>
      </c>
      <c r="J115" s="6">
        <f>I115/geral!$B$1</f>
        <v>72</v>
      </c>
    </row>
    <row r="116" spans="1:10" x14ac:dyDescent="0.35">
      <c r="B116" s="4">
        <v>115</v>
      </c>
      <c r="C116" s="4">
        <v>0</v>
      </c>
      <c r="D116" s="4">
        <v>44</v>
      </c>
      <c r="E116" s="4">
        <f>(2*geral!$B$10)-13513</f>
        <v>28509</v>
      </c>
      <c r="F116" s="6">
        <f t="shared" si="2"/>
        <v>10.833333333333334</v>
      </c>
      <c r="G116" s="6">
        <f>IF(ISBLANK(A116),G115,"")</f>
        <v>1</v>
      </c>
      <c r="H116" s="10">
        <f t="shared" si="3"/>
        <v>1</v>
      </c>
      <c r="I116" s="6">
        <v>18</v>
      </c>
      <c r="J116" s="6">
        <f>I116/geral!$B$1</f>
        <v>72</v>
      </c>
    </row>
    <row r="117" spans="1:10" x14ac:dyDescent="0.35">
      <c r="B117" s="4">
        <v>116</v>
      </c>
      <c r="C117" s="4">
        <v>1</v>
      </c>
      <c r="D117" s="4">
        <v>0</v>
      </c>
      <c r="E117" s="4">
        <f>E118-tam_plat!B32</f>
        <v>28638</v>
      </c>
      <c r="F117" s="6">
        <f t="shared" si="2"/>
        <v>0</v>
      </c>
      <c r="G117" s="6">
        <f>IF(ISBLANK(A117),G116,"")</f>
        <v>1</v>
      </c>
      <c r="H117" s="10">
        <v>0.65400000000000003</v>
      </c>
      <c r="I117" s="6">
        <v>18</v>
      </c>
      <c r="J117" s="6">
        <f>I117/geral!$B$1</f>
        <v>72</v>
      </c>
    </row>
    <row r="118" spans="1:10" x14ac:dyDescent="0.35">
      <c r="A118" t="s">
        <v>41</v>
      </c>
      <c r="B118" s="4">
        <v>117</v>
      </c>
      <c r="C118" s="4">
        <v>0</v>
      </c>
      <c r="D118" s="4">
        <v>75</v>
      </c>
      <c r="E118" s="4">
        <f>(2*geral!$B$10)-loc_est!B16+(tam_plat!B32/2)</f>
        <v>28774</v>
      </c>
      <c r="F118" s="6">
        <f t="shared" si="2"/>
        <v>19.444444444444443</v>
      </c>
      <c r="G118" s="6">
        <v>1</v>
      </c>
      <c r="H118" s="10">
        <f t="shared" si="3"/>
        <v>1</v>
      </c>
      <c r="I118" s="6">
        <v>18</v>
      </c>
      <c r="J118" s="6">
        <f>I118/geral!$B$1</f>
        <v>72</v>
      </c>
    </row>
    <row r="119" spans="1:10" x14ac:dyDescent="0.35">
      <c r="B119" s="4">
        <v>118</v>
      </c>
      <c r="C119" s="4">
        <v>0</v>
      </c>
      <c r="D119" s="4">
        <v>44</v>
      </c>
      <c r="E119" s="4">
        <f>(2*geral!$B$10)-12879</f>
        <v>29143</v>
      </c>
      <c r="F119" s="6">
        <f t="shared" si="2"/>
        <v>10.833333333333334</v>
      </c>
      <c r="G119" s="6">
        <f>IF(ISBLANK(A119),G118,"")</f>
        <v>1</v>
      </c>
      <c r="H119" s="10">
        <f t="shared" si="3"/>
        <v>1</v>
      </c>
      <c r="I119" s="6">
        <v>18</v>
      </c>
      <c r="J119" s="6">
        <f>I119/geral!$B$1</f>
        <v>72</v>
      </c>
    </row>
    <row r="120" spans="1:10" x14ac:dyDescent="0.35">
      <c r="B120" s="4">
        <v>119</v>
      </c>
      <c r="C120" s="4">
        <v>1</v>
      </c>
      <c r="D120" s="4">
        <v>0</v>
      </c>
      <c r="E120" s="4">
        <f>E121-tam_plat!B33</f>
        <v>29294</v>
      </c>
      <c r="F120" s="6">
        <f t="shared" si="2"/>
        <v>0</v>
      </c>
      <c r="G120" s="6">
        <f>IF(ISBLANK(A120),G119,"")</f>
        <v>1</v>
      </c>
      <c r="H120" s="10">
        <v>0.65400000000000003</v>
      </c>
      <c r="I120" s="6">
        <v>18</v>
      </c>
      <c r="J120" s="6">
        <f>I120/geral!$B$1</f>
        <v>72</v>
      </c>
    </row>
    <row r="121" spans="1:10" x14ac:dyDescent="0.35">
      <c r="A121" t="s">
        <v>40</v>
      </c>
      <c r="B121" s="4">
        <v>120</v>
      </c>
      <c r="C121" s="4">
        <v>0</v>
      </c>
      <c r="D121" s="4">
        <v>75</v>
      </c>
      <c r="E121" s="4">
        <f>(2*geral!$B$10)-loc_est!B15+(tam_plat!B33/2)</f>
        <v>29430</v>
      </c>
      <c r="F121" s="6">
        <f t="shared" si="2"/>
        <v>19.444444444444443</v>
      </c>
      <c r="G121" s="6">
        <v>1</v>
      </c>
      <c r="H121" s="10">
        <f t="shared" si="3"/>
        <v>1</v>
      </c>
      <c r="I121" s="6">
        <v>18</v>
      </c>
      <c r="J121" s="6">
        <f>I121/geral!$B$1</f>
        <v>72</v>
      </c>
    </row>
    <row r="122" spans="1:10" x14ac:dyDescent="0.35">
      <c r="B122" s="4">
        <v>121</v>
      </c>
      <c r="C122" s="4">
        <v>0</v>
      </c>
      <c r="D122" s="4">
        <v>87</v>
      </c>
      <c r="E122" s="4">
        <f>(2*geral!$B$10)-12404</f>
        <v>29618</v>
      </c>
      <c r="F122" s="6">
        <f t="shared" si="2"/>
        <v>22.777777777777779</v>
      </c>
      <c r="G122" s="6">
        <f>IF(ISBLANK(A122),G121,"")</f>
        <v>1</v>
      </c>
      <c r="H122" s="10">
        <f t="shared" si="3"/>
        <v>1</v>
      </c>
      <c r="I122" s="6">
        <v>18</v>
      </c>
      <c r="J122" s="6">
        <f>I122/geral!$B$1</f>
        <v>72</v>
      </c>
    </row>
    <row r="123" spans="1:10" x14ac:dyDescent="0.35">
      <c r="B123" s="4">
        <v>122</v>
      </c>
      <c r="C123" s="4">
        <v>0</v>
      </c>
      <c r="D123" s="4">
        <v>44</v>
      </c>
      <c r="E123" s="4">
        <f>(2*geral!$B$10)-12061</f>
        <v>29961</v>
      </c>
      <c r="F123" s="6">
        <f t="shared" si="2"/>
        <v>10.833333333333334</v>
      </c>
      <c r="G123" s="6">
        <f>IF(ISBLANK(A123),G122,"")</f>
        <v>1</v>
      </c>
      <c r="H123" s="10">
        <f t="shared" si="3"/>
        <v>1</v>
      </c>
      <c r="I123" s="6">
        <v>18</v>
      </c>
      <c r="J123" s="6">
        <f>I123/geral!$B$1</f>
        <v>72</v>
      </c>
    </row>
    <row r="124" spans="1:10" x14ac:dyDescent="0.35">
      <c r="B124" s="4">
        <v>123</v>
      </c>
      <c r="C124" s="4">
        <v>1</v>
      </c>
      <c r="D124" s="4">
        <v>0</v>
      </c>
      <c r="E124" s="4">
        <f>E125-tam_plat!B34</f>
        <v>30145</v>
      </c>
      <c r="F124" s="6">
        <f t="shared" si="2"/>
        <v>0</v>
      </c>
      <c r="G124" s="6">
        <f>IF(ISBLANK(A124),G123,"")</f>
        <v>1</v>
      </c>
      <c r="H124" s="10">
        <v>0.65400000000000003</v>
      </c>
      <c r="I124" s="6">
        <v>18</v>
      </c>
      <c r="J124" s="6">
        <f>I124/geral!$B$1</f>
        <v>72</v>
      </c>
    </row>
    <row r="125" spans="1:10" x14ac:dyDescent="0.35">
      <c r="A125" t="s">
        <v>39</v>
      </c>
      <c r="B125" s="4">
        <v>124</v>
      </c>
      <c r="C125" s="4">
        <v>0</v>
      </c>
      <c r="D125" s="4">
        <v>62</v>
      </c>
      <c r="E125" s="4">
        <f>(2*geral!$B$10)-loc_est!B14+(tam_plat!B34/2)</f>
        <v>30281</v>
      </c>
      <c r="F125" s="6">
        <f t="shared" si="2"/>
        <v>15.833333333333332</v>
      </c>
      <c r="G125" s="6">
        <v>1</v>
      </c>
      <c r="H125" s="10">
        <f t="shared" si="3"/>
        <v>1</v>
      </c>
      <c r="I125" s="6">
        <v>18</v>
      </c>
      <c r="J125" s="6">
        <f>I125/geral!$B$1</f>
        <v>72</v>
      </c>
    </row>
    <row r="126" spans="1:10" x14ac:dyDescent="0.35">
      <c r="B126" s="4">
        <v>125</v>
      </c>
      <c r="C126" s="4">
        <v>0</v>
      </c>
      <c r="D126" s="4">
        <v>44</v>
      </c>
      <c r="E126" s="4">
        <f>(2*geral!$B$10)-11248</f>
        <v>30774</v>
      </c>
      <c r="F126" s="6">
        <f t="shared" si="2"/>
        <v>10.833333333333334</v>
      </c>
      <c r="G126" s="6">
        <f>IF(ISBLANK(A126),G125,"")</f>
        <v>1</v>
      </c>
      <c r="H126" s="10">
        <f t="shared" si="3"/>
        <v>1</v>
      </c>
      <c r="I126" s="6">
        <v>18</v>
      </c>
      <c r="J126" s="6">
        <f>I126/geral!$B$1</f>
        <v>72</v>
      </c>
    </row>
    <row r="127" spans="1:10" x14ac:dyDescent="0.35">
      <c r="B127" s="4">
        <v>126</v>
      </c>
      <c r="C127" s="4">
        <v>1</v>
      </c>
      <c r="D127" s="4">
        <v>0</v>
      </c>
      <c r="E127" s="4">
        <f>E128-tam_plat!B35</f>
        <v>30846</v>
      </c>
      <c r="F127" s="6">
        <f t="shared" si="2"/>
        <v>0</v>
      </c>
      <c r="G127" s="6">
        <f>IF(ISBLANK(A127),G126,"")</f>
        <v>1</v>
      </c>
      <c r="H127" s="10">
        <v>0.65400000000000003</v>
      </c>
      <c r="I127" s="6">
        <v>18</v>
      </c>
      <c r="J127" s="6">
        <f>I127/geral!$B$1</f>
        <v>72</v>
      </c>
    </row>
    <row r="128" spans="1:10" x14ac:dyDescent="0.35">
      <c r="A128" t="s">
        <v>38</v>
      </c>
      <c r="B128" s="4">
        <v>127</v>
      </c>
      <c r="C128" s="4">
        <v>0</v>
      </c>
      <c r="D128" s="4">
        <v>62</v>
      </c>
      <c r="E128" s="4">
        <f>(2*geral!$B$10)-loc_est!B13+(tam_plat!B35/2)</f>
        <v>30982</v>
      </c>
      <c r="F128" s="6">
        <f t="shared" si="2"/>
        <v>15.833333333333332</v>
      </c>
      <c r="G128" s="6">
        <v>1</v>
      </c>
      <c r="H128" s="10">
        <f t="shared" si="3"/>
        <v>1</v>
      </c>
      <c r="I128" s="6">
        <v>18</v>
      </c>
      <c r="J128" s="6">
        <f>I128/geral!$B$1</f>
        <v>72</v>
      </c>
    </row>
    <row r="129" spans="1:10" x14ac:dyDescent="0.35">
      <c r="B129" s="4">
        <v>128</v>
      </c>
      <c r="C129" s="4">
        <v>0</v>
      </c>
      <c r="D129" s="4">
        <v>44</v>
      </c>
      <c r="E129" s="4">
        <f>(2*geral!$B$10)-10819</f>
        <v>31203</v>
      </c>
      <c r="F129" s="6">
        <f t="shared" si="2"/>
        <v>10.833333333333334</v>
      </c>
      <c r="G129" s="6">
        <f>IF(ISBLANK(A129),G128,"")</f>
        <v>1</v>
      </c>
      <c r="H129" s="10">
        <f t="shared" si="3"/>
        <v>1</v>
      </c>
      <c r="I129" s="6">
        <v>18</v>
      </c>
      <c r="J129" s="6">
        <f>I129/geral!$B$1</f>
        <v>72</v>
      </c>
    </row>
    <row r="130" spans="1:10" x14ac:dyDescent="0.35">
      <c r="B130" s="4">
        <v>129</v>
      </c>
      <c r="C130" s="4">
        <v>1</v>
      </c>
      <c r="D130" s="4">
        <v>0</v>
      </c>
      <c r="E130" s="4">
        <f>E131-tam_plat!B36</f>
        <v>31433</v>
      </c>
      <c r="F130" s="6">
        <f t="shared" si="2"/>
        <v>0</v>
      </c>
      <c r="G130" s="6">
        <f>IF(ISBLANK(A130),G129,"")</f>
        <v>1</v>
      </c>
      <c r="H130" s="10">
        <v>0.65400000000000003</v>
      </c>
      <c r="I130" s="6">
        <v>18</v>
      </c>
      <c r="J130" s="6">
        <f>I130/geral!$B$1</f>
        <v>72</v>
      </c>
    </row>
    <row r="131" spans="1:10" x14ac:dyDescent="0.35">
      <c r="A131" t="s">
        <v>37</v>
      </c>
      <c r="B131" s="4">
        <v>130</v>
      </c>
      <c r="C131" s="4">
        <v>0</v>
      </c>
      <c r="D131" s="4">
        <v>62</v>
      </c>
      <c r="E131" s="4">
        <f>(2*geral!$B$10)-loc_est!B12+(tam_plat!B36/2)</f>
        <v>31569</v>
      </c>
      <c r="F131" s="6">
        <f t="shared" ref="F131:F174" si="4">IF(D131&gt;0,((D131*(1-($N$1/100)))-$L$1)/3.6,0)</f>
        <v>15.833333333333332</v>
      </c>
      <c r="G131" s="6">
        <v>1</v>
      </c>
      <c r="H131" s="10">
        <f t="shared" ref="H131:H172" si="5">IF(C131=0,1,"")</f>
        <v>1</v>
      </c>
      <c r="I131" s="6">
        <v>18</v>
      </c>
      <c r="J131" s="6">
        <f>I131/geral!$B$1</f>
        <v>72</v>
      </c>
    </row>
    <row r="132" spans="1:10" x14ac:dyDescent="0.35">
      <c r="B132" s="4">
        <v>131</v>
      </c>
      <c r="C132" s="4">
        <v>0</v>
      </c>
      <c r="D132" s="4">
        <v>44</v>
      </c>
      <c r="E132" s="4">
        <f>(2*geral!$B$10)-9944</f>
        <v>32078</v>
      </c>
      <c r="F132" s="6">
        <f t="shared" si="4"/>
        <v>10.833333333333334</v>
      </c>
      <c r="G132" s="6">
        <f>IF(ISBLANK(A132),G131,"")</f>
        <v>1</v>
      </c>
      <c r="H132" s="10">
        <f t="shared" si="5"/>
        <v>1</v>
      </c>
      <c r="I132" s="6">
        <v>18</v>
      </c>
      <c r="J132" s="6">
        <f>I132/geral!$B$1</f>
        <v>72</v>
      </c>
    </row>
    <row r="133" spans="1:10" x14ac:dyDescent="0.35">
      <c r="B133" s="4">
        <v>132</v>
      </c>
      <c r="C133" s="4">
        <v>1</v>
      </c>
      <c r="D133" s="4">
        <v>0</v>
      </c>
      <c r="E133" s="4">
        <f>E134-tam_plat!B37</f>
        <v>32267</v>
      </c>
      <c r="F133" s="6">
        <f t="shared" si="4"/>
        <v>0</v>
      </c>
      <c r="G133" s="6">
        <f>IF(ISBLANK(A133),G132,"")</f>
        <v>1</v>
      </c>
      <c r="H133" s="10">
        <v>0.65400000000000003</v>
      </c>
      <c r="I133" s="6">
        <v>18</v>
      </c>
      <c r="J133" s="6">
        <f>I133/geral!$B$1</f>
        <v>72</v>
      </c>
    </row>
    <row r="134" spans="1:10" x14ac:dyDescent="0.35">
      <c r="A134" t="s">
        <v>36</v>
      </c>
      <c r="B134" s="4">
        <v>133</v>
      </c>
      <c r="C134" s="4">
        <v>0</v>
      </c>
      <c r="D134" s="4">
        <v>62</v>
      </c>
      <c r="E134" s="4">
        <f>(2*geral!$B$10)-loc_est!B11+(tam_plat!B37/2)</f>
        <v>32403</v>
      </c>
      <c r="F134" s="6">
        <f t="shared" si="4"/>
        <v>15.833333333333332</v>
      </c>
      <c r="G134" s="6">
        <v>1</v>
      </c>
      <c r="H134" s="10">
        <f t="shared" si="5"/>
        <v>1</v>
      </c>
      <c r="I134" s="6">
        <v>18</v>
      </c>
      <c r="J134" s="6">
        <f>I134/geral!$B$1</f>
        <v>72</v>
      </c>
    </row>
    <row r="135" spans="1:10" x14ac:dyDescent="0.35">
      <c r="B135" s="4">
        <v>134</v>
      </c>
      <c r="C135" s="4">
        <v>0</v>
      </c>
      <c r="D135" s="4">
        <v>44</v>
      </c>
      <c r="E135" s="4">
        <f>(2*geral!$B$10)-9073</f>
        <v>32949</v>
      </c>
      <c r="F135" s="6">
        <f t="shared" si="4"/>
        <v>10.833333333333334</v>
      </c>
      <c r="G135" s="6">
        <f>IF(ISBLANK(A135),G134,"")</f>
        <v>1</v>
      </c>
      <c r="H135" s="10">
        <f t="shared" si="5"/>
        <v>1</v>
      </c>
      <c r="I135" s="6">
        <v>18</v>
      </c>
      <c r="J135" s="6">
        <f>I135/geral!$B$1</f>
        <v>72</v>
      </c>
    </row>
    <row r="136" spans="1:10" x14ac:dyDescent="0.35">
      <c r="B136" s="4">
        <v>135</v>
      </c>
      <c r="C136" s="4">
        <v>1</v>
      </c>
      <c r="D136" s="4">
        <v>0</v>
      </c>
      <c r="E136" s="4">
        <f>E137-tam_plat!B38</f>
        <v>33099</v>
      </c>
      <c r="F136" s="6">
        <f t="shared" si="4"/>
        <v>0</v>
      </c>
      <c r="G136" s="6">
        <f>IF(ISBLANK(A136),G135,"")</f>
        <v>1</v>
      </c>
      <c r="H136" s="10">
        <v>0.65400000000000003</v>
      </c>
      <c r="I136" s="6">
        <v>18</v>
      </c>
      <c r="J136" s="6">
        <f>I136/geral!$B$1</f>
        <v>72</v>
      </c>
    </row>
    <row r="137" spans="1:10" x14ac:dyDescent="0.35">
      <c r="A137" t="s">
        <v>35</v>
      </c>
      <c r="B137" s="4">
        <v>136</v>
      </c>
      <c r="C137" s="4">
        <v>0</v>
      </c>
      <c r="D137" s="4">
        <v>62</v>
      </c>
      <c r="E137" s="4">
        <f>(2*geral!$B$10)-loc_est!B10+(tam_plat!B38/2)</f>
        <v>33235</v>
      </c>
      <c r="F137" s="6">
        <f t="shared" si="4"/>
        <v>15.833333333333332</v>
      </c>
      <c r="G137" s="6">
        <v>1</v>
      </c>
      <c r="H137" s="10">
        <f t="shared" si="5"/>
        <v>1</v>
      </c>
      <c r="I137" s="6">
        <v>18</v>
      </c>
      <c r="J137" s="6">
        <f>I137/geral!$B$1</f>
        <v>72</v>
      </c>
    </row>
    <row r="138" spans="1:10" x14ac:dyDescent="0.35">
      <c r="B138" s="4">
        <v>137</v>
      </c>
      <c r="C138" s="4">
        <v>0</v>
      </c>
      <c r="D138" s="4">
        <v>44</v>
      </c>
      <c r="E138" s="4">
        <f>(2*geral!$B$10)-8372</f>
        <v>33650</v>
      </c>
      <c r="F138" s="6">
        <f t="shared" si="4"/>
        <v>10.833333333333334</v>
      </c>
      <c r="G138" s="6">
        <f>IF(ISBLANK(A138),G137,"")</f>
        <v>1</v>
      </c>
      <c r="H138" s="10">
        <f t="shared" si="5"/>
        <v>1</v>
      </c>
      <c r="I138" s="6">
        <v>18</v>
      </c>
      <c r="J138" s="6">
        <f>I138/geral!$B$1</f>
        <v>72</v>
      </c>
    </row>
    <row r="139" spans="1:10" x14ac:dyDescent="0.35">
      <c r="B139" s="4">
        <v>138</v>
      </c>
      <c r="C139" s="4">
        <v>1</v>
      </c>
      <c r="D139" s="4">
        <v>0</v>
      </c>
      <c r="E139" s="4">
        <f>E140-tam_plat!B39</f>
        <v>33773</v>
      </c>
      <c r="F139" s="6">
        <f t="shared" si="4"/>
        <v>0</v>
      </c>
      <c r="G139" s="6">
        <f>IF(ISBLANK(A139),G138,"")</f>
        <v>1</v>
      </c>
      <c r="H139" s="10">
        <v>0.65400000000000003</v>
      </c>
      <c r="I139" s="6">
        <v>18</v>
      </c>
      <c r="J139" s="6">
        <f>I139/geral!$B$1</f>
        <v>72</v>
      </c>
    </row>
    <row r="140" spans="1:10" x14ac:dyDescent="0.35">
      <c r="A140" t="s">
        <v>34</v>
      </c>
      <c r="B140" s="4">
        <v>139</v>
      </c>
      <c r="C140" s="4">
        <v>0</v>
      </c>
      <c r="D140" s="4">
        <v>75</v>
      </c>
      <c r="E140" s="4">
        <f>(2*geral!$B$10)-loc_est!B9+(tam_plat!B39/2)</f>
        <v>33909</v>
      </c>
      <c r="F140" s="6">
        <f t="shared" si="4"/>
        <v>19.444444444444443</v>
      </c>
      <c r="G140" s="6">
        <v>1</v>
      </c>
      <c r="H140" s="10">
        <f t="shared" si="5"/>
        <v>1</v>
      </c>
      <c r="I140" s="6">
        <v>18</v>
      </c>
      <c r="J140" s="6">
        <f>I140/geral!$B$1</f>
        <v>72</v>
      </c>
    </row>
    <row r="141" spans="1:10" x14ac:dyDescent="0.35">
      <c r="B141" s="4">
        <v>140</v>
      </c>
      <c r="C141" s="4">
        <v>0</v>
      </c>
      <c r="D141" s="4">
        <v>44</v>
      </c>
      <c r="E141" s="4">
        <f>(2*geral!$B$10)-7763</f>
        <v>34259</v>
      </c>
      <c r="F141" s="6">
        <f t="shared" si="4"/>
        <v>10.833333333333334</v>
      </c>
      <c r="G141" s="6">
        <f>IF(ISBLANK(A141),G140,"")</f>
        <v>1</v>
      </c>
      <c r="H141" s="10">
        <f t="shared" si="5"/>
        <v>1</v>
      </c>
      <c r="I141" s="6">
        <v>18</v>
      </c>
      <c r="J141" s="6">
        <f>I141/geral!$B$1</f>
        <v>72</v>
      </c>
    </row>
    <row r="142" spans="1:10" x14ac:dyDescent="0.35">
      <c r="B142" s="4">
        <v>141</v>
      </c>
      <c r="C142" s="4">
        <v>1</v>
      </c>
      <c r="D142" s="4">
        <v>0</v>
      </c>
      <c r="E142" s="4">
        <f>E143-tam_plat!B40</f>
        <v>34488</v>
      </c>
      <c r="F142" s="6">
        <f t="shared" si="4"/>
        <v>0</v>
      </c>
      <c r="G142" s="6">
        <f>IF(ISBLANK(A142),G141,"")</f>
        <v>1</v>
      </c>
      <c r="H142" s="10">
        <v>0.65400000000000003</v>
      </c>
      <c r="I142" s="6">
        <v>18</v>
      </c>
      <c r="J142" s="6">
        <f>I142/geral!$B$1</f>
        <v>72</v>
      </c>
    </row>
    <row r="143" spans="1:10" x14ac:dyDescent="0.35">
      <c r="A143" t="s">
        <v>33</v>
      </c>
      <c r="B143" s="4">
        <v>142</v>
      </c>
      <c r="C143" s="4">
        <v>0</v>
      </c>
      <c r="D143" s="4">
        <v>62</v>
      </c>
      <c r="E143" s="4">
        <f>(2*geral!$B$10)-loc_est!B8+(tam_plat!B40/2)</f>
        <v>34624</v>
      </c>
      <c r="F143" s="6">
        <f t="shared" si="4"/>
        <v>15.833333333333332</v>
      </c>
      <c r="G143" s="6">
        <v>1</v>
      </c>
      <c r="H143" s="10">
        <f t="shared" si="5"/>
        <v>1</v>
      </c>
      <c r="I143" s="6">
        <v>18</v>
      </c>
      <c r="J143" s="6">
        <f>I143/geral!$B$1</f>
        <v>72</v>
      </c>
    </row>
    <row r="144" spans="1:10" x14ac:dyDescent="0.35">
      <c r="B144" s="4">
        <v>143</v>
      </c>
      <c r="C144" s="4">
        <v>0</v>
      </c>
      <c r="D144" s="4">
        <v>75</v>
      </c>
      <c r="E144" s="4">
        <f>(2*geral!$B$10)-7300</f>
        <v>34722</v>
      </c>
      <c r="F144" s="6">
        <f t="shared" si="4"/>
        <v>19.444444444444443</v>
      </c>
      <c r="G144" s="6">
        <f>IF(ISBLANK(A144),G143,"")</f>
        <v>1</v>
      </c>
      <c r="H144" s="10">
        <f t="shared" si="5"/>
        <v>1</v>
      </c>
      <c r="I144" s="6">
        <v>18</v>
      </c>
      <c r="J144" s="6">
        <f>I144/geral!$B$1</f>
        <v>72</v>
      </c>
    </row>
    <row r="145" spans="1:10" x14ac:dyDescent="0.35">
      <c r="B145" s="4">
        <v>144</v>
      </c>
      <c r="C145" s="4">
        <v>0</v>
      </c>
      <c r="D145" s="4">
        <v>44</v>
      </c>
      <c r="E145" s="4">
        <f>(2*geral!$B$10)-6744</f>
        <v>35278</v>
      </c>
      <c r="F145" s="6">
        <f t="shared" si="4"/>
        <v>10.833333333333334</v>
      </c>
      <c r="G145" s="6">
        <f>IF(ISBLANK(A145),G144,"")</f>
        <v>1</v>
      </c>
      <c r="H145" s="10">
        <f t="shared" si="5"/>
        <v>1</v>
      </c>
      <c r="I145" s="6">
        <v>18</v>
      </c>
      <c r="J145" s="6">
        <f>I145/geral!$B$1</f>
        <v>72</v>
      </c>
    </row>
    <row r="146" spans="1:10" x14ac:dyDescent="0.35">
      <c r="B146" s="4">
        <v>145</v>
      </c>
      <c r="C146" s="4">
        <v>1</v>
      </c>
      <c r="D146" s="4">
        <v>0</v>
      </c>
      <c r="E146" s="4">
        <f>E147-tam_plat!B41</f>
        <v>35460</v>
      </c>
      <c r="F146" s="6">
        <f t="shared" si="4"/>
        <v>0</v>
      </c>
      <c r="G146" s="6">
        <f>IF(ISBLANK(A146),G145,"")</f>
        <v>1</v>
      </c>
      <c r="H146" s="10">
        <v>0.65400000000000003</v>
      </c>
      <c r="I146" s="6">
        <v>18</v>
      </c>
      <c r="J146" s="6">
        <f>I146/geral!$B$1</f>
        <v>72</v>
      </c>
    </row>
    <row r="147" spans="1:10" x14ac:dyDescent="0.35">
      <c r="A147" t="s">
        <v>32</v>
      </c>
      <c r="B147" s="4">
        <v>146</v>
      </c>
      <c r="C147" s="4">
        <v>0</v>
      </c>
      <c r="D147" s="4">
        <v>75</v>
      </c>
      <c r="E147" s="4">
        <f>(2*geral!$B$10)-loc_est!B7+(tam_plat!B41/2)</f>
        <v>35596</v>
      </c>
      <c r="F147" s="6">
        <f t="shared" si="4"/>
        <v>19.444444444444443</v>
      </c>
      <c r="G147" s="6">
        <v>1</v>
      </c>
      <c r="H147" s="10">
        <f t="shared" si="5"/>
        <v>1</v>
      </c>
      <c r="I147" s="6">
        <v>18</v>
      </c>
      <c r="J147" s="6">
        <f>I147/geral!$B$1</f>
        <v>72</v>
      </c>
    </row>
    <row r="148" spans="1:10" x14ac:dyDescent="0.35">
      <c r="B148" s="4">
        <v>147</v>
      </c>
      <c r="C148" s="4">
        <v>0</v>
      </c>
      <c r="D148" s="4">
        <v>87</v>
      </c>
      <c r="E148" s="4">
        <f>(2*geral!$B$10)-6255</f>
        <v>35767</v>
      </c>
      <c r="F148" s="6">
        <f t="shared" si="4"/>
        <v>22.777777777777779</v>
      </c>
      <c r="G148" s="6">
        <f>IF(ISBLANK(A148),G147,"")</f>
        <v>1</v>
      </c>
      <c r="H148" s="10">
        <f t="shared" si="5"/>
        <v>1</v>
      </c>
      <c r="I148" s="6">
        <v>18</v>
      </c>
      <c r="J148" s="6">
        <f>I148/geral!$B$1</f>
        <v>72</v>
      </c>
    </row>
    <row r="149" spans="1:10" x14ac:dyDescent="0.35">
      <c r="B149" s="4">
        <v>148</v>
      </c>
      <c r="C149" s="4">
        <v>0</v>
      </c>
      <c r="D149" s="4">
        <v>75</v>
      </c>
      <c r="E149" s="4">
        <f>(2*geral!$B$10)-5766</f>
        <v>36256</v>
      </c>
      <c r="F149" s="6">
        <f t="shared" si="4"/>
        <v>19.444444444444443</v>
      </c>
      <c r="G149" s="6">
        <f>IF(ISBLANK(A149),G148,"")</f>
        <v>1</v>
      </c>
      <c r="H149" s="10">
        <f t="shared" si="5"/>
        <v>1</v>
      </c>
      <c r="I149" s="6">
        <v>18</v>
      </c>
      <c r="J149" s="6">
        <f>I149/geral!$B$1</f>
        <v>72</v>
      </c>
    </row>
    <row r="150" spans="1:10" x14ac:dyDescent="0.35">
      <c r="B150" s="4">
        <v>149</v>
      </c>
      <c r="C150" s="4">
        <v>0</v>
      </c>
      <c r="D150" s="4">
        <v>44</v>
      </c>
      <c r="E150" s="4">
        <f>(2*geral!$B$10)-5593</f>
        <v>36429</v>
      </c>
      <c r="F150" s="6">
        <f t="shared" si="4"/>
        <v>10.833333333333334</v>
      </c>
      <c r="G150" s="6">
        <f>IF(ISBLANK(A150),G149,"")</f>
        <v>1</v>
      </c>
      <c r="H150" s="10">
        <f t="shared" si="5"/>
        <v>1</v>
      </c>
      <c r="I150" s="6">
        <v>18</v>
      </c>
      <c r="J150" s="6">
        <f>I150/geral!$B$1</f>
        <v>72</v>
      </c>
    </row>
    <row r="151" spans="1:10" x14ac:dyDescent="0.35">
      <c r="B151" s="4">
        <v>150</v>
      </c>
      <c r="C151" s="4">
        <v>1</v>
      </c>
      <c r="D151" s="4">
        <v>0</v>
      </c>
      <c r="E151" s="4">
        <f>E152-tam_plat!B42</f>
        <v>36601</v>
      </c>
      <c r="F151" s="6">
        <f t="shared" si="4"/>
        <v>0</v>
      </c>
      <c r="G151" s="6">
        <f>IF(ISBLANK(A151),G150,"")</f>
        <v>1</v>
      </c>
      <c r="H151" s="10">
        <v>0.65400000000000003</v>
      </c>
      <c r="I151" s="6">
        <v>18</v>
      </c>
      <c r="J151" s="6">
        <f>I151/geral!$B$1</f>
        <v>72</v>
      </c>
    </row>
    <row r="152" spans="1:10" x14ac:dyDescent="0.35">
      <c r="A152" t="s">
        <v>31</v>
      </c>
      <c r="B152" s="4">
        <v>151</v>
      </c>
      <c r="C152" s="4">
        <v>0</v>
      </c>
      <c r="D152" s="4">
        <v>75</v>
      </c>
      <c r="E152" s="4">
        <f>(2*geral!$B$10)-loc_est!B6+(tam_plat!B42/2)</f>
        <v>36737</v>
      </c>
      <c r="F152" s="6">
        <f t="shared" si="4"/>
        <v>19.444444444444443</v>
      </c>
      <c r="G152" s="6">
        <v>1</v>
      </c>
      <c r="H152" s="10">
        <f t="shared" si="5"/>
        <v>1</v>
      </c>
      <c r="I152" s="6">
        <v>18</v>
      </c>
      <c r="J152" s="6">
        <f>I152/geral!$B$1</f>
        <v>72</v>
      </c>
    </row>
    <row r="153" spans="1:10" x14ac:dyDescent="0.35">
      <c r="B153" s="4">
        <v>152</v>
      </c>
      <c r="C153" s="4">
        <v>0</v>
      </c>
      <c r="D153" s="4">
        <v>87</v>
      </c>
      <c r="E153" s="4">
        <f>(2*geral!$B$10)-5113</f>
        <v>36909</v>
      </c>
      <c r="F153" s="6">
        <f t="shared" si="4"/>
        <v>22.777777777777779</v>
      </c>
      <c r="G153" s="6">
        <f>IF(ISBLANK(A153),G152,"")</f>
        <v>1</v>
      </c>
      <c r="H153" s="10">
        <f t="shared" si="5"/>
        <v>1</v>
      </c>
      <c r="I153" s="6">
        <v>18</v>
      </c>
      <c r="J153" s="6">
        <f>I153/geral!$B$1</f>
        <v>72</v>
      </c>
    </row>
    <row r="154" spans="1:10" x14ac:dyDescent="0.35">
      <c r="B154" s="4">
        <v>153</v>
      </c>
      <c r="C154" s="4">
        <v>0</v>
      </c>
      <c r="D154" s="4">
        <v>75</v>
      </c>
      <c r="E154" s="4">
        <f>(2*geral!$B$10)-4402</f>
        <v>37620</v>
      </c>
      <c r="F154" s="6">
        <f t="shared" si="4"/>
        <v>19.444444444444443</v>
      </c>
      <c r="G154" s="6">
        <f>IF(ISBLANK(A154),G153,"")</f>
        <v>1</v>
      </c>
      <c r="H154" s="10">
        <f t="shared" si="5"/>
        <v>1</v>
      </c>
      <c r="I154" s="6">
        <v>18</v>
      </c>
      <c r="J154" s="6">
        <f>I154/geral!$B$1</f>
        <v>72</v>
      </c>
    </row>
    <row r="155" spans="1:10" x14ac:dyDescent="0.35">
      <c r="B155" s="4">
        <v>154</v>
      </c>
      <c r="C155" s="4">
        <v>0</v>
      </c>
      <c r="D155" s="4">
        <v>44</v>
      </c>
      <c r="E155" s="4">
        <f>(2*geral!$B$10)-4294</f>
        <v>37728</v>
      </c>
      <c r="F155" s="6">
        <f t="shared" si="4"/>
        <v>10.833333333333334</v>
      </c>
      <c r="G155" s="6">
        <f>IF(ISBLANK(A155),G154,"")</f>
        <v>1</v>
      </c>
      <c r="H155" s="10">
        <f t="shared" si="5"/>
        <v>1</v>
      </c>
      <c r="I155" s="6">
        <v>18</v>
      </c>
      <c r="J155" s="6">
        <f>I155/geral!$B$1</f>
        <v>72</v>
      </c>
    </row>
    <row r="156" spans="1:10" x14ac:dyDescent="0.35">
      <c r="B156" s="4">
        <v>155</v>
      </c>
      <c r="C156" s="4">
        <v>1</v>
      </c>
      <c r="D156" s="4">
        <v>0</v>
      </c>
      <c r="E156" s="4">
        <f>E157-tam_plat!B43</f>
        <v>37907</v>
      </c>
      <c r="F156" s="6">
        <f t="shared" si="4"/>
        <v>0</v>
      </c>
      <c r="G156" s="6">
        <f>IF(ISBLANK(A156),G155,"")</f>
        <v>1</v>
      </c>
      <c r="H156" s="10">
        <v>0.65400000000000003</v>
      </c>
      <c r="I156" s="6">
        <v>18</v>
      </c>
      <c r="J156" s="6">
        <f>I156/geral!$B$1</f>
        <v>72</v>
      </c>
    </row>
    <row r="157" spans="1:10" x14ac:dyDescent="0.35">
      <c r="A157" t="s">
        <v>30</v>
      </c>
      <c r="B157" s="4">
        <v>156</v>
      </c>
      <c r="C157" s="4">
        <v>0</v>
      </c>
      <c r="D157" s="4">
        <v>75</v>
      </c>
      <c r="E157" s="4">
        <f>(2*geral!$B$10)-loc_est!B5+(tam_plat!B43/2)</f>
        <v>38043</v>
      </c>
      <c r="F157" s="6">
        <f t="shared" si="4"/>
        <v>19.444444444444443</v>
      </c>
      <c r="G157" s="6">
        <v>1</v>
      </c>
      <c r="H157" s="10">
        <f t="shared" si="5"/>
        <v>1</v>
      </c>
      <c r="I157" s="6">
        <v>18</v>
      </c>
      <c r="J157" s="6">
        <f>I157/geral!$B$1</f>
        <v>72</v>
      </c>
    </row>
    <row r="158" spans="1:10" x14ac:dyDescent="0.35">
      <c r="B158" s="4">
        <v>157</v>
      </c>
      <c r="C158" s="4">
        <v>0</v>
      </c>
      <c r="D158" s="4">
        <v>62</v>
      </c>
      <c r="E158" s="4">
        <f>(2*geral!$B$10)-3421</f>
        <v>38601</v>
      </c>
      <c r="F158" s="6">
        <f t="shared" si="4"/>
        <v>15.833333333333332</v>
      </c>
      <c r="G158" s="6">
        <f>IF(ISBLANK(A158),G157,"")</f>
        <v>1</v>
      </c>
      <c r="H158" s="10">
        <f t="shared" si="5"/>
        <v>1</v>
      </c>
      <c r="I158" s="6">
        <v>18</v>
      </c>
      <c r="J158" s="6">
        <f>I158/geral!$B$1</f>
        <v>72</v>
      </c>
    </row>
    <row r="159" spans="1:10" x14ac:dyDescent="0.35">
      <c r="B159" s="4">
        <v>158</v>
      </c>
      <c r="C159" s="4">
        <v>0</v>
      </c>
      <c r="D159" s="4">
        <v>44</v>
      </c>
      <c r="E159" s="4">
        <f>(2*geral!$B$10)-3333</f>
        <v>38689</v>
      </c>
      <c r="F159" s="6">
        <f t="shared" si="4"/>
        <v>10.833333333333334</v>
      </c>
      <c r="G159" s="6">
        <f>IF(ISBLANK(A159),G158,"")</f>
        <v>1</v>
      </c>
      <c r="H159" s="10">
        <f t="shared" si="5"/>
        <v>1</v>
      </c>
      <c r="I159" s="6">
        <v>18</v>
      </c>
      <c r="J159" s="6">
        <f>I159/geral!$B$1</f>
        <v>72</v>
      </c>
    </row>
    <row r="160" spans="1:10" x14ac:dyDescent="0.35">
      <c r="B160" s="4">
        <v>159</v>
      </c>
      <c r="C160" s="4">
        <v>1</v>
      </c>
      <c r="D160" s="4">
        <v>0</v>
      </c>
      <c r="E160" s="4">
        <f>E161-tam_plat!B44</f>
        <v>38802</v>
      </c>
      <c r="F160" s="6">
        <f t="shared" si="4"/>
        <v>0</v>
      </c>
      <c r="G160" s="6">
        <f>IF(ISBLANK(A160),G159,"")</f>
        <v>1</v>
      </c>
      <c r="H160" s="10">
        <v>0.65400000000000003</v>
      </c>
      <c r="I160" s="6">
        <v>18</v>
      </c>
      <c r="J160" s="6">
        <f>I160/geral!$B$1</f>
        <v>72</v>
      </c>
    </row>
    <row r="161" spans="1:10" x14ac:dyDescent="0.35">
      <c r="A161" t="s">
        <v>29</v>
      </c>
      <c r="B161" s="4">
        <v>160</v>
      </c>
      <c r="C161" s="4">
        <v>0</v>
      </c>
      <c r="D161" s="4">
        <v>62</v>
      </c>
      <c r="E161" s="4">
        <f>(2*geral!$B$10)-loc_est!B4+(tam_plat!B44/2)</f>
        <v>38938</v>
      </c>
      <c r="F161" s="6">
        <f t="shared" si="4"/>
        <v>15.833333333333332</v>
      </c>
      <c r="G161" s="6">
        <v>1</v>
      </c>
      <c r="H161" s="10">
        <f t="shared" si="5"/>
        <v>1</v>
      </c>
      <c r="I161" s="6">
        <v>18</v>
      </c>
      <c r="J161" s="6">
        <f>I161/geral!$B$1</f>
        <v>72</v>
      </c>
    </row>
    <row r="162" spans="1:10" x14ac:dyDescent="0.35">
      <c r="B162" s="4">
        <v>161</v>
      </c>
      <c r="C162" s="4">
        <v>0</v>
      </c>
      <c r="D162" s="4">
        <v>75</v>
      </c>
      <c r="E162" s="4">
        <f>(2*geral!$B$10)-2973</f>
        <v>39049</v>
      </c>
      <c r="F162" s="6">
        <f t="shared" si="4"/>
        <v>19.444444444444443</v>
      </c>
      <c r="G162" s="6">
        <f>IF(ISBLANK(A162),G161,"")</f>
        <v>1</v>
      </c>
      <c r="H162" s="10">
        <f t="shared" si="5"/>
        <v>1</v>
      </c>
      <c r="I162" s="6">
        <v>18</v>
      </c>
      <c r="J162" s="6">
        <f>I162/geral!$B$1</f>
        <v>72</v>
      </c>
    </row>
    <row r="163" spans="1:10" x14ac:dyDescent="0.35">
      <c r="B163" s="4">
        <v>162</v>
      </c>
      <c r="C163" s="4">
        <v>0</v>
      </c>
      <c r="D163" s="4">
        <v>44</v>
      </c>
      <c r="E163" s="4">
        <f>(2*geral!$B$10)-2608</f>
        <v>39414</v>
      </c>
      <c r="F163" s="6">
        <f t="shared" si="4"/>
        <v>10.833333333333334</v>
      </c>
      <c r="G163" s="6">
        <f>IF(ISBLANK(A163),G162,"")</f>
        <v>1</v>
      </c>
      <c r="H163" s="10">
        <f t="shared" si="5"/>
        <v>1</v>
      </c>
      <c r="I163" s="6">
        <v>18</v>
      </c>
      <c r="J163" s="6">
        <f>I163/geral!$B$1</f>
        <v>72</v>
      </c>
    </row>
    <row r="164" spans="1:10" x14ac:dyDescent="0.35">
      <c r="B164" s="4">
        <v>163</v>
      </c>
      <c r="C164" s="4">
        <v>1</v>
      </c>
      <c r="D164" s="4">
        <v>0</v>
      </c>
      <c r="E164" s="4">
        <f>E165-tam_plat!B45</f>
        <v>39597</v>
      </c>
      <c r="F164" s="6">
        <f t="shared" si="4"/>
        <v>0</v>
      </c>
      <c r="G164" s="6">
        <f>IF(ISBLANK(A164),G163,"")</f>
        <v>1</v>
      </c>
      <c r="H164" s="10">
        <v>0.65400000000000003</v>
      </c>
      <c r="I164" s="6">
        <v>18</v>
      </c>
      <c r="J164" s="6">
        <f>I164/geral!$B$1</f>
        <v>72</v>
      </c>
    </row>
    <row r="165" spans="1:10" x14ac:dyDescent="0.35">
      <c r="A165" t="s">
        <v>28</v>
      </c>
      <c r="B165" s="4">
        <v>164</v>
      </c>
      <c r="C165" s="4">
        <v>0</v>
      </c>
      <c r="D165" s="4">
        <v>75</v>
      </c>
      <c r="E165" s="4">
        <f>(2*geral!$B$10)-loc_est!B3+(tam_plat!B45/2)</f>
        <v>39733</v>
      </c>
      <c r="F165" s="6">
        <f t="shared" si="4"/>
        <v>19.444444444444443</v>
      </c>
      <c r="G165" s="6">
        <v>1</v>
      </c>
      <c r="H165" s="10">
        <f t="shared" si="5"/>
        <v>1</v>
      </c>
      <c r="I165" s="6">
        <v>18</v>
      </c>
      <c r="J165" s="6">
        <f>I165/geral!$B$1</f>
        <v>72</v>
      </c>
    </row>
    <row r="166" spans="1:10" x14ac:dyDescent="0.35">
      <c r="B166" s="4">
        <v>165</v>
      </c>
      <c r="C166" s="4">
        <v>0</v>
      </c>
      <c r="D166" s="4">
        <v>87</v>
      </c>
      <c r="E166" s="4">
        <f>(2*geral!$B$10)-2119</f>
        <v>39903</v>
      </c>
      <c r="F166" s="6">
        <f t="shared" si="4"/>
        <v>22.777777777777779</v>
      </c>
      <c r="G166" s="6">
        <f>IF(ISBLANK(A166),G165,"")</f>
        <v>1</v>
      </c>
      <c r="H166" s="10">
        <f t="shared" si="5"/>
        <v>1</v>
      </c>
      <c r="I166" s="6">
        <v>18</v>
      </c>
      <c r="J166" s="6">
        <f>I166/geral!$B$1</f>
        <v>72</v>
      </c>
    </row>
    <row r="167" spans="1:10" x14ac:dyDescent="0.35">
      <c r="B167" s="4">
        <v>166</v>
      </c>
      <c r="C167" s="4">
        <v>0</v>
      </c>
      <c r="D167" s="4">
        <v>75</v>
      </c>
      <c r="E167" s="4">
        <f>(2*geral!$B$10)-1658</f>
        <v>40364</v>
      </c>
      <c r="F167" s="6">
        <f t="shared" si="4"/>
        <v>19.444444444444443</v>
      </c>
      <c r="G167" s="6">
        <f>IF(ISBLANK(A167),G166,"")</f>
        <v>1</v>
      </c>
      <c r="H167" s="10">
        <f t="shared" si="5"/>
        <v>1</v>
      </c>
      <c r="I167" s="6">
        <v>18</v>
      </c>
      <c r="J167" s="6">
        <f>I167/geral!$B$1</f>
        <v>72</v>
      </c>
    </row>
    <row r="168" spans="1:10" x14ac:dyDescent="0.35">
      <c r="B168" s="4">
        <v>167</v>
      </c>
      <c r="C168" s="4">
        <v>0</v>
      </c>
      <c r="D168" s="4">
        <v>44</v>
      </c>
      <c r="E168" s="4">
        <f>(2*geral!$B$10)-1501</f>
        <v>40521</v>
      </c>
      <c r="F168" s="6">
        <f t="shared" si="4"/>
        <v>10.833333333333334</v>
      </c>
      <c r="G168" s="6">
        <f>IF(ISBLANK(A168),G167,"")</f>
        <v>1</v>
      </c>
      <c r="H168" s="10">
        <f t="shared" si="5"/>
        <v>1</v>
      </c>
      <c r="I168" s="6">
        <v>18</v>
      </c>
      <c r="J168" s="6">
        <f>I168/geral!$B$1</f>
        <v>72</v>
      </c>
    </row>
    <row r="169" spans="1:10" x14ac:dyDescent="0.35">
      <c r="B169" s="4">
        <v>168</v>
      </c>
      <c r="C169" s="4">
        <v>1</v>
      </c>
      <c r="D169" s="4">
        <v>0</v>
      </c>
      <c r="E169" s="4">
        <f>E170-tam_plat!B46</f>
        <v>40690</v>
      </c>
      <c r="F169" s="6">
        <f t="shared" si="4"/>
        <v>0</v>
      </c>
      <c r="G169" s="6">
        <f>IF(ISBLANK(A169),G168,"")</f>
        <v>1</v>
      </c>
      <c r="H169" s="10">
        <v>0.65400000000000003</v>
      </c>
      <c r="I169" s="6">
        <v>18</v>
      </c>
      <c r="J169" s="6">
        <f>I169/geral!$B$1</f>
        <v>72</v>
      </c>
    </row>
    <row r="170" spans="1:10" x14ac:dyDescent="0.35">
      <c r="A170" t="s">
        <v>27</v>
      </c>
      <c r="B170" s="4">
        <v>169</v>
      </c>
      <c r="C170" s="4">
        <v>0</v>
      </c>
      <c r="D170" s="4">
        <v>75</v>
      </c>
      <c r="E170" s="4">
        <f>(2*geral!$B$10)-loc_est!B2+(tam_plat!B46/2)</f>
        <v>40826</v>
      </c>
      <c r="F170" s="6">
        <f t="shared" si="4"/>
        <v>19.444444444444443</v>
      </c>
      <c r="G170" s="6">
        <v>1</v>
      </c>
      <c r="H170" s="10">
        <f t="shared" si="5"/>
        <v>1</v>
      </c>
      <c r="I170" s="6">
        <v>18</v>
      </c>
      <c r="J170" s="6">
        <f>I170/geral!$B$1</f>
        <v>72</v>
      </c>
    </row>
    <row r="171" spans="1:10" x14ac:dyDescent="0.35">
      <c r="B171" s="4">
        <v>170</v>
      </c>
      <c r="C171" s="4">
        <v>0</v>
      </c>
      <c r="D171" s="4">
        <v>87</v>
      </c>
      <c r="E171" s="4">
        <f>(2*geral!$B$10)-1018</f>
        <v>41004</v>
      </c>
      <c r="F171" s="6">
        <f t="shared" si="4"/>
        <v>22.777777777777779</v>
      </c>
      <c r="G171" s="6">
        <f>IF(ISBLANK(A171),G170,"")</f>
        <v>1</v>
      </c>
      <c r="H171" s="10">
        <f t="shared" si="5"/>
        <v>1</v>
      </c>
      <c r="I171" s="6">
        <v>18</v>
      </c>
      <c r="J171" s="6">
        <f>I171/geral!$B$1</f>
        <v>72</v>
      </c>
    </row>
    <row r="172" spans="1:10" x14ac:dyDescent="0.35">
      <c r="B172" s="4">
        <v>171</v>
      </c>
      <c r="C172" s="4">
        <v>0</v>
      </c>
      <c r="D172" s="4">
        <v>62</v>
      </c>
      <c r="E172" s="4">
        <f>(2*geral!$B$10)-436</f>
        <v>41586</v>
      </c>
      <c r="F172" s="6">
        <f t="shared" si="4"/>
        <v>15.833333333333332</v>
      </c>
      <c r="G172" s="6">
        <f>IF(ISBLANK(A172),G171,"")</f>
        <v>1</v>
      </c>
      <c r="H172" s="10">
        <f t="shared" si="5"/>
        <v>1</v>
      </c>
      <c r="I172" s="6">
        <v>18</v>
      </c>
      <c r="J172" s="6">
        <f>I172/geral!$B$1</f>
        <v>72</v>
      </c>
    </row>
    <row r="173" spans="1:10" x14ac:dyDescent="0.35">
      <c r="B173" s="4">
        <v>172</v>
      </c>
      <c r="C173" s="4">
        <v>1</v>
      </c>
      <c r="D173" s="4">
        <v>0</v>
      </c>
      <c r="E173" s="4">
        <f>E174-tam_plat!B47</f>
        <v>41741</v>
      </c>
      <c r="F173" s="6">
        <f t="shared" si="4"/>
        <v>0</v>
      </c>
      <c r="G173" s="6">
        <f>IF(ISBLANK(A173),G172,"")</f>
        <v>1</v>
      </c>
      <c r="H173" s="10">
        <v>0.65400000000000003</v>
      </c>
      <c r="I173" s="6">
        <v>30</v>
      </c>
      <c r="J173" s="6">
        <f>I173/geral!$B$1</f>
        <v>120</v>
      </c>
    </row>
    <row r="174" spans="1:10" x14ac:dyDescent="0.35">
      <c r="A174" t="s">
        <v>184</v>
      </c>
      <c r="B174" s="4">
        <v>173</v>
      </c>
      <c r="C174" s="4">
        <v>0</v>
      </c>
      <c r="D174" s="4">
        <v>0</v>
      </c>
      <c r="E174" s="4">
        <f>(2*geral!$B$10)-E2</f>
        <v>41877</v>
      </c>
      <c r="F174" s="6">
        <f t="shared" si="4"/>
        <v>0</v>
      </c>
      <c r="G174" s="6"/>
      <c r="H174" s="10"/>
      <c r="I174" s="6"/>
      <c r="J174" s="6"/>
    </row>
    <row r="175" spans="1:10" x14ac:dyDescent="0.35">
      <c r="B175" s="4"/>
      <c r="C175" s="4"/>
      <c r="E175" s="4"/>
      <c r="F175" s="6"/>
      <c r="J175" s="6"/>
    </row>
  </sheetData>
  <pageMargins left="0.511811024" right="0.511811024" top="0.78740157499999996" bottom="0.78740157499999996" header="0.31496062000000002" footer="0.31496062000000002"/>
  <ignoredErrors>
    <ignoredError sqref="E8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BAA2-9D19-4008-9BB9-86E804177F52}">
  <dimension ref="A1:B47"/>
  <sheetViews>
    <sheetView topLeftCell="A19" workbookViewId="0">
      <selection activeCell="B1" sqref="B1"/>
    </sheetView>
  </sheetViews>
  <sheetFormatPr defaultRowHeight="14.5" x14ac:dyDescent="0.35"/>
  <cols>
    <col min="1" max="1" width="11.26953125" bestFit="1" customWidth="1"/>
  </cols>
  <sheetData>
    <row r="1" spans="1:2" x14ac:dyDescent="0.35">
      <c r="A1" t="s">
        <v>26</v>
      </c>
      <c r="B1">
        <v>136</v>
      </c>
    </row>
    <row r="2" spans="1:2" x14ac:dyDescent="0.35">
      <c r="A2" t="s">
        <v>27</v>
      </c>
      <c r="B2">
        <v>136</v>
      </c>
    </row>
    <row r="3" spans="1:2" x14ac:dyDescent="0.35">
      <c r="A3" t="s">
        <v>28</v>
      </c>
      <c r="B3">
        <v>136</v>
      </c>
    </row>
    <row r="4" spans="1:2" x14ac:dyDescent="0.35">
      <c r="A4" t="s">
        <v>29</v>
      </c>
      <c r="B4">
        <v>136</v>
      </c>
    </row>
    <row r="5" spans="1:2" x14ac:dyDescent="0.35">
      <c r="A5" t="s">
        <v>30</v>
      </c>
      <c r="B5">
        <v>136</v>
      </c>
    </row>
    <row r="6" spans="1:2" x14ac:dyDescent="0.35">
      <c r="A6" t="s">
        <v>31</v>
      </c>
      <c r="B6">
        <v>136</v>
      </c>
    </row>
    <row r="7" spans="1:2" x14ac:dyDescent="0.35">
      <c r="A7" t="s">
        <v>32</v>
      </c>
      <c r="B7">
        <v>136</v>
      </c>
    </row>
    <row r="8" spans="1:2" x14ac:dyDescent="0.35">
      <c r="A8" t="s">
        <v>33</v>
      </c>
      <c r="B8">
        <v>136</v>
      </c>
    </row>
    <row r="9" spans="1:2" x14ac:dyDescent="0.35">
      <c r="A9" t="s">
        <v>34</v>
      </c>
      <c r="B9">
        <v>136</v>
      </c>
    </row>
    <row r="10" spans="1:2" x14ac:dyDescent="0.35">
      <c r="A10" t="s">
        <v>35</v>
      </c>
      <c r="B10">
        <v>136</v>
      </c>
    </row>
    <row r="11" spans="1:2" x14ac:dyDescent="0.35">
      <c r="A11" t="s">
        <v>36</v>
      </c>
      <c r="B11">
        <v>136</v>
      </c>
    </row>
    <row r="12" spans="1:2" x14ac:dyDescent="0.35">
      <c r="A12" t="s">
        <v>37</v>
      </c>
      <c r="B12">
        <v>136</v>
      </c>
    </row>
    <row r="13" spans="1:2" x14ac:dyDescent="0.35">
      <c r="A13" t="s">
        <v>38</v>
      </c>
      <c r="B13">
        <v>136</v>
      </c>
    </row>
    <row r="14" spans="1:2" x14ac:dyDescent="0.35">
      <c r="A14" t="s">
        <v>39</v>
      </c>
      <c r="B14">
        <v>136</v>
      </c>
    </row>
    <row r="15" spans="1:2" x14ac:dyDescent="0.35">
      <c r="A15" t="s">
        <v>40</v>
      </c>
      <c r="B15">
        <v>136</v>
      </c>
    </row>
    <row r="16" spans="1:2" x14ac:dyDescent="0.35">
      <c r="A16" t="s">
        <v>41</v>
      </c>
      <c r="B16">
        <v>136</v>
      </c>
    </row>
    <row r="17" spans="1:2" x14ac:dyDescent="0.35">
      <c r="A17" t="s">
        <v>42</v>
      </c>
      <c r="B17">
        <v>136</v>
      </c>
    </row>
    <row r="18" spans="1:2" x14ac:dyDescent="0.35">
      <c r="A18" t="s">
        <v>43</v>
      </c>
      <c r="B18">
        <v>136</v>
      </c>
    </row>
    <row r="19" spans="1:2" x14ac:dyDescent="0.35">
      <c r="A19" t="s">
        <v>44</v>
      </c>
      <c r="B19">
        <v>136</v>
      </c>
    </row>
    <row r="20" spans="1:2" x14ac:dyDescent="0.35">
      <c r="A20" t="s">
        <v>45</v>
      </c>
      <c r="B20">
        <v>136</v>
      </c>
    </row>
    <row r="21" spans="1:2" x14ac:dyDescent="0.35">
      <c r="A21" t="s">
        <v>46</v>
      </c>
      <c r="B21">
        <v>136</v>
      </c>
    </row>
    <row r="22" spans="1:2" x14ac:dyDescent="0.35">
      <c r="A22" t="s">
        <v>47</v>
      </c>
      <c r="B22">
        <v>136</v>
      </c>
    </row>
    <row r="23" spans="1:2" x14ac:dyDescent="0.35">
      <c r="A23" t="s">
        <v>48</v>
      </c>
      <c r="B23">
        <v>136</v>
      </c>
    </row>
    <row r="24" spans="1:2" x14ac:dyDescent="0.35">
      <c r="A24" t="s">
        <v>49</v>
      </c>
      <c r="B24">
        <v>136</v>
      </c>
    </row>
    <row r="25" spans="1:2" x14ac:dyDescent="0.35">
      <c r="A25" t="s">
        <v>48</v>
      </c>
      <c r="B25">
        <v>136</v>
      </c>
    </row>
    <row r="26" spans="1:2" x14ac:dyDescent="0.35">
      <c r="A26" t="s">
        <v>47</v>
      </c>
      <c r="B26">
        <v>136</v>
      </c>
    </row>
    <row r="27" spans="1:2" x14ac:dyDescent="0.35">
      <c r="A27" t="s">
        <v>46</v>
      </c>
      <c r="B27">
        <v>136</v>
      </c>
    </row>
    <row r="28" spans="1:2" x14ac:dyDescent="0.35">
      <c r="A28" t="s">
        <v>45</v>
      </c>
      <c r="B28">
        <v>136</v>
      </c>
    </row>
    <row r="29" spans="1:2" x14ac:dyDescent="0.35">
      <c r="A29" t="s">
        <v>44</v>
      </c>
      <c r="B29">
        <v>136</v>
      </c>
    </row>
    <row r="30" spans="1:2" x14ac:dyDescent="0.35">
      <c r="A30" t="s">
        <v>43</v>
      </c>
      <c r="B30">
        <v>136</v>
      </c>
    </row>
    <row r="31" spans="1:2" x14ac:dyDescent="0.35">
      <c r="A31" t="s">
        <v>42</v>
      </c>
      <c r="B31">
        <v>136</v>
      </c>
    </row>
    <row r="32" spans="1:2" x14ac:dyDescent="0.35">
      <c r="A32" t="s">
        <v>41</v>
      </c>
      <c r="B32">
        <v>136</v>
      </c>
    </row>
    <row r="33" spans="1:2" x14ac:dyDescent="0.35">
      <c r="A33" t="s">
        <v>40</v>
      </c>
      <c r="B33">
        <v>136</v>
      </c>
    </row>
    <row r="34" spans="1:2" x14ac:dyDescent="0.35">
      <c r="A34" t="s">
        <v>39</v>
      </c>
      <c r="B34">
        <v>136</v>
      </c>
    </row>
    <row r="35" spans="1:2" x14ac:dyDescent="0.35">
      <c r="A35" t="s">
        <v>38</v>
      </c>
      <c r="B35">
        <v>136</v>
      </c>
    </row>
    <row r="36" spans="1:2" x14ac:dyDescent="0.35">
      <c r="A36" t="s">
        <v>37</v>
      </c>
      <c r="B36">
        <v>136</v>
      </c>
    </row>
    <row r="37" spans="1:2" x14ac:dyDescent="0.35">
      <c r="A37" t="s">
        <v>36</v>
      </c>
      <c r="B37">
        <v>136</v>
      </c>
    </row>
    <row r="38" spans="1:2" x14ac:dyDescent="0.35">
      <c r="A38" t="s">
        <v>35</v>
      </c>
      <c r="B38">
        <v>136</v>
      </c>
    </row>
    <row r="39" spans="1:2" x14ac:dyDescent="0.35">
      <c r="A39" t="s">
        <v>34</v>
      </c>
      <c r="B39">
        <v>136</v>
      </c>
    </row>
    <row r="40" spans="1:2" x14ac:dyDescent="0.35">
      <c r="A40" t="s">
        <v>33</v>
      </c>
      <c r="B40">
        <v>136</v>
      </c>
    </row>
    <row r="41" spans="1:2" x14ac:dyDescent="0.35">
      <c r="A41" t="s">
        <v>32</v>
      </c>
      <c r="B41">
        <v>136</v>
      </c>
    </row>
    <row r="42" spans="1:2" x14ac:dyDescent="0.35">
      <c r="A42" t="s">
        <v>31</v>
      </c>
      <c r="B42">
        <v>136</v>
      </c>
    </row>
    <row r="43" spans="1:2" x14ac:dyDescent="0.35">
      <c r="A43" t="s">
        <v>30</v>
      </c>
      <c r="B43">
        <v>136</v>
      </c>
    </row>
    <row r="44" spans="1:2" x14ac:dyDescent="0.35">
      <c r="A44" t="s">
        <v>29</v>
      </c>
      <c r="B44">
        <v>136</v>
      </c>
    </row>
    <row r="45" spans="1:2" x14ac:dyDescent="0.35">
      <c r="A45" t="s">
        <v>28</v>
      </c>
      <c r="B45">
        <v>136</v>
      </c>
    </row>
    <row r="46" spans="1:2" x14ac:dyDescent="0.35">
      <c r="A46" t="s">
        <v>27</v>
      </c>
      <c r="B46">
        <v>136</v>
      </c>
    </row>
    <row r="47" spans="1:2" x14ac:dyDescent="0.35">
      <c r="A47" t="s">
        <v>26</v>
      </c>
      <c r="B47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899A-C722-4C5C-8A33-729C8B1AE6F4}">
  <dimension ref="A1:B18"/>
  <sheetViews>
    <sheetView workbookViewId="0">
      <selection activeCell="B3" sqref="B3"/>
    </sheetView>
  </sheetViews>
  <sheetFormatPr defaultRowHeight="14.5" x14ac:dyDescent="0.35"/>
  <cols>
    <col min="1" max="1" width="9.7265625" bestFit="1" customWidth="1"/>
  </cols>
  <sheetData>
    <row r="1" spans="1:2" x14ac:dyDescent="0.35">
      <c r="A1" t="s">
        <v>8</v>
      </c>
      <c r="B1">
        <v>130.5</v>
      </c>
    </row>
    <row r="2" spans="1:2" x14ac:dyDescent="0.35">
      <c r="A2" t="s">
        <v>9</v>
      </c>
      <c r="B2">
        <v>1.1200000000000001</v>
      </c>
    </row>
    <row r="3" spans="1:2" x14ac:dyDescent="0.35">
      <c r="A3" t="s">
        <v>10</v>
      </c>
      <c r="B3">
        <v>1.2</v>
      </c>
    </row>
    <row r="4" spans="1:2" x14ac:dyDescent="0.35">
      <c r="A4" t="s">
        <v>11</v>
      </c>
      <c r="B4">
        <v>217734</v>
      </c>
    </row>
    <row r="5" spans="1:2" x14ac:dyDescent="0.35">
      <c r="A5" t="s">
        <v>12</v>
      </c>
      <c r="B5">
        <v>146910</v>
      </c>
    </row>
    <row r="6" spans="1:2" x14ac:dyDescent="0.35">
      <c r="A6" t="s">
        <v>13</v>
      </c>
      <c r="B6">
        <v>0.05</v>
      </c>
    </row>
    <row r="7" spans="1:2" x14ac:dyDescent="0.35">
      <c r="A7" t="s">
        <v>14</v>
      </c>
      <c r="B7">
        <f>4*99450</f>
        <v>397800</v>
      </c>
    </row>
    <row r="8" spans="1:2" x14ac:dyDescent="0.35">
      <c r="A8" t="s">
        <v>15</v>
      </c>
      <c r="B8">
        <f>0.697/12</f>
        <v>5.8083333333333327E-2</v>
      </c>
    </row>
    <row r="9" spans="1:2" x14ac:dyDescent="0.35">
      <c r="A9" t="s">
        <v>16</v>
      </c>
      <c r="B9">
        <v>1418</v>
      </c>
    </row>
    <row r="10" spans="1:2" x14ac:dyDescent="0.35">
      <c r="A10" t="s">
        <v>17</v>
      </c>
      <c r="B10">
        <v>1102</v>
      </c>
    </row>
    <row r="11" spans="1:2" x14ac:dyDescent="0.35">
      <c r="A11" t="s">
        <v>18</v>
      </c>
      <c r="B11">
        <v>3782</v>
      </c>
    </row>
    <row r="12" spans="1:2" x14ac:dyDescent="0.35">
      <c r="A12" t="s">
        <v>19</v>
      </c>
      <c r="B12">
        <v>1027</v>
      </c>
    </row>
    <row r="13" spans="1:2" x14ac:dyDescent="0.35">
      <c r="A13" t="s">
        <v>20</v>
      </c>
      <c r="B13" s="1">
        <v>7.3079999999999998</v>
      </c>
    </row>
    <row r="14" spans="1:2" x14ac:dyDescent="0.35">
      <c r="A14" t="s">
        <v>21</v>
      </c>
      <c r="B14">
        <v>820</v>
      </c>
    </row>
    <row r="15" spans="1:2" x14ac:dyDescent="0.35">
      <c r="A15" t="s">
        <v>22</v>
      </c>
      <c r="B15">
        <v>24</v>
      </c>
    </row>
    <row r="16" spans="1:2" x14ac:dyDescent="0.35">
      <c r="A16" t="s">
        <v>23</v>
      </c>
      <c r="B16" s="2">
        <v>3.17</v>
      </c>
    </row>
    <row r="17" spans="1:2" x14ac:dyDescent="0.35">
      <c r="A17" t="s">
        <v>24</v>
      </c>
      <c r="B17" s="2">
        <v>3.6259999999999999</v>
      </c>
    </row>
    <row r="18" spans="1:2" x14ac:dyDescent="0.35">
      <c r="A18" t="s">
        <v>25</v>
      </c>
      <c r="B18">
        <v>0.9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F45F-ADDF-4D81-9218-5A0E1CE29348}">
  <dimension ref="A1:F47"/>
  <sheetViews>
    <sheetView workbookViewId="0">
      <selection activeCell="F2" sqref="F2"/>
    </sheetView>
  </sheetViews>
  <sheetFormatPr defaultRowHeight="14.5" x14ac:dyDescent="0.35"/>
  <cols>
    <col min="1" max="1" width="10.81640625" style="3" bestFit="1" customWidth="1"/>
    <col min="2" max="2" width="9.81640625" bestFit="1" customWidth="1"/>
    <col min="3" max="3" width="11" bestFit="1" customWidth="1"/>
    <col min="4" max="4" width="11" customWidth="1"/>
    <col min="5" max="5" width="15.26953125" bestFit="1" customWidth="1"/>
    <col min="6" max="6" width="11.81640625" bestFit="1" customWidth="1"/>
  </cols>
  <sheetData>
    <row r="1" spans="1:6" x14ac:dyDescent="0.35">
      <c r="B1" t="s">
        <v>190</v>
      </c>
      <c r="C1" t="s">
        <v>191</v>
      </c>
    </row>
    <row r="2" spans="1:6" x14ac:dyDescent="0.35">
      <c r="A2" s="3" t="s">
        <v>26</v>
      </c>
      <c r="B2">
        <v>0.3</v>
      </c>
      <c r="C2">
        <f>IF(B2*$F$2&gt;=1,1,B2*$F$2)</f>
        <v>0.3</v>
      </c>
      <c r="E2" t="s">
        <v>188</v>
      </c>
      <c r="F2">
        <f>2-(geral!$B$6/41)</f>
        <v>1</v>
      </c>
    </row>
    <row r="3" spans="1:6" x14ac:dyDescent="0.35">
      <c r="A3" s="3" t="s">
        <v>27</v>
      </c>
      <c r="B3">
        <v>0.32</v>
      </c>
      <c r="C3">
        <f t="shared" ref="C3:C47" si="0">IF(B3*$F$2&gt;=1,1,B3*$F$2)</f>
        <v>0.32</v>
      </c>
      <c r="E3" t="s">
        <v>189</v>
      </c>
    </row>
    <row r="4" spans="1:6" x14ac:dyDescent="0.35">
      <c r="A4" s="3" t="s">
        <v>28</v>
      </c>
      <c r="B4">
        <v>0.32</v>
      </c>
      <c r="C4">
        <f t="shared" si="0"/>
        <v>0.32</v>
      </c>
    </row>
    <row r="5" spans="1:6" x14ac:dyDescent="0.35">
      <c r="A5" s="3" t="s">
        <v>29</v>
      </c>
      <c r="B5">
        <v>0.38</v>
      </c>
      <c r="C5">
        <f t="shared" si="0"/>
        <v>0.38</v>
      </c>
    </row>
    <row r="6" spans="1:6" x14ac:dyDescent="0.35">
      <c r="A6" s="3" t="s">
        <v>30</v>
      </c>
      <c r="B6">
        <v>0.45</v>
      </c>
      <c r="C6">
        <f t="shared" si="0"/>
        <v>0.45</v>
      </c>
    </row>
    <row r="7" spans="1:6" x14ac:dyDescent="0.35">
      <c r="A7" s="3" t="s">
        <v>31</v>
      </c>
      <c r="B7">
        <v>0.49</v>
      </c>
      <c r="C7">
        <f t="shared" si="0"/>
        <v>0.49</v>
      </c>
    </row>
    <row r="8" spans="1:6" x14ac:dyDescent="0.35">
      <c r="A8" s="3" t="s">
        <v>32</v>
      </c>
      <c r="B8">
        <v>0.49</v>
      </c>
      <c r="C8">
        <f t="shared" si="0"/>
        <v>0.49</v>
      </c>
    </row>
    <row r="9" spans="1:6" x14ac:dyDescent="0.35">
      <c r="A9" s="3" t="s">
        <v>33</v>
      </c>
      <c r="B9">
        <v>0.43</v>
      </c>
      <c r="C9">
        <f t="shared" si="0"/>
        <v>0.43</v>
      </c>
    </row>
    <row r="10" spans="1:6" x14ac:dyDescent="0.35">
      <c r="A10" s="3" t="s">
        <v>34</v>
      </c>
      <c r="B10">
        <v>0.43</v>
      </c>
      <c r="C10">
        <f t="shared" si="0"/>
        <v>0.43</v>
      </c>
    </row>
    <row r="11" spans="1:6" x14ac:dyDescent="0.35">
      <c r="A11" s="3" t="s">
        <v>35</v>
      </c>
      <c r="B11">
        <v>0.47</v>
      </c>
      <c r="C11">
        <f t="shared" si="0"/>
        <v>0.47</v>
      </c>
    </row>
    <row r="12" spans="1:6" x14ac:dyDescent="0.35">
      <c r="A12" s="3" t="s">
        <v>36</v>
      </c>
      <c r="B12">
        <v>0.51</v>
      </c>
      <c r="C12">
        <f t="shared" si="0"/>
        <v>0.51</v>
      </c>
    </row>
    <row r="13" spans="1:6" x14ac:dyDescent="0.35">
      <c r="A13" s="3" t="s">
        <v>37</v>
      </c>
      <c r="B13">
        <v>0.53</v>
      </c>
      <c r="C13">
        <f t="shared" si="0"/>
        <v>0.53</v>
      </c>
    </row>
    <row r="14" spans="1:6" x14ac:dyDescent="0.35">
      <c r="A14" s="3" t="s">
        <v>38</v>
      </c>
      <c r="B14">
        <v>0.62</v>
      </c>
      <c r="C14">
        <f t="shared" si="0"/>
        <v>0.62</v>
      </c>
    </row>
    <row r="15" spans="1:6" x14ac:dyDescent="0.35">
      <c r="A15" s="3" t="s">
        <v>39</v>
      </c>
      <c r="B15">
        <v>0.4</v>
      </c>
      <c r="C15">
        <f t="shared" si="0"/>
        <v>0.4</v>
      </c>
    </row>
    <row r="16" spans="1:6" x14ac:dyDescent="0.35">
      <c r="A16" s="3" t="s">
        <v>40</v>
      </c>
      <c r="B16">
        <v>0.4</v>
      </c>
      <c r="C16">
        <f t="shared" si="0"/>
        <v>0.4</v>
      </c>
    </row>
    <row r="17" spans="1:3" x14ac:dyDescent="0.35">
      <c r="A17" s="3" t="s">
        <v>41</v>
      </c>
      <c r="B17">
        <v>0.4</v>
      </c>
      <c r="C17">
        <f t="shared" si="0"/>
        <v>0.4</v>
      </c>
    </row>
    <row r="18" spans="1:3" x14ac:dyDescent="0.35">
      <c r="A18" s="3" t="s">
        <v>42</v>
      </c>
      <c r="B18">
        <v>0.32</v>
      </c>
      <c r="C18">
        <f t="shared" si="0"/>
        <v>0.32</v>
      </c>
    </row>
    <row r="19" spans="1:3" x14ac:dyDescent="0.35">
      <c r="A19" s="3" t="s">
        <v>43</v>
      </c>
      <c r="B19">
        <v>0.25</v>
      </c>
      <c r="C19">
        <f t="shared" si="0"/>
        <v>0.25</v>
      </c>
    </row>
    <row r="20" spans="1:3" x14ac:dyDescent="0.35">
      <c r="A20" s="3" t="s">
        <v>44</v>
      </c>
      <c r="B20">
        <v>0.21</v>
      </c>
      <c r="C20">
        <f t="shared" si="0"/>
        <v>0.21</v>
      </c>
    </row>
    <row r="21" spans="1:3" x14ac:dyDescent="0.35">
      <c r="A21" s="3" t="s">
        <v>45</v>
      </c>
      <c r="B21">
        <v>0.12</v>
      </c>
      <c r="C21">
        <f t="shared" si="0"/>
        <v>0.12</v>
      </c>
    </row>
    <row r="22" spans="1:3" x14ac:dyDescent="0.35">
      <c r="A22" s="3" t="s">
        <v>46</v>
      </c>
      <c r="B22">
        <v>0.12</v>
      </c>
      <c r="C22">
        <f t="shared" si="0"/>
        <v>0.12</v>
      </c>
    </row>
    <row r="23" spans="1:3" x14ac:dyDescent="0.35">
      <c r="A23" s="3" t="s">
        <v>47</v>
      </c>
      <c r="B23">
        <v>0.12</v>
      </c>
      <c r="C23">
        <f t="shared" si="0"/>
        <v>0.12</v>
      </c>
    </row>
    <row r="24" spans="1:3" x14ac:dyDescent="0.35">
      <c r="A24" s="3" t="s">
        <v>48</v>
      </c>
      <c r="B24">
        <v>0.12</v>
      </c>
      <c r="C24">
        <f t="shared" si="0"/>
        <v>0.12</v>
      </c>
    </row>
    <row r="25" spans="1:3" x14ac:dyDescent="0.35">
      <c r="A25" s="3" t="s">
        <v>49</v>
      </c>
      <c r="B25">
        <v>0</v>
      </c>
      <c r="C25">
        <f t="shared" si="0"/>
        <v>0</v>
      </c>
    </row>
    <row r="26" spans="1:3" x14ac:dyDescent="0.35">
      <c r="A26" t="s">
        <v>48</v>
      </c>
      <c r="B26">
        <v>0.23</v>
      </c>
      <c r="C26">
        <f t="shared" si="0"/>
        <v>0.23</v>
      </c>
    </row>
    <row r="27" spans="1:3" x14ac:dyDescent="0.35">
      <c r="A27" t="s">
        <v>47</v>
      </c>
      <c r="B27">
        <v>0.3</v>
      </c>
      <c r="C27">
        <f t="shared" si="0"/>
        <v>0.3</v>
      </c>
    </row>
    <row r="28" spans="1:3" x14ac:dyDescent="0.35">
      <c r="A28" t="s">
        <v>46</v>
      </c>
      <c r="B28">
        <v>0.36</v>
      </c>
      <c r="C28">
        <f t="shared" si="0"/>
        <v>0.36</v>
      </c>
    </row>
    <row r="29" spans="1:3" x14ac:dyDescent="0.35">
      <c r="A29" t="s">
        <v>45</v>
      </c>
      <c r="B29">
        <v>0.53</v>
      </c>
      <c r="C29">
        <f t="shared" si="0"/>
        <v>0.53</v>
      </c>
    </row>
    <row r="30" spans="1:3" x14ac:dyDescent="0.35">
      <c r="A30" t="s">
        <v>44</v>
      </c>
      <c r="B30">
        <v>0.53</v>
      </c>
      <c r="C30">
        <f t="shared" si="0"/>
        <v>0.53</v>
      </c>
    </row>
    <row r="31" spans="1:3" x14ac:dyDescent="0.35">
      <c r="A31" t="s">
        <v>43</v>
      </c>
      <c r="B31">
        <v>0.66</v>
      </c>
      <c r="C31">
        <f t="shared" si="0"/>
        <v>0.66</v>
      </c>
    </row>
    <row r="32" spans="1:3" x14ac:dyDescent="0.35">
      <c r="A32" t="s">
        <v>42</v>
      </c>
      <c r="B32">
        <v>0.66</v>
      </c>
      <c r="C32">
        <f t="shared" si="0"/>
        <v>0.66</v>
      </c>
    </row>
    <row r="33" spans="1:3" x14ac:dyDescent="0.35">
      <c r="A33" t="s">
        <v>41</v>
      </c>
      <c r="B33">
        <v>0.66</v>
      </c>
      <c r="C33">
        <f t="shared" si="0"/>
        <v>0.66</v>
      </c>
    </row>
    <row r="34" spans="1:3" x14ac:dyDescent="0.35">
      <c r="A34" t="s">
        <v>40</v>
      </c>
      <c r="B34">
        <v>0.84</v>
      </c>
      <c r="C34">
        <f t="shared" si="0"/>
        <v>0.84</v>
      </c>
    </row>
    <row r="35" spans="1:3" x14ac:dyDescent="0.35">
      <c r="A35" t="s">
        <v>39</v>
      </c>
      <c r="B35">
        <v>0.77</v>
      </c>
      <c r="C35">
        <f t="shared" si="0"/>
        <v>0.77</v>
      </c>
    </row>
    <row r="36" spans="1:3" x14ac:dyDescent="0.35">
      <c r="A36" t="s">
        <v>38</v>
      </c>
      <c r="B36">
        <v>0.98</v>
      </c>
      <c r="C36">
        <f t="shared" si="0"/>
        <v>0.98</v>
      </c>
    </row>
    <row r="37" spans="1:3" x14ac:dyDescent="0.35">
      <c r="A37" t="s">
        <v>37</v>
      </c>
      <c r="B37">
        <v>0.9</v>
      </c>
      <c r="C37">
        <f t="shared" si="0"/>
        <v>0.9</v>
      </c>
    </row>
    <row r="38" spans="1:3" x14ac:dyDescent="0.35">
      <c r="A38" t="s">
        <v>36</v>
      </c>
      <c r="B38">
        <v>0.81</v>
      </c>
      <c r="C38">
        <f t="shared" si="0"/>
        <v>0.81</v>
      </c>
    </row>
    <row r="39" spans="1:3" x14ac:dyDescent="0.35">
      <c r="A39" t="s">
        <v>35</v>
      </c>
      <c r="B39">
        <v>0.73</v>
      </c>
      <c r="C39">
        <f t="shared" si="0"/>
        <v>0.73</v>
      </c>
    </row>
    <row r="40" spans="1:3" x14ac:dyDescent="0.35">
      <c r="A40" t="s">
        <v>34</v>
      </c>
      <c r="B40">
        <v>0.51</v>
      </c>
      <c r="C40">
        <f t="shared" si="0"/>
        <v>0.51</v>
      </c>
    </row>
    <row r="41" spans="1:3" x14ac:dyDescent="0.35">
      <c r="A41" t="s">
        <v>33</v>
      </c>
      <c r="B41">
        <v>0.49</v>
      </c>
      <c r="C41">
        <f t="shared" si="0"/>
        <v>0.49</v>
      </c>
    </row>
    <row r="42" spans="1:3" x14ac:dyDescent="0.35">
      <c r="A42" t="s">
        <v>32</v>
      </c>
      <c r="B42">
        <v>0.43</v>
      </c>
      <c r="C42">
        <f t="shared" si="0"/>
        <v>0.43</v>
      </c>
    </row>
    <row r="43" spans="1:3" x14ac:dyDescent="0.35">
      <c r="A43" t="s">
        <v>31</v>
      </c>
      <c r="B43">
        <v>0.36</v>
      </c>
      <c r="C43">
        <f t="shared" si="0"/>
        <v>0.36</v>
      </c>
    </row>
    <row r="44" spans="1:3" x14ac:dyDescent="0.35">
      <c r="A44" t="s">
        <v>30</v>
      </c>
      <c r="B44">
        <v>0.32</v>
      </c>
      <c r="C44">
        <f t="shared" si="0"/>
        <v>0.32</v>
      </c>
    </row>
    <row r="45" spans="1:3" x14ac:dyDescent="0.35">
      <c r="A45" t="s">
        <v>29</v>
      </c>
      <c r="B45">
        <v>0.27</v>
      </c>
      <c r="C45">
        <f t="shared" si="0"/>
        <v>0.27</v>
      </c>
    </row>
    <row r="46" spans="1:3" x14ac:dyDescent="0.35">
      <c r="A46" t="s">
        <v>28</v>
      </c>
      <c r="B46">
        <v>0.23</v>
      </c>
      <c r="C46">
        <f t="shared" si="0"/>
        <v>0.23</v>
      </c>
    </row>
    <row r="47" spans="1:3" x14ac:dyDescent="0.35">
      <c r="A47" t="s">
        <v>27</v>
      </c>
      <c r="B47">
        <v>0.17</v>
      </c>
      <c r="C47">
        <f t="shared" si="0"/>
        <v>0.17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D77D-4A79-4D91-9F1E-C470AB75671E}">
  <dimension ref="A1:B47"/>
  <sheetViews>
    <sheetView zoomScale="85" zoomScaleNormal="85" workbookViewId="0">
      <selection activeCell="B1" sqref="B1"/>
    </sheetView>
  </sheetViews>
  <sheetFormatPr defaultRowHeight="14.5" x14ac:dyDescent="0.35"/>
  <cols>
    <col min="1" max="1" width="11.26953125" bestFit="1" customWidth="1"/>
  </cols>
  <sheetData>
    <row r="1" spans="1:2" x14ac:dyDescent="0.35">
      <c r="A1" t="s">
        <v>26</v>
      </c>
      <c r="B1">
        <v>77</v>
      </c>
    </row>
    <row r="2" spans="1:2" x14ac:dyDescent="0.35">
      <c r="A2" t="s">
        <v>27</v>
      </c>
      <c r="B2">
        <v>1264</v>
      </c>
    </row>
    <row r="3" spans="1:2" x14ac:dyDescent="0.35">
      <c r="A3" t="s">
        <v>28</v>
      </c>
      <c r="B3">
        <v>2357</v>
      </c>
    </row>
    <row r="4" spans="1:2" x14ac:dyDescent="0.35">
      <c r="A4" t="s">
        <v>29</v>
      </c>
      <c r="B4">
        <v>3152</v>
      </c>
    </row>
    <row r="5" spans="1:2" x14ac:dyDescent="0.35">
      <c r="A5" t="s">
        <v>30</v>
      </c>
      <c r="B5">
        <v>4047</v>
      </c>
    </row>
    <row r="6" spans="1:2" x14ac:dyDescent="0.35">
      <c r="A6" t="s">
        <v>31</v>
      </c>
      <c r="B6">
        <v>5353</v>
      </c>
    </row>
    <row r="7" spans="1:2" x14ac:dyDescent="0.35">
      <c r="A7" t="s">
        <v>32</v>
      </c>
      <c r="B7">
        <v>6494</v>
      </c>
    </row>
    <row r="8" spans="1:2" x14ac:dyDescent="0.35">
      <c r="A8" t="s">
        <v>33</v>
      </c>
      <c r="B8">
        <v>7466</v>
      </c>
    </row>
    <row r="9" spans="1:2" x14ac:dyDescent="0.35">
      <c r="A9" t="s">
        <v>34</v>
      </c>
      <c r="B9">
        <v>8181</v>
      </c>
    </row>
    <row r="10" spans="1:2" x14ac:dyDescent="0.35">
      <c r="A10" t="s">
        <v>35</v>
      </c>
      <c r="B10">
        <v>8855</v>
      </c>
    </row>
    <row r="11" spans="1:2" x14ac:dyDescent="0.35">
      <c r="A11" t="s">
        <v>36</v>
      </c>
      <c r="B11">
        <v>9687</v>
      </c>
    </row>
    <row r="12" spans="1:2" x14ac:dyDescent="0.35">
      <c r="A12" t="s">
        <v>37</v>
      </c>
      <c r="B12">
        <v>10521</v>
      </c>
    </row>
    <row r="13" spans="1:2" x14ac:dyDescent="0.35">
      <c r="A13" t="s">
        <v>38</v>
      </c>
      <c r="B13">
        <v>11108</v>
      </c>
    </row>
    <row r="14" spans="1:2" x14ac:dyDescent="0.35">
      <c r="A14" t="s">
        <v>39</v>
      </c>
      <c r="B14">
        <v>11809</v>
      </c>
    </row>
    <row r="15" spans="1:2" x14ac:dyDescent="0.35">
      <c r="A15" t="s">
        <v>40</v>
      </c>
      <c r="B15">
        <v>12660</v>
      </c>
    </row>
    <row r="16" spans="1:2" x14ac:dyDescent="0.35">
      <c r="A16" t="s">
        <v>41</v>
      </c>
      <c r="B16">
        <v>13316</v>
      </c>
    </row>
    <row r="17" spans="1:2" x14ac:dyDescent="0.35">
      <c r="A17" t="s">
        <v>42</v>
      </c>
      <c r="B17">
        <v>14007</v>
      </c>
    </row>
    <row r="18" spans="1:2" x14ac:dyDescent="0.35">
      <c r="A18" t="s">
        <v>43</v>
      </c>
      <c r="B18">
        <v>15250</v>
      </c>
    </row>
    <row r="19" spans="1:2" x14ac:dyDescent="0.35">
      <c r="A19" t="s">
        <v>44</v>
      </c>
      <c r="B19">
        <v>16013</v>
      </c>
    </row>
    <row r="20" spans="1:2" x14ac:dyDescent="0.35">
      <c r="A20" t="s">
        <v>45</v>
      </c>
      <c r="B20">
        <v>16752</v>
      </c>
    </row>
    <row r="21" spans="1:2" x14ac:dyDescent="0.35">
      <c r="A21" t="s">
        <v>46</v>
      </c>
      <c r="B21">
        <v>18229</v>
      </c>
    </row>
    <row r="22" spans="1:2" x14ac:dyDescent="0.35">
      <c r="A22" t="s">
        <v>47</v>
      </c>
      <c r="B22">
        <v>19284</v>
      </c>
    </row>
    <row r="23" spans="1:2" x14ac:dyDescent="0.35">
      <c r="A23" t="s">
        <v>48</v>
      </c>
      <c r="B23">
        <v>20276</v>
      </c>
    </row>
    <row r="24" spans="1:2" x14ac:dyDescent="0.35">
      <c r="A24" t="s">
        <v>49</v>
      </c>
      <c r="B24">
        <v>21011</v>
      </c>
    </row>
    <row r="25" spans="1:2" x14ac:dyDescent="0.35">
      <c r="A25" t="s">
        <v>48</v>
      </c>
      <c r="B25">
        <f>2*$B$24-B23</f>
        <v>21746</v>
      </c>
    </row>
    <row r="26" spans="1:2" x14ac:dyDescent="0.35">
      <c r="A26" t="s">
        <v>47</v>
      </c>
      <c r="B26">
        <f>2*$B$24-B22</f>
        <v>22738</v>
      </c>
    </row>
    <row r="27" spans="1:2" x14ac:dyDescent="0.35">
      <c r="A27" t="s">
        <v>46</v>
      </c>
      <c r="B27">
        <f>2*$B$24-B21</f>
        <v>23793</v>
      </c>
    </row>
    <row r="28" spans="1:2" x14ac:dyDescent="0.35">
      <c r="A28" t="s">
        <v>45</v>
      </c>
      <c r="B28">
        <f>2*$B$24-B20</f>
        <v>25270</v>
      </c>
    </row>
    <row r="29" spans="1:2" x14ac:dyDescent="0.35">
      <c r="A29" t="s">
        <v>44</v>
      </c>
      <c r="B29">
        <f>2*$B$24-B19</f>
        <v>26009</v>
      </c>
    </row>
    <row r="30" spans="1:2" x14ac:dyDescent="0.35">
      <c r="A30" t="s">
        <v>43</v>
      </c>
      <c r="B30">
        <f>2*$B$24-B18</f>
        <v>26772</v>
      </c>
    </row>
    <row r="31" spans="1:2" x14ac:dyDescent="0.35">
      <c r="A31" t="s">
        <v>42</v>
      </c>
      <c r="B31">
        <f>2*$B$24-B17</f>
        <v>28015</v>
      </c>
    </row>
    <row r="32" spans="1:2" x14ac:dyDescent="0.35">
      <c r="A32" t="s">
        <v>41</v>
      </c>
      <c r="B32">
        <f>2*$B$24-B16</f>
        <v>28706</v>
      </c>
    </row>
    <row r="33" spans="1:2" x14ac:dyDescent="0.35">
      <c r="A33" t="s">
        <v>40</v>
      </c>
      <c r="B33">
        <f>2*$B$24-B15</f>
        <v>29362</v>
      </c>
    </row>
    <row r="34" spans="1:2" x14ac:dyDescent="0.35">
      <c r="A34" t="s">
        <v>39</v>
      </c>
      <c r="B34">
        <f>2*$B$24-B14</f>
        <v>30213</v>
      </c>
    </row>
    <row r="35" spans="1:2" x14ac:dyDescent="0.35">
      <c r="A35" t="s">
        <v>38</v>
      </c>
      <c r="B35">
        <f>2*$B$24-B13</f>
        <v>30914</v>
      </c>
    </row>
    <row r="36" spans="1:2" x14ac:dyDescent="0.35">
      <c r="A36" t="s">
        <v>37</v>
      </c>
      <c r="B36">
        <f>2*$B$24-B12</f>
        <v>31501</v>
      </c>
    </row>
    <row r="37" spans="1:2" x14ac:dyDescent="0.35">
      <c r="A37" t="s">
        <v>36</v>
      </c>
      <c r="B37">
        <f>2*$B$24-B11</f>
        <v>32335</v>
      </c>
    </row>
    <row r="38" spans="1:2" x14ac:dyDescent="0.35">
      <c r="A38" t="s">
        <v>35</v>
      </c>
      <c r="B38">
        <f>2*$B$24-B10</f>
        <v>33167</v>
      </c>
    </row>
    <row r="39" spans="1:2" x14ac:dyDescent="0.35">
      <c r="A39" t="s">
        <v>34</v>
      </c>
      <c r="B39">
        <f>2*$B$24-B9</f>
        <v>33841</v>
      </c>
    </row>
    <row r="40" spans="1:2" x14ac:dyDescent="0.35">
      <c r="A40" t="s">
        <v>33</v>
      </c>
      <c r="B40">
        <f>2*$B$24-B8</f>
        <v>34556</v>
      </c>
    </row>
    <row r="41" spans="1:2" x14ac:dyDescent="0.35">
      <c r="A41" t="s">
        <v>32</v>
      </c>
      <c r="B41">
        <f>2*$B$24-B7</f>
        <v>35528</v>
      </c>
    </row>
    <row r="42" spans="1:2" x14ac:dyDescent="0.35">
      <c r="A42" t="s">
        <v>31</v>
      </c>
      <c r="B42">
        <f>2*$B$24-B6</f>
        <v>36669</v>
      </c>
    </row>
    <row r="43" spans="1:2" x14ac:dyDescent="0.35">
      <c r="A43" t="s">
        <v>30</v>
      </c>
      <c r="B43">
        <f>2*$B$24-B5</f>
        <v>37975</v>
      </c>
    </row>
    <row r="44" spans="1:2" x14ac:dyDescent="0.35">
      <c r="A44" t="s">
        <v>29</v>
      </c>
      <c r="B44">
        <f>2*$B$24-B4</f>
        <v>38870</v>
      </c>
    </row>
    <row r="45" spans="1:2" x14ac:dyDescent="0.35">
      <c r="A45" t="s">
        <v>28</v>
      </c>
      <c r="B45">
        <f>2*$B$24-B3</f>
        <v>39665</v>
      </c>
    </row>
    <row r="46" spans="1:2" x14ac:dyDescent="0.35">
      <c r="A46" t="s">
        <v>27</v>
      </c>
      <c r="B46">
        <f>2*$B$24-B2</f>
        <v>40758</v>
      </c>
    </row>
    <row r="47" spans="1:2" x14ac:dyDescent="0.35">
      <c r="A47" t="s">
        <v>176</v>
      </c>
      <c r="B47">
        <f>2*$B$24</f>
        <v>42022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6F36-3994-4122-A839-5F51BF49F8AE}">
  <dimension ref="A1:B21"/>
  <sheetViews>
    <sheetView workbookViewId="0">
      <selection activeCell="C15" sqref="C15"/>
    </sheetView>
  </sheetViews>
  <sheetFormatPr defaultRowHeight="14.5" x14ac:dyDescent="0.35"/>
  <sheetData>
    <row r="1" spans="1:2" x14ac:dyDescent="0.35">
      <c r="A1" t="s">
        <v>50</v>
      </c>
      <c r="B1">
        <v>0</v>
      </c>
    </row>
    <row r="2" spans="1:2" x14ac:dyDescent="0.35">
      <c r="A2" t="s">
        <v>51</v>
      </c>
      <c r="B2">
        <v>1498</v>
      </c>
    </row>
    <row r="3" spans="1:2" x14ac:dyDescent="0.35">
      <c r="A3" t="s">
        <v>52</v>
      </c>
      <c r="B3">
        <v>2438</v>
      </c>
    </row>
    <row r="4" spans="1:2" x14ac:dyDescent="0.35">
      <c r="A4" t="s">
        <v>53</v>
      </c>
      <c r="B4">
        <v>3331</v>
      </c>
    </row>
    <row r="5" spans="1:2" x14ac:dyDescent="0.35">
      <c r="A5" t="s">
        <v>54</v>
      </c>
      <c r="B5">
        <v>4124</v>
      </c>
    </row>
    <row r="6" spans="1:2" x14ac:dyDescent="0.35">
      <c r="A6" t="s">
        <v>55</v>
      </c>
      <c r="B6">
        <v>5109</v>
      </c>
    </row>
    <row r="7" spans="1:2" x14ac:dyDescent="0.35">
      <c r="A7" t="s">
        <v>56</v>
      </c>
      <c r="B7">
        <v>6574</v>
      </c>
    </row>
    <row r="8" spans="1:2" x14ac:dyDescent="0.35">
      <c r="A8" t="s">
        <v>57</v>
      </c>
      <c r="B8">
        <v>7282</v>
      </c>
    </row>
    <row r="9" spans="1:2" x14ac:dyDescent="0.35">
      <c r="A9" t="s">
        <v>58</v>
      </c>
      <c r="B9">
        <v>8105</v>
      </c>
    </row>
    <row r="10" spans="1:2" x14ac:dyDescent="0.35">
      <c r="A10" t="s">
        <v>59</v>
      </c>
      <c r="B10">
        <v>9493</v>
      </c>
    </row>
    <row r="11" spans="1:2" x14ac:dyDescent="0.35">
      <c r="A11" t="s">
        <v>60</v>
      </c>
      <c r="B11">
        <v>10434</v>
      </c>
    </row>
    <row r="12" spans="1:2" x14ac:dyDescent="0.35">
      <c r="A12" t="s">
        <v>61</v>
      </c>
      <c r="B12">
        <v>10994</v>
      </c>
    </row>
    <row r="13" spans="1:2" x14ac:dyDescent="0.35">
      <c r="A13" t="s">
        <v>62</v>
      </c>
      <c r="B13">
        <v>11888</v>
      </c>
    </row>
    <row r="14" spans="1:2" x14ac:dyDescent="0.35">
      <c r="A14" t="s">
        <v>63</v>
      </c>
      <c r="B14">
        <v>12741</v>
      </c>
    </row>
    <row r="15" spans="1:2" x14ac:dyDescent="0.35">
      <c r="A15" t="s">
        <v>64</v>
      </c>
      <c r="B15">
        <v>13652</v>
      </c>
    </row>
    <row r="16" spans="1:2" x14ac:dyDescent="0.35">
      <c r="A16" t="s">
        <v>65</v>
      </c>
      <c r="B16">
        <v>14632</v>
      </c>
    </row>
    <row r="17" spans="1:2" x14ac:dyDescent="0.35">
      <c r="A17" t="s">
        <v>66</v>
      </c>
      <c r="B17">
        <v>15931</v>
      </c>
    </row>
    <row r="18" spans="1:2" x14ac:dyDescent="0.35">
      <c r="A18" t="s">
        <v>67</v>
      </c>
      <c r="B18">
        <v>17521</v>
      </c>
    </row>
    <row r="19" spans="1:2" x14ac:dyDescent="0.35">
      <c r="A19" t="s">
        <v>68</v>
      </c>
      <c r="B19">
        <v>18147</v>
      </c>
    </row>
    <row r="20" spans="1:2" x14ac:dyDescent="0.35">
      <c r="A20" t="s">
        <v>69</v>
      </c>
      <c r="B20">
        <v>19202</v>
      </c>
    </row>
    <row r="21" spans="1:2" x14ac:dyDescent="0.35">
      <c r="A21" t="s">
        <v>70</v>
      </c>
      <c r="B21">
        <v>20389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51DB-1AA9-42C8-8137-740F83D949C1}">
  <dimension ref="A1:B4"/>
  <sheetViews>
    <sheetView workbookViewId="0">
      <selection activeCell="I26" sqref="I26"/>
    </sheetView>
  </sheetViews>
  <sheetFormatPr defaultRowHeight="14.5" x14ac:dyDescent="0.35"/>
  <sheetData>
    <row r="1" spans="1:2" x14ac:dyDescent="0.35">
      <c r="A1" t="s">
        <v>178</v>
      </c>
    </row>
    <row r="2" spans="1:2" x14ac:dyDescent="0.35">
      <c r="A2" t="s">
        <v>177</v>
      </c>
      <c r="B2">
        <f>0.65+(13.15/(((trem!B4+trem!B5)/1000)/trem!B15))</f>
        <v>1.515501694803699</v>
      </c>
    </row>
    <row r="3" spans="1:2" x14ac:dyDescent="0.35">
      <c r="A3" t="s">
        <v>179</v>
      </c>
      <c r="B3">
        <v>2.8000000000000001E-2</v>
      </c>
    </row>
    <row r="4" spans="1:2" x14ac:dyDescent="0.35">
      <c r="A4" t="s">
        <v>180</v>
      </c>
      <c r="B4">
        <f>(0.00456*trem!B16*trem!B17)/((trem!B4+trem!B5)/6000)</f>
        <v>8.6245031098825149E-4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E51D-56E0-442D-BCD1-98CE99046A77}">
  <dimension ref="A1:D62"/>
  <sheetViews>
    <sheetView zoomScale="85" zoomScaleNormal="85" workbookViewId="0">
      <selection activeCell="H7" sqref="H7"/>
    </sheetView>
  </sheetViews>
  <sheetFormatPr defaultRowHeight="14.5" x14ac:dyDescent="0.35"/>
  <cols>
    <col min="1" max="1" width="18" bestFit="1" customWidth="1"/>
    <col min="2" max="2" width="13.1796875" bestFit="1" customWidth="1"/>
    <col min="3" max="3" width="11.54296875" bestFit="1" customWidth="1"/>
    <col min="4" max="4" width="10.7265625" bestFit="1" customWidth="1"/>
  </cols>
  <sheetData>
    <row r="1" spans="1:4" x14ac:dyDescent="0.35">
      <c r="A1" s="4" t="s">
        <v>132</v>
      </c>
      <c r="B1" s="4" t="s">
        <v>133</v>
      </c>
      <c r="C1" s="4" t="s">
        <v>134</v>
      </c>
      <c r="D1" s="4" t="s">
        <v>135</v>
      </c>
    </row>
    <row r="2" spans="1:4" x14ac:dyDescent="0.35">
      <c r="A2" s="4" t="s">
        <v>71</v>
      </c>
      <c r="B2" s="4">
        <v>160</v>
      </c>
      <c r="C2" s="4">
        <v>393</v>
      </c>
      <c r="D2" s="4">
        <v>-0.4</v>
      </c>
    </row>
    <row r="3" spans="1:4" x14ac:dyDescent="0.35">
      <c r="A3" s="4" t="s">
        <v>73</v>
      </c>
      <c r="B3" s="4">
        <v>939</v>
      </c>
      <c r="C3" s="4">
        <v>1154</v>
      </c>
      <c r="D3" s="4">
        <v>-1.72</v>
      </c>
    </row>
    <row r="4" spans="1:4" x14ac:dyDescent="0.35">
      <c r="A4" s="4" t="s">
        <v>74</v>
      </c>
      <c r="B4" s="4">
        <v>1346</v>
      </c>
      <c r="C4" s="4">
        <v>1518</v>
      </c>
      <c r="D4" s="4">
        <v>-2.46</v>
      </c>
    </row>
    <row r="5" spans="1:4" x14ac:dyDescent="0.35">
      <c r="A5" s="4" t="s">
        <v>75</v>
      </c>
      <c r="B5" s="4">
        <v>1518</v>
      </c>
      <c r="C5" s="4">
        <v>1761</v>
      </c>
      <c r="D5" s="4">
        <v>2.27</v>
      </c>
    </row>
    <row r="6" spans="1:4" x14ac:dyDescent="0.35">
      <c r="A6" s="4" t="s">
        <v>76</v>
      </c>
      <c r="B6" s="4">
        <v>1761</v>
      </c>
      <c r="C6" s="4">
        <v>2246</v>
      </c>
      <c r="D6" s="4">
        <v>0.4</v>
      </c>
    </row>
    <row r="7" spans="1:4" x14ac:dyDescent="0.35">
      <c r="A7" s="4" t="s">
        <v>77</v>
      </c>
      <c r="B7" s="4">
        <v>2246</v>
      </c>
      <c r="C7" s="4">
        <v>2284</v>
      </c>
      <c r="D7" s="4">
        <v>0.6</v>
      </c>
    </row>
    <row r="8" spans="1:4" x14ac:dyDescent="0.35">
      <c r="A8" s="4" t="s">
        <v>78</v>
      </c>
      <c r="B8" s="4">
        <v>2428</v>
      </c>
      <c r="C8" s="4">
        <v>2467</v>
      </c>
      <c r="D8" s="4">
        <v>-0.6</v>
      </c>
    </row>
    <row r="9" spans="1:4" x14ac:dyDescent="0.35">
      <c r="A9" s="4" t="s">
        <v>79</v>
      </c>
      <c r="B9" s="4">
        <v>2467</v>
      </c>
      <c r="C9" s="4">
        <v>2883</v>
      </c>
      <c r="D9" s="4">
        <v>-0.4</v>
      </c>
    </row>
    <row r="10" spans="1:4" x14ac:dyDescent="0.35">
      <c r="A10" s="4" t="s">
        <v>72</v>
      </c>
      <c r="B10" s="4">
        <v>2883</v>
      </c>
      <c r="C10" s="4">
        <v>2957</v>
      </c>
      <c r="D10" s="4">
        <v>1.05</v>
      </c>
    </row>
    <row r="11" spans="1:4" x14ac:dyDescent="0.35">
      <c r="A11" s="4" t="s">
        <v>80</v>
      </c>
      <c r="B11" s="4">
        <v>2957</v>
      </c>
      <c r="C11" s="4">
        <v>3037</v>
      </c>
      <c r="D11" s="4">
        <v>0.75</v>
      </c>
    </row>
    <row r="12" spans="1:4" x14ac:dyDescent="0.35">
      <c r="A12" s="4" t="s">
        <v>81</v>
      </c>
      <c r="B12" s="4">
        <v>3257</v>
      </c>
      <c r="C12" s="4">
        <v>3324</v>
      </c>
      <c r="D12" s="4">
        <v>-0.55000000000000004</v>
      </c>
    </row>
    <row r="13" spans="1:4" x14ac:dyDescent="0.35">
      <c r="A13" s="4" t="s">
        <v>82</v>
      </c>
      <c r="B13" s="4">
        <v>3324</v>
      </c>
      <c r="C13" s="4">
        <v>3380</v>
      </c>
      <c r="D13" s="4">
        <v>-1.05</v>
      </c>
    </row>
    <row r="14" spans="1:4" x14ac:dyDescent="0.35">
      <c r="A14" s="4" t="s">
        <v>83</v>
      </c>
      <c r="B14" s="4">
        <v>3380</v>
      </c>
      <c r="C14" s="4">
        <v>3893</v>
      </c>
      <c r="D14" s="4">
        <v>-0.55000000000000004</v>
      </c>
    </row>
    <row r="15" spans="1:4" x14ac:dyDescent="0.35">
      <c r="A15" s="4" t="s">
        <v>84</v>
      </c>
      <c r="B15" s="4">
        <v>4117</v>
      </c>
      <c r="C15" s="4">
        <v>4155</v>
      </c>
      <c r="D15" s="4">
        <v>-0.6</v>
      </c>
    </row>
    <row r="16" spans="1:4" x14ac:dyDescent="0.35">
      <c r="A16" s="4" t="s">
        <v>85</v>
      </c>
      <c r="B16" s="4">
        <v>4155</v>
      </c>
      <c r="C16" s="4">
        <v>4684</v>
      </c>
      <c r="D16" s="4">
        <v>-0.42</v>
      </c>
    </row>
    <row r="17" spans="1:4" x14ac:dyDescent="0.35">
      <c r="A17" s="4" t="s">
        <v>86</v>
      </c>
      <c r="B17" s="4">
        <v>4684</v>
      </c>
      <c r="C17" s="4">
        <v>5246</v>
      </c>
      <c r="D17" s="4">
        <v>0.4</v>
      </c>
    </row>
    <row r="18" spans="1:4" x14ac:dyDescent="0.35">
      <c r="A18" s="4" t="s">
        <v>87</v>
      </c>
      <c r="B18" s="4">
        <v>5246</v>
      </c>
      <c r="C18" s="4">
        <v>5279</v>
      </c>
      <c r="D18" s="4">
        <v>0.7</v>
      </c>
    </row>
    <row r="19" spans="1:4" x14ac:dyDescent="0.35">
      <c r="A19" s="4" t="s">
        <v>88</v>
      </c>
      <c r="B19" s="4">
        <v>5491</v>
      </c>
      <c r="C19" s="4">
        <v>6407</v>
      </c>
      <c r="D19" s="4">
        <v>0.95</v>
      </c>
    </row>
    <row r="20" spans="1:4" x14ac:dyDescent="0.35">
      <c r="A20" s="4" t="s">
        <v>89</v>
      </c>
      <c r="B20" s="4">
        <v>6572</v>
      </c>
      <c r="C20" s="4">
        <v>6605</v>
      </c>
      <c r="D20" s="4">
        <v>-0.7</v>
      </c>
    </row>
    <row r="21" spans="1:4" x14ac:dyDescent="0.35">
      <c r="A21" s="4" t="s">
        <v>90</v>
      </c>
      <c r="B21" s="4">
        <v>6605</v>
      </c>
      <c r="C21" s="4">
        <v>6797</v>
      </c>
      <c r="D21" s="4">
        <v>-0.52</v>
      </c>
    </row>
    <row r="22" spans="1:4" x14ac:dyDescent="0.35">
      <c r="A22" s="4" t="s">
        <v>91</v>
      </c>
      <c r="B22" s="4">
        <v>6871</v>
      </c>
      <c r="C22" s="4">
        <v>6998</v>
      </c>
      <c r="D22" s="4">
        <v>0.88</v>
      </c>
    </row>
    <row r="23" spans="1:4" x14ac:dyDescent="0.35">
      <c r="A23" s="4" t="s">
        <v>92</v>
      </c>
      <c r="B23" s="4">
        <v>7014</v>
      </c>
      <c r="C23" s="4">
        <v>7125</v>
      </c>
      <c r="D23" s="4">
        <v>0.88</v>
      </c>
    </row>
    <row r="24" spans="1:4" x14ac:dyDescent="0.35">
      <c r="A24" s="4" t="s">
        <v>93</v>
      </c>
      <c r="B24" s="4">
        <v>7302</v>
      </c>
      <c r="C24" s="4">
        <v>7348</v>
      </c>
      <c r="D24" s="4">
        <v>0.5</v>
      </c>
    </row>
    <row r="25" spans="1:4" x14ac:dyDescent="0.35">
      <c r="A25" s="4" t="s">
        <v>94</v>
      </c>
      <c r="B25" s="4">
        <v>7659</v>
      </c>
      <c r="C25" s="4">
        <v>7848</v>
      </c>
      <c r="D25" s="4">
        <v>0.67</v>
      </c>
    </row>
    <row r="26" spans="1:4" x14ac:dyDescent="0.35">
      <c r="A26" s="4" t="s">
        <v>95</v>
      </c>
      <c r="B26" s="4">
        <v>7848</v>
      </c>
      <c r="C26" s="4">
        <v>7965</v>
      </c>
      <c r="D26" s="4">
        <v>0.4</v>
      </c>
    </row>
    <row r="27" spans="1:4" x14ac:dyDescent="0.35">
      <c r="A27" s="4" t="s">
        <v>96</v>
      </c>
      <c r="B27" s="4">
        <v>7965</v>
      </c>
      <c r="C27" s="4">
        <v>8078</v>
      </c>
      <c r="D27" s="4">
        <v>4</v>
      </c>
    </row>
    <row r="28" spans="1:4" x14ac:dyDescent="0.35">
      <c r="A28" s="4" t="s">
        <v>97</v>
      </c>
      <c r="B28" s="4">
        <v>8306</v>
      </c>
      <c r="C28" s="4">
        <v>8398</v>
      </c>
      <c r="D28" s="4">
        <v>-4</v>
      </c>
    </row>
    <row r="29" spans="1:4" x14ac:dyDescent="0.35">
      <c r="A29" s="4" t="s">
        <v>98</v>
      </c>
      <c r="B29" s="4">
        <v>8398</v>
      </c>
      <c r="C29" s="4">
        <v>8545</v>
      </c>
      <c r="D29" s="4">
        <v>-2.87</v>
      </c>
    </row>
    <row r="30" spans="1:4" x14ac:dyDescent="0.35">
      <c r="A30" s="4" t="s">
        <v>99</v>
      </c>
      <c r="B30" s="4">
        <v>8545</v>
      </c>
      <c r="C30" s="4">
        <v>8656</v>
      </c>
      <c r="D30" s="4">
        <v>-2.83</v>
      </c>
    </row>
    <row r="31" spans="1:4" x14ac:dyDescent="0.35">
      <c r="A31" s="4" t="s">
        <v>100</v>
      </c>
      <c r="B31" s="4">
        <v>8656</v>
      </c>
      <c r="C31" s="4">
        <v>8722</v>
      </c>
      <c r="D31" s="4">
        <v>-2.71</v>
      </c>
    </row>
    <row r="32" spans="1:4" x14ac:dyDescent="0.35">
      <c r="A32" s="4" t="s">
        <v>101</v>
      </c>
      <c r="B32" s="4">
        <v>8722</v>
      </c>
      <c r="C32" s="4">
        <v>8764</v>
      </c>
      <c r="D32" s="4">
        <v>-3.04</v>
      </c>
    </row>
    <row r="33" spans="1:4" x14ac:dyDescent="0.35">
      <c r="A33" s="4" t="s">
        <v>102</v>
      </c>
      <c r="B33" s="4">
        <v>8955</v>
      </c>
      <c r="C33" s="4">
        <v>9584</v>
      </c>
      <c r="D33" s="4">
        <v>-4</v>
      </c>
    </row>
    <row r="34" spans="1:4" x14ac:dyDescent="0.35">
      <c r="A34" s="4" t="s">
        <v>103</v>
      </c>
      <c r="B34" s="4">
        <v>9584</v>
      </c>
      <c r="C34" s="4">
        <v>9798</v>
      </c>
      <c r="D34" s="4">
        <v>-0.25</v>
      </c>
    </row>
    <row r="35" spans="1:4" x14ac:dyDescent="0.35">
      <c r="A35" s="4" t="s">
        <v>104</v>
      </c>
      <c r="B35" s="4">
        <v>9798</v>
      </c>
      <c r="C35" s="4">
        <v>10207</v>
      </c>
      <c r="D35" s="4">
        <v>-3.74</v>
      </c>
    </row>
    <row r="36" spans="1:4" x14ac:dyDescent="0.35">
      <c r="A36" s="4" t="s">
        <v>105</v>
      </c>
      <c r="B36" s="4">
        <v>10207</v>
      </c>
      <c r="C36" s="4">
        <v>10253</v>
      </c>
      <c r="D36" s="4">
        <v>-3.23</v>
      </c>
    </row>
    <row r="37" spans="1:4" x14ac:dyDescent="0.35">
      <c r="A37" s="4" t="s">
        <v>106</v>
      </c>
      <c r="B37" s="4">
        <v>10253</v>
      </c>
      <c r="C37" s="4">
        <v>10333</v>
      </c>
      <c r="D37" s="4">
        <v>-3.74</v>
      </c>
    </row>
    <row r="38" spans="1:4" x14ac:dyDescent="0.35">
      <c r="A38" s="4" t="s">
        <v>107</v>
      </c>
      <c r="B38" s="4">
        <v>10333</v>
      </c>
      <c r="C38" s="4">
        <v>10431</v>
      </c>
      <c r="D38" s="4">
        <v>-2.96</v>
      </c>
    </row>
    <row r="39" spans="1:4" x14ac:dyDescent="0.35">
      <c r="A39" s="4" t="s">
        <v>108</v>
      </c>
      <c r="B39" s="4">
        <v>10644</v>
      </c>
      <c r="C39" s="4">
        <v>10724</v>
      </c>
      <c r="D39" s="4">
        <v>-3.53</v>
      </c>
    </row>
    <row r="40" spans="1:4" x14ac:dyDescent="0.35">
      <c r="A40" s="4" t="s">
        <v>109</v>
      </c>
      <c r="B40" s="4">
        <v>10724</v>
      </c>
      <c r="C40" s="4">
        <v>10965</v>
      </c>
      <c r="D40" s="4">
        <v>-4</v>
      </c>
    </row>
    <row r="41" spans="1:4" x14ac:dyDescent="0.35">
      <c r="A41" s="4" t="s">
        <v>110</v>
      </c>
      <c r="B41" s="4">
        <v>11268</v>
      </c>
      <c r="C41" s="4">
        <v>11303</v>
      </c>
      <c r="D41" s="4">
        <v>-3.5</v>
      </c>
    </row>
    <row r="42" spans="1:4" x14ac:dyDescent="0.35">
      <c r="A42" s="4" t="s">
        <v>111</v>
      </c>
      <c r="B42" s="4">
        <v>11303</v>
      </c>
      <c r="C42" s="4">
        <v>11534</v>
      </c>
      <c r="D42" s="4">
        <v>-3.98</v>
      </c>
    </row>
    <row r="43" spans="1:4" x14ac:dyDescent="0.35">
      <c r="A43" s="4" t="s">
        <v>112</v>
      </c>
      <c r="B43" s="4">
        <v>11534</v>
      </c>
      <c r="C43" s="4">
        <v>11726</v>
      </c>
      <c r="D43" s="4">
        <v>-1.5</v>
      </c>
    </row>
    <row r="44" spans="1:4" x14ac:dyDescent="0.35">
      <c r="A44" s="4" t="s">
        <v>113</v>
      </c>
      <c r="B44" s="4">
        <v>11885</v>
      </c>
      <c r="C44" s="4">
        <v>11986</v>
      </c>
      <c r="D44" s="4">
        <v>-1.22</v>
      </c>
    </row>
    <row r="45" spans="1:4" x14ac:dyDescent="0.35">
      <c r="A45" s="4" t="s">
        <v>114</v>
      </c>
      <c r="B45" s="4">
        <v>11986</v>
      </c>
      <c r="C45" s="4">
        <v>12217</v>
      </c>
      <c r="D45" s="4">
        <v>-0.25</v>
      </c>
    </row>
    <row r="46" spans="1:4" x14ac:dyDescent="0.35">
      <c r="A46" s="4" t="s">
        <v>115</v>
      </c>
      <c r="B46" s="4">
        <v>12217</v>
      </c>
      <c r="C46" s="4">
        <v>12530</v>
      </c>
      <c r="D46" s="4">
        <v>1.29</v>
      </c>
    </row>
    <row r="47" spans="1:4" x14ac:dyDescent="0.35">
      <c r="A47" s="4" t="s">
        <v>116</v>
      </c>
      <c r="B47" s="4">
        <v>12746</v>
      </c>
      <c r="C47" s="4">
        <v>13232</v>
      </c>
      <c r="D47" s="4">
        <v>0.25</v>
      </c>
    </row>
    <row r="48" spans="1:4" x14ac:dyDescent="0.35">
      <c r="A48" s="4" t="s">
        <v>117</v>
      </c>
      <c r="B48" s="4">
        <v>13378</v>
      </c>
      <c r="C48" s="4">
        <v>13597</v>
      </c>
      <c r="D48" s="4">
        <v>0.4</v>
      </c>
    </row>
    <row r="49" spans="1:4" x14ac:dyDescent="0.35">
      <c r="A49" s="4" t="s">
        <v>118</v>
      </c>
      <c r="B49" s="4">
        <v>13597</v>
      </c>
      <c r="C49" s="4">
        <v>13691</v>
      </c>
      <c r="D49" s="4">
        <v>-0.4</v>
      </c>
    </row>
    <row r="50" spans="1:4" x14ac:dyDescent="0.35">
      <c r="A50" s="4" t="s">
        <v>119</v>
      </c>
      <c r="B50" s="4">
        <v>13691</v>
      </c>
      <c r="C50" s="4">
        <v>13900</v>
      </c>
      <c r="D50" s="4">
        <v>3.98</v>
      </c>
    </row>
    <row r="51" spans="1:4" x14ac:dyDescent="0.35">
      <c r="A51" s="4" t="s">
        <v>120</v>
      </c>
      <c r="B51" s="4">
        <v>16439</v>
      </c>
      <c r="C51" s="4">
        <v>16620</v>
      </c>
      <c r="D51" s="4">
        <v>1.55</v>
      </c>
    </row>
    <row r="52" spans="1:4" x14ac:dyDescent="0.35">
      <c r="A52" s="4" t="s">
        <v>121</v>
      </c>
      <c r="B52" s="4">
        <v>16620</v>
      </c>
      <c r="C52" s="4">
        <v>16661</v>
      </c>
      <c r="D52" s="4">
        <v>0.25</v>
      </c>
    </row>
    <row r="53" spans="1:4" x14ac:dyDescent="0.35">
      <c r="A53" s="4" t="s">
        <v>122</v>
      </c>
      <c r="B53" s="4">
        <v>16661</v>
      </c>
      <c r="C53" s="4">
        <v>16681</v>
      </c>
      <c r="D53" s="4">
        <v>0.15</v>
      </c>
    </row>
    <row r="54" spans="1:4" x14ac:dyDescent="0.35">
      <c r="A54" s="4" t="s">
        <v>123</v>
      </c>
      <c r="B54" s="4">
        <v>16681</v>
      </c>
      <c r="C54" s="4">
        <v>16833</v>
      </c>
      <c r="D54" s="4">
        <v>0.25</v>
      </c>
    </row>
    <row r="55" spans="1:4" x14ac:dyDescent="0.35">
      <c r="A55" s="4" t="s">
        <v>124</v>
      </c>
      <c r="B55" s="4">
        <v>16977</v>
      </c>
      <c r="C55" s="4">
        <v>17498</v>
      </c>
      <c r="D55" s="4">
        <v>-0.25</v>
      </c>
    </row>
    <row r="56" spans="1:4" x14ac:dyDescent="0.35">
      <c r="A56" s="4" t="s">
        <v>125</v>
      </c>
      <c r="B56" s="4">
        <v>17498</v>
      </c>
      <c r="C56" s="4">
        <v>17617</v>
      </c>
      <c r="D56" s="4">
        <v>0.25</v>
      </c>
    </row>
    <row r="57" spans="1:4" x14ac:dyDescent="0.35">
      <c r="A57" s="4" t="s">
        <v>126</v>
      </c>
      <c r="B57" s="4">
        <v>17617</v>
      </c>
      <c r="C57" s="4">
        <v>18039</v>
      </c>
      <c r="D57" s="5">
        <v>-1.3009999999999999</v>
      </c>
    </row>
    <row r="58" spans="1:4" x14ac:dyDescent="0.35">
      <c r="A58" s="4" t="s">
        <v>127</v>
      </c>
      <c r="B58" s="4">
        <v>18325</v>
      </c>
      <c r="C58" s="4">
        <v>18810</v>
      </c>
      <c r="D58" s="5">
        <v>2.6709999999999998</v>
      </c>
    </row>
    <row r="59" spans="1:4" x14ac:dyDescent="0.35">
      <c r="A59" s="4" t="s">
        <v>128</v>
      </c>
      <c r="B59" s="4">
        <v>18810</v>
      </c>
      <c r="C59" s="4">
        <v>19172</v>
      </c>
      <c r="D59" s="5">
        <v>2.9649999999999999</v>
      </c>
    </row>
    <row r="60" spans="1:4" x14ac:dyDescent="0.35">
      <c r="A60" s="4" t="s">
        <v>129</v>
      </c>
      <c r="B60" s="4">
        <v>19369</v>
      </c>
      <c r="C60" s="4">
        <v>19859</v>
      </c>
      <c r="D60" s="4">
        <v>0.80200000000000005</v>
      </c>
    </row>
    <row r="61" spans="1:4" x14ac:dyDescent="0.35">
      <c r="A61" s="4" t="s">
        <v>130</v>
      </c>
      <c r="B61" s="4">
        <v>19859</v>
      </c>
      <c r="C61" s="4">
        <v>20165</v>
      </c>
      <c r="D61" s="5">
        <v>3.0289999999999999</v>
      </c>
    </row>
    <row r="62" spans="1:4" x14ac:dyDescent="0.35">
      <c r="A62" s="4" t="s">
        <v>131</v>
      </c>
      <c r="B62" s="4">
        <v>20360</v>
      </c>
      <c r="C62" s="4">
        <v>21011</v>
      </c>
      <c r="D62" s="4">
        <v>-0.25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F540-E03C-4B8E-9A29-005B2AF5A4E3}">
  <dimension ref="A1:I62"/>
  <sheetViews>
    <sheetView workbookViewId="0">
      <selection activeCell="G68" sqref="G68"/>
    </sheetView>
  </sheetViews>
  <sheetFormatPr defaultRowHeight="14.5" x14ac:dyDescent="0.35"/>
  <cols>
    <col min="1" max="1" width="16.1796875" bestFit="1" customWidth="1"/>
    <col min="2" max="2" width="12.1796875" bestFit="1" customWidth="1"/>
    <col min="3" max="3" width="11.1796875" bestFit="1" customWidth="1"/>
    <col min="4" max="4" width="10.54296875" bestFit="1" customWidth="1"/>
    <col min="5" max="5" width="26.81640625" bestFit="1" customWidth="1"/>
    <col min="6" max="6" width="25.81640625" bestFit="1" customWidth="1"/>
    <col min="7" max="7" width="19.54296875" customWidth="1"/>
    <col min="8" max="8" width="11.1796875" bestFit="1" customWidth="1"/>
    <col min="9" max="9" width="13.26953125" bestFit="1" customWidth="1"/>
  </cols>
  <sheetData>
    <row r="1" spans="1:9" x14ac:dyDescent="0.35">
      <c r="A1" s="4" t="s">
        <v>136</v>
      </c>
      <c r="B1" s="4" t="s">
        <v>137</v>
      </c>
      <c r="C1" s="4" t="s">
        <v>138</v>
      </c>
      <c r="D1" s="4" t="s">
        <v>139</v>
      </c>
      <c r="E1" s="4" t="s">
        <v>171</v>
      </c>
      <c r="F1" s="3"/>
      <c r="G1" s="3"/>
      <c r="H1" s="4"/>
      <c r="I1" s="4"/>
    </row>
    <row r="2" spans="1:9" x14ac:dyDescent="0.35">
      <c r="A2" s="4" t="s">
        <v>71</v>
      </c>
      <c r="B2" s="4">
        <v>323</v>
      </c>
      <c r="C2" s="4">
        <v>779</v>
      </c>
      <c r="D2" s="4">
        <v>1600</v>
      </c>
      <c r="E2" s="4">
        <f>IF(D2&lt;250,530/(D2-30),IF(D2&gt;=250,IF(D2&lt;350,530/(D2-35),650/(D2-55))))</f>
        <v>0.42071197411003236</v>
      </c>
      <c r="G2" s="4"/>
      <c r="H2" s="4"/>
      <c r="I2" s="4"/>
    </row>
    <row r="3" spans="1:9" x14ac:dyDescent="0.35">
      <c r="A3" s="4" t="s">
        <v>73</v>
      </c>
      <c r="B3" s="4">
        <v>1072</v>
      </c>
      <c r="C3" s="4">
        <v>1413</v>
      </c>
      <c r="D3" s="4">
        <v>804</v>
      </c>
      <c r="E3" s="4">
        <f t="shared" ref="E3:E62" si="0">IF(D3&lt;250,530/(D3-30),IF(D3&gt;=250,IF(D3&lt;350,530/(D3-35),650/(D3-55))))</f>
        <v>0.86782376502002667</v>
      </c>
      <c r="G3" s="4"/>
      <c r="H3" s="4"/>
      <c r="I3" s="4"/>
    </row>
    <row r="4" spans="1:9" x14ac:dyDescent="0.35">
      <c r="A4" s="4" t="s">
        <v>74</v>
      </c>
      <c r="B4" s="4">
        <v>1426</v>
      </c>
      <c r="C4" s="4">
        <v>1653</v>
      </c>
      <c r="D4" s="4">
        <v>600</v>
      </c>
      <c r="E4" s="4">
        <f t="shared" si="0"/>
        <v>1.1926605504587156</v>
      </c>
      <c r="H4" s="4"/>
      <c r="I4" s="4"/>
    </row>
    <row r="5" spans="1:9" x14ac:dyDescent="0.35">
      <c r="A5" s="4" t="s">
        <v>75</v>
      </c>
      <c r="B5" s="4">
        <v>1922</v>
      </c>
      <c r="C5" s="4">
        <v>2159</v>
      </c>
      <c r="D5" s="4">
        <v>3000</v>
      </c>
      <c r="E5" s="4">
        <f t="shared" si="0"/>
        <v>0.22071307300509338</v>
      </c>
    </row>
    <row r="6" spans="1:9" x14ac:dyDescent="0.35">
      <c r="A6" s="4" t="s">
        <v>76</v>
      </c>
      <c r="B6" s="4">
        <v>2159</v>
      </c>
      <c r="C6" s="4">
        <v>2259</v>
      </c>
      <c r="D6" s="4">
        <v>4000</v>
      </c>
      <c r="E6" s="4">
        <f t="shared" si="0"/>
        <v>0.16476552598225602</v>
      </c>
    </row>
    <row r="7" spans="1:9" x14ac:dyDescent="0.35">
      <c r="A7" s="4" t="s">
        <v>77</v>
      </c>
      <c r="B7" s="4">
        <v>3595</v>
      </c>
      <c r="C7" s="4">
        <v>4016</v>
      </c>
      <c r="D7" s="4">
        <v>1200</v>
      </c>
      <c r="E7" s="4">
        <f t="shared" si="0"/>
        <v>0.56768558951965065</v>
      </c>
    </row>
    <row r="8" spans="1:9" x14ac:dyDescent="0.35">
      <c r="A8" s="4" t="s">
        <v>78</v>
      </c>
      <c r="B8" s="4">
        <v>4139</v>
      </c>
      <c r="C8" s="4">
        <v>4534</v>
      </c>
      <c r="D8" s="4">
        <v>900</v>
      </c>
      <c r="E8" s="4">
        <f t="shared" si="0"/>
        <v>0.76923076923076927</v>
      </c>
    </row>
    <row r="9" spans="1:9" x14ac:dyDescent="0.35">
      <c r="A9" s="4" t="s">
        <v>79</v>
      </c>
      <c r="B9" s="4">
        <v>4557</v>
      </c>
      <c r="C9" s="4">
        <v>4953</v>
      </c>
      <c r="D9" s="4">
        <v>900</v>
      </c>
      <c r="E9" s="4">
        <f t="shared" si="0"/>
        <v>0.76923076923076927</v>
      </c>
    </row>
    <row r="10" spans="1:9" x14ac:dyDescent="0.35">
      <c r="A10" s="4" t="s">
        <v>72</v>
      </c>
      <c r="B10" s="4">
        <v>5488</v>
      </c>
      <c r="C10" s="4">
        <v>5761</v>
      </c>
      <c r="D10" s="4">
        <v>6500</v>
      </c>
      <c r="E10" s="4">
        <f t="shared" si="0"/>
        <v>0.10085337470907681</v>
      </c>
    </row>
    <row r="11" spans="1:9" x14ac:dyDescent="0.35">
      <c r="A11" s="4" t="s">
        <v>80</v>
      </c>
      <c r="B11" s="4">
        <v>5821</v>
      </c>
      <c r="C11" s="4">
        <v>6228</v>
      </c>
      <c r="D11" s="4">
        <v>495.29</v>
      </c>
      <c r="E11" s="4">
        <f t="shared" si="0"/>
        <v>1.4762997115537486</v>
      </c>
    </row>
    <row r="12" spans="1:9" x14ac:dyDescent="0.35">
      <c r="A12" s="4" t="s">
        <v>81</v>
      </c>
      <c r="B12" s="4">
        <v>6240</v>
      </c>
      <c r="C12" s="4">
        <v>6891</v>
      </c>
      <c r="D12" s="4">
        <v>500</v>
      </c>
      <c r="E12" s="4">
        <f t="shared" si="0"/>
        <v>1.4606741573033708</v>
      </c>
    </row>
    <row r="13" spans="1:9" x14ac:dyDescent="0.35">
      <c r="A13" s="4" t="s">
        <v>82</v>
      </c>
      <c r="B13" s="4">
        <v>7538</v>
      </c>
      <c r="C13" s="4">
        <v>7598</v>
      </c>
      <c r="D13" s="4">
        <v>400</v>
      </c>
      <c r="E13" s="4">
        <f t="shared" si="0"/>
        <v>1.8840579710144927</v>
      </c>
    </row>
    <row r="14" spans="1:9" x14ac:dyDescent="0.35">
      <c r="A14" s="4" t="s">
        <v>83</v>
      </c>
      <c r="B14" s="4">
        <v>7598</v>
      </c>
      <c r="C14" s="4">
        <v>7674</v>
      </c>
      <c r="D14" s="4">
        <v>600</v>
      </c>
      <c r="E14" s="4">
        <f t="shared" si="0"/>
        <v>1.1926605504587156</v>
      </c>
    </row>
    <row r="15" spans="1:9" x14ac:dyDescent="0.35">
      <c r="A15" s="4" t="s">
        <v>84</v>
      </c>
      <c r="B15" s="4">
        <v>7765</v>
      </c>
      <c r="C15" s="4">
        <v>7926</v>
      </c>
      <c r="D15" s="4">
        <v>753.89</v>
      </c>
      <c r="E15" s="4">
        <f t="shared" si="0"/>
        <v>0.93004621614274063</v>
      </c>
    </row>
    <row r="16" spans="1:9" x14ac:dyDescent="0.35">
      <c r="A16" s="4" t="s">
        <v>85</v>
      </c>
      <c r="B16" s="4">
        <v>7926</v>
      </c>
      <c r="C16" s="4">
        <v>8105</v>
      </c>
      <c r="D16" s="4">
        <v>400</v>
      </c>
      <c r="E16" s="4">
        <f t="shared" si="0"/>
        <v>1.8840579710144927</v>
      </c>
    </row>
    <row r="17" spans="1:5" x14ac:dyDescent="0.35">
      <c r="A17" s="4" t="s">
        <v>86</v>
      </c>
      <c r="B17" s="4">
        <v>8105</v>
      </c>
      <c r="C17" s="4">
        <v>8256</v>
      </c>
      <c r="D17" s="4">
        <v>500</v>
      </c>
      <c r="E17" s="4">
        <f t="shared" si="0"/>
        <v>1.4606741573033708</v>
      </c>
    </row>
    <row r="18" spans="1:5" x14ac:dyDescent="0.35">
      <c r="A18" s="4" t="s">
        <v>87</v>
      </c>
      <c r="B18" s="4">
        <v>8268</v>
      </c>
      <c r="C18" s="4">
        <v>8400</v>
      </c>
      <c r="D18" s="4">
        <v>600</v>
      </c>
      <c r="E18" s="4">
        <f t="shared" si="0"/>
        <v>1.1926605504587156</v>
      </c>
    </row>
    <row r="19" spans="1:5" x14ac:dyDescent="0.35">
      <c r="A19" s="4" t="s">
        <v>88</v>
      </c>
      <c r="B19" s="4">
        <v>8515</v>
      </c>
      <c r="C19" s="4">
        <v>8786</v>
      </c>
      <c r="D19" s="4">
        <v>654.71</v>
      </c>
      <c r="E19" s="4">
        <f t="shared" si="0"/>
        <v>1.0838571976455287</v>
      </c>
    </row>
    <row r="20" spans="1:5" x14ac:dyDescent="0.35">
      <c r="A20" s="4" t="s">
        <v>89</v>
      </c>
      <c r="B20" s="4">
        <v>8818</v>
      </c>
      <c r="C20" s="4">
        <v>9164</v>
      </c>
      <c r="D20" s="4">
        <v>900</v>
      </c>
      <c r="E20" s="4">
        <f t="shared" si="0"/>
        <v>0.76923076923076927</v>
      </c>
    </row>
    <row r="21" spans="1:5" x14ac:dyDescent="0.35">
      <c r="A21" s="4" t="s">
        <v>90</v>
      </c>
      <c r="B21" s="4">
        <v>9394</v>
      </c>
      <c r="C21" s="4">
        <v>9557</v>
      </c>
      <c r="D21" s="4">
        <v>7000</v>
      </c>
      <c r="E21" s="4">
        <f t="shared" si="0"/>
        <v>9.3592512598992081E-2</v>
      </c>
    </row>
    <row r="22" spans="1:5" x14ac:dyDescent="0.35">
      <c r="A22" s="4" t="s">
        <v>91</v>
      </c>
      <c r="B22" s="4">
        <v>9715</v>
      </c>
      <c r="C22" s="4">
        <v>9969</v>
      </c>
      <c r="D22" s="4">
        <v>500</v>
      </c>
      <c r="E22" s="4">
        <f t="shared" si="0"/>
        <v>1.4606741573033708</v>
      </c>
    </row>
    <row r="23" spans="1:5" x14ac:dyDescent="0.35">
      <c r="A23" s="4" t="s">
        <v>92</v>
      </c>
      <c r="B23" s="4">
        <v>10109</v>
      </c>
      <c r="C23" s="4">
        <v>10275</v>
      </c>
      <c r="D23" s="4">
        <v>704.71</v>
      </c>
      <c r="E23" s="4">
        <f t="shared" si="0"/>
        <v>1.0004463529882563</v>
      </c>
    </row>
    <row r="24" spans="1:5" x14ac:dyDescent="0.35">
      <c r="A24" s="4" t="s">
        <v>93</v>
      </c>
      <c r="B24" s="4">
        <v>10377</v>
      </c>
      <c r="C24" s="4">
        <v>10557</v>
      </c>
      <c r="D24" s="4">
        <v>1500</v>
      </c>
      <c r="E24" s="4">
        <f t="shared" si="0"/>
        <v>0.44982698961937717</v>
      </c>
    </row>
    <row r="25" spans="1:5" x14ac:dyDescent="0.35">
      <c r="A25" s="4" t="s">
        <v>94</v>
      </c>
      <c r="B25" s="4">
        <v>10664</v>
      </c>
      <c r="C25" s="4">
        <v>10848</v>
      </c>
      <c r="D25" s="4">
        <v>350</v>
      </c>
      <c r="E25" s="4">
        <f t="shared" si="0"/>
        <v>2.2033898305084745</v>
      </c>
    </row>
    <row r="26" spans="1:5" x14ac:dyDescent="0.35">
      <c r="A26" s="4" t="s">
        <v>95</v>
      </c>
      <c r="B26" s="4">
        <v>10848</v>
      </c>
      <c r="C26" s="4">
        <v>11016</v>
      </c>
      <c r="D26" s="4">
        <v>362.21</v>
      </c>
      <c r="E26" s="4">
        <f t="shared" si="0"/>
        <v>2.1158165424302595</v>
      </c>
    </row>
    <row r="27" spans="1:5" x14ac:dyDescent="0.35">
      <c r="A27" s="4" t="s">
        <v>96</v>
      </c>
      <c r="B27" s="4">
        <v>11016</v>
      </c>
      <c r="C27" s="4">
        <v>11083</v>
      </c>
      <c r="D27" s="4">
        <v>516</v>
      </c>
      <c r="E27" s="4">
        <f t="shared" si="0"/>
        <v>1.4099783080260304</v>
      </c>
    </row>
    <row r="28" spans="1:5" x14ac:dyDescent="0.35">
      <c r="A28" s="4" t="s">
        <v>97</v>
      </c>
      <c r="B28" s="4">
        <v>11083</v>
      </c>
      <c r="C28" s="4">
        <v>11126</v>
      </c>
      <c r="D28" s="5">
        <v>715.62699999999995</v>
      </c>
      <c r="E28" s="4">
        <f t="shared" si="0"/>
        <v>0.98391376677005338</v>
      </c>
    </row>
    <row r="29" spans="1:5" x14ac:dyDescent="0.35">
      <c r="A29" s="4" t="s">
        <v>98</v>
      </c>
      <c r="B29" s="4">
        <v>11126</v>
      </c>
      <c r="C29" s="4">
        <v>11266</v>
      </c>
      <c r="D29" s="4">
        <v>300</v>
      </c>
      <c r="E29" s="4">
        <f t="shared" si="0"/>
        <v>2</v>
      </c>
    </row>
    <row r="30" spans="1:5" x14ac:dyDescent="0.35">
      <c r="A30" s="4" t="s">
        <v>99</v>
      </c>
      <c r="B30" s="4">
        <v>11266</v>
      </c>
      <c r="C30" s="4">
        <v>11375</v>
      </c>
      <c r="D30" s="4">
        <v>350</v>
      </c>
      <c r="E30" s="4">
        <f t="shared" si="0"/>
        <v>2.2033898305084745</v>
      </c>
    </row>
    <row r="31" spans="1:5" x14ac:dyDescent="0.35">
      <c r="A31" s="4" t="s">
        <v>100</v>
      </c>
      <c r="B31" s="4">
        <v>11387</v>
      </c>
      <c r="C31" s="4">
        <v>11585</v>
      </c>
      <c r="D31" s="4">
        <v>500</v>
      </c>
      <c r="E31" s="4">
        <f t="shared" si="0"/>
        <v>1.4606741573033708</v>
      </c>
    </row>
    <row r="32" spans="1:5" x14ac:dyDescent="0.35">
      <c r="A32" s="4" t="s">
        <v>101</v>
      </c>
      <c r="B32" s="4">
        <v>11585</v>
      </c>
      <c r="C32" s="4">
        <v>11768</v>
      </c>
      <c r="D32" s="4">
        <v>350</v>
      </c>
      <c r="E32" s="4">
        <f t="shared" si="0"/>
        <v>2.2033898305084745</v>
      </c>
    </row>
    <row r="33" spans="1:5" x14ac:dyDescent="0.35">
      <c r="A33" s="4" t="s">
        <v>102</v>
      </c>
      <c r="B33" s="4">
        <v>11768</v>
      </c>
      <c r="C33" s="4">
        <v>11880</v>
      </c>
      <c r="D33" s="4">
        <v>500</v>
      </c>
      <c r="E33" s="4">
        <f t="shared" si="0"/>
        <v>1.4606741573033708</v>
      </c>
    </row>
    <row r="34" spans="1:5" x14ac:dyDescent="0.35">
      <c r="A34" s="4" t="s">
        <v>103</v>
      </c>
      <c r="B34" s="4">
        <v>11880</v>
      </c>
      <c r="C34" s="4">
        <v>11979</v>
      </c>
      <c r="D34" s="4">
        <v>350</v>
      </c>
      <c r="E34" s="4">
        <f t="shared" si="0"/>
        <v>2.2033898305084745</v>
      </c>
    </row>
    <row r="35" spans="1:5" x14ac:dyDescent="0.35">
      <c r="A35" s="4" t="s">
        <v>104</v>
      </c>
      <c r="B35" s="4">
        <v>11979</v>
      </c>
      <c r="C35" s="4">
        <v>12209</v>
      </c>
      <c r="D35" s="4">
        <v>900</v>
      </c>
      <c r="E35" s="4">
        <f t="shared" si="0"/>
        <v>0.76923076923076927</v>
      </c>
    </row>
    <row r="36" spans="1:5" x14ac:dyDescent="0.35">
      <c r="A36" s="4" t="s">
        <v>105</v>
      </c>
      <c r="B36" s="4">
        <v>12224</v>
      </c>
      <c r="C36" s="4">
        <v>12464</v>
      </c>
      <c r="D36" s="4">
        <v>1800</v>
      </c>
      <c r="E36" s="4">
        <f t="shared" si="0"/>
        <v>0.37249283667621774</v>
      </c>
    </row>
    <row r="37" spans="1:5" x14ac:dyDescent="0.35">
      <c r="A37" s="4" t="s">
        <v>106</v>
      </c>
      <c r="B37" s="4">
        <v>12735</v>
      </c>
      <c r="C37" s="4">
        <v>12839</v>
      </c>
      <c r="D37" s="4">
        <v>800</v>
      </c>
      <c r="E37" s="4">
        <f t="shared" si="0"/>
        <v>0.87248322147651003</v>
      </c>
    </row>
    <row r="38" spans="1:5" x14ac:dyDescent="0.35">
      <c r="A38" s="4" t="s">
        <v>107</v>
      </c>
      <c r="B38" s="4">
        <v>12887</v>
      </c>
      <c r="C38" s="4">
        <v>13012</v>
      </c>
      <c r="D38" s="4">
        <v>1100</v>
      </c>
      <c r="E38" s="4">
        <f t="shared" si="0"/>
        <v>0.62200956937799046</v>
      </c>
    </row>
    <row r="39" spans="1:5" x14ac:dyDescent="0.35">
      <c r="A39" s="4" t="s">
        <v>108</v>
      </c>
      <c r="B39" s="4">
        <v>13349</v>
      </c>
      <c r="C39" s="4">
        <v>13399</v>
      </c>
      <c r="D39" s="4">
        <v>2400</v>
      </c>
      <c r="E39" s="4">
        <f t="shared" si="0"/>
        <v>0.27718550106609807</v>
      </c>
    </row>
    <row r="40" spans="1:5" x14ac:dyDescent="0.35">
      <c r="A40" s="4" t="s">
        <v>109</v>
      </c>
      <c r="B40" s="4">
        <v>13509</v>
      </c>
      <c r="C40" s="4">
        <v>13606</v>
      </c>
      <c r="D40" s="4">
        <v>1785</v>
      </c>
      <c r="E40" s="4">
        <f t="shared" si="0"/>
        <v>0.37572254335260113</v>
      </c>
    </row>
    <row r="41" spans="1:5" x14ac:dyDescent="0.35">
      <c r="A41" s="4" t="s">
        <v>110</v>
      </c>
      <c r="B41" s="4">
        <v>13606</v>
      </c>
      <c r="C41" s="4">
        <v>13752</v>
      </c>
      <c r="D41" s="4">
        <v>2300</v>
      </c>
      <c r="E41" s="4">
        <f t="shared" si="0"/>
        <v>0.28953229398663699</v>
      </c>
    </row>
    <row r="42" spans="1:5" x14ac:dyDescent="0.35">
      <c r="A42" s="4" t="s">
        <v>111</v>
      </c>
      <c r="B42" s="4">
        <v>13752</v>
      </c>
      <c r="C42" s="4">
        <v>14183</v>
      </c>
      <c r="D42" s="4">
        <v>500</v>
      </c>
      <c r="E42" s="4">
        <f t="shared" si="0"/>
        <v>1.4606741573033708</v>
      </c>
    </row>
    <row r="43" spans="1:5" x14ac:dyDescent="0.35">
      <c r="A43" s="4" t="s">
        <v>112</v>
      </c>
      <c r="B43" s="4">
        <v>14212</v>
      </c>
      <c r="C43" s="4">
        <v>14644</v>
      </c>
      <c r="D43" s="4">
        <v>303.95</v>
      </c>
      <c r="E43" s="4">
        <f t="shared" si="0"/>
        <v>1.9706265105038112</v>
      </c>
    </row>
    <row r="44" spans="1:5" x14ac:dyDescent="0.35">
      <c r="A44" s="4" t="s">
        <v>113</v>
      </c>
      <c r="B44" s="4">
        <v>15049</v>
      </c>
      <c r="C44" s="4">
        <v>15096</v>
      </c>
      <c r="D44" s="4">
        <v>6500</v>
      </c>
      <c r="E44" s="4">
        <f t="shared" si="0"/>
        <v>0.10085337470907681</v>
      </c>
    </row>
    <row r="45" spans="1:5" x14ac:dyDescent="0.35">
      <c r="A45" s="4" t="s">
        <v>114</v>
      </c>
      <c r="B45" s="4">
        <v>15106</v>
      </c>
      <c r="C45" s="4">
        <v>15148</v>
      </c>
      <c r="D45" s="4">
        <v>6500</v>
      </c>
      <c r="E45" s="4">
        <f t="shared" si="0"/>
        <v>0.10085337470907681</v>
      </c>
    </row>
    <row r="46" spans="1:5" x14ac:dyDescent="0.35">
      <c r="A46" s="4" t="s">
        <v>115</v>
      </c>
      <c r="B46" s="4">
        <v>16210</v>
      </c>
      <c r="C46" s="4">
        <v>16225</v>
      </c>
      <c r="D46" s="6">
        <v>10003.950000000001</v>
      </c>
      <c r="E46" s="4">
        <f t="shared" si="0"/>
        <v>6.533352765869764E-2</v>
      </c>
    </row>
    <row r="47" spans="1:5" x14ac:dyDescent="0.35">
      <c r="A47" s="4" t="s">
        <v>116</v>
      </c>
      <c r="B47" s="4">
        <v>16965</v>
      </c>
      <c r="C47" s="4">
        <v>17161</v>
      </c>
      <c r="D47" s="4">
        <v>300</v>
      </c>
      <c r="E47" s="4">
        <f t="shared" si="0"/>
        <v>2</v>
      </c>
    </row>
    <row r="48" spans="1:5" x14ac:dyDescent="0.35">
      <c r="A48" s="4" t="s">
        <v>117</v>
      </c>
      <c r="B48" s="4">
        <v>17161</v>
      </c>
      <c r="C48" s="4">
        <v>17274</v>
      </c>
      <c r="D48" s="4">
        <v>500</v>
      </c>
      <c r="E48" s="4">
        <f t="shared" si="0"/>
        <v>1.4606741573033708</v>
      </c>
    </row>
    <row r="49" spans="1:5" x14ac:dyDescent="0.35">
      <c r="A49" s="4" t="s">
        <v>118</v>
      </c>
      <c r="B49" s="4">
        <v>17415</v>
      </c>
      <c r="C49" s="4">
        <v>17448</v>
      </c>
      <c r="D49" s="4">
        <v>1500</v>
      </c>
      <c r="E49" s="4">
        <f t="shared" si="0"/>
        <v>0.44982698961937717</v>
      </c>
    </row>
    <row r="50" spans="1:5" x14ac:dyDescent="0.35">
      <c r="A50" s="4" t="s">
        <v>119</v>
      </c>
      <c r="B50" s="4">
        <v>17485</v>
      </c>
      <c r="C50" s="4">
        <v>17521</v>
      </c>
      <c r="D50" s="4">
        <v>1500</v>
      </c>
      <c r="E50" s="4">
        <f t="shared" si="0"/>
        <v>0.44982698961937717</v>
      </c>
    </row>
    <row r="51" spans="1:5" x14ac:dyDescent="0.35">
      <c r="A51" s="4" t="s">
        <v>120</v>
      </c>
      <c r="B51" s="4">
        <v>17623</v>
      </c>
      <c r="C51" s="4">
        <v>17921</v>
      </c>
      <c r="D51" s="4">
        <v>500</v>
      </c>
      <c r="E51" s="4">
        <f t="shared" si="0"/>
        <v>1.4606741573033708</v>
      </c>
    </row>
    <row r="52" spans="1:5" x14ac:dyDescent="0.35">
      <c r="A52" s="4" t="s">
        <v>121</v>
      </c>
      <c r="B52" s="4">
        <v>17921</v>
      </c>
      <c r="C52" s="4">
        <v>18061</v>
      </c>
      <c r="D52" s="4">
        <v>1000</v>
      </c>
      <c r="E52" s="4">
        <f t="shared" si="0"/>
        <v>0.68783068783068779</v>
      </c>
    </row>
    <row r="53" spans="1:5" x14ac:dyDescent="0.35">
      <c r="A53" s="4" t="s">
        <v>122</v>
      </c>
      <c r="B53" s="4">
        <v>18337</v>
      </c>
      <c r="C53" s="4">
        <v>18474</v>
      </c>
      <c r="D53" s="4">
        <v>2200</v>
      </c>
      <c r="E53" s="4">
        <f t="shared" si="0"/>
        <v>0.30303030303030304</v>
      </c>
    </row>
    <row r="54" spans="1:5" x14ac:dyDescent="0.35">
      <c r="A54" s="4" t="s">
        <v>123</v>
      </c>
      <c r="B54" s="4">
        <v>18474</v>
      </c>
      <c r="C54" s="4">
        <v>18562</v>
      </c>
      <c r="D54" s="4">
        <v>2200</v>
      </c>
      <c r="E54" s="4">
        <f t="shared" si="0"/>
        <v>0.30303030303030304</v>
      </c>
    </row>
    <row r="55" spans="1:5" x14ac:dyDescent="0.35">
      <c r="A55" s="4" t="s">
        <v>124</v>
      </c>
      <c r="B55" s="4">
        <v>18562</v>
      </c>
      <c r="C55" s="4">
        <v>18815</v>
      </c>
      <c r="D55" s="5">
        <v>381.37400000000002</v>
      </c>
      <c r="E55" s="4">
        <f t="shared" si="0"/>
        <v>1.9915802116590169</v>
      </c>
    </row>
    <row r="56" spans="1:5" x14ac:dyDescent="0.35">
      <c r="A56" s="4" t="s">
        <v>125</v>
      </c>
      <c r="B56" s="4">
        <v>18815</v>
      </c>
      <c r="C56" s="4">
        <v>19198</v>
      </c>
      <c r="D56" s="4">
        <v>304.25</v>
      </c>
      <c r="E56" s="4">
        <f t="shared" si="0"/>
        <v>1.9684308263695451</v>
      </c>
    </row>
    <row r="57" spans="1:5" x14ac:dyDescent="0.35">
      <c r="A57" s="4" t="s">
        <v>126</v>
      </c>
      <c r="B57" s="4">
        <v>19327</v>
      </c>
      <c r="C57" s="4">
        <v>19750</v>
      </c>
      <c r="D57" s="4">
        <v>1650</v>
      </c>
      <c r="E57" s="4">
        <f t="shared" si="0"/>
        <v>0.40752351097178685</v>
      </c>
    </row>
    <row r="58" spans="1:5" x14ac:dyDescent="0.35">
      <c r="A58" s="4" t="s">
        <v>127</v>
      </c>
      <c r="B58" s="4">
        <v>19750</v>
      </c>
      <c r="C58" s="4">
        <v>19906</v>
      </c>
      <c r="D58" s="4">
        <v>500</v>
      </c>
      <c r="E58" s="4">
        <f t="shared" si="0"/>
        <v>1.4606741573033708</v>
      </c>
    </row>
    <row r="59" spans="1:5" x14ac:dyDescent="0.35">
      <c r="A59" s="4" t="s">
        <v>128</v>
      </c>
      <c r="B59" s="4">
        <v>20108</v>
      </c>
      <c r="C59" s="4">
        <v>20203</v>
      </c>
      <c r="D59" s="4">
        <v>1004.4</v>
      </c>
      <c r="E59" s="4">
        <f t="shared" si="0"/>
        <v>0.68464293237834428</v>
      </c>
    </row>
    <row r="60" spans="1:5" x14ac:dyDescent="0.35">
      <c r="A60" s="4" t="s">
        <v>129</v>
      </c>
      <c r="B60" s="4">
        <v>20203</v>
      </c>
      <c r="C60" s="4">
        <v>20340</v>
      </c>
      <c r="D60" s="4">
        <v>1504.4</v>
      </c>
      <c r="E60" s="4">
        <f t="shared" si="0"/>
        <v>0.44846143231682073</v>
      </c>
    </row>
    <row r="61" spans="1:5" x14ac:dyDescent="0.35">
      <c r="A61" s="4" t="s">
        <v>130</v>
      </c>
      <c r="B61" s="4">
        <v>20764</v>
      </c>
      <c r="C61" s="4">
        <v>20929</v>
      </c>
      <c r="D61" s="4">
        <v>1260</v>
      </c>
      <c r="E61" s="4">
        <f t="shared" si="0"/>
        <v>0.53941908713692943</v>
      </c>
    </row>
    <row r="62" spans="1:5" x14ac:dyDescent="0.35">
      <c r="A62" s="4" t="s">
        <v>131</v>
      </c>
      <c r="B62" s="4">
        <v>20937</v>
      </c>
      <c r="C62" s="4">
        <v>21011</v>
      </c>
      <c r="D62" s="4">
        <v>350</v>
      </c>
      <c r="E62" s="4">
        <f t="shared" si="0"/>
        <v>2.2033898305084745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geral</vt:lpstr>
      <vt:lpstr>tam_plat</vt:lpstr>
      <vt:lpstr>trem</vt:lpstr>
      <vt:lpstr>txc</vt:lpstr>
      <vt:lpstr>loc_est</vt:lpstr>
      <vt:lpstr>loc_ret</vt:lpstr>
      <vt:lpstr>davis</vt:lpstr>
      <vt:lpstr>ramp</vt:lpstr>
      <vt:lpstr>curv</vt:lpstr>
      <vt:lpstr>cross</vt:lpstr>
      <vt:lpstr>eletrica</vt:lpstr>
      <vt:lpstr>dados_rets</vt:lpstr>
      <vt:lpstr>antenas</vt:lpstr>
    </vt:vector>
  </TitlesOfParts>
  <Company>Metro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ANNIBAL PIMENTA</dc:creator>
  <cp:lastModifiedBy>Giovanna Kliemann Scarpari</cp:lastModifiedBy>
  <dcterms:created xsi:type="dcterms:W3CDTF">2023-11-09T13:20:18Z</dcterms:created>
  <dcterms:modified xsi:type="dcterms:W3CDTF">2024-07-25T00:46:03Z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acbe4c-d86b-4fdf-b39b-4dab29bccff1_Enabled">
    <vt:lpwstr>true</vt:lpwstr>
  </property>
  <property fmtid="{D5CDD505-2E9C-101B-9397-08002B2CF9AE}" pid="3" name="MSIP_Label_7dacbe4c-d86b-4fdf-b39b-4dab29bccff1_SetDate">
    <vt:lpwstr>2023-11-09T13:20:44Z</vt:lpwstr>
  </property>
  <property fmtid="{D5CDD505-2E9C-101B-9397-08002B2CF9AE}" pid="4" name="MSIP_Label_7dacbe4c-d86b-4fdf-b39b-4dab29bccff1_Method">
    <vt:lpwstr>Privileged</vt:lpwstr>
  </property>
  <property fmtid="{D5CDD505-2E9C-101B-9397-08002B2CF9AE}" pid="5" name="MSIP_Label_7dacbe4c-d86b-4fdf-b39b-4dab29bccff1_Name">
    <vt:lpwstr>Pública</vt:lpwstr>
  </property>
  <property fmtid="{D5CDD505-2E9C-101B-9397-08002B2CF9AE}" pid="6" name="MSIP_Label_7dacbe4c-d86b-4fdf-b39b-4dab29bccff1_SiteId">
    <vt:lpwstr>623b0f62-ff86-487b-ae99-9b20f75d41fb</vt:lpwstr>
  </property>
  <property fmtid="{D5CDD505-2E9C-101B-9397-08002B2CF9AE}" pid="7" name="MSIP_Label_7dacbe4c-d86b-4fdf-b39b-4dab29bccff1_ActionId">
    <vt:lpwstr>adc567a5-03c2-4f21-aa56-3dae2f04ed09</vt:lpwstr>
  </property>
  <property fmtid="{D5CDD505-2E9C-101B-9397-08002B2CF9AE}" pid="8" name="MSIP_Label_7dacbe4c-d86b-4fdf-b39b-4dab29bccff1_ContentBits">
    <vt:lpwstr>0</vt:lpwstr>
  </property>
</Properties>
</file>