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244353\Documents\octave-7.2.0-w64\Simulacao\"/>
    </mc:Choice>
  </mc:AlternateContent>
  <xr:revisionPtr revIDLastSave="0" documentId="13_ncr:1_{B71CDF03-C151-43D9-8803-475B485A2EF1}" xr6:coauthVersionLast="47" xr6:coauthVersionMax="47" xr10:uidLastSave="{00000000-0000-0000-0000-000000000000}"/>
  <bookViews>
    <workbookView xWindow="-120" yWindow="-120" windowWidth="29040" windowHeight="15840" tabRatio="810" activeTab="3" xr2:uid="{724D8CB7-409F-4C9D-AFFE-D18B6D17B685}"/>
  </bookViews>
  <sheets>
    <sheet name="geral" sheetId="1" r:id="rId1"/>
    <sheet name="tam_plat" sheetId="12" r:id="rId2"/>
    <sheet name="trem" sheetId="2" r:id="rId3"/>
    <sheet name="txc" sheetId="3" r:id="rId4"/>
    <sheet name="loc_est" sheetId="4" r:id="rId5"/>
    <sheet name="loc_ret" sheetId="5" r:id="rId6"/>
    <sheet name="davis" sheetId="13" r:id="rId7"/>
    <sheet name="ramp" sheetId="6" r:id="rId8"/>
    <sheet name="curv" sheetId="7" r:id="rId9"/>
    <sheet name="cross" sheetId="9" r:id="rId10"/>
    <sheet name="eletrica" sheetId="8" r:id="rId11"/>
    <sheet name="dados_rets" sheetId="10" r:id="rId12"/>
    <sheet name="antenas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C32" i="3" s="1"/>
  <c r="C39" i="3" l="1"/>
  <c r="C8" i="3"/>
  <c r="C16" i="3"/>
  <c r="C24" i="3"/>
  <c r="C18" i="3"/>
  <c r="C3" i="3"/>
  <c r="C19" i="3"/>
  <c r="C4" i="3"/>
  <c r="C28" i="3"/>
  <c r="C5" i="3"/>
  <c r="C29" i="3"/>
  <c r="C6" i="3"/>
  <c r="C14" i="3"/>
  <c r="C22" i="3"/>
  <c r="C30" i="3"/>
  <c r="C38" i="3"/>
  <c r="C2" i="3"/>
  <c r="C9" i="3"/>
  <c r="C17" i="3"/>
  <c r="C25" i="3"/>
  <c r="C33" i="3"/>
  <c r="C10" i="3"/>
  <c r="C26" i="3"/>
  <c r="C34" i="3"/>
  <c r="C11" i="3"/>
  <c r="C27" i="3"/>
  <c r="C35" i="3"/>
  <c r="C12" i="3"/>
  <c r="C20" i="3"/>
  <c r="C36" i="3"/>
  <c r="C13" i="3"/>
  <c r="C21" i="3"/>
  <c r="C37" i="3"/>
  <c r="C7" i="3"/>
  <c r="C15" i="3"/>
  <c r="C23" i="3"/>
  <c r="C31" i="3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F130" i="11"/>
  <c r="H130" i="11"/>
  <c r="F129" i="11"/>
  <c r="E128" i="11"/>
  <c r="E127" i="11" s="1"/>
  <c r="F128" i="11"/>
  <c r="H128" i="11"/>
  <c r="F127" i="11"/>
  <c r="E126" i="11"/>
  <c r="E124" i="11"/>
  <c r="F126" i="11"/>
  <c r="H126" i="11"/>
  <c r="E125" i="11"/>
  <c r="F125" i="11"/>
  <c r="H125" i="11"/>
  <c r="F124" i="11"/>
  <c r="H124" i="11"/>
  <c r="E123" i="11"/>
  <c r="E122" i="11" s="1"/>
  <c r="F123" i="11"/>
  <c r="H123" i="11"/>
  <c r="F122" i="11"/>
  <c r="E121" i="11"/>
  <c r="F121" i="11"/>
  <c r="H121" i="11"/>
  <c r="E120" i="11"/>
  <c r="F120" i="11"/>
  <c r="H120" i="11"/>
  <c r="E119" i="11"/>
  <c r="F119" i="11"/>
  <c r="H119" i="11"/>
  <c r="E118" i="11"/>
  <c r="E117" i="11" s="1"/>
  <c r="F118" i="11"/>
  <c r="H118" i="11"/>
  <c r="F117" i="11"/>
  <c r="E116" i="11"/>
  <c r="F116" i="11"/>
  <c r="H116" i="11"/>
  <c r="E115" i="11"/>
  <c r="E114" i="11" s="1"/>
  <c r="F115" i="11"/>
  <c r="H115" i="11"/>
  <c r="F114" i="11"/>
  <c r="E113" i="11"/>
  <c r="F113" i="11"/>
  <c r="H113" i="11"/>
  <c r="E112" i="11"/>
  <c r="F112" i="11"/>
  <c r="H112" i="11"/>
  <c r="E111" i="11"/>
  <c r="F111" i="11"/>
  <c r="H111" i="11"/>
  <c r="E110" i="11"/>
  <c r="E109" i="11" s="1"/>
  <c r="F110" i="11"/>
  <c r="H110" i="11"/>
  <c r="F109" i="11"/>
  <c r="E108" i="11"/>
  <c r="F108" i="11"/>
  <c r="H108" i="11"/>
  <c r="E107" i="11"/>
  <c r="E106" i="11" s="1"/>
  <c r="F107" i="11"/>
  <c r="H107" i="11"/>
  <c r="F106" i="11"/>
  <c r="E105" i="11"/>
  <c r="F105" i="11"/>
  <c r="H105" i="11"/>
  <c r="E104" i="11"/>
  <c r="E103" i="11" s="1"/>
  <c r="F104" i="11"/>
  <c r="H104" i="11"/>
  <c r="F103" i="11"/>
  <c r="E102" i="11"/>
  <c r="F102" i="11"/>
  <c r="H102" i="11"/>
  <c r="E101" i="11"/>
  <c r="E100" i="11" s="1"/>
  <c r="F101" i="11"/>
  <c r="H101" i="11"/>
  <c r="F100" i="11"/>
  <c r="E99" i="11"/>
  <c r="F99" i="11"/>
  <c r="H99" i="11"/>
  <c r="E98" i="11"/>
  <c r="E97" i="11" s="1"/>
  <c r="F98" i="11"/>
  <c r="H98" i="11"/>
  <c r="F97" i="11"/>
  <c r="E96" i="11"/>
  <c r="F96" i="11"/>
  <c r="H96" i="11"/>
  <c r="E95" i="11"/>
  <c r="E94" i="11" s="1"/>
  <c r="F95" i="11"/>
  <c r="H95" i="11"/>
  <c r="F94" i="11"/>
  <c r="E93" i="11"/>
  <c r="F93" i="11"/>
  <c r="H93" i="11"/>
  <c r="E92" i="11"/>
  <c r="F92" i="11"/>
  <c r="H92" i="11"/>
  <c r="E91" i="11"/>
  <c r="E90" i="11" s="1"/>
  <c r="F91" i="11"/>
  <c r="H91" i="11"/>
  <c r="F90" i="11"/>
  <c r="E89" i="11"/>
  <c r="F89" i="11"/>
  <c r="H89" i="11"/>
  <c r="E88" i="11"/>
  <c r="E87" i="11" s="1"/>
  <c r="F88" i="11"/>
  <c r="H88" i="11"/>
  <c r="F87" i="11"/>
  <c r="E86" i="11"/>
  <c r="F86" i="11"/>
  <c r="H86" i="11"/>
  <c r="E85" i="11"/>
  <c r="E84" i="11" s="1"/>
  <c r="F85" i="11"/>
  <c r="H85" i="11"/>
  <c r="F84" i="11"/>
  <c r="E83" i="11"/>
  <c r="F83" i="11"/>
  <c r="H83" i="11"/>
  <c r="E82" i="11"/>
  <c r="E81" i="11" s="1"/>
  <c r="F82" i="11"/>
  <c r="H82" i="11"/>
  <c r="F81" i="11"/>
  <c r="E80" i="11"/>
  <c r="F80" i="11"/>
  <c r="H80" i="11"/>
  <c r="E79" i="11"/>
  <c r="E78" i="11" s="1"/>
  <c r="F79" i="11"/>
  <c r="H79" i="11"/>
  <c r="F78" i="11"/>
  <c r="E77" i="11"/>
  <c r="F77" i="11"/>
  <c r="H77" i="11"/>
  <c r="E76" i="11"/>
  <c r="F76" i="11"/>
  <c r="H76" i="11"/>
  <c r="F75" i="11"/>
  <c r="H75" i="11"/>
  <c r="E75" i="11"/>
  <c r="E74" i="11" s="1"/>
  <c r="F74" i="11"/>
  <c r="E73" i="11"/>
  <c r="F73" i="11"/>
  <c r="H73" i="11"/>
  <c r="E72" i="11"/>
  <c r="F72" i="11"/>
  <c r="H72" i="11"/>
  <c r="E71" i="11"/>
  <c r="E70" i="11" s="1"/>
  <c r="F71" i="11"/>
  <c r="H71" i="11"/>
  <c r="F70" i="11"/>
  <c r="E69" i="11"/>
  <c r="F69" i="11"/>
  <c r="H69" i="11"/>
  <c r="E68" i="11"/>
  <c r="E67" i="11" s="1"/>
  <c r="F68" i="11"/>
  <c r="H68" i="11"/>
  <c r="F67" i="11"/>
  <c r="E66" i="11"/>
  <c r="E65" i="11" s="1"/>
  <c r="F66" i="11"/>
  <c r="H66" i="11"/>
  <c r="F65" i="11"/>
  <c r="F64" i="11"/>
  <c r="H64" i="11"/>
  <c r="E63" i="11"/>
  <c r="E62" i="11" s="1"/>
  <c r="F63" i="11"/>
  <c r="H63" i="11"/>
  <c r="F62" i="11"/>
  <c r="F61" i="11"/>
  <c r="H61" i="11"/>
  <c r="F60" i="11"/>
  <c r="H60" i="11"/>
  <c r="F59" i="11"/>
  <c r="H59" i="11"/>
  <c r="E59" i="11"/>
  <c r="E58" i="11" s="1"/>
  <c r="F58" i="11"/>
  <c r="F57" i="11"/>
  <c r="H57" i="11"/>
  <c r="F56" i="11"/>
  <c r="H56" i="11"/>
  <c r="F55" i="11"/>
  <c r="H55" i="11"/>
  <c r="E55" i="11"/>
  <c r="E54" i="11" s="1"/>
  <c r="F54" i="11"/>
  <c r="F53" i="11"/>
  <c r="H53" i="11"/>
  <c r="E52" i="11"/>
  <c r="E51" i="11" s="1"/>
  <c r="F52" i="11"/>
  <c r="H52" i="11"/>
  <c r="F51" i="11"/>
  <c r="F50" i="11"/>
  <c r="H50" i="11"/>
  <c r="E49" i="11"/>
  <c r="E48" i="11" s="1"/>
  <c r="F49" i="11"/>
  <c r="H49" i="11"/>
  <c r="F48" i="11"/>
  <c r="F47" i="11"/>
  <c r="H47" i="11"/>
  <c r="F46" i="11"/>
  <c r="H46" i="11"/>
  <c r="E45" i="11"/>
  <c r="E44" i="11" s="1"/>
  <c r="F45" i="11"/>
  <c r="H45" i="11"/>
  <c r="F44" i="11"/>
  <c r="F43" i="11"/>
  <c r="H43" i="11"/>
  <c r="F42" i="11"/>
  <c r="H42" i="11"/>
  <c r="E41" i="11"/>
  <c r="E40" i="11" s="1"/>
  <c r="F41" i="11"/>
  <c r="H41" i="11"/>
  <c r="F40" i="11"/>
  <c r="F39" i="11"/>
  <c r="H39" i="11"/>
  <c r="E38" i="11"/>
  <c r="E37" i="11" s="1"/>
  <c r="F38" i="11"/>
  <c r="H38" i="11"/>
  <c r="F37" i="11"/>
  <c r="F36" i="11"/>
  <c r="H36" i="11"/>
  <c r="E35" i="11"/>
  <c r="E34" i="11" s="1"/>
  <c r="F35" i="11"/>
  <c r="H35" i="11"/>
  <c r="F34" i="11"/>
  <c r="F33" i="11"/>
  <c r="H33" i="11"/>
  <c r="E32" i="11"/>
  <c r="E31" i="11" s="1"/>
  <c r="F32" i="11"/>
  <c r="H32" i="11"/>
  <c r="F31" i="11"/>
  <c r="F30" i="11"/>
  <c r="H30" i="11"/>
  <c r="E29" i="11"/>
  <c r="E28" i="11" s="1"/>
  <c r="F29" i="11"/>
  <c r="H29" i="11"/>
  <c r="F28" i="11"/>
  <c r="F27" i="11"/>
  <c r="H27" i="11"/>
  <c r="E26" i="11"/>
  <c r="E25" i="11" s="1"/>
  <c r="F26" i="11"/>
  <c r="H26" i="11"/>
  <c r="F25" i="11"/>
  <c r="F24" i="11"/>
  <c r="H24" i="11"/>
  <c r="F23" i="11"/>
  <c r="H23" i="11"/>
  <c r="E23" i="11"/>
  <c r="E22" i="11" s="1"/>
  <c r="F22" i="11"/>
  <c r="F21" i="11"/>
  <c r="H21" i="11"/>
  <c r="F20" i="11"/>
  <c r="H20" i="11"/>
  <c r="F19" i="11"/>
  <c r="H19" i="11"/>
  <c r="E19" i="11"/>
  <c r="E18" i="11" s="1"/>
  <c r="F18" i="11"/>
  <c r="F17" i="11"/>
  <c r="H17" i="11"/>
  <c r="F16" i="11"/>
  <c r="H16" i="11"/>
  <c r="E16" i="11"/>
  <c r="E15" i="11" s="1"/>
  <c r="F15" i="11"/>
  <c r="J14" i="11"/>
  <c r="H14" i="11"/>
  <c r="F14" i="11"/>
  <c r="B12" i="10"/>
  <c r="C12" i="10" s="1"/>
  <c r="D12" i="10" s="1"/>
  <c r="E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E13" i="11" l="1"/>
  <c r="E12" i="11" s="1"/>
  <c r="E8" i="11"/>
  <c r="E7" i="11" s="1"/>
  <c r="J6" i="11"/>
  <c r="H6" i="11"/>
  <c r="F6" i="11"/>
  <c r="E2" i="11"/>
  <c r="E130" i="11" s="1"/>
  <c r="E129" i="11" s="1"/>
  <c r="E4" i="11" l="1"/>
  <c r="E3" i="11" s="1"/>
  <c r="S8" i="10" l="1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B7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B6" i="10"/>
  <c r="B13" i="8"/>
  <c r="C41" i="9"/>
  <c r="C42" i="9"/>
  <c r="C43" i="9"/>
  <c r="C44" i="9"/>
  <c r="C45" i="9"/>
  <c r="C46" i="9"/>
  <c r="C47" i="9"/>
  <c r="C48" i="9"/>
  <c r="C49" i="9"/>
  <c r="C50" i="9"/>
  <c r="C51" i="9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J3" i="11"/>
  <c r="J4" i="11"/>
  <c r="J5" i="11"/>
  <c r="J7" i="11"/>
  <c r="J8" i="11"/>
  <c r="J9" i="11"/>
  <c r="J10" i="11"/>
  <c r="J11" i="11"/>
  <c r="J12" i="11"/>
  <c r="J13" i="11"/>
  <c r="J2" i="11"/>
  <c r="B2" i="13"/>
  <c r="B4" i="13"/>
  <c r="H2" i="11"/>
  <c r="H4" i="11"/>
  <c r="H5" i="11"/>
  <c r="H8" i="11"/>
  <c r="H9" i="11"/>
  <c r="H10" i="11"/>
  <c r="H11" i="11"/>
  <c r="H13" i="11"/>
  <c r="F3" i="11"/>
  <c r="F4" i="11"/>
  <c r="F5" i="11"/>
  <c r="F7" i="11"/>
  <c r="F8" i="11"/>
  <c r="F9" i="11"/>
  <c r="F10" i="11"/>
  <c r="F11" i="11"/>
  <c r="F12" i="11"/>
  <c r="F13" i="11"/>
  <c r="F2" i="1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2" i="7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2" i="9"/>
  <c r="B9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B5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B4" i="10"/>
  <c r="B12" i="8"/>
  <c r="B10" i="8"/>
  <c r="B8" i="8"/>
  <c r="B8" i="2"/>
  <c r="B7" i="2"/>
</calcChain>
</file>

<file path=xl/sharedStrings.xml><?xml version="1.0" encoding="utf-8"?>
<sst xmlns="http://schemas.openxmlformats.org/spreadsheetml/2006/main" count="459" uniqueCount="185">
  <si>
    <t>nmaximo</t>
  </si>
  <si>
    <t>num_est</t>
  </si>
  <si>
    <t>num_ramp</t>
  </si>
  <si>
    <t>num_curva</t>
  </si>
  <si>
    <t>num_trem</t>
  </si>
  <si>
    <t>num_ret</t>
  </si>
  <si>
    <t>num_arm</t>
  </si>
  <si>
    <t>num_cross</t>
  </si>
  <si>
    <t>tam_trem</t>
  </si>
  <si>
    <t>acc</t>
  </si>
  <si>
    <t>dcc</t>
  </si>
  <si>
    <t>mv</t>
  </si>
  <si>
    <t>mc</t>
  </si>
  <si>
    <t>txr</t>
  </si>
  <si>
    <t>paux</t>
  </si>
  <si>
    <t>rfr</t>
  </si>
  <si>
    <t>vpct</t>
  </si>
  <si>
    <t>tt</t>
  </si>
  <si>
    <t>vpcf</t>
  </si>
  <si>
    <t>tf</t>
  </si>
  <si>
    <t>redc</t>
  </si>
  <si>
    <t>diam</t>
  </si>
  <si>
    <t>ne</t>
  </si>
  <si>
    <t>lt</t>
  </si>
  <si>
    <t>at</t>
  </si>
  <si>
    <t>rend</t>
  </si>
  <si>
    <t>PSE</t>
  </si>
  <si>
    <t>\1</t>
  </si>
  <si>
    <t>\9</t>
  </si>
  <si>
    <t>\2</t>
  </si>
  <si>
    <t>\3</t>
  </si>
  <si>
    <t>\4</t>
  </si>
  <si>
    <t>\5</t>
  </si>
  <si>
    <t>\6</t>
  </si>
  <si>
    <t>\7</t>
  </si>
  <si>
    <t>\8</t>
  </si>
  <si>
    <t>\10</t>
  </si>
  <si>
    <t>\11</t>
  </si>
  <si>
    <t>\12</t>
  </si>
  <si>
    <t>\13</t>
  </si>
  <si>
    <t>\14</t>
  </si>
  <si>
    <t>\15</t>
  </si>
  <si>
    <t>\16</t>
  </si>
  <si>
    <t>\17</t>
  </si>
  <si>
    <t>\18</t>
  </si>
  <si>
    <t>\19</t>
  </si>
  <si>
    <t>\20</t>
  </si>
  <si>
    <t>\21</t>
  </si>
  <si>
    <t>\22</t>
  </si>
  <si>
    <t>\23</t>
  </si>
  <si>
    <t>\24</t>
  </si>
  <si>
    <t>\25</t>
  </si>
  <si>
    <t>\26</t>
  </si>
  <si>
    <t>\27</t>
  </si>
  <si>
    <t>\28</t>
  </si>
  <si>
    <t>\29</t>
  </si>
  <si>
    <t>\30</t>
  </si>
  <si>
    <t>\31</t>
  </si>
  <si>
    <t>\32</t>
  </si>
  <si>
    <t>\33</t>
  </si>
  <si>
    <t>\34</t>
  </si>
  <si>
    <t>\35</t>
  </si>
  <si>
    <t>\36</t>
  </si>
  <si>
    <t>\37</t>
  </si>
  <si>
    <t>\38</t>
  </si>
  <si>
    <t>\39</t>
  </si>
  <si>
    <t>\40</t>
  </si>
  <si>
    <t>\41</t>
  </si>
  <si>
    <t>\42</t>
  </si>
  <si>
    <t>\43</t>
  </si>
  <si>
    <t>\44</t>
  </si>
  <si>
    <t>\45</t>
  </si>
  <si>
    <t>\46</t>
  </si>
  <si>
    <t>\47</t>
  </si>
  <si>
    <t>\48</t>
  </si>
  <si>
    <t>\49</t>
  </si>
  <si>
    <t>\50</t>
  </si>
  <si>
    <t>\51</t>
  </si>
  <si>
    <t>\52</t>
  </si>
  <si>
    <t>\53</t>
  </si>
  <si>
    <t>\54</t>
  </si>
  <si>
    <t>\55</t>
  </si>
  <si>
    <t>\56</t>
  </si>
  <si>
    <t>\57</t>
  </si>
  <si>
    <t>\58</t>
  </si>
  <si>
    <t>\59</t>
  </si>
  <si>
    <t>\60</t>
  </si>
  <si>
    <t>\61</t>
  </si>
  <si>
    <t>Número da rampa</t>
  </si>
  <si>
    <t>Marco inicial</t>
  </si>
  <si>
    <t>Marco final</t>
  </si>
  <si>
    <t>Inclinação</t>
  </si>
  <si>
    <t>Número da curva</t>
  </si>
  <si>
    <t>Marco Inicial</t>
  </si>
  <si>
    <t>Marco Final</t>
  </si>
  <si>
    <t>Raio</t>
  </si>
  <si>
    <t>Ud</t>
  </si>
  <si>
    <t>imp_pos</t>
  </si>
  <si>
    <t>imp_neg</t>
  </si>
  <si>
    <t>Umin2</t>
  </si>
  <si>
    <t>a</t>
  </si>
  <si>
    <t>Umax1</t>
  </si>
  <si>
    <t>Umax2</t>
  </si>
  <si>
    <t>Umaxfe</t>
  </si>
  <si>
    <t>Umax3</t>
  </si>
  <si>
    <t>Glig</t>
  </si>
  <si>
    <t>Gearth</t>
  </si>
  <si>
    <t>Verro</t>
  </si>
  <si>
    <t>Efreio</t>
  </si>
  <si>
    <t>Número do crossbound</t>
  </si>
  <si>
    <t>Marco</t>
  </si>
  <si>
    <t>Pret</t>
  </si>
  <si>
    <t>Ud0</t>
  </si>
  <si>
    <t>Gterra</t>
  </si>
  <si>
    <t>Gcret</t>
  </si>
  <si>
    <t>Gretpos</t>
  </si>
  <si>
    <t>Gretneg</t>
  </si>
  <si>
    <t>Sret</t>
  </si>
  <si>
    <t>Variável</t>
  </si>
  <si>
    <t>nr</t>
  </si>
  <si>
    <t>Condutância</t>
  </si>
  <si>
    <t>Marco topografico</t>
  </si>
  <si>
    <t>Número da antena</t>
  </si>
  <si>
    <t>Velocidade comandada [m/s]</t>
  </si>
  <si>
    <t>Estação</t>
  </si>
  <si>
    <t>Antena de parada programada</t>
  </si>
  <si>
    <t>ext_linha</t>
  </si>
  <si>
    <t>Força Restritiva Curva - Rockl</t>
  </si>
  <si>
    <t>Limite de velocidade [km/h]</t>
  </si>
  <si>
    <t>Velocidade máxima [km/h]</t>
  </si>
  <si>
    <t>Taxa de redução da aceleração 
(1; 0,63; 0,5)</t>
  </si>
  <si>
    <t>Tempo parado na estação (s)</t>
  </si>
  <si>
    <t>Taxa de redução da desaceleração 
(meio do caminho 1; 0,654 (0,85); 0,578 (0,75); 0,5154(0,67))</t>
  </si>
  <si>
    <t>A</t>
  </si>
  <si>
    <t>Constantes de Davis - restrição ao movimento devido a velocidade</t>
  </si>
  <si>
    <t>B</t>
  </si>
  <si>
    <t>C</t>
  </si>
  <si>
    <t>Passos de simulação parado na estação (t)</t>
  </si>
  <si>
    <t>delta_t (s)</t>
  </si>
  <si>
    <t>TF de ITQ</t>
  </si>
  <si>
    <t>ITQ</t>
  </si>
  <si>
    <t>ART</t>
  </si>
  <si>
    <t>PCA</t>
  </si>
  <si>
    <t>VPA</t>
  </si>
  <si>
    <t>VTD</t>
  </si>
  <si>
    <t>PEN</t>
  </si>
  <si>
    <t>CAR</t>
  </si>
  <si>
    <t>TAT</t>
  </si>
  <si>
    <t>BEL</t>
  </si>
  <si>
    <t>BRE</t>
  </si>
  <si>
    <t>BAS</t>
  </si>
  <si>
    <t>PDS</t>
  </si>
  <si>
    <t>GBU</t>
  </si>
  <si>
    <t>REP</t>
  </si>
  <si>
    <t>CEC</t>
  </si>
  <si>
    <t>DEO</t>
  </si>
  <si>
    <t>BFU</t>
  </si>
  <si>
    <t>TF de BFU</t>
  </si>
  <si>
    <t>WITQ</t>
  </si>
  <si>
    <t>WART</t>
  </si>
  <si>
    <t>WPCA</t>
  </si>
  <si>
    <t>WVPA</t>
  </si>
  <si>
    <t>WVTD</t>
  </si>
  <si>
    <t>WPEN</t>
  </si>
  <si>
    <t>WCAR</t>
  </si>
  <si>
    <t>WTAT</t>
  </si>
  <si>
    <t>WBEL</t>
  </si>
  <si>
    <t>WBRE</t>
  </si>
  <si>
    <t>WBAS</t>
  </si>
  <si>
    <t>WPDS</t>
  </si>
  <si>
    <t>WPSE</t>
  </si>
  <si>
    <t>WGBU</t>
  </si>
  <si>
    <t>WREP</t>
  </si>
  <si>
    <t>WCEC</t>
  </si>
  <si>
    <t>WDEO</t>
  </si>
  <si>
    <t>WBFU</t>
  </si>
  <si>
    <t xml:space="preserve">     </t>
  </si>
  <si>
    <t xml:space="preserve">    </t>
  </si>
  <si>
    <t xml:space="preserve">   </t>
  </si>
  <si>
    <t>Ativo</t>
  </si>
  <si>
    <t>Ret</t>
  </si>
  <si>
    <t>txc original</t>
  </si>
  <si>
    <t>txc corrigido</t>
  </si>
  <si>
    <t>fator de correção</t>
  </si>
  <si>
    <t>txc original para 41 trens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</si>
</sst>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21C9-2B26-4610-9D6D-BD43105B698F}">
  <dimension ref="A1:B10"/>
  <sheetViews>
    <sheetView workbookViewId="0">
      <selection activeCell="B6" sqref="B6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138</v>
      </c>
      <c r="B1">
        <v>0.25</v>
      </c>
    </row>
    <row r="2" spans="1:2" x14ac:dyDescent="0.25">
      <c r="A2" t="s">
        <v>0</v>
      </c>
      <c r="B2">
        <v>250</v>
      </c>
    </row>
    <row r="3" spans="1:2" x14ac:dyDescent="0.25">
      <c r="A3" t="s">
        <v>1</v>
      </c>
      <c r="B3">
        <v>20</v>
      </c>
    </row>
    <row r="4" spans="1:2" x14ac:dyDescent="0.25">
      <c r="A4" t="s">
        <v>2</v>
      </c>
      <c r="B4">
        <v>57</v>
      </c>
    </row>
    <row r="5" spans="1:2" x14ac:dyDescent="0.25">
      <c r="A5" t="s">
        <v>3</v>
      </c>
      <c r="B5">
        <v>61</v>
      </c>
    </row>
    <row r="6" spans="1:2" x14ac:dyDescent="0.25">
      <c r="A6" t="s">
        <v>4</v>
      </c>
      <c r="B6">
        <v>39</v>
      </c>
    </row>
    <row r="7" spans="1:2" x14ac:dyDescent="0.25">
      <c r="A7" t="s">
        <v>5</v>
      </c>
      <c r="B7">
        <v>18</v>
      </c>
    </row>
    <row r="8" spans="1:2" x14ac:dyDescent="0.25">
      <c r="A8" t="s">
        <v>6</v>
      </c>
      <c r="B8">
        <v>0</v>
      </c>
    </row>
    <row r="9" spans="1:2" x14ac:dyDescent="0.25">
      <c r="A9" t="s">
        <v>7</v>
      </c>
      <c r="B9">
        <v>50</v>
      </c>
    </row>
    <row r="10" spans="1:2" x14ac:dyDescent="0.25">
      <c r="A10" t="s">
        <v>126</v>
      </c>
      <c r="B10">
        <v>23735.599999999999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33EA6-A278-41C9-8075-C23AEA49F430}">
  <dimension ref="A1:C51"/>
  <sheetViews>
    <sheetView workbookViewId="0">
      <selection activeCell="H46" sqref="H46"/>
    </sheetView>
  </sheetViews>
  <sheetFormatPr defaultRowHeight="15" x14ac:dyDescent="0.25"/>
  <cols>
    <col min="1" max="1" width="22" bestFit="1" customWidth="1"/>
    <col min="2" max="2" width="6.42578125" bestFit="1" customWidth="1"/>
    <col min="3" max="3" width="12" bestFit="1" customWidth="1"/>
  </cols>
  <sheetData>
    <row r="1" spans="1:3" x14ac:dyDescent="0.25">
      <c r="A1" t="s">
        <v>109</v>
      </c>
      <c r="B1" t="s">
        <v>110</v>
      </c>
      <c r="C1" t="s">
        <v>120</v>
      </c>
    </row>
    <row r="2" spans="1:3" x14ac:dyDescent="0.25">
      <c r="A2" t="s">
        <v>27</v>
      </c>
      <c r="B2">
        <v>0</v>
      </c>
      <c r="C2">
        <f>1/(30*0.00004005)</f>
        <v>832.29296712442783</v>
      </c>
    </row>
    <row r="3" spans="1:3" x14ac:dyDescent="0.25">
      <c r="A3" t="s">
        <v>29</v>
      </c>
      <c r="B3">
        <v>385.6</v>
      </c>
      <c r="C3">
        <f t="shared" ref="C3:C51" si="0">1/(30*0.00004005)</f>
        <v>832.29296712442783</v>
      </c>
    </row>
    <row r="4" spans="1:3" x14ac:dyDescent="0.25">
      <c r="A4" t="s">
        <v>30</v>
      </c>
      <c r="B4">
        <v>1043.5999999999999</v>
      </c>
      <c r="C4">
        <f t="shared" si="0"/>
        <v>832.29296712442783</v>
      </c>
    </row>
    <row r="5" spans="1:3" x14ac:dyDescent="0.25">
      <c r="A5" t="s">
        <v>31</v>
      </c>
      <c r="B5">
        <v>1405.6</v>
      </c>
      <c r="C5">
        <f t="shared" si="0"/>
        <v>832.29296712442783</v>
      </c>
    </row>
    <row r="6" spans="1:3" x14ac:dyDescent="0.25">
      <c r="A6" t="s">
        <v>32</v>
      </c>
      <c r="B6">
        <v>1765.6</v>
      </c>
      <c r="C6">
        <f t="shared" si="0"/>
        <v>832.29296712442783</v>
      </c>
    </row>
    <row r="7" spans="1:3" x14ac:dyDescent="0.25">
      <c r="A7" t="s">
        <v>33</v>
      </c>
      <c r="B7">
        <v>2657.6</v>
      </c>
      <c r="C7">
        <f t="shared" si="0"/>
        <v>832.29296712442783</v>
      </c>
    </row>
    <row r="8" spans="1:3" x14ac:dyDescent="0.25">
      <c r="A8" t="s">
        <v>34</v>
      </c>
      <c r="B8">
        <v>3012.6</v>
      </c>
      <c r="C8">
        <f t="shared" si="0"/>
        <v>832.29296712442783</v>
      </c>
    </row>
    <row r="9" spans="1:3" x14ac:dyDescent="0.25">
      <c r="A9" t="s">
        <v>35</v>
      </c>
      <c r="B9">
        <v>3369.6</v>
      </c>
      <c r="C9">
        <f t="shared" si="0"/>
        <v>832.29296712442783</v>
      </c>
    </row>
    <row r="10" spans="1:3" x14ac:dyDescent="0.25">
      <c r="A10" t="s">
        <v>28</v>
      </c>
      <c r="B10">
        <v>3742.6</v>
      </c>
      <c r="C10">
        <f t="shared" si="0"/>
        <v>832.29296712442783</v>
      </c>
    </row>
    <row r="11" spans="1:3" x14ac:dyDescent="0.25">
      <c r="A11" t="s">
        <v>36</v>
      </c>
      <c r="B11">
        <v>4082.6</v>
      </c>
      <c r="C11">
        <f t="shared" si="0"/>
        <v>832.29296712442783</v>
      </c>
    </row>
    <row r="12" spans="1:3" x14ac:dyDescent="0.25">
      <c r="A12" t="s">
        <v>37</v>
      </c>
      <c r="B12">
        <v>4817.6000000000004</v>
      </c>
      <c r="C12">
        <f t="shared" si="0"/>
        <v>832.29296712442783</v>
      </c>
    </row>
    <row r="13" spans="1:3" x14ac:dyDescent="0.25">
      <c r="A13" t="s">
        <v>38</v>
      </c>
      <c r="B13">
        <v>5200.6000000000004</v>
      </c>
      <c r="C13">
        <f t="shared" si="0"/>
        <v>832.29296712442783</v>
      </c>
    </row>
    <row r="14" spans="1:3" x14ac:dyDescent="0.25">
      <c r="A14" t="s">
        <v>39</v>
      </c>
      <c r="B14">
        <v>5584.6</v>
      </c>
      <c r="C14">
        <f t="shared" si="0"/>
        <v>832.29296712442783</v>
      </c>
    </row>
    <row r="15" spans="1:3" x14ac:dyDescent="0.25">
      <c r="A15" t="s">
        <v>40</v>
      </c>
      <c r="B15">
        <v>6735.6</v>
      </c>
      <c r="C15">
        <f t="shared" si="0"/>
        <v>832.29296712442783</v>
      </c>
    </row>
    <row r="16" spans="1:3" x14ac:dyDescent="0.25">
      <c r="A16" t="s">
        <v>41</v>
      </c>
      <c r="B16">
        <v>7118.6</v>
      </c>
      <c r="C16">
        <f t="shared" si="0"/>
        <v>832.29296712442783</v>
      </c>
    </row>
    <row r="17" spans="1:3" x14ac:dyDescent="0.25">
      <c r="A17" t="s">
        <v>42</v>
      </c>
      <c r="B17">
        <v>7882.6</v>
      </c>
      <c r="C17">
        <f t="shared" si="0"/>
        <v>832.29296712442783</v>
      </c>
    </row>
    <row r="18" spans="1:3" x14ac:dyDescent="0.25">
      <c r="A18" t="s">
        <v>43</v>
      </c>
      <c r="B18">
        <v>8252.6</v>
      </c>
      <c r="C18">
        <f t="shared" si="0"/>
        <v>832.29296712442783</v>
      </c>
    </row>
    <row r="19" spans="1:3" x14ac:dyDescent="0.25">
      <c r="A19" t="s">
        <v>44</v>
      </c>
      <c r="B19">
        <v>8540.6</v>
      </c>
      <c r="C19">
        <f t="shared" si="0"/>
        <v>832.29296712442783</v>
      </c>
    </row>
    <row r="20" spans="1:3" x14ac:dyDescent="0.25">
      <c r="A20" t="s">
        <v>45</v>
      </c>
      <c r="B20">
        <v>9255.6</v>
      </c>
      <c r="C20">
        <f t="shared" si="0"/>
        <v>832.29296712442783</v>
      </c>
    </row>
    <row r="21" spans="1:3" x14ac:dyDescent="0.25">
      <c r="A21" t="s">
        <v>46</v>
      </c>
      <c r="B21">
        <v>9612.6</v>
      </c>
      <c r="C21">
        <f t="shared" si="0"/>
        <v>832.29296712442783</v>
      </c>
    </row>
    <row r="22" spans="1:3" x14ac:dyDescent="0.25">
      <c r="A22" t="s">
        <v>47</v>
      </c>
      <c r="B22">
        <v>9970.6</v>
      </c>
      <c r="C22">
        <f t="shared" si="0"/>
        <v>832.29296712442783</v>
      </c>
    </row>
    <row r="23" spans="1:3" x14ac:dyDescent="0.25">
      <c r="A23" t="s">
        <v>48</v>
      </c>
      <c r="B23">
        <v>10314.6</v>
      </c>
      <c r="C23">
        <f t="shared" si="0"/>
        <v>832.29296712442783</v>
      </c>
    </row>
    <row r="24" spans="1:3" x14ac:dyDescent="0.25">
      <c r="A24" t="s">
        <v>49</v>
      </c>
      <c r="B24">
        <v>10643.6</v>
      </c>
      <c r="C24">
        <f t="shared" si="0"/>
        <v>832.29296712442783</v>
      </c>
    </row>
    <row r="25" spans="1:3" x14ac:dyDescent="0.25">
      <c r="A25" t="s">
        <v>50</v>
      </c>
      <c r="B25">
        <v>11444.6</v>
      </c>
      <c r="C25">
        <f t="shared" si="0"/>
        <v>832.29296712442783</v>
      </c>
    </row>
    <row r="26" spans="1:3" x14ac:dyDescent="0.25">
      <c r="A26" t="s">
        <v>51</v>
      </c>
      <c r="B26">
        <v>11772.6</v>
      </c>
      <c r="C26">
        <f t="shared" si="0"/>
        <v>832.29296712442783</v>
      </c>
    </row>
    <row r="27" spans="1:3" x14ac:dyDescent="0.25">
      <c r="A27" t="s">
        <v>52</v>
      </c>
      <c r="B27">
        <v>12132.6</v>
      </c>
      <c r="C27">
        <f t="shared" si="0"/>
        <v>832.29296712442783</v>
      </c>
    </row>
    <row r="28" spans="1:3" x14ac:dyDescent="0.25">
      <c r="A28" t="s">
        <v>53</v>
      </c>
      <c r="B28">
        <v>12789.6</v>
      </c>
      <c r="C28">
        <f t="shared" si="0"/>
        <v>832.29296712442783</v>
      </c>
    </row>
    <row r="29" spans="1:3" x14ac:dyDescent="0.25">
      <c r="A29" t="s">
        <v>54</v>
      </c>
      <c r="B29">
        <v>13319.6</v>
      </c>
      <c r="C29">
        <f t="shared" si="0"/>
        <v>832.29296712442783</v>
      </c>
    </row>
    <row r="30" spans="1:3" x14ac:dyDescent="0.25">
      <c r="A30" t="s">
        <v>55</v>
      </c>
      <c r="B30">
        <v>14001.6</v>
      </c>
      <c r="C30">
        <f t="shared" si="0"/>
        <v>832.29296712442783</v>
      </c>
    </row>
    <row r="31" spans="1:3" x14ac:dyDescent="0.25">
      <c r="A31" t="s">
        <v>56</v>
      </c>
      <c r="B31">
        <v>14165.6</v>
      </c>
      <c r="C31">
        <f t="shared" si="0"/>
        <v>832.29296712442783</v>
      </c>
    </row>
    <row r="32" spans="1:3" x14ac:dyDescent="0.25">
      <c r="A32" t="s">
        <v>57</v>
      </c>
      <c r="B32">
        <v>14490.6</v>
      </c>
      <c r="C32">
        <f t="shared" si="0"/>
        <v>832.29296712442783</v>
      </c>
    </row>
    <row r="33" spans="1:3" x14ac:dyDescent="0.25">
      <c r="A33" t="s">
        <v>58</v>
      </c>
      <c r="B33">
        <v>14825.6</v>
      </c>
      <c r="C33">
        <f t="shared" si="0"/>
        <v>832.29296712442783</v>
      </c>
    </row>
    <row r="34" spans="1:3" x14ac:dyDescent="0.25">
      <c r="A34" t="s">
        <v>59</v>
      </c>
      <c r="B34">
        <v>15197.6</v>
      </c>
      <c r="C34">
        <f t="shared" si="0"/>
        <v>832.29296712442783</v>
      </c>
    </row>
    <row r="35" spans="1:3" x14ac:dyDescent="0.25">
      <c r="A35" t="s">
        <v>60</v>
      </c>
      <c r="B35">
        <v>15852.6</v>
      </c>
      <c r="C35">
        <f t="shared" si="0"/>
        <v>832.29296712442783</v>
      </c>
    </row>
    <row r="36" spans="1:3" x14ac:dyDescent="0.25">
      <c r="A36" t="s">
        <v>61</v>
      </c>
      <c r="B36">
        <v>16187.6</v>
      </c>
      <c r="C36">
        <f t="shared" si="0"/>
        <v>832.29296712442783</v>
      </c>
    </row>
    <row r="37" spans="1:3" x14ac:dyDescent="0.25">
      <c r="A37" t="s">
        <v>62</v>
      </c>
      <c r="B37">
        <v>16889.599999999999</v>
      </c>
      <c r="C37">
        <f t="shared" si="0"/>
        <v>832.29296712442783</v>
      </c>
    </row>
    <row r="38" spans="1:3" x14ac:dyDescent="0.25">
      <c r="A38" t="s">
        <v>63</v>
      </c>
      <c r="B38">
        <v>17238.599999999999</v>
      </c>
      <c r="C38">
        <f t="shared" si="0"/>
        <v>832.29296712442783</v>
      </c>
    </row>
    <row r="39" spans="1:3" x14ac:dyDescent="0.25">
      <c r="A39" t="s">
        <v>64</v>
      </c>
      <c r="B39">
        <v>17844.599999999999</v>
      </c>
      <c r="C39">
        <f t="shared" si="0"/>
        <v>832.29296712442783</v>
      </c>
    </row>
    <row r="40" spans="1:3" x14ac:dyDescent="0.25">
      <c r="A40" t="s">
        <v>65</v>
      </c>
      <c r="B40">
        <v>18697.599999999999</v>
      </c>
      <c r="C40">
        <f t="shared" si="0"/>
        <v>832.29296712442783</v>
      </c>
    </row>
    <row r="41" spans="1:3" x14ac:dyDescent="0.25">
      <c r="A41" t="s">
        <v>66</v>
      </c>
      <c r="B41">
        <v>19312.599999999999</v>
      </c>
      <c r="C41">
        <f t="shared" si="0"/>
        <v>832.29296712442783</v>
      </c>
    </row>
    <row r="42" spans="1:3" x14ac:dyDescent="0.25">
      <c r="A42" t="s">
        <v>67</v>
      </c>
      <c r="B42">
        <v>19932.599999999999</v>
      </c>
      <c r="C42">
        <f t="shared" si="0"/>
        <v>832.29296712442783</v>
      </c>
    </row>
    <row r="43" spans="1:3" x14ac:dyDescent="0.25">
      <c r="A43" t="s">
        <v>68</v>
      </c>
      <c r="B43">
        <v>20573.599999999999</v>
      </c>
      <c r="C43">
        <f t="shared" si="0"/>
        <v>832.29296712442783</v>
      </c>
    </row>
    <row r="44" spans="1:3" x14ac:dyDescent="0.25">
      <c r="A44" t="s">
        <v>69</v>
      </c>
      <c r="B44">
        <v>20852.599999999999</v>
      </c>
      <c r="C44">
        <f t="shared" si="0"/>
        <v>832.29296712442783</v>
      </c>
    </row>
    <row r="45" spans="1:3" x14ac:dyDescent="0.25">
      <c r="A45" t="s">
        <v>70</v>
      </c>
      <c r="B45">
        <v>21632.6</v>
      </c>
      <c r="C45">
        <f t="shared" si="0"/>
        <v>832.29296712442783</v>
      </c>
    </row>
    <row r="46" spans="1:3" x14ac:dyDescent="0.25">
      <c r="A46" t="s">
        <v>71</v>
      </c>
      <c r="B46">
        <v>21945.599999999999</v>
      </c>
      <c r="C46">
        <f t="shared" si="0"/>
        <v>832.29296712442783</v>
      </c>
    </row>
    <row r="47" spans="1:3" x14ac:dyDescent="0.25">
      <c r="A47" t="s">
        <v>72</v>
      </c>
      <c r="B47">
        <v>22242.6</v>
      </c>
      <c r="C47">
        <f t="shared" si="0"/>
        <v>832.29296712442783</v>
      </c>
    </row>
    <row r="48" spans="1:3" x14ac:dyDescent="0.25">
      <c r="A48" t="s">
        <v>73</v>
      </c>
      <c r="B48">
        <v>22540.6</v>
      </c>
      <c r="C48">
        <f t="shared" si="0"/>
        <v>832.29296712442783</v>
      </c>
    </row>
    <row r="49" spans="1:3" x14ac:dyDescent="0.25">
      <c r="A49" t="s">
        <v>74</v>
      </c>
      <c r="B49">
        <v>23112.6</v>
      </c>
      <c r="C49">
        <f t="shared" si="0"/>
        <v>832.29296712442783</v>
      </c>
    </row>
    <row r="50" spans="1:3" x14ac:dyDescent="0.25">
      <c r="A50" t="s">
        <v>75</v>
      </c>
      <c r="B50">
        <v>23378.6</v>
      </c>
      <c r="C50">
        <f t="shared" si="0"/>
        <v>832.29296712442783</v>
      </c>
    </row>
    <row r="51" spans="1:3" x14ac:dyDescent="0.25">
      <c r="A51" t="s">
        <v>76</v>
      </c>
      <c r="B51">
        <v>23550.6</v>
      </c>
      <c r="C51">
        <f t="shared" si="0"/>
        <v>832.29296712442783</v>
      </c>
    </row>
  </sheetData>
  <sortState xmlns:xlrd2="http://schemas.microsoft.com/office/spreadsheetml/2017/richdata2" ref="B2:B40">
    <sortCondition ref="B2:B40"/>
  </sortState>
  <phoneticPr fontId="1" type="noConversion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3D3-10FD-4ACC-964E-2A15A0E0E762}">
  <dimension ref="A1:B13"/>
  <sheetViews>
    <sheetView workbookViewId="0">
      <selection activeCell="B14" sqref="B14"/>
    </sheetView>
  </sheetViews>
  <sheetFormatPr defaultRowHeight="15" x14ac:dyDescent="0.25"/>
  <cols>
    <col min="2" max="2" width="10" bestFit="1" customWidth="1"/>
  </cols>
  <sheetData>
    <row r="1" spans="1:2" x14ac:dyDescent="0.25">
      <c r="A1" t="s">
        <v>96</v>
      </c>
      <c r="B1">
        <v>750</v>
      </c>
    </row>
    <row r="2" spans="1:2" x14ac:dyDescent="0.25">
      <c r="A2" t="s">
        <v>97</v>
      </c>
      <c r="B2">
        <v>6.4999999999999996E-6</v>
      </c>
    </row>
    <row r="3" spans="1:2" x14ac:dyDescent="0.25">
      <c r="A3" t="s">
        <v>98</v>
      </c>
      <c r="B3">
        <v>1.7499999999999998E-5</v>
      </c>
    </row>
    <row r="4" spans="1:2" x14ac:dyDescent="0.25">
      <c r="A4" t="s">
        <v>99</v>
      </c>
      <c r="B4">
        <v>500</v>
      </c>
    </row>
    <row r="5" spans="1:2" x14ac:dyDescent="0.25">
      <c r="A5" t="s">
        <v>100</v>
      </c>
      <c r="B5">
        <v>0.8</v>
      </c>
    </row>
    <row r="6" spans="1:2" x14ac:dyDescent="0.25">
      <c r="A6" t="s">
        <v>101</v>
      </c>
      <c r="B6">
        <v>900</v>
      </c>
    </row>
    <row r="7" spans="1:2" x14ac:dyDescent="0.25">
      <c r="A7" t="s">
        <v>102</v>
      </c>
      <c r="B7">
        <v>1000</v>
      </c>
    </row>
    <row r="8" spans="1:2" x14ac:dyDescent="0.25">
      <c r="A8" t="s">
        <v>103</v>
      </c>
      <c r="B8">
        <f>(3*B7+B6)/4</f>
        <v>975</v>
      </c>
    </row>
    <row r="9" spans="1:2" x14ac:dyDescent="0.25">
      <c r="A9" t="s">
        <v>104</v>
      </c>
      <c r="B9">
        <v>1270</v>
      </c>
    </row>
    <row r="10" spans="1:2" x14ac:dyDescent="0.25">
      <c r="A10" t="s">
        <v>105</v>
      </c>
      <c r="B10">
        <f>1/0.000001</f>
        <v>1000000</v>
      </c>
    </row>
    <row r="11" spans="1:2" x14ac:dyDescent="0.25">
      <c r="A11" t="s">
        <v>106</v>
      </c>
      <c r="B11">
        <v>1E-4</v>
      </c>
    </row>
    <row r="12" spans="1:2" x14ac:dyDescent="0.25">
      <c r="A12" t="s">
        <v>107</v>
      </c>
      <c r="B12">
        <f>0.001*B1</f>
        <v>0.75</v>
      </c>
    </row>
    <row r="13" spans="1:2" x14ac:dyDescent="0.25">
      <c r="A13" t="s">
        <v>108</v>
      </c>
      <c r="B13">
        <f>0.01*B6</f>
        <v>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903D-C6EB-4AE4-8083-AC4BDEA7CF16}">
  <dimension ref="A1:S13"/>
  <sheetViews>
    <sheetView workbookViewId="0">
      <selection activeCell="T12" sqref="T12:V13"/>
    </sheetView>
  </sheetViews>
  <sheetFormatPr defaultColWidth="9.140625" defaultRowHeight="15" x14ac:dyDescent="0.25"/>
  <cols>
    <col min="1" max="1" width="8.28515625" style="3" bestFit="1" customWidth="1"/>
    <col min="2" max="22" width="10.5703125" style="3" customWidth="1"/>
    <col min="23" max="16384" width="9.140625" style="3"/>
  </cols>
  <sheetData>
    <row r="1" spans="1:19" x14ac:dyDescent="0.25">
      <c r="A1" s="3" t="s">
        <v>118</v>
      </c>
      <c r="B1" s="3" t="s">
        <v>158</v>
      </c>
      <c r="C1" s="3" t="s">
        <v>159</v>
      </c>
      <c r="D1" s="3" t="s">
        <v>160</v>
      </c>
      <c r="E1" s="3" t="s">
        <v>161</v>
      </c>
      <c r="F1" s="3" t="s">
        <v>162</v>
      </c>
      <c r="G1" s="3" t="s">
        <v>163</v>
      </c>
      <c r="H1" s="3" t="s">
        <v>164</v>
      </c>
      <c r="I1" s="3" t="s">
        <v>165</v>
      </c>
      <c r="J1" s="3" t="s">
        <v>166</v>
      </c>
      <c r="K1" s="3" t="s">
        <v>167</v>
      </c>
      <c r="L1" s="3" t="s">
        <v>168</v>
      </c>
      <c r="M1" s="3" t="s">
        <v>169</v>
      </c>
      <c r="N1" s="3" t="s">
        <v>170</v>
      </c>
      <c r="O1" s="3" t="s">
        <v>171</v>
      </c>
      <c r="P1" s="3" t="s">
        <v>172</v>
      </c>
      <c r="Q1" s="3" t="s">
        <v>173</v>
      </c>
      <c r="R1" s="3" t="s">
        <v>174</v>
      </c>
      <c r="S1" s="3" t="s">
        <v>175</v>
      </c>
    </row>
    <row r="2" spans="1:19" x14ac:dyDescent="0.25">
      <c r="A2" s="2" t="s">
        <v>111</v>
      </c>
      <c r="B2" s="3">
        <v>4250000</v>
      </c>
      <c r="C2" s="3">
        <v>4250000</v>
      </c>
      <c r="D2" s="3">
        <v>4250000</v>
      </c>
      <c r="E2" s="3">
        <v>4250000</v>
      </c>
      <c r="F2" s="3">
        <v>4250000</v>
      </c>
      <c r="G2" s="3">
        <v>4250000</v>
      </c>
      <c r="H2" s="3">
        <v>4250000</v>
      </c>
      <c r="I2" s="3">
        <v>4250000</v>
      </c>
      <c r="J2" s="3">
        <v>4250000</v>
      </c>
      <c r="K2" s="3">
        <v>4250000</v>
      </c>
      <c r="L2" s="3">
        <v>4250000</v>
      </c>
      <c r="M2" s="3">
        <v>4250000</v>
      </c>
      <c r="N2" s="3">
        <v>4250000</v>
      </c>
      <c r="O2" s="3">
        <v>4250000</v>
      </c>
      <c r="P2" s="3">
        <v>4250000</v>
      </c>
      <c r="Q2" s="3">
        <v>4250000</v>
      </c>
      <c r="R2" s="3">
        <v>4250000</v>
      </c>
      <c r="S2" s="3">
        <v>4250000</v>
      </c>
    </row>
    <row r="3" spans="1:19" x14ac:dyDescent="0.25">
      <c r="A3" s="2" t="s">
        <v>112</v>
      </c>
      <c r="B3" s="3">
        <v>797</v>
      </c>
      <c r="C3" s="3">
        <v>797</v>
      </c>
      <c r="D3" s="3">
        <v>797</v>
      </c>
      <c r="E3" s="3">
        <v>797</v>
      </c>
      <c r="F3" s="3">
        <v>797</v>
      </c>
      <c r="G3" s="3">
        <v>797</v>
      </c>
      <c r="H3" s="3">
        <v>797</v>
      </c>
      <c r="I3" s="3">
        <v>797</v>
      </c>
      <c r="J3" s="3">
        <v>797</v>
      </c>
      <c r="K3" s="3">
        <v>797</v>
      </c>
      <c r="L3" s="3">
        <v>797</v>
      </c>
      <c r="M3" s="3">
        <v>797</v>
      </c>
      <c r="N3" s="3">
        <v>797</v>
      </c>
      <c r="O3" s="3">
        <v>797</v>
      </c>
      <c r="P3" s="3">
        <v>797</v>
      </c>
      <c r="Q3" s="3">
        <v>797</v>
      </c>
      <c r="R3" s="3">
        <v>797</v>
      </c>
      <c r="S3" s="3">
        <v>797</v>
      </c>
    </row>
    <row r="4" spans="1:19" x14ac:dyDescent="0.25">
      <c r="A4" s="2" t="s">
        <v>113</v>
      </c>
      <c r="B4" s="3">
        <f>1/5</f>
        <v>0.2</v>
      </c>
      <c r="C4" s="3">
        <f t="shared" ref="C4:S4" si="0">1/5</f>
        <v>0.2</v>
      </c>
      <c r="D4" s="3">
        <f t="shared" si="0"/>
        <v>0.2</v>
      </c>
      <c r="E4" s="3">
        <f t="shared" si="0"/>
        <v>0.2</v>
      </c>
      <c r="F4" s="3">
        <f t="shared" si="0"/>
        <v>0.2</v>
      </c>
      <c r="G4" s="3">
        <f t="shared" si="0"/>
        <v>0.2</v>
      </c>
      <c r="H4" s="3">
        <f t="shared" si="0"/>
        <v>0.2</v>
      </c>
      <c r="I4" s="3">
        <f t="shared" si="0"/>
        <v>0.2</v>
      </c>
      <c r="J4" s="3">
        <f t="shared" si="0"/>
        <v>0.2</v>
      </c>
      <c r="K4" s="3">
        <f t="shared" si="0"/>
        <v>0.2</v>
      </c>
      <c r="L4" s="3">
        <f t="shared" si="0"/>
        <v>0.2</v>
      </c>
      <c r="M4" s="3">
        <f t="shared" si="0"/>
        <v>0.2</v>
      </c>
      <c r="N4" s="3">
        <f t="shared" si="0"/>
        <v>0.2</v>
      </c>
      <c r="O4" s="3">
        <f t="shared" si="0"/>
        <v>0.2</v>
      </c>
      <c r="P4" s="3">
        <f t="shared" si="0"/>
        <v>0.2</v>
      </c>
      <c r="Q4" s="3">
        <f t="shared" si="0"/>
        <v>0.2</v>
      </c>
      <c r="R4" s="3">
        <f t="shared" si="0"/>
        <v>0.2</v>
      </c>
      <c r="S4" s="3">
        <f t="shared" si="0"/>
        <v>0.2</v>
      </c>
    </row>
    <row r="5" spans="1:19" x14ac:dyDescent="0.25">
      <c r="A5" s="2" t="s">
        <v>114</v>
      </c>
      <c r="B5" s="3">
        <f>1/(30*0.00004)</f>
        <v>833.33333333333326</v>
      </c>
      <c r="C5" s="3">
        <f t="shared" ref="C5:S5" si="1">1/(30*0.00004)</f>
        <v>833.33333333333326</v>
      </c>
      <c r="D5" s="3">
        <f t="shared" si="1"/>
        <v>833.33333333333326</v>
      </c>
      <c r="E5" s="3">
        <f t="shared" si="1"/>
        <v>833.33333333333326</v>
      </c>
      <c r="F5" s="3">
        <f t="shared" si="1"/>
        <v>833.33333333333326</v>
      </c>
      <c r="G5" s="3">
        <f t="shared" si="1"/>
        <v>833.33333333333326</v>
      </c>
      <c r="H5" s="3">
        <f t="shared" si="1"/>
        <v>833.33333333333326</v>
      </c>
      <c r="I5" s="3">
        <f t="shared" si="1"/>
        <v>833.33333333333326</v>
      </c>
      <c r="J5" s="3">
        <f t="shared" si="1"/>
        <v>833.33333333333326</v>
      </c>
      <c r="K5" s="3">
        <f t="shared" si="1"/>
        <v>833.33333333333326</v>
      </c>
      <c r="L5" s="3">
        <f t="shared" si="1"/>
        <v>833.33333333333326</v>
      </c>
      <c r="M5" s="3">
        <f t="shared" si="1"/>
        <v>833.33333333333326</v>
      </c>
      <c r="N5" s="3">
        <f t="shared" si="1"/>
        <v>833.33333333333326</v>
      </c>
      <c r="O5" s="3">
        <f t="shared" si="1"/>
        <v>833.33333333333326</v>
      </c>
      <c r="P5" s="3">
        <f t="shared" si="1"/>
        <v>833.33333333333326</v>
      </c>
      <c r="Q5" s="3">
        <f t="shared" si="1"/>
        <v>833.33333333333326</v>
      </c>
      <c r="R5" s="3">
        <f t="shared" si="1"/>
        <v>833.33333333333326</v>
      </c>
      <c r="S5" s="3">
        <f t="shared" si="1"/>
        <v>833.33333333333326</v>
      </c>
    </row>
    <row r="6" spans="1:19" x14ac:dyDescent="0.25">
      <c r="A6" s="2" t="s">
        <v>115</v>
      </c>
      <c r="B6" s="3">
        <f>1/(100*0.00000966)</f>
        <v>1035.1966873706003</v>
      </c>
      <c r="C6" s="3">
        <f t="shared" ref="C6:S6" si="2">1/(100*0.00000966)</f>
        <v>1035.1966873706003</v>
      </c>
      <c r="D6" s="3">
        <f t="shared" si="2"/>
        <v>1035.1966873706003</v>
      </c>
      <c r="E6" s="3">
        <f t="shared" si="2"/>
        <v>1035.1966873706003</v>
      </c>
      <c r="F6" s="3">
        <f t="shared" si="2"/>
        <v>1035.1966873706003</v>
      </c>
      <c r="G6" s="3">
        <f t="shared" si="2"/>
        <v>1035.1966873706003</v>
      </c>
      <c r="H6" s="3">
        <f t="shared" si="2"/>
        <v>1035.1966873706003</v>
      </c>
      <c r="I6" s="3">
        <f t="shared" si="2"/>
        <v>1035.1966873706003</v>
      </c>
      <c r="J6" s="3">
        <f t="shared" si="2"/>
        <v>1035.1966873706003</v>
      </c>
      <c r="K6" s="3">
        <f t="shared" si="2"/>
        <v>1035.1966873706003</v>
      </c>
      <c r="L6" s="3">
        <f t="shared" si="2"/>
        <v>1035.1966873706003</v>
      </c>
      <c r="M6" s="3">
        <f t="shared" si="2"/>
        <v>1035.1966873706003</v>
      </c>
      <c r="N6" s="3">
        <f t="shared" si="2"/>
        <v>1035.1966873706003</v>
      </c>
      <c r="O6" s="3">
        <f t="shared" si="2"/>
        <v>1035.1966873706003</v>
      </c>
      <c r="P6" s="3">
        <f t="shared" si="2"/>
        <v>1035.1966873706003</v>
      </c>
      <c r="Q6" s="3">
        <f t="shared" si="2"/>
        <v>1035.1966873706003</v>
      </c>
      <c r="R6" s="3">
        <f t="shared" si="2"/>
        <v>1035.1966873706003</v>
      </c>
      <c r="S6" s="3">
        <f t="shared" si="2"/>
        <v>1035.1966873706003</v>
      </c>
    </row>
    <row r="7" spans="1:19" x14ac:dyDescent="0.25">
      <c r="A7" s="2" t="s">
        <v>116</v>
      </c>
      <c r="B7" s="3">
        <f>1/(110*0.00000805)</f>
        <v>1129.3054771315642</v>
      </c>
      <c r="C7" s="3">
        <f t="shared" ref="C7:S7" si="3">1/(110*0.00000805)</f>
        <v>1129.3054771315642</v>
      </c>
      <c r="D7" s="3">
        <f t="shared" si="3"/>
        <v>1129.3054771315642</v>
      </c>
      <c r="E7" s="3">
        <f t="shared" si="3"/>
        <v>1129.3054771315642</v>
      </c>
      <c r="F7" s="3">
        <f t="shared" si="3"/>
        <v>1129.3054771315642</v>
      </c>
      <c r="G7" s="3">
        <f t="shared" si="3"/>
        <v>1129.3054771315642</v>
      </c>
      <c r="H7" s="3">
        <f t="shared" si="3"/>
        <v>1129.3054771315642</v>
      </c>
      <c r="I7" s="3">
        <f t="shared" si="3"/>
        <v>1129.3054771315642</v>
      </c>
      <c r="J7" s="3">
        <f t="shared" si="3"/>
        <v>1129.3054771315642</v>
      </c>
      <c r="K7" s="3">
        <f t="shared" si="3"/>
        <v>1129.3054771315642</v>
      </c>
      <c r="L7" s="3">
        <f t="shared" si="3"/>
        <v>1129.3054771315642</v>
      </c>
      <c r="M7" s="3">
        <f t="shared" si="3"/>
        <v>1129.3054771315642</v>
      </c>
      <c r="N7" s="3">
        <f t="shared" si="3"/>
        <v>1129.3054771315642</v>
      </c>
      <c r="O7" s="3">
        <f t="shared" si="3"/>
        <v>1129.3054771315642</v>
      </c>
      <c r="P7" s="3">
        <f t="shared" si="3"/>
        <v>1129.3054771315642</v>
      </c>
      <c r="Q7" s="3">
        <f t="shared" si="3"/>
        <v>1129.3054771315642</v>
      </c>
      <c r="R7" s="3">
        <f t="shared" si="3"/>
        <v>1129.3054771315642</v>
      </c>
      <c r="S7" s="3">
        <f t="shared" si="3"/>
        <v>1129.3054771315642</v>
      </c>
    </row>
    <row r="8" spans="1:19" x14ac:dyDescent="0.25">
      <c r="A8" s="2" t="s">
        <v>117</v>
      </c>
      <c r="B8" s="3">
        <f>loc_ret!B1</f>
        <v>675.5</v>
      </c>
      <c r="C8" s="3">
        <f>loc_ret!B2</f>
        <v>2134.6</v>
      </c>
      <c r="D8" s="3">
        <f>loc_ret!B3</f>
        <v>4468.6000000000004</v>
      </c>
      <c r="E8" s="3">
        <f>loc_ret!B4</f>
        <v>6167.6</v>
      </c>
      <c r="F8" s="3">
        <f>loc_ret!B5</f>
        <v>7462.6</v>
      </c>
      <c r="G8" s="3">
        <f>loc_ret!B6</f>
        <v>8836.6</v>
      </c>
      <c r="H8" s="3">
        <f>loc_ret!B7</f>
        <v>11152.6</v>
      </c>
      <c r="I8" s="3">
        <f>loc_ret!B8</f>
        <v>12419.8</v>
      </c>
      <c r="J8" s="3">
        <f>loc_ret!B9</f>
        <v>13610.6</v>
      </c>
      <c r="K8" s="3">
        <f>loc_ret!B10</f>
        <v>15437.6</v>
      </c>
      <c r="L8" s="3">
        <f>loc_ret!B11</f>
        <v>16529.599999999999</v>
      </c>
      <c r="M8" s="3">
        <f>loc_ret!B12</f>
        <v>17569.599999999999</v>
      </c>
      <c r="N8" s="3">
        <f>loc_ret!B13</f>
        <v>18310.599999999999</v>
      </c>
      <c r="O8" s="3">
        <f>loc_ret!B14</f>
        <v>18829.599999999999</v>
      </c>
      <c r="P8" s="3">
        <f>loc_ret!B15</f>
        <v>19616.599999999999</v>
      </c>
      <c r="Q8" s="3">
        <f>loc_ret!B16</f>
        <v>20237.599999999999</v>
      </c>
      <c r="R8" s="3">
        <f>loc_ret!B17</f>
        <v>21181.599999999999</v>
      </c>
      <c r="S8" s="3">
        <f>loc_ret!B18</f>
        <v>22892.6</v>
      </c>
    </row>
    <row r="9" spans="1:19" x14ac:dyDescent="0.25">
      <c r="A9" s="2" t="s">
        <v>119</v>
      </c>
      <c r="B9" s="3">
        <f>COUNTA(B2:DG2)</f>
        <v>18</v>
      </c>
    </row>
    <row r="12" spans="1:19" x14ac:dyDescent="0.25">
      <c r="A12" s="2" t="s">
        <v>179</v>
      </c>
      <c r="B12" s="3">
        <f>geral!B6+1</f>
        <v>40</v>
      </c>
      <c r="C12" s="3">
        <f>B12+1</f>
        <v>41</v>
      </c>
      <c r="D12" s="3">
        <f>C12+1</f>
        <v>42</v>
      </c>
      <c r="E12" s="3">
        <f t="shared" ref="E12:S12" si="4">D12+1</f>
        <v>43</v>
      </c>
      <c r="F12" s="3">
        <f t="shared" si="4"/>
        <v>44</v>
      </c>
      <c r="G12" s="3">
        <f t="shared" si="4"/>
        <v>45</v>
      </c>
      <c r="H12" s="3">
        <f t="shared" si="4"/>
        <v>46</v>
      </c>
      <c r="I12" s="3">
        <f t="shared" si="4"/>
        <v>47</v>
      </c>
      <c r="J12" s="3">
        <f t="shared" si="4"/>
        <v>48</v>
      </c>
      <c r="K12" s="3">
        <f t="shared" si="4"/>
        <v>49</v>
      </c>
      <c r="L12" s="3">
        <f t="shared" si="4"/>
        <v>50</v>
      </c>
      <c r="M12" s="3">
        <f t="shared" si="4"/>
        <v>51</v>
      </c>
      <c r="N12" s="3">
        <f t="shared" si="4"/>
        <v>52</v>
      </c>
      <c r="O12" s="3">
        <f t="shared" si="4"/>
        <v>53</v>
      </c>
      <c r="P12" s="3">
        <f t="shared" si="4"/>
        <v>54</v>
      </c>
      <c r="Q12" s="3">
        <f t="shared" si="4"/>
        <v>55</v>
      </c>
      <c r="R12" s="3">
        <f t="shared" si="4"/>
        <v>56</v>
      </c>
      <c r="S12" s="3">
        <f t="shared" si="4"/>
        <v>57</v>
      </c>
    </row>
    <row r="13" spans="1:19" x14ac:dyDescent="0.25">
      <c r="A13" s="3" t="s">
        <v>180</v>
      </c>
      <c r="B13" s="3">
        <v>1</v>
      </c>
      <c r="C13" s="3">
        <v>2</v>
      </c>
      <c r="D13" s="3">
        <v>3</v>
      </c>
      <c r="E13" s="3">
        <v>4</v>
      </c>
      <c r="F13" s="3">
        <v>5</v>
      </c>
      <c r="G13" s="3">
        <v>6</v>
      </c>
      <c r="H13" s="3">
        <v>7</v>
      </c>
      <c r="I13" s="3">
        <v>8</v>
      </c>
      <c r="J13" s="3">
        <v>9</v>
      </c>
      <c r="K13" s="3">
        <v>10</v>
      </c>
      <c r="L13" s="3">
        <v>11</v>
      </c>
      <c r="M13" s="3">
        <v>12</v>
      </c>
      <c r="N13" s="3">
        <v>13</v>
      </c>
      <c r="O13" s="3">
        <v>14</v>
      </c>
      <c r="P13" s="3">
        <v>15</v>
      </c>
      <c r="Q13" s="3">
        <v>16</v>
      </c>
      <c r="R13" s="3">
        <v>17</v>
      </c>
      <c r="S13" s="3">
        <v>18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238D-5B5D-4575-9355-FF041468F690}">
  <dimension ref="A1:L258"/>
  <sheetViews>
    <sheetView workbookViewId="0">
      <pane ySplit="1" topLeftCell="A2" activePane="bottomLeft" state="frozen"/>
      <selection pane="bottomLeft" activeCell="B129" sqref="B129"/>
    </sheetView>
  </sheetViews>
  <sheetFormatPr defaultColWidth="18.28515625" defaultRowHeight="15" x14ac:dyDescent="0.25"/>
  <cols>
    <col min="7" max="7" width="18.28515625" customWidth="1"/>
    <col min="8" max="8" width="23.7109375" customWidth="1"/>
  </cols>
  <sheetData>
    <row r="1" spans="1:12" s="6" customFormat="1" ht="75" x14ac:dyDescent="0.25">
      <c r="A1" s="7" t="s">
        <v>124</v>
      </c>
      <c r="B1" s="7" t="s">
        <v>122</v>
      </c>
      <c r="C1" s="7" t="s">
        <v>125</v>
      </c>
      <c r="D1" s="7" t="s">
        <v>129</v>
      </c>
      <c r="E1" s="7" t="s">
        <v>121</v>
      </c>
      <c r="F1" s="7" t="s">
        <v>123</v>
      </c>
      <c r="G1" s="7" t="s">
        <v>130</v>
      </c>
      <c r="H1" s="7" t="s">
        <v>132</v>
      </c>
      <c r="I1" s="7" t="s">
        <v>131</v>
      </c>
      <c r="J1" s="7" t="s">
        <v>137</v>
      </c>
      <c r="K1" s="8" t="s">
        <v>128</v>
      </c>
      <c r="L1" s="8">
        <v>5</v>
      </c>
    </row>
    <row r="2" spans="1:12" x14ac:dyDescent="0.25">
      <c r="A2" t="s">
        <v>139</v>
      </c>
      <c r="B2" s="3">
        <v>1</v>
      </c>
      <c r="C2" s="3">
        <v>0</v>
      </c>
      <c r="D2" s="3">
        <v>44</v>
      </c>
      <c r="E2" s="3">
        <f>loc_est!B1+(tam_plat!B1/2)</f>
        <v>68</v>
      </c>
      <c r="F2" s="5">
        <f>IF(D2&gt;0,(D2-$L$1)/3.6,0)</f>
        <v>10.833333333333334</v>
      </c>
      <c r="G2" s="5">
        <v>1</v>
      </c>
      <c r="H2" s="9">
        <f>IF(C2=0,1,"")</f>
        <v>1</v>
      </c>
      <c r="I2" s="5">
        <v>18</v>
      </c>
      <c r="J2" s="5">
        <f>I2/geral!$B$1</f>
        <v>72</v>
      </c>
    </row>
    <row r="3" spans="1:12" x14ac:dyDescent="0.25">
      <c r="B3" s="3">
        <v>2</v>
      </c>
      <c r="C3" s="3">
        <v>1</v>
      </c>
      <c r="D3" s="3">
        <v>0</v>
      </c>
      <c r="E3" s="3">
        <f>E4-tam_plat!B2</f>
        <v>685.55</v>
      </c>
      <c r="F3" s="5">
        <f t="shared" ref="F3:F13" si="0">IF(D3&gt;0,(D3-$L$1)/3.6,0)</f>
        <v>0</v>
      </c>
      <c r="G3" s="5">
        <v>1</v>
      </c>
      <c r="H3" s="9">
        <v>0.65400000000000003</v>
      </c>
      <c r="I3" s="5">
        <v>18</v>
      </c>
      <c r="J3" s="5">
        <f>I3/geral!$B$1</f>
        <v>72</v>
      </c>
    </row>
    <row r="4" spans="1:12" x14ac:dyDescent="0.25">
      <c r="A4" t="s">
        <v>140</v>
      </c>
      <c r="B4" s="3">
        <v>3</v>
      </c>
      <c r="C4" s="3">
        <v>0</v>
      </c>
      <c r="D4" s="3">
        <v>44</v>
      </c>
      <c r="E4" s="3">
        <f>loc_est!B2+(tam_plat!B2/2)</f>
        <v>821.55</v>
      </c>
      <c r="F4" s="5">
        <f t="shared" si="0"/>
        <v>10.833333333333334</v>
      </c>
      <c r="G4" s="5">
        <v>1</v>
      </c>
      <c r="H4" s="9">
        <f t="shared" ref="H4:H13" si="1">IF(C4=0,1,"")</f>
        <v>1</v>
      </c>
      <c r="I4" s="5">
        <v>18</v>
      </c>
      <c r="J4" s="5">
        <f>I4/geral!$B$1</f>
        <v>72</v>
      </c>
    </row>
    <row r="5" spans="1:12" x14ac:dyDescent="0.25">
      <c r="B5" s="3">
        <v>4</v>
      </c>
      <c r="C5" s="3">
        <v>0</v>
      </c>
      <c r="D5" s="3">
        <v>87</v>
      </c>
      <c r="E5" s="3">
        <v>842.6</v>
      </c>
      <c r="F5" s="5">
        <f t="shared" si="0"/>
        <v>22.777777777777779</v>
      </c>
      <c r="G5" s="5">
        <v>1</v>
      </c>
      <c r="H5" s="9">
        <f t="shared" si="1"/>
        <v>1</v>
      </c>
      <c r="I5" s="5">
        <v>18</v>
      </c>
      <c r="J5" s="5">
        <f>I5/geral!$B$1</f>
        <v>72</v>
      </c>
    </row>
    <row r="6" spans="1:12" x14ac:dyDescent="0.25">
      <c r="B6" s="3">
        <v>5</v>
      </c>
      <c r="C6" s="3">
        <v>0</v>
      </c>
      <c r="D6" s="3">
        <v>62</v>
      </c>
      <c r="E6" s="3">
        <v>1943.6</v>
      </c>
      <c r="F6" s="5">
        <f t="shared" si="0"/>
        <v>15.833333333333332</v>
      </c>
      <c r="G6" s="5">
        <v>1</v>
      </c>
      <c r="H6" s="9">
        <f t="shared" si="1"/>
        <v>1</v>
      </c>
      <c r="I6" s="5">
        <v>18</v>
      </c>
      <c r="J6" s="5">
        <f>I6/geral!$B$1</f>
        <v>72</v>
      </c>
    </row>
    <row r="7" spans="1:12" x14ac:dyDescent="0.25">
      <c r="B7" s="3">
        <v>6</v>
      </c>
      <c r="C7" s="3">
        <v>1</v>
      </c>
      <c r="D7" s="3">
        <v>0</v>
      </c>
      <c r="E7" s="3">
        <f>E8-tam_plat!B3</f>
        <v>2150.4</v>
      </c>
      <c r="F7" s="5">
        <f t="shared" si="0"/>
        <v>0</v>
      </c>
      <c r="G7" s="5">
        <v>1</v>
      </c>
      <c r="H7" s="9">
        <v>0.65400000000000003</v>
      </c>
      <c r="I7" s="5">
        <v>18</v>
      </c>
      <c r="J7" s="5">
        <f>I7/geral!$B$1</f>
        <v>72</v>
      </c>
    </row>
    <row r="8" spans="1:12" x14ac:dyDescent="0.25">
      <c r="A8" t="s">
        <v>141</v>
      </c>
      <c r="B8" s="3">
        <v>7</v>
      </c>
      <c r="C8" s="3">
        <v>0</v>
      </c>
      <c r="D8" s="3">
        <v>75</v>
      </c>
      <c r="E8" s="3">
        <f>loc_est!B3+(tam_plat!B3/2)</f>
        <v>2286.4</v>
      </c>
      <c r="F8" s="5">
        <f t="shared" si="0"/>
        <v>19.444444444444443</v>
      </c>
      <c r="G8" s="5">
        <v>1</v>
      </c>
      <c r="H8" s="9">
        <f t="shared" si="1"/>
        <v>1</v>
      </c>
      <c r="I8" s="5">
        <v>18</v>
      </c>
      <c r="J8" s="5">
        <f>I8/geral!$B$1</f>
        <v>72</v>
      </c>
    </row>
    <row r="9" spans="1:12" x14ac:dyDescent="0.25">
      <c r="B9" s="3">
        <v>8</v>
      </c>
      <c r="C9" s="3">
        <v>0</v>
      </c>
      <c r="D9" s="3">
        <v>87</v>
      </c>
      <c r="E9" s="3">
        <v>3192.6</v>
      </c>
      <c r="F9" s="5">
        <f t="shared" si="0"/>
        <v>22.777777777777779</v>
      </c>
      <c r="G9" s="5">
        <v>1</v>
      </c>
      <c r="H9" s="9">
        <f t="shared" si="1"/>
        <v>1</v>
      </c>
      <c r="I9" s="5">
        <v>18</v>
      </c>
      <c r="J9" s="5">
        <f>I9/geral!$B$1</f>
        <v>72</v>
      </c>
    </row>
    <row r="10" spans="1:12" x14ac:dyDescent="0.25">
      <c r="B10" s="3">
        <v>9</v>
      </c>
      <c r="C10" s="3">
        <v>0</v>
      </c>
      <c r="D10" s="3">
        <v>75</v>
      </c>
      <c r="E10" s="3">
        <v>3906.6</v>
      </c>
      <c r="F10" s="5">
        <f t="shared" si="0"/>
        <v>19.444444444444443</v>
      </c>
      <c r="G10" s="5">
        <v>1</v>
      </c>
      <c r="H10" s="9">
        <f t="shared" si="1"/>
        <v>1</v>
      </c>
      <c r="I10" s="5">
        <v>18</v>
      </c>
      <c r="J10" s="5">
        <f>I10/geral!$B$1</f>
        <v>72</v>
      </c>
    </row>
    <row r="11" spans="1:12" x14ac:dyDescent="0.25">
      <c r="B11" s="3">
        <v>10</v>
      </c>
      <c r="C11" s="3">
        <v>0</v>
      </c>
      <c r="D11" s="3">
        <v>62</v>
      </c>
      <c r="E11" s="3">
        <v>4127.6000000000004</v>
      </c>
      <c r="F11" s="5">
        <f t="shared" si="0"/>
        <v>15.833333333333332</v>
      </c>
      <c r="G11" s="5">
        <v>1</v>
      </c>
      <c r="H11" s="9">
        <f t="shared" si="1"/>
        <v>1</v>
      </c>
      <c r="I11" s="5">
        <v>18</v>
      </c>
      <c r="J11" s="5">
        <f>I11/geral!$B$1</f>
        <v>72</v>
      </c>
    </row>
    <row r="12" spans="1:12" x14ac:dyDescent="0.25">
      <c r="B12" s="3">
        <v>11</v>
      </c>
      <c r="C12" s="3">
        <v>1</v>
      </c>
      <c r="D12" s="3">
        <v>0</v>
      </c>
      <c r="E12" s="3">
        <f>E13-tam_plat!B4</f>
        <v>4265.6000000000004</v>
      </c>
      <c r="F12" s="5">
        <f t="shared" si="0"/>
        <v>0</v>
      </c>
      <c r="G12" s="5">
        <v>1</v>
      </c>
      <c r="H12" s="9">
        <v>0.65400000000000003</v>
      </c>
      <c r="I12" s="5">
        <v>18</v>
      </c>
      <c r="J12" s="5">
        <f>I12/geral!$B$1</f>
        <v>72</v>
      </c>
    </row>
    <row r="13" spans="1:12" x14ac:dyDescent="0.25">
      <c r="A13" t="s">
        <v>142</v>
      </c>
      <c r="B13" s="3">
        <v>12</v>
      </c>
      <c r="C13" s="3">
        <v>0</v>
      </c>
      <c r="D13" s="3">
        <v>87</v>
      </c>
      <c r="E13" s="3">
        <f>loc_est!B4+(tam_plat!B4/2)</f>
        <v>4401.6000000000004</v>
      </c>
      <c r="F13" s="5">
        <f t="shared" si="0"/>
        <v>22.777777777777779</v>
      </c>
      <c r="G13" s="5">
        <v>1</v>
      </c>
      <c r="H13" s="9">
        <f t="shared" si="1"/>
        <v>1</v>
      </c>
      <c r="I13" s="5">
        <v>18</v>
      </c>
      <c r="J13" s="5">
        <f>I13/geral!$B$1</f>
        <v>72</v>
      </c>
    </row>
    <row r="14" spans="1:12" x14ac:dyDescent="0.25">
      <c r="B14" s="3">
        <v>13</v>
      </c>
      <c r="C14" s="3">
        <v>0</v>
      </c>
      <c r="D14" s="3">
        <v>62</v>
      </c>
      <c r="E14" s="3">
        <v>5773.6</v>
      </c>
      <c r="F14" s="5">
        <f t="shared" ref="F14:F130" si="2">IF(D14&gt;0,(D14-$L$1)/3.6,0)</f>
        <v>15.833333333333332</v>
      </c>
      <c r="G14" s="5">
        <v>1</v>
      </c>
      <c r="H14" s="9">
        <f t="shared" ref="H14:H130" si="3">IF(C14=0,1,"")</f>
        <v>1</v>
      </c>
      <c r="I14" s="5">
        <v>18</v>
      </c>
      <c r="J14" s="5">
        <f>I14/geral!$B$1</f>
        <v>72</v>
      </c>
    </row>
    <row r="15" spans="1:12" x14ac:dyDescent="0.25">
      <c r="B15" s="3">
        <v>14</v>
      </c>
      <c r="C15" s="3">
        <v>1</v>
      </c>
      <c r="D15" s="3">
        <v>0</v>
      </c>
      <c r="E15" s="3">
        <f>E16-tam_plat!B5</f>
        <v>5977.7</v>
      </c>
      <c r="F15" s="5">
        <f t="shared" si="2"/>
        <v>0</v>
      </c>
      <c r="G15" s="5">
        <v>1</v>
      </c>
      <c r="H15" s="9">
        <v>0.65400000000000003</v>
      </c>
      <c r="I15" s="5">
        <v>18</v>
      </c>
      <c r="J15" s="5">
        <f>I15/geral!$B$1</f>
        <v>72</v>
      </c>
    </row>
    <row r="16" spans="1:12" x14ac:dyDescent="0.25">
      <c r="A16" t="s">
        <v>143</v>
      </c>
      <c r="B16" s="3">
        <v>15</v>
      </c>
      <c r="C16" s="3">
        <v>0</v>
      </c>
      <c r="D16" s="3">
        <v>87</v>
      </c>
      <c r="E16" s="3">
        <f>loc_est!B5+(tam_plat!B5/2)</f>
        <v>6113.7</v>
      </c>
      <c r="F16" s="5">
        <f t="shared" si="2"/>
        <v>22.777777777777779</v>
      </c>
      <c r="G16" s="5">
        <v>1</v>
      </c>
      <c r="H16" s="9">
        <f t="shared" si="3"/>
        <v>1</v>
      </c>
      <c r="I16" s="5">
        <v>18</v>
      </c>
      <c r="J16" s="5">
        <f>I16/geral!$B$1</f>
        <v>72</v>
      </c>
    </row>
    <row r="17" spans="1:10" x14ac:dyDescent="0.25">
      <c r="B17" s="3">
        <v>16</v>
      </c>
      <c r="C17" s="3">
        <v>0</v>
      </c>
      <c r="D17" s="3">
        <v>62</v>
      </c>
      <c r="E17" s="3">
        <v>7308.6</v>
      </c>
      <c r="F17" s="5">
        <f t="shared" si="2"/>
        <v>15.833333333333332</v>
      </c>
      <c r="G17" s="5">
        <v>1</v>
      </c>
      <c r="H17" s="9">
        <f t="shared" si="3"/>
        <v>1</v>
      </c>
      <c r="I17" s="5">
        <v>18</v>
      </c>
      <c r="J17" s="5">
        <f>I17/geral!$B$1</f>
        <v>72</v>
      </c>
    </row>
    <row r="18" spans="1:10" x14ac:dyDescent="0.25">
      <c r="B18" s="3">
        <v>17</v>
      </c>
      <c r="C18" s="3">
        <v>1</v>
      </c>
      <c r="D18" s="3">
        <v>0</v>
      </c>
      <c r="E18" s="3">
        <f>E19-tam_plat!B6</f>
        <v>7514.9</v>
      </c>
      <c r="F18" s="5">
        <f t="shared" si="2"/>
        <v>0</v>
      </c>
      <c r="G18" s="5">
        <v>1</v>
      </c>
      <c r="H18" s="9">
        <v>0.65400000000000003</v>
      </c>
      <c r="I18" s="5">
        <v>18</v>
      </c>
      <c r="J18" s="5">
        <f>I18/geral!$B$1</f>
        <v>72</v>
      </c>
    </row>
    <row r="19" spans="1:10" x14ac:dyDescent="0.25">
      <c r="A19" t="s">
        <v>144</v>
      </c>
      <c r="B19" s="3">
        <v>18</v>
      </c>
      <c r="C19" s="3">
        <v>0</v>
      </c>
      <c r="D19" s="3">
        <v>87</v>
      </c>
      <c r="E19" s="3">
        <f>loc_est!B6+(tam_plat!B6/2)</f>
        <v>7650.9</v>
      </c>
      <c r="F19" s="5">
        <f t="shared" si="2"/>
        <v>22.777777777777779</v>
      </c>
      <c r="G19" s="5">
        <v>1</v>
      </c>
      <c r="H19" s="9">
        <f t="shared" si="3"/>
        <v>1</v>
      </c>
      <c r="I19" s="5">
        <v>18</v>
      </c>
      <c r="J19" s="5">
        <f>I19/geral!$B$1</f>
        <v>72</v>
      </c>
    </row>
    <row r="20" spans="1:10" x14ac:dyDescent="0.25">
      <c r="B20" s="3">
        <v>19</v>
      </c>
      <c r="C20" s="3">
        <v>0</v>
      </c>
      <c r="D20" s="3">
        <v>75</v>
      </c>
      <c r="E20" s="3">
        <v>8447.6</v>
      </c>
      <c r="F20" s="5">
        <f t="shared" si="2"/>
        <v>19.444444444444443</v>
      </c>
      <c r="G20" s="5">
        <v>1</v>
      </c>
      <c r="H20" s="9">
        <f t="shared" si="3"/>
        <v>1</v>
      </c>
      <c r="I20" s="5">
        <v>18</v>
      </c>
      <c r="J20" s="5">
        <f>I20/geral!$B$1</f>
        <v>72</v>
      </c>
    </row>
    <row r="21" spans="1:10" x14ac:dyDescent="0.25">
      <c r="B21" s="3">
        <v>20</v>
      </c>
      <c r="C21" s="3">
        <v>0</v>
      </c>
      <c r="D21" s="3">
        <v>62</v>
      </c>
      <c r="E21" s="3">
        <v>8548.6</v>
      </c>
      <c r="F21" s="5">
        <f t="shared" si="2"/>
        <v>15.833333333333332</v>
      </c>
      <c r="G21" s="5">
        <v>1</v>
      </c>
      <c r="H21" s="9">
        <f t="shared" si="3"/>
        <v>1</v>
      </c>
      <c r="I21" s="5">
        <v>18</v>
      </c>
      <c r="J21" s="5">
        <f>I21/geral!$B$1</f>
        <v>72</v>
      </c>
    </row>
    <row r="22" spans="1:10" x14ac:dyDescent="0.25">
      <c r="B22" s="3">
        <v>21</v>
      </c>
      <c r="C22" s="3">
        <v>1</v>
      </c>
      <c r="D22" s="3">
        <v>0</v>
      </c>
      <c r="E22" s="3">
        <f>E23-tam_plat!B7</f>
        <v>8696.2000000000007</v>
      </c>
      <c r="F22" s="5">
        <f t="shared" si="2"/>
        <v>0</v>
      </c>
      <c r="G22" s="5">
        <v>1</v>
      </c>
      <c r="H22" s="9">
        <v>0.65400000000000003</v>
      </c>
      <c r="I22" s="5">
        <v>18</v>
      </c>
      <c r="J22" s="5">
        <f>I22/geral!$B$1</f>
        <v>72</v>
      </c>
    </row>
    <row r="23" spans="1:10" x14ac:dyDescent="0.25">
      <c r="A23" t="s">
        <v>145</v>
      </c>
      <c r="B23" s="3">
        <v>22</v>
      </c>
      <c r="C23" s="3">
        <v>0</v>
      </c>
      <c r="D23" s="3">
        <v>87</v>
      </c>
      <c r="E23" s="3">
        <f>loc_est!B7+(tam_plat!B7/2)</f>
        <v>8832.2000000000007</v>
      </c>
      <c r="F23" s="5">
        <f t="shared" si="2"/>
        <v>22.777777777777779</v>
      </c>
      <c r="G23" s="5">
        <v>1</v>
      </c>
      <c r="H23" s="9">
        <f t="shared" si="3"/>
        <v>1</v>
      </c>
      <c r="I23" s="5">
        <v>18</v>
      </c>
      <c r="J23" s="5">
        <f>I23/geral!$B$1</f>
        <v>72</v>
      </c>
    </row>
    <row r="24" spans="1:10" x14ac:dyDescent="0.25">
      <c r="B24" s="3">
        <v>23</v>
      </c>
      <c r="C24" s="3">
        <v>0</v>
      </c>
      <c r="D24" s="3">
        <v>62</v>
      </c>
      <c r="E24" s="3">
        <v>10806.7</v>
      </c>
      <c r="F24" s="5">
        <f t="shared" si="2"/>
        <v>15.833333333333332</v>
      </c>
      <c r="G24" s="5">
        <v>1</v>
      </c>
      <c r="H24" s="9">
        <f t="shared" si="3"/>
        <v>1</v>
      </c>
      <c r="I24" s="5">
        <v>18</v>
      </c>
      <c r="J24" s="5">
        <f>I24/geral!$B$1</f>
        <v>72</v>
      </c>
    </row>
    <row r="25" spans="1:10" x14ac:dyDescent="0.25">
      <c r="B25" s="3">
        <v>24</v>
      </c>
      <c r="C25" s="3">
        <v>1</v>
      </c>
      <c r="D25" s="3">
        <v>0</v>
      </c>
      <c r="E25" s="3">
        <f>E26-tam_plat!B8</f>
        <v>10976</v>
      </c>
      <c r="F25" s="5">
        <f t="shared" si="2"/>
        <v>0</v>
      </c>
      <c r="G25" s="5">
        <v>1</v>
      </c>
      <c r="H25" s="9">
        <v>0.65400000000000003</v>
      </c>
      <c r="I25" s="5">
        <v>18</v>
      </c>
      <c r="J25" s="5">
        <f>I25/geral!$B$1</f>
        <v>72</v>
      </c>
    </row>
    <row r="26" spans="1:10" x14ac:dyDescent="0.25">
      <c r="A26" t="s">
        <v>146</v>
      </c>
      <c r="B26" s="3">
        <v>25</v>
      </c>
      <c r="C26" s="3">
        <v>0</v>
      </c>
      <c r="D26" s="3">
        <v>87</v>
      </c>
      <c r="E26" s="3">
        <f>loc_est!B8+(tam_plat!B8/2)</f>
        <v>11112</v>
      </c>
      <c r="F26" s="5">
        <f t="shared" si="2"/>
        <v>22.777777777777779</v>
      </c>
      <c r="G26" s="5">
        <v>1</v>
      </c>
      <c r="H26" s="9">
        <f t="shared" si="3"/>
        <v>1</v>
      </c>
      <c r="I26" s="5">
        <v>18</v>
      </c>
      <c r="J26" s="5">
        <f>I26/geral!$B$1</f>
        <v>72</v>
      </c>
    </row>
    <row r="27" spans="1:10" x14ac:dyDescent="0.25">
      <c r="B27" s="3">
        <v>26</v>
      </c>
      <c r="C27" s="3">
        <v>0</v>
      </c>
      <c r="D27" s="3">
        <v>62</v>
      </c>
      <c r="E27" s="3">
        <v>12093.6</v>
      </c>
      <c r="F27" s="5">
        <f t="shared" si="2"/>
        <v>15.833333333333332</v>
      </c>
      <c r="G27" s="5">
        <v>1</v>
      </c>
      <c r="H27" s="9">
        <f t="shared" si="3"/>
        <v>1</v>
      </c>
      <c r="I27" s="5">
        <v>18</v>
      </c>
      <c r="J27" s="5">
        <f>I27/geral!$B$1</f>
        <v>72</v>
      </c>
    </row>
    <row r="28" spans="1:10" x14ac:dyDescent="0.25">
      <c r="B28" s="3">
        <v>27</v>
      </c>
      <c r="C28" s="3">
        <v>1</v>
      </c>
      <c r="D28" s="3">
        <v>0</v>
      </c>
      <c r="E28" s="3">
        <f>E29-tam_plat!B9</f>
        <v>12258.2</v>
      </c>
      <c r="F28" s="5">
        <f t="shared" si="2"/>
        <v>0</v>
      </c>
      <c r="G28" s="5">
        <v>1</v>
      </c>
      <c r="H28" s="9">
        <v>0.65400000000000003</v>
      </c>
      <c r="I28" s="5">
        <v>18</v>
      </c>
      <c r="J28" s="5">
        <f>I28/geral!$B$1</f>
        <v>72</v>
      </c>
    </row>
    <row r="29" spans="1:10" x14ac:dyDescent="0.25">
      <c r="A29" t="s">
        <v>147</v>
      </c>
      <c r="B29" s="3">
        <v>28</v>
      </c>
      <c r="C29" s="3">
        <v>0</v>
      </c>
      <c r="D29" s="3">
        <v>87</v>
      </c>
      <c r="E29" s="3">
        <f>loc_est!B9+(tam_plat!B9/2)</f>
        <v>12394.2</v>
      </c>
      <c r="F29" s="5">
        <f t="shared" si="2"/>
        <v>22.777777777777779</v>
      </c>
      <c r="G29" s="5">
        <v>1</v>
      </c>
      <c r="H29" s="9">
        <f t="shared" si="3"/>
        <v>1</v>
      </c>
      <c r="I29" s="5">
        <v>18</v>
      </c>
      <c r="J29" s="5">
        <f>I29/geral!$B$1</f>
        <v>72</v>
      </c>
    </row>
    <row r="30" spans="1:10" x14ac:dyDescent="0.25">
      <c r="B30" s="3">
        <v>29</v>
      </c>
      <c r="C30" s="3">
        <v>0</v>
      </c>
      <c r="D30" s="3">
        <v>62</v>
      </c>
      <c r="E30" s="3">
        <v>13493.9</v>
      </c>
      <c r="F30" s="5">
        <f t="shared" si="2"/>
        <v>15.833333333333332</v>
      </c>
      <c r="G30" s="5">
        <v>1</v>
      </c>
      <c r="H30" s="9">
        <f t="shared" si="3"/>
        <v>1</v>
      </c>
      <c r="I30" s="5">
        <v>18</v>
      </c>
      <c r="J30" s="5">
        <f>I30/geral!$B$1</f>
        <v>72</v>
      </c>
    </row>
    <row r="31" spans="1:10" x14ac:dyDescent="0.25">
      <c r="B31" s="3">
        <v>30</v>
      </c>
      <c r="C31" s="3">
        <v>1</v>
      </c>
      <c r="D31" s="3">
        <v>0</v>
      </c>
      <c r="E31" s="3">
        <f>E32-tam_plat!B10</f>
        <v>13683.45</v>
      </c>
      <c r="F31" s="5">
        <f t="shared" si="2"/>
        <v>0</v>
      </c>
      <c r="G31" s="5">
        <v>1</v>
      </c>
      <c r="H31" s="9">
        <v>0.65400000000000003</v>
      </c>
      <c r="I31" s="5">
        <v>18</v>
      </c>
      <c r="J31" s="5">
        <f>I31/geral!$B$1</f>
        <v>72</v>
      </c>
    </row>
    <row r="32" spans="1:10" x14ac:dyDescent="0.25">
      <c r="A32" t="s">
        <v>148</v>
      </c>
      <c r="B32" s="3">
        <v>31</v>
      </c>
      <c r="C32" s="3">
        <v>0</v>
      </c>
      <c r="D32" s="3">
        <v>87</v>
      </c>
      <c r="E32" s="3">
        <f>loc_est!B10+(tam_plat!B10/2)</f>
        <v>13819.45</v>
      </c>
      <c r="F32" s="5">
        <f t="shared" si="2"/>
        <v>22.777777777777779</v>
      </c>
      <c r="G32" s="5">
        <v>1</v>
      </c>
      <c r="H32" s="9">
        <f t="shared" si="3"/>
        <v>1</v>
      </c>
      <c r="I32" s="5">
        <v>18</v>
      </c>
      <c r="J32" s="5">
        <f>I32/geral!$B$1</f>
        <v>72</v>
      </c>
    </row>
    <row r="33" spans="1:10" x14ac:dyDescent="0.25">
      <c r="B33" s="3">
        <v>32</v>
      </c>
      <c r="C33" s="3">
        <v>0</v>
      </c>
      <c r="D33" s="3">
        <v>62</v>
      </c>
      <c r="E33" s="3">
        <v>15324.6</v>
      </c>
      <c r="F33" s="5">
        <f t="shared" si="2"/>
        <v>15.833333333333332</v>
      </c>
      <c r="G33" s="5">
        <v>1</v>
      </c>
      <c r="H33" s="9">
        <f t="shared" si="3"/>
        <v>1</v>
      </c>
      <c r="I33" s="5">
        <v>18</v>
      </c>
      <c r="J33" s="5">
        <f>I33/geral!$B$1</f>
        <v>72</v>
      </c>
    </row>
    <row r="34" spans="1:10" x14ac:dyDescent="0.25">
      <c r="B34" s="3">
        <v>33</v>
      </c>
      <c r="C34" s="3">
        <v>1</v>
      </c>
      <c r="D34" s="3">
        <v>0</v>
      </c>
      <c r="E34" s="3">
        <f>E35-tam_plat!B11</f>
        <v>15508.55</v>
      </c>
      <c r="F34" s="5">
        <f t="shared" si="2"/>
        <v>0</v>
      </c>
      <c r="G34" s="5">
        <v>1</v>
      </c>
      <c r="H34" s="9">
        <v>0.65400000000000003</v>
      </c>
      <c r="I34" s="5">
        <v>18</v>
      </c>
      <c r="J34" s="5">
        <f>I34/geral!$B$1</f>
        <v>72</v>
      </c>
    </row>
    <row r="35" spans="1:10" x14ac:dyDescent="0.25">
      <c r="A35" t="s">
        <v>149</v>
      </c>
      <c r="B35" s="3">
        <v>34</v>
      </c>
      <c r="C35" s="3">
        <v>0</v>
      </c>
      <c r="D35" s="3">
        <v>87</v>
      </c>
      <c r="E35" s="3">
        <f>loc_est!B11+(tam_plat!B11/2)</f>
        <v>15644.55</v>
      </c>
      <c r="F35" s="5">
        <f t="shared" si="2"/>
        <v>22.777777777777779</v>
      </c>
      <c r="G35" s="5">
        <v>1</v>
      </c>
      <c r="H35" s="9">
        <f t="shared" si="3"/>
        <v>1</v>
      </c>
      <c r="I35" s="5">
        <v>18</v>
      </c>
      <c r="J35" s="5">
        <f>I35/geral!$B$1</f>
        <v>72</v>
      </c>
    </row>
    <row r="36" spans="1:10" x14ac:dyDescent="0.25">
      <c r="B36" s="3">
        <v>35</v>
      </c>
      <c r="C36" s="3">
        <v>0</v>
      </c>
      <c r="D36" s="3">
        <v>62</v>
      </c>
      <c r="E36" s="3">
        <v>16186.6</v>
      </c>
      <c r="F36" s="5">
        <f t="shared" si="2"/>
        <v>15.833333333333332</v>
      </c>
      <c r="G36" s="5">
        <v>1</v>
      </c>
      <c r="H36" s="9">
        <f t="shared" si="3"/>
        <v>1</v>
      </c>
      <c r="I36" s="5">
        <v>18</v>
      </c>
      <c r="J36" s="5">
        <f>I36/geral!$B$1</f>
        <v>72</v>
      </c>
    </row>
    <row r="37" spans="1:10" x14ac:dyDescent="0.25">
      <c r="B37" s="3">
        <v>36</v>
      </c>
      <c r="C37" s="3">
        <v>1</v>
      </c>
      <c r="D37" s="3">
        <v>0</v>
      </c>
      <c r="E37" s="3">
        <f>E38-tam_plat!B12</f>
        <v>16380.400000000001</v>
      </c>
      <c r="F37" s="5">
        <f t="shared" si="2"/>
        <v>0</v>
      </c>
      <c r="G37" s="5">
        <v>1</v>
      </c>
      <c r="H37" s="9">
        <v>0.65400000000000003</v>
      </c>
      <c r="I37" s="5">
        <v>18</v>
      </c>
      <c r="J37" s="5">
        <f>I37/geral!$B$1</f>
        <v>72</v>
      </c>
    </row>
    <row r="38" spans="1:10" x14ac:dyDescent="0.25">
      <c r="A38" t="s">
        <v>150</v>
      </c>
      <c r="B38" s="3">
        <v>37</v>
      </c>
      <c r="C38" s="3">
        <v>0</v>
      </c>
      <c r="D38" s="3">
        <v>87</v>
      </c>
      <c r="E38" s="3">
        <f>loc_est!B12+(tam_plat!B12/2)</f>
        <v>16516.400000000001</v>
      </c>
      <c r="F38" s="5">
        <f t="shared" si="2"/>
        <v>22.777777777777779</v>
      </c>
      <c r="G38" s="5">
        <v>1</v>
      </c>
      <c r="H38" s="9">
        <f t="shared" si="3"/>
        <v>1</v>
      </c>
      <c r="I38" s="5">
        <v>18</v>
      </c>
      <c r="J38" s="5">
        <f>I38/geral!$B$1</f>
        <v>72</v>
      </c>
    </row>
    <row r="39" spans="1:10" x14ac:dyDescent="0.25">
      <c r="B39" s="3">
        <v>38</v>
      </c>
      <c r="C39" s="3">
        <v>0</v>
      </c>
      <c r="D39" s="3">
        <v>62</v>
      </c>
      <c r="E39" s="3">
        <v>17237.7</v>
      </c>
      <c r="F39" s="5">
        <f t="shared" si="2"/>
        <v>15.833333333333332</v>
      </c>
      <c r="G39" s="5">
        <v>1</v>
      </c>
      <c r="H39" s="9">
        <f t="shared" si="3"/>
        <v>1</v>
      </c>
      <c r="I39" s="5">
        <v>18</v>
      </c>
      <c r="J39" s="5">
        <f>I39/geral!$B$1</f>
        <v>72</v>
      </c>
    </row>
    <row r="40" spans="1:10" x14ac:dyDescent="0.25">
      <c r="B40" s="3">
        <v>39</v>
      </c>
      <c r="C40" s="3">
        <v>1</v>
      </c>
      <c r="D40" s="3">
        <v>0</v>
      </c>
      <c r="E40" s="3">
        <f>E41-tam_plat!B13</f>
        <v>17423.7</v>
      </c>
      <c r="F40" s="5">
        <f t="shared" si="2"/>
        <v>0</v>
      </c>
      <c r="G40" s="5">
        <v>1</v>
      </c>
      <c r="H40" s="9">
        <v>0.65400000000000003</v>
      </c>
      <c r="I40" s="5">
        <v>18</v>
      </c>
      <c r="J40" s="5">
        <f>I40/geral!$B$1</f>
        <v>72</v>
      </c>
    </row>
    <row r="41" spans="1:10" x14ac:dyDescent="0.25">
      <c r="A41" t="s">
        <v>151</v>
      </c>
      <c r="B41" s="3">
        <v>40</v>
      </c>
      <c r="C41" s="3">
        <v>0</v>
      </c>
      <c r="D41" s="3">
        <v>87</v>
      </c>
      <c r="E41" s="3">
        <f>loc_est!B13+(tam_plat!B13/2)</f>
        <v>17559.7</v>
      </c>
      <c r="F41" s="5">
        <f t="shared" si="2"/>
        <v>22.777777777777779</v>
      </c>
      <c r="G41" s="5">
        <v>1</v>
      </c>
      <c r="H41" s="9">
        <f t="shared" si="3"/>
        <v>1</v>
      </c>
      <c r="I41" s="5">
        <v>18</v>
      </c>
      <c r="J41" s="5">
        <f>I41/geral!$B$1</f>
        <v>72</v>
      </c>
    </row>
    <row r="42" spans="1:10" x14ac:dyDescent="0.25">
      <c r="B42" s="3">
        <v>41</v>
      </c>
      <c r="C42" s="3">
        <v>0</v>
      </c>
      <c r="D42" s="3">
        <v>75</v>
      </c>
      <c r="E42" s="3">
        <v>17842.599999999999</v>
      </c>
      <c r="F42" s="5">
        <f t="shared" si="2"/>
        <v>19.444444444444443</v>
      </c>
      <c r="G42" s="5">
        <v>1</v>
      </c>
      <c r="H42" s="9">
        <f t="shared" si="3"/>
        <v>1</v>
      </c>
      <c r="I42" s="5">
        <v>18</v>
      </c>
      <c r="J42" s="5">
        <f>I42/geral!$B$1</f>
        <v>72</v>
      </c>
    </row>
    <row r="43" spans="1:10" x14ac:dyDescent="0.25">
      <c r="B43" s="3">
        <v>42</v>
      </c>
      <c r="C43" s="3">
        <v>0</v>
      </c>
      <c r="D43" s="3">
        <v>62</v>
      </c>
      <c r="E43" s="3">
        <v>18055.8</v>
      </c>
      <c r="F43" s="5">
        <f t="shared" si="2"/>
        <v>15.833333333333332</v>
      </c>
      <c r="G43" s="5">
        <v>1</v>
      </c>
      <c r="H43" s="9">
        <f t="shared" si="3"/>
        <v>1</v>
      </c>
      <c r="I43" s="5">
        <v>18</v>
      </c>
      <c r="J43" s="5">
        <f>I43/geral!$B$1</f>
        <v>72</v>
      </c>
    </row>
    <row r="44" spans="1:10" x14ac:dyDescent="0.25">
      <c r="B44" s="3">
        <v>43</v>
      </c>
      <c r="C44" s="3">
        <v>1</v>
      </c>
      <c r="D44" s="3">
        <v>0</v>
      </c>
      <c r="E44" s="3">
        <f>E45-tam_plat!B14</f>
        <v>18152.3</v>
      </c>
      <c r="F44" s="5">
        <f t="shared" si="2"/>
        <v>0</v>
      </c>
      <c r="G44" s="5">
        <v>1</v>
      </c>
      <c r="H44" s="9">
        <v>0.65400000000000003</v>
      </c>
      <c r="I44" s="5">
        <v>18</v>
      </c>
      <c r="J44" s="5">
        <f>I44/geral!$B$1</f>
        <v>72</v>
      </c>
    </row>
    <row r="45" spans="1:10" x14ac:dyDescent="0.25">
      <c r="A45" t="s">
        <v>26</v>
      </c>
      <c r="B45" s="3">
        <v>44</v>
      </c>
      <c r="C45" s="3">
        <v>0</v>
      </c>
      <c r="D45" s="3">
        <v>62</v>
      </c>
      <c r="E45" s="3">
        <f>loc_est!B14+(tam_plat!B14/2)</f>
        <v>18288.3</v>
      </c>
      <c r="F45" s="5">
        <f t="shared" si="2"/>
        <v>15.833333333333332</v>
      </c>
      <c r="G45" s="5">
        <v>1</v>
      </c>
      <c r="H45" s="9">
        <f t="shared" si="3"/>
        <v>1</v>
      </c>
      <c r="I45" s="5">
        <v>18</v>
      </c>
      <c r="J45" s="5">
        <f>I45/geral!$B$1</f>
        <v>72</v>
      </c>
    </row>
    <row r="46" spans="1:10" x14ac:dyDescent="0.25">
      <c r="B46" s="3">
        <v>45</v>
      </c>
      <c r="C46" s="3">
        <v>0</v>
      </c>
      <c r="D46" s="3">
        <v>75</v>
      </c>
      <c r="E46" s="3">
        <v>18397.599999999999</v>
      </c>
      <c r="F46" s="5">
        <f t="shared" si="2"/>
        <v>19.444444444444443</v>
      </c>
      <c r="G46" s="5">
        <v>1</v>
      </c>
      <c r="H46" s="9">
        <f t="shared" si="3"/>
        <v>1</v>
      </c>
      <c r="I46" s="5">
        <v>18</v>
      </c>
      <c r="J46" s="5">
        <f>I46/geral!$B$1</f>
        <v>72</v>
      </c>
    </row>
    <row r="47" spans="1:10" x14ac:dyDescent="0.25">
      <c r="B47" s="3">
        <v>46</v>
      </c>
      <c r="C47" s="3">
        <v>0</v>
      </c>
      <c r="D47" s="3">
        <v>62</v>
      </c>
      <c r="E47" s="3">
        <v>18695.599999999999</v>
      </c>
      <c r="F47" s="5">
        <f t="shared" si="2"/>
        <v>15.833333333333332</v>
      </c>
      <c r="G47" s="5">
        <v>1</v>
      </c>
      <c r="H47" s="9">
        <f t="shared" si="3"/>
        <v>1</v>
      </c>
      <c r="I47" s="5">
        <v>18</v>
      </c>
      <c r="J47" s="5">
        <f>I47/geral!$B$1</f>
        <v>72</v>
      </c>
    </row>
    <row r="48" spans="1:10" x14ac:dyDescent="0.25">
      <c r="B48" s="3">
        <v>47</v>
      </c>
      <c r="C48" s="3">
        <v>1</v>
      </c>
      <c r="D48" s="3">
        <v>0</v>
      </c>
      <c r="E48" s="3">
        <f>E49-tam_plat!B15</f>
        <v>18850.900000000001</v>
      </c>
      <c r="F48" s="5">
        <f t="shared" si="2"/>
        <v>0</v>
      </c>
      <c r="G48" s="5">
        <v>1</v>
      </c>
      <c r="H48" s="9">
        <v>0.65400000000000003</v>
      </c>
      <c r="I48" s="5">
        <v>18</v>
      </c>
      <c r="J48" s="5">
        <f>I48/geral!$B$1</f>
        <v>72</v>
      </c>
    </row>
    <row r="49" spans="1:10" x14ac:dyDescent="0.25">
      <c r="A49" t="s">
        <v>152</v>
      </c>
      <c r="B49" s="3">
        <v>48</v>
      </c>
      <c r="C49" s="3">
        <v>0</v>
      </c>
      <c r="D49" s="3">
        <v>75</v>
      </c>
      <c r="E49" s="3">
        <f>loc_est!B15+(tam_plat!B15/2)</f>
        <v>18986.900000000001</v>
      </c>
      <c r="F49" s="5">
        <f t="shared" si="2"/>
        <v>19.444444444444443</v>
      </c>
      <c r="G49" s="5">
        <v>1</v>
      </c>
      <c r="H49" s="9">
        <f t="shared" si="3"/>
        <v>1</v>
      </c>
      <c r="I49" s="5">
        <v>18</v>
      </c>
      <c r="J49" s="5">
        <f>I49/geral!$B$1</f>
        <v>72</v>
      </c>
    </row>
    <row r="50" spans="1:10" x14ac:dyDescent="0.25">
      <c r="B50" s="3">
        <v>49</v>
      </c>
      <c r="C50" s="3">
        <v>0</v>
      </c>
      <c r="D50" s="3">
        <v>62</v>
      </c>
      <c r="E50" s="3">
        <v>19300</v>
      </c>
      <c r="F50" s="5">
        <f t="shared" si="2"/>
        <v>15.833333333333332</v>
      </c>
      <c r="G50" s="5">
        <v>1</v>
      </c>
      <c r="H50" s="9">
        <f t="shared" si="3"/>
        <v>1</v>
      </c>
      <c r="I50" s="5">
        <v>18</v>
      </c>
      <c r="J50" s="5">
        <f>I50/geral!$B$1</f>
        <v>72</v>
      </c>
    </row>
    <row r="51" spans="1:10" x14ac:dyDescent="0.25">
      <c r="B51" s="3">
        <v>50</v>
      </c>
      <c r="C51" s="3">
        <v>1</v>
      </c>
      <c r="D51" s="3">
        <v>0</v>
      </c>
      <c r="E51" s="3">
        <f>E52-tam_plat!B16</f>
        <v>19493.05</v>
      </c>
      <c r="F51" s="5">
        <f t="shared" si="2"/>
        <v>0</v>
      </c>
      <c r="G51" s="5">
        <v>1</v>
      </c>
      <c r="H51" s="9">
        <v>0.65400000000000003</v>
      </c>
      <c r="I51" s="5">
        <v>18</v>
      </c>
      <c r="J51" s="5">
        <f>I51/geral!$B$1</f>
        <v>72</v>
      </c>
    </row>
    <row r="52" spans="1:10" x14ac:dyDescent="0.25">
      <c r="A52" t="s">
        <v>153</v>
      </c>
      <c r="B52" s="3">
        <v>51</v>
      </c>
      <c r="C52" s="3">
        <v>0</v>
      </c>
      <c r="D52" s="3">
        <v>75</v>
      </c>
      <c r="E52" s="3">
        <f>loc_est!B16+(tam_plat!B16/2)</f>
        <v>19629.05</v>
      </c>
      <c r="F52" s="5">
        <f t="shared" si="2"/>
        <v>19.444444444444443</v>
      </c>
      <c r="G52" s="5">
        <v>1</v>
      </c>
      <c r="H52" s="9">
        <f t="shared" si="3"/>
        <v>1</v>
      </c>
      <c r="I52" s="5">
        <v>18</v>
      </c>
      <c r="J52" s="5">
        <f>I52/geral!$B$1</f>
        <v>72</v>
      </c>
    </row>
    <row r="53" spans="1:10" x14ac:dyDescent="0.25">
      <c r="B53" s="3">
        <v>52</v>
      </c>
      <c r="C53" s="3">
        <v>0</v>
      </c>
      <c r="D53" s="3">
        <v>62</v>
      </c>
      <c r="E53" s="3">
        <v>20084.400000000001</v>
      </c>
      <c r="F53" s="5">
        <f t="shared" si="2"/>
        <v>15.833333333333332</v>
      </c>
      <c r="G53" s="5">
        <v>1</v>
      </c>
      <c r="H53" s="9">
        <f t="shared" si="3"/>
        <v>1</v>
      </c>
      <c r="I53" s="5">
        <v>18</v>
      </c>
      <c r="J53" s="5">
        <f>I53/geral!$B$1</f>
        <v>72</v>
      </c>
    </row>
    <row r="54" spans="1:10" x14ac:dyDescent="0.25">
      <c r="B54" s="3">
        <v>53</v>
      </c>
      <c r="C54" s="3">
        <v>1</v>
      </c>
      <c r="D54" s="3">
        <v>0</v>
      </c>
      <c r="E54" s="3">
        <f>E55-tam_plat!B17</f>
        <v>20264.7</v>
      </c>
      <c r="F54" s="5">
        <f t="shared" si="2"/>
        <v>0</v>
      </c>
      <c r="G54" s="5">
        <v>1</v>
      </c>
      <c r="H54" s="9">
        <v>0.65400000000000003</v>
      </c>
      <c r="I54" s="5">
        <v>18</v>
      </c>
      <c r="J54" s="5">
        <f>I54/geral!$B$1</f>
        <v>72</v>
      </c>
    </row>
    <row r="55" spans="1:10" x14ac:dyDescent="0.25">
      <c r="A55" t="s">
        <v>154</v>
      </c>
      <c r="B55" s="3">
        <v>54</v>
      </c>
      <c r="C55" s="3">
        <v>0</v>
      </c>
      <c r="D55" s="3">
        <v>75</v>
      </c>
      <c r="E55" s="3">
        <f>loc_est!B17+(tam_plat!B17/2)</f>
        <v>20400.7</v>
      </c>
      <c r="F55" s="5">
        <f t="shared" si="2"/>
        <v>19.444444444444443</v>
      </c>
      <c r="G55" s="5">
        <v>1</v>
      </c>
      <c r="H55" s="9">
        <f t="shared" si="3"/>
        <v>1</v>
      </c>
      <c r="I55" s="5">
        <v>18</v>
      </c>
      <c r="J55" s="5">
        <f>I55/geral!$B$1</f>
        <v>72</v>
      </c>
    </row>
    <row r="56" spans="1:10" x14ac:dyDescent="0.25">
      <c r="B56" s="3">
        <v>55</v>
      </c>
      <c r="C56" s="3">
        <v>0</v>
      </c>
      <c r="D56" s="3">
        <v>87</v>
      </c>
      <c r="E56" s="3">
        <v>20558.599999999999</v>
      </c>
      <c r="F56" s="5">
        <f t="shared" si="2"/>
        <v>22.777777777777779</v>
      </c>
      <c r="G56" s="5">
        <v>1</v>
      </c>
      <c r="H56" s="9">
        <f t="shared" si="3"/>
        <v>1</v>
      </c>
      <c r="I56" s="5">
        <v>18</v>
      </c>
      <c r="J56" s="5">
        <f>I56/geral!$B$1</f>
        <v>72</v>
      </c>
    </row>
    <row r="57" spans="1:10" x14ac:dyDescent="0.25">
      <c r="B57" s="3">
        <v>56</v>
      </c>
      <c r="C57" s="3">
        <v>0</v>
      </c>
      <c r="D57" s="3">
        <v>62</v>
      </c>
      <c r="E57" s="3">
        <v>20981.599999999999</v>
      </c>
      <c r="F57" s="5">
        <f t="shared" si="2"/>
        <v>15.833333333333332</v>
      </c>
      <c r="G57" s="5">
        <v>1</v>
      </c>
      <c r="H57" s="9">
        <f t="shared" si="3"/>
        <v>1</v>
      </c>
      <c r="I57" s="5">
        <v>18</v>
      </c>
      <c r="J57" s="5">
        <f>I57/geral!$B$1</f>
        <v>72</v>
      </c>
    </row>
    <row r="58" spans="1:10" x14ac:dyDescent="0.25">
      <c r="B58" s="3">
        <v>57</v>
      </c>
      <c r="C58" s="3">
        <v>1</v>
      </c>
      <c r="D58" s="3">
        <v>0</v>
      </c>
      <c r="E58" s="3">
        <f>E59-tam_plat!B18</f>
        <v>21189.8</v>
      </c>
      <c r="F58" s="5">
        <f t="shared" si="2"/>
        <v>0</v>
      </c>
      <c r="G58" s="5">
        <v>1</v>
      </c>
      <c r="H58" s="9">
        <v>0.65400000000000003</v>
      </c>
      <c r="I58" s="5">
        <v>18</v>
      </c>
      <c r="J58" s="5">
        <f>I58/geral!$B$1</f>
        <v>72</v>
      </c>
    </row>
    <row r="59" spans="1:10" x14ac:dyDescent="0.25">
      <c r="A59" t="s">
        <v>155</v>
      </c>
      <c r="B59" s="3">
        <v>58</v>
      </c>
      <c r="C59" s="3">
        <v>0</v>
      </c>
      <c r="D59" s="3">
        <v>75</v>
      </c>
      <c r="E59" s="3">
        <f>loc_est!B18+(tam_plat!B18/2)</f>
        <v>21325.8</v>
      </c>
      <c r="F59" s="5">
        <f t="shared" si="2"/>
        <v>19.444444444444443</v>
      </c>
      <c r="G59" s="5">
        <v>1</v>
      </c>
      <c r="H59" s="9">
        <f t="shared" si="3"/>
        <v>1</v>
      </c>
      <c r="I59" s="5">
        <v>18</v>
      </c>
      <c r="J59" s="5">
        <f>I59/geral!$B$1</f>
        <v>72</v>
      </c>
    </row>
    <row r="60" spans="1:10" x14ac:dyDescent="0.25">
      <c r="B60" s="3">
        <v>59</v>
      </c>
      <c r="C60" s="3">
        <v>0</v>
      </c>
      <c r="D60" s="3">
        <v>87</v>
      </c>
      <c r="E60" s="3">
        <v>21472.6</v>
      </c>
      <c r="F60" s="5">
        <f t="shared" si="2"/>
        <v>22.777777777777779</v>
      </c>
      <c r="G60" s="5">
        <v>1</v>
      </c>
      <c r="H60" s="9">
        <f t="shared" si="3"/>
        <v>1</v>
      </c>
      <c r="I60" s="5">
        <v>18</v>
      </c>
      <c r="J60" s="5">
        <f>I60/geral!$B$1</f>
        <v>72</v>
      </c>
    </row>
    <row r="61" spans="1:10" x14ac:dyDescent="0.25">
      <c r="B61" s="3">
        <v>60</v>
      </c>
      <c r="C61" s="3">
        <v>0</v>
      </c>
      <c r="D61" s="3">
        <v>62</v>
      </c>
      <c r="E61" s="3">
        <v>22575.599999999999</v>
      </c>
      <c r="F61" s="5">
        <f t="shared" si="2"/>
        <v>15.833333333333332</v>
      </c>
      <c r="G61" s="5">
        <v>1</v>
      </c>
      <c r="H61" s="9">
        <f t="shared" si="3"/>
        <v>1</v>
      </c>
      <c r="I61" s="5">
        <v>18</v>
      </c>
      <c r="J61" s="5">
        <f>I61/geral!$B$1</f>
        <v>72</v>
      </c>
    </row>
    <row r="62" spans="1:10" x14ac:dyDescent="0.25">
      <c r="B62" s="3">
        <v>61</v>
      </c>
      <c r="C62" s="3">
        <v>1</v>
      </c>
      <c r="D62" s="3">
        <v>0</v>
      </c>
      <c r="E62" s="3">
        <f>E63-tam_plat!B19</f>
        <v>22731.4</v>
      </c>
      <c r="F62" s="5">
        <f t="shared" si="2"/>
        <v>0</v>
      </c>
      <c r="G62" s="5">
        <v>1</v>
      </c>
      <c r="H62" s="9">
        <v>0.65400000000000003</v>
      </c>
      <c r="I62" s="5">
        <v>18</v>
      </c>
      <c r="J62" s="5">
        <f>I62/geral!$B$1</f>
        <v>72</v>
      </c>
    </row>
    <row r="63" spans="1:10" x14ac:dyDescent="0.25">
      <c r="A63" t="s">
        <v>156</v>
      </c>
      <c r="B63" s="3">
        <v>62</v>
      </c>
      <c r="C63" s="3">
        <v>0</v>
      </c>
      <c r="D63" s="3">
        <v>62</v>
      </c>
      <c r="E63" s="3">
        <f>loc_est!B19+(tam_plat!B19/2)</f>
        <v>22867.4</v>
      </c>
      <c r="F63" s="5">
        <f t="shared" si="2"/>
        <v>15.833333333333332</v>
      </c>
      <c r="G63" s="5">
        <v>1</v>
      </c>
      <c r="H63" s="9">
        <f t="shared" si="3"/>
        <v>1</v>
      </c>
      <c r="I63" s="5">
        <v>18</v>
      </c>
      <c r="J63" s="5">
        <f>I63/geral!$B$1</f>
        <v>72</v>
      </c>
    </row>
    <row r="64" spans="1:10" x14ac:dyDescent="0.25">
      <c r="B64" s="3">
        <v>63</v>
      </c>
      <c r="C64" s="3">
        <v>0</v>
      </c>
      <c r="D64" s="3">
        <v>44</v>
      </c>
      <c r="E64" s="3">
        <v>23102.6</v>
      </c>
      <c r="F64" s="5">
        <f t="shared" si="2"/>
        <v>10.833333333333334</v>
      </c>
      <c r="G64" s="5">
        <v>1</v>
      </c>
      <c r="H64" s="9">
        <f t="shared" si="3"/>
        <v>1</v>
      </c>
      <c r="I64" s="5">
        <v>18</v>
      </c>
      <c r="J64" s="5">
        <f>I64/geral!$B$1</f>
        <v>72</v>
      </c>
    </row>
    <row r="65" spans="1:10" x14ac:dyDescent="0.25">
      <c r="B65" s="3">
        <v>64</v>
      </c>
      <c r="C65" s="3">
        <v>1</v>
      </c>
      <c r="D65" s="3">
        <v>0</v>
      </c>
      <c r="E65" s="3">
        <f>E66-tam_plat!B20</f>
        <v>23599.599999999999</v>
      </c>
      <c r="F65" s="5">
        <f t="shared" si="2"/>
        <v>0</v>
      </c>
      <c r="G65" s="5">
        <v>1</v>
      </c>
      <c r="H65" s="9">
        <v>0.65400000000000003</v>
      </c>
      <c r="I65" s="5">
        <v>18</v>
      </c>
      <c r="J65" s="5">
        <f>I65/geral!$B$1</f>
        <v>72</v>
      </c>
    </row>
    <row r="66" spans="1:10" x14ac:dyDescent="0.25">
      <c r="A66" t="s">
        <v>157</v>
      </c>
      <c r="B66" s="3">
        <v>65</v>
      </c>
      <c r="C66" s="3">
        <v>0</v>
      </c>
      <c r="D66" s="3">
        <v>44</v>
      </c>
      <c r="E66" s="3">
        <f>loc_est!B20</f>
        <v>23735.599999999999</v>
      </c>
      <c r="F66" s="5">
        <f t="shared" si="2"/>
        <v>10.833333333333334</v>
      </c>
      <c r="G66" s="5">
        <v>1</v>
      </c>
      <c r="H66" s="9">
        <f t="shared" si="3"/>
        <v>1</v>
      </c>
      <c r="I66" s="5">
        <v>30</v>
      </c>
      <c r="J66" s="5">
        <f>I66/geral!$B$1</f>
        <v>120</v>
      </c>
    </row>
    <row r="67" spans="1:10" x14ac:dyDescent="0.25">
      <c r="B67" s="3">
        <v>66</v>
      </c>
      <c r="C67" s="3">
        <v>1</v>
      </c>
      <c r="D67" s="3">
        <v>0</v>
      </c>
      <c r="E67" s="3">
        <f>E68-tam_plat!B21</f>
        <v>24603.799999999996</v>
      </c>
      <c r="F67" s="5">
        <f t="shared" si="2"/>
        <v>0</v>
      </c>
      <c r="G67" s="5">
        <v>1</v>
      </c>
      <c r="H67" s="9">
        <v>0.65400000000000003</v>
      </c>
      <c r="I67" s="5">
        <v>18</v>
      </c>
      <c r="J67" s="5">
        <f>I67/geral!$B$1</f>
        <v>72</v>
      </c>
    </row>
    <row r="68" spans="1:10" x14ac:dyDescent="0.25">
      <c r="A68" t="s">
        <v>156</v>
      </c>
      <c r="B68" s="3">
        <v>67</v>
      </c>
      <c r="C68" s="3">
        <v>0</v>
      </c>
      <c r="D68" s="3">
        <v>75</v>
      </c>
      <c r="E68" s="3">
        <f>(2*geral!$B$10)-loc_est!B19+(tam_plat!B21/2)</f>
        <v>24739.799999999996</v>
      </c>
      <c r="F68" s="5">
        <f t="shared" si="2"/>
        <v>19.444444444444443</v>
      </c>
      <c r="G68" s="5">
        <v>1</v>
      </c>
      <c r="H68" s="9">
        <f t="shared" si="3"/>
        <v>1</v>
      </c>
      <c r="I68" s="5">
        <v>18</v>
      </c>
      <c r="J68" s="5">
        <f>I68/geral!$B$1</f>
        <v>72</v>
      </c>
    </row>
    <row r="69" spans="1:10" x14ac:dyDescent="0.25">
      <c r="B69" s="3">
        <v>68</v>
      </c>
      <c r="C69" s="3">
        <v>0</v>
      </c>
      <c r="D69" s="3">
        <v>62</v>
      </c>
      <c r="E69" s="3">
        <f>(2*geral!$B$10)-21432.6</f>
        <v>26038.6</v>
      </c>
      <c r="F69" s="5">
        <f t="shared" si="2"/>
        <v>15.833333333333332</v>
      </c>
      <c r="G69" s="5">
        <v>1</v>
      </c>
      <c r="H69" s="9">
        <f t="shared" si="3"/>
        <v>1</v>
      </c>
      <c r="I69" s="5">
        <v>18</v>
      </c>
      <c r="J69" s="5">
        <f>I69/geral!$B$1</f>
        <v>72</v>
      </c>
    </row>
    <row r="70" spans="1:10" x14ac:dyDescent="0.25">
      <c r="B70" s="3">
        <v>69</v>
      </c>
      <c r="C70" s="3">
        <v>1</v>
      </c>
      <c r="D70" s="3">
        <v>0</v>
      </c>
      <c r="E70" s="3">
        <f>E71-tam_plat!B22</f>
        <v>26145.399999999998</v>
      </c>
      <c r="F70" s="5">
        <f t="shared" si="2"/>
        <v>0</v>
      </c>
      <c r="G70" s="5">
        <v>1</v>
      </c>
      <c r="H70" s="9">
        <v>0.65400000000000003</v>
      </c>
      <c r="I70" s="5">
        <v>18</v>
      </c>
      <c r="J70" s="5">
        <f>I70/geral!$B$1</f>
        <v>72</v>
      </c>
    </row>
    <row r="71" spans="1:10" x14ac:dyDescent="0.25">
      <c r="A71" t="s">
        <v>155</v>
      </c>
      <c r="B71" s="3">
        <v>70</v>
      </c>
      <c r="C71" s="3">
        <v>0</v>
      </c>
      <c r="D71" s="3">
        <v>75</v>
      </c>
      <c r="E71" s="3">
        <f>(2*geral!$B$10)-loc_est!B18+(tam_plat!B22/2)</f>
        <v>26281.399999999998</v>
      </c>
      <c r="F71" s="5">
        <f t="shared" si="2"/>
        <v>19.444444444444443</v>
      </c>
      <c r="G71" s="5">
        <v>1</v>
      </c>
      <c r="H71" s="9">
        <f t="shared" si="3"/>
        <v>1</v>
      </c>
      <c r="I71" s="5">
        <v>18</v>
      </c>
      <c r="J71" s="5">
        <f>I71/geral!$B$1</f>
        <v>72</v>
      </c>
    </row>
    <row r="72" spans="1:10" x14ac:dyDescent="0.25">
      <c r="B72" s="3">
        <v>71</v>
      </c>
      <c r="C72" s="3">
        <v>0</v>
      </c>
      <c r="D72" s="3">
        <v>87</v>
      </c>
      <c r="E72" s="3">
        <f>(2*geral!$B$10)-21007.6</f>
        <v>26463.599999999999</v>
      </c>
      <c r="F72" s="5">
        <f t="shared" si="2"/>
        <v>22.777777777777779</v>
      </c>
      <c r="G72" s="5">
        <v>1</v>
      </c>
      <c r="H72" s="9">
        <f t="shared" si="3"/>
        <v>1</v>
      </c>
      <c r="I72" s="5">
        <v>18</v>
      </c>
      <c r="J72" s="5">
        <f>I72/geral!$B$1</f>
        <v>72</v>
      </c>
    </row>
    <row r="73" spans="1:10" x14ac:dyDescent="0.25">
      <c r="B73" s="3">
        <v>72</v>
      </c>
      <c r="C73" s="3">
        <v>0</v>
      </c>
      <c r="D73" s="3">
        <v>62</v>
      </c>
      <c r="E73" s="3">
        <f>(2*geral!$B$10)-20588.6</f>
        <v>26882.6</v>
      </c>
      <c r="F73" s="5">
        <f t="shared" si="2"/>
        <v>15.833333333333332</v>
      </c>
      <c r="G73" s="5">
        <v>1</v>
      </c>
      <c r="H73" s="9">
        <f t="shared" si="3"/>
        <v>1</v>
      </c>
      <c r="I73" s="5">
        <v>18</v>
      </c>
      <c r="J73" s="5">
        <f>I73/geral!$B$1</f>
        <v>72</v>
      </c>
    </row>
    <row r="74" spans="1:10" x14ac:dyDescent="0.25">
      <c r="B74" s="3">
        <v>73</v>
      </c>
      <c r="C74" s="3">
        <v>1</v>
      </c>
      <c r="D74" s="3">
        <v>0</v>
      </c>
      <c r="E74" s="3">
        <f>E75-tam_plat!B23</f>
        <v>27070.499999999996</v>
      </c>
      <c r="F74" s="5">
        <f t="shared" si="2"/>
        <v>0</v>
      </c>
      <c r="G74" s="5">
        <v>1</v>
      </c>
      <c r="H74" s="9">
        <v>0.65400000000000003</v>
      </c>
      <c r="I74" s="5">
        <v>18</v>
      </c>
      <c r="J74" s="5">
        <f>I74/geral!$B$1</f>
        <v>72</v>
      </c>
    </row>
    <row r="75" spans="1:10" x14ac:dyDescent="0.25">
      <c r="A75" t="s">
        <v>154</v>
      </c>
      <c r="B75" s="3">
        <v>74</v>
      </c>
      <c r="C75" s="3">
        <v>0</v>
      </c>
      <c r="D75" s="3">
        <v>75</v>
      </c>
      <c r="E75" s="3">
        <f>(2*geral!$B$10)-loc_est!B17+(tam_plat!B23/2)</f>
        <v>27206.499999999996</v>
      </c>
      <c r="F75" s="5">
        <f t="shared" si="2"/>
        <v>19.444444444444443</v>
      </c>
      <c r="G75" s="5">
        <v>1</v>
      </c>
      <c r="H75" s="9">
        <f t="shared" si="3"/>
        <v>1</v>
      </c>
      <c r="I75" s="5">
        <v>18</v>
      </c>
      <c r="J75" s="5">
        <f>I75/geral!$B$1</f>
        <v>72</v>
      </c>
    </row>
    <row r="76" spans="1:10" x14ac:dyDescent="0.25">
      <c r="B76" s="3">
        <v>75</v>
      </c>
      <c r="C76" s="3">
        <v>0</v>
      </c>
      <c r="D76" s="3">
        <v>87</v>
      </c>
      <c r="E76" s="3">
        <f>(2*geral!$B$10)-20099.5</f>
        <v>27371.699999999997</v>
      </c>
      <c r="F76" s="5">
        <f t="shared" si="2"/>
        <v>22.777777777777779</v>
      </c>
      <c r="G76" s="5">
        <v>1</v>
      </c>
      <c r="H76" s="9">
        <f t="shared" si="3"/>
        <v>1</v>
      </c>
      <c r="I76" s="5">
        <v>18</v>
      </c>
      <c r="J76" s="5">
        <f>I76/geral!$B$1</f>
        <v>72</v>
      </c>
    </row>
    <row r="77" spans="1:10" x14ac:dyDescent="0.25">
      <c r="B77" s="3">
        <v>76</v>
      </c>
      <c r="C77" s="3">
        <v>0</v>
      </c>
      <c r="D77" s="3">
        <v>62</v>
      </c>
      <c r="E77" s="3">
        <f>(2*geral!$B$10)-19772.6</f>
        <v>27698.6</v>
      </c>
      <c r="F77" s="5">
        <f t="shared" si="2"/>
        <v>15.833333333333332</v>
      </c>
      <c r="G77" s="5">
        <v>1</v>
      </c>
      <c r="H77" s="9">
        <f t="shared" si="3"/>
        <v>1</v>
      </c>
      <c r="I77" s="5">
        <v>18</v>
      </c>
      <c r="J77" s="5">
        <f>I77/geral!$B$1</f>
        <v>72</v>
      </c>
    </row>
    <row r="78" spans="1:10" x14ac:dyDescent="0.25">
      <c r="B78" s="3">
        <v>77</v>
      </c>
      <c r="C78" s="3">
        <v>1</v>
      </c>
      <c r="D78" s="3">
        <v>0</v>
      </c>
      <c r="E78" s="3">
        <f>E79-tam_plat!B24</f>
        <v>27842.149999999998</v>
      </c>
      <c r="F78" s="5">
        <f t="shared" si="2"/>
        <v>0</v>
      </c>
      <c r="G78" s="5">
        <v>1</v>
      </c>
      <c r="H78" s="9">
        <v>0.65400000000000003</v>
      </c>
      <c r="I78" s="5">
        <v>18</v>
      </c>
      <c r="J78" s="5">
        <f>I78/geral!$B$1</f>
        <v>72</v>
      </c>
    </row>
    <row r="79" spans="1:10" x14ac:dyDescent="0.25">
      <c r="A79" t="s">
        <v>153</v>
      </c>
      <c r="B79" s="3">
        <v>78</v>
      </c>
      <c r="C79" s="3">
        <v>0</v>
      </c>
      <c r="D79" s="3">
        <v>75</v>
      </c>
      <c r="E79" s="3">
        <f>(2*geral!$B$10)-loc_est!B16+(tam_plat!B24/2)</f>
        <v>27978.149999999998</v>
      </c>
      <c r="F79" s="5">
        <f t="shared" si="2"/>
        <v>19.444444444444443</v>
      </c>
      <c r="G79" s="5">
        <v>1</v>
      </c>
      <c r="H79" s="9">
        <f t="shared" si="3"/>
        <v>1</v>
      </c>
      <c r="I79" s="5">
        <v>18</v>
      </c>
      <c r="J79" s="5">
        <f>I79/geral!$B$1</f>
        <v>72</v>
      </c>
    </row>
    <row r="80" spans="1:10" x14ac:dyDescent="0.25">
      <c r="B80" s="3">
        <v>79</v>
      </c>
      <c r="C80" s="3">
        <v>0</v>
      </c>
      <c r="D80" s="3">
        <v>62</v>
      </c>
      <c r="E80" s="3">
        <f>(2*geral!$B$10)-19175.1</f>
        <v>28296.1</v>
      </c>
      <c r="F80" s="5">
        <f t="shared" si="2"/>
        <v>15.833333333333332</v>
      </c>
      <c r="G80" s="5">
        <v>1</v>
      </c>
      <c r="H80" s="9">
        <f t="shared" si="3"/>
        <v>1</v>
      </c>
      <c r="I80" s="5">
        <v>18</v>
      </c>
      <c r="J80" s="5">
        <f>I80/geral!$B$1</f>
        <v>72</v>
      </c>
    </row>
    <row r="81" spans="1:10" x14ac:dyDescent="0.25">
      <c r="B81" s="3">
        <v>80</v>
      </c>
      <c r="C81" s="3">
        <v>1</v>
      </c>
      <c r="D81" s="3">
        <v>0</v>
      </c>
      <c r="E81" s="3">
        <f>E82-tam_plat!B25</f>
        <v>28484.299999999996</v>
      </c>
      <c r="F81" s="5">
        <f t="shared" si="2"/>
        <v>0</v>
      </c>
      <c r="G81" s="5">
        <v>1</v>
      </c>
      <c r="H81" s="9">
        <v>0.65400000000000003</v>
      </c>
      <c r="I81" s="5">
        <v>18</v>
      </c>
      <c r="J81" s="5">
        <f>I81/geral!$B$1</f>
        <v>72</v>
      </c>
    </row>
    <row r="82" spans="1:10" x14ac:dyDescent="0.25">
      <c r="A82" t="s">
        <v>152</v>
      </c>
      <c r="B82" s="3">
        <v>81</v>
      </c>
      <c r="C82" s="3">
        <v>0</v>
      </c>
      <c r="D82" s="3">
        <v>75</v>
      </c>
      <c r="E82" s="3">
        <f>(2*geral!$B$10)-loc_est!B15+(tam_plat!B25/2)</f>
        <v>28620.299999999996</v>
      </c>
      <c r="F82" s="5">
        <f t="shared" si="2"/>
        <v>19.444444444444443</v>
      </c>
      <c r="G82" s="5">
        <v>1</v>
      </c>
      <c r="H82" s="9">
        <f t="shared" si="3"/>
        <v>1</v>
      </c>
      <c r="I82" s="5">
        <v>18</v>
      </c>
      <c r="J82" s="5">
        <f>I82/geral!$B$1</f>
        <v>72</v>
      </c>
    </row>
    <row r="83" spans="1:10" x14ac:dyDescent="0.25">
      <c r="B83" s="3">
        <v>82</v>
      </c>
      <c r="C83" s="3">
        <v>0</v>
      </c>
      <c r="D83" s="3">
        <v>62</v>
      </c>
      <c r="E83" s="3">
        <f>(2*geral!$B$10)-18401.6</f>
        <v>29069.599999999999</v>
      </c>
      <c r="F83" s="5">
        <f t="shared" si="2"/>
        <v>15.833333333333332</v>
      </c>
      <c r="G83" s="5">
        <v>1</v>
      </c>
      <c r="H83" s="9">
        <f t="shared" si="3"/>
        <v>1</v>
      </c>
      <c r="I83" s="5">
        <v>18</v>
      </c>
      <c r="J83" s="5">
        <f>I83/geral!$B$1</f>
        <v>72</v>
      </c>
    </row>
    <row r="84" spans="1:10" x14ac:dyDescent="0.25">
      <c r="B84" s="3">
        <v>83</v>
      </c>
      <c r="C84" s="3">
        <v>1</v>
      </c>
      <c r="D84" s="3">
        <v>0</v>
      </c>
      <c r="E84" s="3">
        <f>E85-tam_plat!B26</f>
        <v>29182.899999999998</v>
      </c>
      <c r="F84" s="5">
        <f t="shared" si="2"/>
        <v>0</v>
      </c>
      <c r="G84" s="5">
        <v>1</v>
      </c>
      <c r="H84" s="9">
        <v>0.65400000000000003</v>
      </c>
      <c r="I84" s="5">
        <v>18</v>
      </c>
      <c r="J84" s="5">
        <f>I84/geral!$B$1</f>
        <v>72</v>
      </c>
    </row>
    <row r="85" spans="1:10" x14ac:dyDescent="0.25">
      <c r="A85" t="s">
        <v>26</v>
      </c>
      <c r="B85" s="3">
        <v>84</v>
      </c>
      <c r="C85" s="3">
        <v>0</v>
      </c>
      <c r="D85" s="3">
        <v>75</v>
      </c>
      <c r="E85" s="3">
        <f>(2*geral!$B$10)-loc_est!B14+(tam_plat!B26/2)</f>
        <v>29318.899999999998</v>
      </c>
      <c r="F85" s="5">
        <f t="shared" si="2"/>
        <v>19.444444444444443</v>
      </c>
      <c r="G85" s="5">
        <v>1</v>
      </c>
      <c r="H85" s="9">
        <f t="shared" si="3"/>
        <v>1</v>
      </c>
      <c r="I85" s="5">
        <v>18</v>
      </c>
      <c r="J85" s="5">
        <f>I85/geral!$B$1</f>
        <v>72</v>
      </c>
    </row>
    <row r="86" spans="1:10" x14ac:dyDescent="0.25">
      <c r="B86" s="3">
        <v>85</v>
      </c>
      <c r="C86" s="3">
        <v>0</v>
      </c>
      <c r="D86" s="3">
        <v>62</v>
      </c>
      <c r="E86" s="3">
        <f>(2*geral!$B$10)-17712.6</f>
        <v>29758.6</v>
      </c>
      <c r="F86" s="5">
        <f t="shared" si="2"/>
        <v>15.833333333333332</v>
      </c>
      <c r="G86" s="5">
        <v>1</v>
      </c>
      <c r="H86" s="9">
        <f t="shared" si="3"/>
        <v>1</v>
      </c>
      <c r="I86" s="5">
        <v>18</v>
      </c>
      <c r="J86" s="5">
        <f>I86/geral!$B$1</f>
        <v>72</v>
      </c>
    </row>
    <row r="87" spans="1:10" x14ac:dyDescent="0.25">
      <c r="B87" s="3">
        <v>86</v>
      </c>
      <c r="C87" s="3">
        <v>1</v>
      </c>
      <c r="D87" s="3">
        <v>0</v>
      </c>
      <c r="E87" s="3">
        <f>E88-tam_plat!B27</f>
        <v>29911.499999999996</v>
      </c>
      <c r="F87" s="5">
        <f t="shared" si="2"/>
        <v>0</v>
      </c>
      <c r="G87" s="5">
        <v>1</v>
      </c>
      <c r="H87" s="9">
        <v>0.65400000000000003</v>
      </c>
      <c r="I87" s="5">
        <v>18</v>
      </c>
      <c r="J87" s="5">
        <f>I87/geral!$B$1</f>
        <v>72</v>
      </c>
    </row>
    <row r="88" spans="1:10" x14ac:dyDescent="0.25">
      <c r="A88" t="s">
        <v>151</v>
      </c>
      <c r="B88" s="3">
        <v>87</v>
      </c>
      <c r="C88" s="3">
        <v>0</v>
      </c>
      <c r="D88" s="3">
        <v>87</v>
      </c>
      <c r="E88" s="3">
        <f>(2*geral!$B$10)-loc_est!B13+(tam_plat!B27/2)</f>
        <v>30047.499999999996</v>
      </c>
      <c r="F88" s="5">
        <f t="shared" si="2"/>
        <v>22.777777777777779</v>
      </c>
      <c r="G88" s="5">
        <v>1</v>
      </c>
      <c r="H88" s="9">
        <f t="shared" si="3"/>
        <v>1</v>
      </c>
      <c r="I88" s="5">
        <v>18</v>
      </c>
      <c r="J88" s="5">
        <f>I88/geral!$B$1</f>
        <v>72</v>
      </c>
    </row>
    <row r="89" spans="1:10" x14ac:dyDescent="0.25">
      <c r="B89" s="3">
        <v>88</v>
      </c>
      <c r="C89" s="3">
        <v>0</v>
      </c>
      <c r="D89" s="3">
        <v>62</v>
      </c>
      <c r="E89" s="3">
        <f>(2*geral!$B$10)-16708.6</f>
        <v>30762.6</v>
      </c>
      <c r="F89" s="5">
        <f t="shared" si="2"/>
        <v>15.833333333333332</v>
      </c>
      <c r="G89" s="5">
        <v>1</v>
      </c>
      <c r="H89" s="9">
        <f t="shared" si="3"/>
        <v>1</v>
      </c>
      <c r="I89" s="5">
        <v>18</v>
      </c>
      <c r="J89" s="5">
        <f>I89/geral!$B$1</f>
        <v>72</v>
      </c>
    </row>
    <row r="90" spans="1:10" x14ac:dyDescent="0.25">
      <c r="B90" s="3">
        <v>89</v>
      </c>
      <c r="C90" s="3">
        <v>1</v>
      </c>
      <c r="D90" s="3">
        <v>0</v>
      </c>
      <c r="E90" s="3">
        <f>E91-tam_plat!B28</f>
        <v>30954.799999999996</v>
      </c>
      <c r="F90" s="5">
        <f t="shared" si="2"/>
        <v>0</v>
      </c>
      <c r="G90" s="5">
        <v>1</v>
      </c>
      <c r="H90" s="9">
        <v>0.65400000000000003</v>
      </c>
      <c r="I90" s="5">
        <v>18</v>
      </c>
      <c r="J90" s="5">
        <f>I90/geral!$B$1</f>
        <v>72</v>
      </c>
    </row>
    <row r="91" spans="1:10" x14ac:dyDescent="0.25">
      <c r="A91" t="s">
        <v>150</v>
      </c>
      <c r="B91" s="3">
        <v>90</v>
      </c>
      <c r="C91" s="3">
        <v>0</v>
      </c>
      <c r="D91" s="3">
        <v>75</v>
      </c>
      <c r="E91" s="3">
        <f>(2*geral!$B$10)-loc_est!B12+(tam_plat!B28/2)</f>
        <v>31090.799999999996</v>
      </c>
      <c r="F91" s="5">
        <f t="shared" si="2"/>
        <v>19.444444444444443</v>
      </c>
      <c r="G91" s="5">
        <v>1</v>
      </c>
      <c r="H91" s="9">
        <f t="shared" si="3"/>
        <v>1</v>
      </c>
      <c r="I91" s="5">
        <v>18</v>
      </c>
      <c r="J91" s="5">
        <f>I91/geral!$B$1</f>
        <v>72</v>
      </c>
    </row>
    <row r="92" spans="1:10" x14ac:dyDescent="0.25">
      <c r="B92" s="3">
        <v>91</v>
      </c>
      <c r="C92" s="3">
        <v>0</v>
      </c>
      <c r="D92" s="3">
        <v>87</v>
      </c>
      <c r="E92" s="3">
        <f>(2*geral!$B$10)-16188.6</f>
        <v>31282.6</v>
      </c>
      <c r="F92" s="5">
        <f t="shared" si="2"/>
        <v>22.777777777777779</v>
      </c>
      <c r="G92" s="5">
        <v>1</v>
      </c>
      <c r="H92" s="9">
        <f t="shared" si="3"/>
        <v>1</v>
      </c>
      <c r="I92" s="5">
        <v>18</v>
      </c>
      <c r="J92" s="5">
        <f>I92/geral!$B$1</f>
        <v>72</v>
      </c>
    </row>
    <row r="93" spans="1:10" x14ac:dyDescent="0.25">
      <c r="B93" s="3">
        <v>92</v>
      </c>
      <c r="C93" s="3">
        <v>0</v>
      </c>
      <c r="D93" s="3">
        <v>62</v>
      </c>
      <c r="E93" s="3">
        <f>(2*geral!$B$10)-15856.8</f>
        <v>31614.399999999998</v>
      </c>
      <c r="F93" s="5">
        <f t="shared" si="2"/>
        <v>15.833333333333332</v>
      </c>
      <c r="G93" s="5">
        <v>1</v>
      </c>
      <c r="H93" s="9">
        <f t="shared" si="3"/>
        <v>1</v>
      </c>
      <c r="I93" s="5">
        <v>18</v>
      </c>
      <c r="J93" s="5">
        <f>I93/geral!$B$1</f>
        <v>72</v>
      </c>
    </row>
    <row r="94" spans="1:10" x14ac:dyDescent="0.25">
      <c r="B94" s="3">
        <v>93</v>
      </c>
      <c r="C94" s="3">
        <v>1</v>
      </c>
      <c r="D94" s="3">
        <v>0</v>
      </c>
      <c r="E94" s="3">
        <f>E95-tam_plat!B29</f>
        <v>31826.649999999998</v>
      </c>
      <c r="F94" s="5">
        <f t="shared" si="2"/>
        <v>0</v>
      </c>
      <c r="G94" s="5">
        <v>1</v>
      </c>
      <c r="H94" s="9">
        <v>0.65400000000000003</v>
      </c>
      <c r="I94" s="5">
        <v>18</v>
      </c>
      <c r="J94" s="5">
        <f>I94/geral!$B$1</f>
        <v>72</v>
      </c>
    </row>
    <row r="95" spans="1:10" x14ac:dyDescent="0.25">
      <c r="A95" t="s">
        <v>149</v>
      </c>
      <c r="B95" s="3">
        <v>94</v>
      </c>
      <c r="C95" s="3">
        <v>0</v>
      </c>
      <c r="D95" s="3">
        <v>87</v>
      </c>
      <c r="E95" s="3">
        <f>(2*geral!$B$10)-loc_est!B11+(tam_plat!B29/2)</f>
        <v>31962.649999999998</v>
      </c>
      <c r="F95" s="5">
        <f t="shared" si="2"/>
        <v>22.777777777777779</v>
      </c>
      <c r="G95" s="5">
        <v>1</v>
      </c>
      <c r="H95" s="9">
        <f t="shared" si="3"/>
        <v>1</v>
      </c>
      <c r="I95" s="5">
        <v>18</v>
      </c>
      <c r="J95" s="5">
        <f>I95/geral!$B$1</f>
        <v>72</v>
      </c>
    </row>
    <row r="96" spans="1:10" x14ac:dyDescent="0.25">
      <c r="B96" s="3">
        <v>95</v>
      </c>
      <c r="C96" s="3">
        <v>0</v>
      </c>
      <c r="D96" s="3">
        <v>62</v>
      </c>
      <c r="E96" s="3">
        <f>(2*geral!$B$10)-14006.1</f>
        <v>33465.1</v>
      </c>
      <c r="F96" s="5">
        <f t="shared" si="2"/>
        <v>15.833333333333332</v>
      </c>
      <c r="G96" s="5">
        <v>1</v>
      </c>
      <c r="H96" s="9">
        <f t="shared" si="3"/>
        <v>1</v>
      </c>
      <c r="I96" s="5">
        <v>18</v>
      </c>
      <c r="J96" s="5">
        <f>I96/geral!$B$1</f>
        <v>72</v>
      </c>
    </row>
    <row r="97" spans="1:10" x14ac:dyDescent="0.25">
      <c r="B97" s="3">
        <v>96</v>
      </c>
      <c r="C97" s="3">
        <v>1</v>
      </c>
      <c r="D97" s="3">
        <v>0</v>
      </c>
      <c r="E97" s="3">
        <f>E98-tam_plat!B30</f>
        <v>33651.75</v>
      </c>
      <c r="F97" s="5">
        <f t="shared" si="2"/>
        <v>0</v>
      </c>
      <c r="G97" s="5">
        <v>1</v>
      </c>
      <c r="H97" s="9">
        <v>0.65400000000000003</v>
      </c>
      <c r="I97" s="5">
        <v>18</v>
      </c>
      <c r="J97" s="5">
        <f>I97/geral!$B$1</f>
        <v>72</v>
      </c>
    </row>
    <row r="98" spans="1:10" x14ac:dyDescent="0.25">
      <c r="A98" t="s">
        <v>148</v>
      </c>
      <c r="B98" s="3">
        <v>97</v>
      </c>
      <c r="C98" s="3">
        <v>0</v>
      </c>
      <c r="D98" s="3">
        <v>87</v>
      </c>
      <c r="E98" s="3">
        <f>(2*geral!$B$10)-loc_est!B10+(tam_plat!B30/2)</f>
        <v>33787.75</v>
      </c>
      <c r="F98" s="5">
        <f t="shared" si="2"/>
        <v>22.777777777777779</v>
      </c>
      <c r="G98" s="5">
        <v>1</v>
      </c>
      <c r="H98" s="9">
        <f t="shared" si="3"/>
        <v>1</v>
      </c>
      <c r="I98" s="5">
        <v>18</v>
      </c>
      <c r="J98" s="5">
        <f>I98/geral!$B$1</f>
        <v>72</v>
      </c>
    </row>
    <row r="99" spans="1:10" x14ac:dyDescent="0.25">
      <c r="B99" s="3">
        <v>98</v>
      </c>
      <c r="C99" s="3">
        <v>0</v>
      </c>
      <c r="D99" s="3">
        <v>62</v>
      </c>
      <c r="E99" s="3">
        <f>(2*geral!$B$10)-12616.5</f>
        <v>34854.699999999997</v>
      </c>
      <c r="F99" s="5">
        <f t="shared" si="2"/>
        <v>15.833333333333332</v>
      </c>
      <c r="G99" s="5">
        <v>1</v>
      </c>
      <c r="H99" s="9">
        <f t="shared" si="3"/>
        <v>1</v>
      </c>
      <c r="I99" s="5">
        <v>18</v>
      </c>
      <c r="J99" s="5">
        <f>I99/geral!$B$1</f>
        <v>72</v>
      </c>
    </row>
    <row r="100" spans="1:10" x14ac:dyDescent="0.25">
      <c r="B100" s="3">
        <v>99</v>
      </c>
      <c r="C100" s="3">
        <v>1</v>
      </c>
      <c r="D100" s="3">
        <v>0</v>
      </c>
      <c r="E100" s="3">
        <f>E101-tam_plat!B31</f>
        <v>35077</v>
      </c>
      <c r="F100" s="5">
        <f t="shared" si="2"/>
        <v>0</v>
      </c>
      <c r="G100" s="5">
        <v>1</v>
      </c>
      <c r="H100" s="9">
        <v>0.65400000000000003</v>
      </c>
      <c r="I100" s="5">
        <v>18</v>
      </c>
      <c r="J100" s="5">
        <f>I100/geral!$B$1</f>
        <v>72</v>
      </c>
    </row>
    <row r="101" spans="1:10" x14ac:dyDescent="0.25">
      <c r="A101" t="s">
        <v>147</v>
      </c>
      <c r="B101" s="3">
        <v>100</v>
      </c>
      <c r="C101" s="3">
        <v>0</v>
      </c>
      <c r="D101" s="3">
        <v>87</v>
      </c>
      <c r="E101" s="3">
        <f>(2*geral!$B$10)-loc_est!B9+(tam_plat!B31/2)</f>
        <v>35213</v>
      </c>
      <c r="F101" s="5">
        <f t="shared" si="2"/>
        <v>22.777777777777779</v>
      </c>
      <c r="G101" s="5">
        <v>1</v>
      </c>
      <c r="H101" s="9">
        <f t="shared" si="3"/>
        <v>1</v>
      </c>
      <c r="I101" s="5">
        <v>18</v>
      </c>
      <c r="J101" s="5">
        <f>I101/geral!$B$1</f>
        <v>72</v>
      </c>
    </row>
    <row r="102" spans="1:10" x14ac:dyDescent="0.25">
      <c r="B102" s="3">
        <v>101</v>
      </c>
      <c r="C102" s="3">
        <v>0</v>
      </c>
      <c r="D102" s="3">
        <v>62</v>
      </c>
      <c r="E102" s="3">
        <f>(2*geral!$B$10)-11445.4</f>
        <v>36025.799999999996</v>
      </c>
      <c r="F102" s="5">
        <f t="shared" si="2"/>
        <v>15.833333333333332</v>
      </c>
      <c r="G102" s="5">
        <v>1</v>
      </c>
      <c r="H102" s="9">
        <f t="shared" si="3"/>
        <v>1</v>
      </c>
      <c r="I102" s="5">
        <v>18</v>
      </c>
      <c r="J102" s="5">
        <f>I102/geral!$B$1</f>
        <v>72</v>
      </c>
    </row>
    <row r="103" spans="1:10" x14ac:dyDescent="0.25">
      <c r="B103" s="3">
        <v>102</v>
      </c>
      <c r="C103" s="3">
        <v>1</v>
      </c>
      <c r="D103" s="3">
        <v>0</v>
      </c>
      <c r="E103" s="3">
        <f>E104-tam_plat!B32</f>
        <v>36359.199999999997</v>
      </c>
      <c r="F103" s="5">
        <f t="shared" si="2"/>
        <v>0</v>
      </c>
      <c r="G103" s="5">
        <v>1</v>
      </c>
      <c r="H103" s="9">
        <v>0.65400000000000003</v>
      </c>
      <c r="I103" s="5">
        <v>18</v>
      </c>
      <c r="J103" s="5">
        <f>I103/geral!$B$1</f>
        <v>72</v>
      </c>
    </row>
    <row r="104" spans="1:10" x14ac:dyDescent="0.25">
      <c r="A104" t="s">
        <v>146</v>
      </c>
      <c r="B104" s="3">
        <v>103</v>
      </c>
      <c r="C104" s="3">
        <v>0</v>
      </c>
      <c r="D104" s="3">
        <v>87</v>
      </c>
      <c r="E104" s="3">
        <f>(2*geral!$B$10)-loc_est!B8+(tam_plat!B32/2)</f>
        <v>36495.199999999997</v>
      </c>
      <c r="F104" s="5">
        <f t="shared" si="2"/>
        <v>22.777777777777779</v>
      </c>
      <c r="G104" s="5">
        <v>1</v>
      </c>
      <c r="H104" s="9">
        <f t="shared" si="3"/>
        <v>1</v>
      </c>
      <c r="I104" s="5">
        <v>18</v>
      </c>
      <c r="J104" s="5">
        <f>I104/geral!$B$1</f>
        <v>72</v>
      </c>
    </row>
    <row r="105" spans="1:10" x14ac:dyDescent="0.25">
      <c r="B105" s="3">
        <v>104</v>
      </c>
      <c r="C105" s="3">
        <v>0</v>
      </c>
      <c r="D105" s="3">
        <v>62</v>
      </c>
      <c r="E105" s="3">
        <f>(2*geral!$B$10)-9076.6</f>
        <v>38394.6</v>
      </c>
      <c r="F105" s="5">
        <f t="shared" si="2"/>
        <v>15.833333333333332</v>
      </c>
      <c r="G105" s="5">
        <v>1</v>
      </c>
      <c r="H105" s="9">
        <f t="shared" si="3"/>
        <v>1</v>
      </c>
      <c r="I105" s="5">
        <v>18</v>
      </c>
      <c r="J105" s="5">
        <f>I105/geral!$B$1</f>
        <v>72</v>
      </c>
    </row>
    <row r="106" spans="1:10" x14ac:dyDescent="0.25">
      <c r="B106" s="3">
        <v>105</v>
      </c>
      <c r="C106" s="3">
        <v>1</v>
      </c>
      <c r="D106" s="3">
        <v>0</v>
      </c>
      <c r="E106" s="3">
        <f>E107-tam_plat!B33</f>
        <v>38639</v>
      </c>
      <c r="F106" s="5">
        <f t="shared" si="2"/>
        <v>0</v>
      </c>
      <c r="G106" s="5">
        <v>1</v>
      </c>
      <c r="H106" s="9">
        <v>0.65400000000000003</v>
      </c>
      <c r="I106" s="5">
        <v>18</v>
      </c>
      <c r="J106" s="5">
        <f>I106/geral!$B$1</f>
        <v>72</v>
      </c>
    </row>
    <row r="107" spans="1:10" x14ac:dyDescent="0.25">
      <c r="A107" t="s">
        <v>145</v>
      </c>
      <c r="B107" s="3">
        <v>106</v>
      </c>
      <c r="C107" s="3">
        <v>0</v>
      </c>
      <c r="D107" s="3">
        <v>87</v>
      </c>
      <c r="E107" s="3">
        <f>(2*geral!$B$10)-loc_est!B7+(tam_plat!B33/2)</f>
        <v>38775</v>
      </c>
      <c r="F107" s="5">
        <f t="shared" si="2"/>
        <v>22.777777777777779</v>
      </c>
      <c r="G107" s="5">
        <v>1</v>
      </c>
      <c r="H107" s="9">
        <f t="shared" si="3"/>
        <v>1</v>
      </c>
      <c r="I107" s="5">
        <v>18</v>
      </c>
      <c r="J107" s="5">
        <f>I107/geral!$B$1</f>
        <v>72</v>
      </c>
    </row>
    <row r="108" spans="1:10" x14ac:dyDescent="0.25">
      <c r="B108" s="3">
        <v>107</v>
      </c>
      <c r="C108" s="3">
        <v>0</v>
      </c>
      <c r="D108" s="3">
        <v>62</v>
      </c>
      <c r="E108" s="3">
        <f>(2*geral!$B$10)-7876.4</f>
        <v>39594.799999999996</v>
      </c>
      <c r="F108" s="5">
        <f t="shared" si="2"/>
        <v>15.833333333333332</v>
      </c>
      <c r="G108" s="5">
        <v>1</v>
      </c>
      <c r="H108" s="9">
        <f t="shared" si="3"/>
        <v>1</v>
      </c>
      <c r="I108" s="5">
        <v>18</v>
      </c>
      <c r="J108" s="5">
        <f>I108/geral!$B$1</f>
        <v>72</v>
      </c>
    </row>
    <row r="109" spans="1:10" x14ac:dyDescent="0.25">
      <c r="B109" s="3">
        <v>108</v>
      </c>
      <c r="C109" s="3">
        <v>1</v>
      </c>
      <c r="D109" s="3">
        <v>0</v>
      </c>
      <c r="E109" s="3">
        <f>E110-tam_plat!B34</f>
        <v>39820.299999999996</v>
      </c>
      <c r="F109" s="5">
        <f t="shared" si="2"/>
        <v>0</v>
      </c>
      <c r="G109" s="5">
        <v>1</v>
      </c>
      <c r="H109" s="9">
        <v>0.65400000000000003</v>
      </c>
      <c r="I109" s="5">
        <v>18</v>
      </c>
      <c r="J109" s="5">
        <f>I109/geral!$B$1</f>
        <v>72</v>
      </c>
    </row>
    <row r="110" spans="1:10" x14ac:dyDescent="0.25">
      <c r="A110" t="s">
        <v>144</v>
      </c>
      <c r="B110" s="3">
        <v>109</v>
      </c>
      <c r="C110" s="3">
        <v>0</v>
      </c>
      <c r="D110" s="3">
        <v>75</v>
      </c>
      <c r="E110" s="3">
        <f>(2*geral!$B$10)-loc_est!B6+(tam_plat!B34/2)</f>
        <v>39956.299999999996</v>
      </c>
      <c r="F110" s="5">
        <f t="shared" si="2"/>
        <v>19.444444444444443</v>
      </c>
      <c r="G110" s="5">
        <v>1</v>
      </c>
      <c r="H110" s="9">
        <f t="shared" si="3"/>
        <v>1</v>
      </c>
      <c r="I110" s="5">
        <v>18</v>
      </c>
      <c r="J110" s="5">
        <f>I110/geral!$B$1</f>
        <v>72</v>
      </c>
    </row>
    <row r="111" spans="1:10" x14ac:dyDescent="0.25">
      <c r="B111" s="3">
        <v>110</v>
      </c>
      <c r="C111" s="3">
        <v>0</v>
      </c>
      <c r="D111" s="3">
        <v>87</v>
      </c>
      <c r="E111" s="3">
        <f>(2*geral!$B$10)-7311.6</f>
        <v>40159.599999999999</v>
      </c>
      <c r="F111" s="5">
        <f t="shared" si="2"/>
        <v>22.777777777777779</v>
      </c>
      <c r="G111" s="5">
        <v>1</v>
      </c>
      <c r="H111" s="9">
        <f t="shared" si="3"/>
        <v>1</v>
      </c>
      <c r="I111" s="5">
        <v>18</v>
      </c>
      <c r="J111" s="5">
        <f>I111/geral!$B$1</f>
        <v>72</v>
      </c>
    </row>
    <row r="112" spans="1:10" x14ac:dyDescent="0.25">
      <c r="B112" s="3">
        <v>111</v>
      </c>
      <c r="C112" s="3">
        <v>0</v>
      </c>
      <c r="D112" s="3">
        <v>75</v>
      </c>
      <c r="E112" s="3">
        <f>(2*geral!$B$10)-6376.6</f>
        <v>41094.6</v>
      </c>
      <c r="F112" s="5">
        <f t="shared" si="2"/>
        <v>19.444444444444443</v>
      </c>
      <c r="G112" s="5">
        <v>1</v>
      </c>
      <c r="H112" s="9">
        <f t="shared" si="3"/>
        <v>1</v>
      </c>
      <c r="I112" s="5">
        <v>18</v>
      </c>
      <c r="J112" s="5">
        <f>I112/geral!$B$1</f>
        <v>72</v>
      </c>
    </row>
    <row r="113" spans="1:10" x14ac:dyDescent="0.25">
      <c r="B113" s="3">
        <v>112</v>
      </c>
      <c r="C113" s="3">
        <v>0</v>
      </c>
      <c r="D113" s="3">
        <v>62</v>
      </c>
      <c r="E113" s="3">
        <f>(2*geral!$B$10)-6222.6</f>
        <v>41248.6</v>
      </c>
      <c r="F113" s="5">
        <f t="shared" si="2"/>
        <v>15.833333333333332</v>
      </c>
      <c r="G113" s="5">
        <v>1</v>
      </c>
      <c r="H113" s="9">
        <f t="shared" si="3"/>
        <v>1</v>
      </c>
      <c r="I113" s="5">
        <v>18</v>
      </c>
      <c r="J113" s="5">
        <f>I113/geral!$B$1</f>
        <v>72</v>
      </c>
    </row>
    <row r="114" spans="1:10" x14ac:dyDescent="0.25">
      <c r="B114" s="3">
        <v>113</v>
      </c>
      <c r="C114" s="3">
        <v>1</v>
      </c>
      <c r="D114" s="3">
        <v>0</v>
      </c>
      <c r="E114" s="3">
        <f>E115-tam_plat!B35</f>
        <v>41357.5</v>
      </c>
      <c r="F114" s="5">
        <f t="shared" si="2"/>
        <v>0</v>
      </c>
      <c r="G114" s="5">
        <v>1</v>
      </c>
      <c r="H114" s="9">
        <v>0.65400000000000003</v>
      </c>
      <c r="I114" s="5">
        <v>18</v>
      </c>
      <c r="J114" s="5">
        <f>I114/geral!$B$1</f>
        <v>72</v>
      </c>
    </row>
    <row r="115" spans="1:10" x14ac:dyDescent="0.25">
      <c r="A115" t="s">
        <v>143</v>
      </c>
      <c r="B115" s="3">
        <v>114</v>
      </c>
      <c r="C115" s="3">
        <v>0</v>
      </c>
      <c r="D115" s="3">
        <v>87</v>
      </c>
      <c r="E115" s="3">
        <f>(2*geral!$B$10)-loc_est!B5+(tam_plat!B35/2)</f>
        <v>41493.5</v>
      </c>
      <c r="F115" s="5">
        <f t="shared" si="2"/>
        <v>22.777777777777779</v>
      </c>
      <c r="G115" s="5">
        <v>1</v>
      </c>
      <c r="H115" s="9">
        <f t="shared" si="3"/>
        <v>1</v>
      </c>
      <c r="I115" s="5">
        <v>18</v>
      </c>
      <c r="J115" s="5">
        <f>I115/geral!$B$1</f>
        <v>72</v>
      </c>
    </row>
    <row r="116" spans="1:10" x14ac:dyDescent="0.25">
      <c r="B116" s="3">
        <v>115</v>
      </c>
      <c r="C116" s="3">
        <v>0</v>
      </c>
      <c r="D116" s="3">
        <v>62</v>
      </c>
      <c r="E116" s="3">
        <f>(2*geral!$B$10)-4550.6</f>
        <v>42920.6</v>
      </c>
      <c r="F116" s="5">
        <f t="shared" si="2"/>
        <v>15.833333333333332</v>
      </c>
      <c r="G116" s="5">
        <v>1</v>
      </c>
      <c r="H116" s="9">
        <f t="shared" si="3"/>
        <v>1</v>
      </c>
      <c r="I116" s="5">
        <v>18</v>
      </c>
      <c r="J116" s="5">
        <f>I116/geral!$B$1</f>
        <v>72</v>
      </c>
    </row>
    <row r="117" spans="1:10" x14ac:dyDescent="0.25">
      <c r="B117" s="3">
        <v>116</v>
      </c>
      <c r="C117" s="3">
        <v>1</v>
      </c>
      <c r="D117" s="3">
        <v>0</v>
      </c>
      <c r="E117" s="3">
        <f>E118-tam_plat!B36</f>
        <v>43069.599999999999</v>
      </c>
      <c r="F117" s="5">
        <f t="shared" si="2"/>
        <v>0</v>
      </c>
      <c r="G117" s="5">
        <v>1</v>
      </c>
      <c r="H117" s="9">
        <v>0.65400000000000003</v>
      </c>
      <c r="I117" s="5">
        <v>18</v>
      </c>
      <c r="J117" s="5">
        <f>I117/geral!$B$1</f>
        <v>72</v>
      </c>
    </row>
    <row r="118" spans="1:10" x14ac:dyDescent="0.25">
      <c r="A118" t="s">
        <v>142</v>
      </c>
      <c r="B118" s="3">
        <v>117</v>
      </c>
      <c r="C118" s="3">
        <v>0</v>
      </c>
      <c r="D118" s="3">
        <v>87</v>
      </c>
      <c r="E118" s="3">
        <f>(2*geral!$B$10)-loc_est!B4+(tam_plat!B36/2)</f>
        <v>43205.599999999999</v>
      </c>
      <c r="F118" s="5">
        <f t="shared" si="2"/>
        <v>22.777777777777779</v>
      </c>
      <c r="G118" s="5">
        <v>1</v>
      </c>
      <c r="H118" s="9">
        <f t="shared" si="3"/>
        <v>1</v>
      </c>
      <c r="I118" s="5">
        <v>18</v>
      </c>
      <c r="J118" s="5">
        <f>I118/geral!$B$1</f>
        <v>72</v>
      </c>
    </row>
    <row r="119" spans="1:10" x14ac:dyDescent="0.25">
      <c r="B119" s="3">
        <v>118</v>
      </c>
      <c r="C119" s="3">
        <v>0</v>
      </c>
      <c r="D119" s="3">
        <v>75</v>
      </c>
      <c r="E119" s="3">
        <f>(2*geral!$B$10)-3192.6</f>
        <v>44278.6</v>
      </c>
      <c r="F119" s="5">
        <f t="shared" si="2"/>
        <v>19.444444444444443</v>
      </c>
      <c r="G119" s="5">
        <v>1</v>
      </c>
      <c r="H119" s="9">
        <f t="shared" si="3"/>
        <v>1</v>
      </c>
      <c r="I119" s="5">
        <v>18</v>
      </c>
      <c r="J119" s="5">
        <f>I119/geral!$B$1</f>
        <v>72</v>
      </c>
    </row>
    <row r="120" spans="1:10" x14ac:dyDescent="0.25">
      <c r="B120" s="3">
        <v>119</v>
      </c>
      <c r="C120" s="3">
        <v>0</v>
      </c>
      <c r="D120" s="3">
        <v>62</v>
      </c>
      <c r="E120" s="3">
        <f>(2*geral!$B$10)-2837.6</f>
        <v>44633.599999999999</v>
      </c>
      <c r="F120" s="5">
        <f t="shared" si="2"/>
        <v>15.833333333333332</v>
      </c>
      <c r="G120" s="5">
        <v>1</v>
      </c>
      <c r="H120" s="9">
        <f t="shared" si="3"/>
        <v>1</v>
      </c>
      <c r="I120" s="5">
        <v>18</v>
      </c>
      <c r="J120" s="5">
        <f>I120/geral!$B$1</f>
        <v>72</v>
      </c>
    </row>
    <row r="121" spans="1:10" x14ac:dyDescent="0.25">
      <c r="B121" s="3">
        <v>120</v>
      </c>
      <c r="C121" s="3">
        <v>0</v>
      </c>
      <c r="D121" s="3">
        <v>44</v>
      </c>
      <c r="E121" s="3">
        <f>(2*geral!$B$10)-2654.6</f>
        <v>44816.6</v>
      </c>
      <c r="F121" s="5">
        <f t="shared" si="2"/>
        <v>10.833333333333334</v>
      </c>
      <c r="G121" s="5">
        <v>1</v>
      </c>
      <c r="H121" s="9">
        <f t="shared" si="3"/>
        <v>1</v>
      </c>
      <c r="I121" s="5">
        <v>18</v>
      </c>
      <c r="J121" s="5">
        <f>I121/geral!$B$1</f>
        <v>72</v>
      </c>
    </row>
    <row r="122" spans="1:10" x14ac:dyDescent="0.25">
      <c r="B122" s="3">
        <v>121</v>
      </c>
      <c r="C122" s="3">
        <v>1</v>
      </c>
      <c r="D122" s="3">
        <v>0</v>
      </c>
      <c r="E122" s="3">
        <f>E123-tam_plat!B37</f>
        <v>45184.799999999996</v>
      </c>
      <c r="F122" s="5">
        <f t="shared" si="2"/>
        <v>0</v>
      </c>
      <c r="G122" s="5">
        <v>1</v>
      </c>
      <c r="H122" s="9">
        <v>0.65400000000000003</v>
      </c>
      <c r="I122" s="5">
        <v>18</v>
      </c>
      <c r="J122" s="5">
        <f>I122/geral!$B$1</f>
        <v>72</v>
      </c>
    </row>
    <row r="123" spans="1:10" x14ac:dyDescent="0.25">
      <c r="A123" t="s">
        <v>141</v>
      </c>
      <c r="B123" s="3">
        <v>122</v>
      </c>
      <c r="C123" s="3">
        <v>0</v>
      </c>
      <c r="D123" s="3">
        <v>62</v>
      </c>
      <c r="E123" s="3">
        <f>(2*geral!$B$10)-loc_est!B3+(tam_plat!B37/2)</f>
        <v>45320.799999999996</v>
      </c>
      <c r="F123" s="5">
        <f t="shared" si="2"/>
        <v>15.833333333333332</v>
      </c>
      <c r="G123" s="5">
        <v>1</v>
      </c>
      <c r="H123" s="9">
        <f t="shared" si="3"/>
        <v>1</v>
      </c>
      <c r="I123" s="5">
        <v>18</v>
      </c>
      <c r="J123" s="5">
        <f>I123/geral!$B$1</f>
        <v>72</v>
      </c>
    </row>
    <row r="124" spans="1:10" x14ac:dyDescent="0.25">
      <c r="B124" s="3">
        <v>123</v>
      </c>
      <c r="C124" s="3">
        <v>0</v>
      </c>
      <c r="D124" s="3">
        <v>87</v>
      </c>
      <c r="E124" s="3">
        <f>(2*geral!$B$10)-2130.6</f>
        <v>45340.6</v>
      </c>
      <c r="F124" s="5">
        <f t="shared" si="2"/>
        <v>22.777777777777779</v>
      </c>
      <c r="G124" s="5">
        <v>1</v>
      </c>
      <c r="H124" s="9">
        <f t="shared" si="3"/>
        <v>1</v>
      </c>
      <c r="I124" s="5">
        <v>18</v>
      </c>
      <c r="J124" s="5">
        <f>I124/geral!$B$1</f>
        <v>72</v>
      </c>
    </row>
    <row r="125" spans="1:10" x14ac:dyDescent="0.25">
      <c r="B125" s="3">
        <v>124</v>
      </c>
      <c r="C125" s="3">
        <v>0</v>
      </c>
      <c r="D125" s="3">
        <v>62</v>
      </c>
      <c r="E125" s="3">
        <f>(2*geral!$B$10)-1043.6</f>
        <v>46427.6</v>
      </c>
      <c r="F125" s="5">
        <f t="shared" si="2"/>
        <v>15.833333333333332</v>
      </c>
      <c r="G125" s="5">
        <v>1</v>
      </c>
      <c r="H125" s="9">
        <f t="shared" si="3"/>
        <v>1</v>
      </c>
      <c r="I125" s="5">
        <v>18</v>
      </c>
      <c r="J125" s="5">
        <f>I125/geral!$B$1</f>
        <v>72</v>
      </c>
    </row>
    <row r="126" spans="1:10" x14ac:dyDescent="0.25">
      <c r="B126" s="3">
        <v>125</v>
      </c>
      <c r="C126" s="3">
        <v>0</v>
      </c>
      <c r="D126" s="3">
        <v>44</v>
      </c>
      <c r="E126" s="3">
        <f>(2*geral!$B$10)-842.6</f>
        <v>46628.6</v>
      </c>
      <c r="F126" s="5">
        <f t="shared" si="2"/>
        <v>10.833333333333334</v>
      </c>
      <c r="G126" s="5">
        <v>1</v>
      </c>
      <c r="H126" s="9">
        <f t="shared" si="3"/>
        <v>1</v>
      </c>
      <c r="I126" s="5">
        <v>18</v>
      </c>
      <c r="J126" s="5">
        <f>I126/geral!$B$1</f>
        <v>72</v>
      </c>
    </row>
    <row r="127" spans="1:10" x14ac:dyDescent="0.25">
      <c r="B127" s="3">
        <v>126</v>
      </c>
      <c r="C127" s="3">
        <v>1</v>
      </c>
      <c r="D127" s="3">
        <v>0</v>
      </c>
      <c r="E127" s="3">
        <f>E128-tam_plat!B38</f>
        <v>46649.649999999994</v>
      </c>
      <c r="F127" s="5">
        <f t="shared" si="2"/>
        <v>0</v>
      </c>
      <c r="G127" s="5">
        <v>1</v>
      </c>
      <c r="H127" s="9">
        <v>0.65400000000000003</v>
      </c>
      <c r="I127" s="5">
        <v>18</v>
      </c>
      <c r="J127" s="5">
        <f>I127/geral!$B$1</f>
        <v>72</v>
      </c>
    </row>
    <row r="128" spans="1:10" x14ac:dyDescent="0.25">
      <c r="A128" t="s">
        <v>140</v>
      </c>
      <c r="B128" s="3">
        <v>127</v>
      </c>
      <c r="C128" s="3">
        <v>0</v>
      </c>
      <c r="D128" s="3">
        <v>44</v>
      </c>
      <c r="E128" s="3">
        <f>(2*geral!$B$10)-loc_est!B2+(tam_plat!B38/2)</f>
        <v>46785.649999999994</v>
      </c>
      <c r="F128" s="5">
        <f t="shared" si="2"/>
        <v>10.833333333333334</v>
      </c>
      <c r="G128" s="5">
        <v>1</v>
      </c>
      <c r="H128" s="9">
        <f t="shared" si="3"/>
        <v>1</v>
      </c>
      <c r="I128" s="5">
        <v>18</v>
      </c>
      <c r="J128" s="5">
        <f>I128/geral!$B$1</f>
        <v>72</v>
      </c>
    </row>
    <row r="129" spans="1:10" x14ac:dyDescent="0.25">
      <c r="B129" s="3">
        <v>128</v>
      </c>
      <c r="C129" s="3">
        <v>1</v>
      </c>
      <c r="D129" s="3">
        <v>0</v>
      </c>
      <c r="E129" s="3">
        <f>E130-tam_plat!B39</f>
        <v>47267.199999999997</v>
      </c>
      <c r="F129" s="5">
        <f t="shared" si="2"/>
        <v>0</v>
      </c>
      <c r="G129" s="5">
        <v>1</v>
      </c>
      <c r="H129" s="9">
        <v>0.65400000000000003</v>
      </c>
      <c r="I129" s="5">
        <v>18</v>
      </c>
      <c r="J129" s="5">
        <f>I129/geral!$B$1</f>
        <v>72</v>
      </c>
    </row>
    <row r="130" spans="1:10" x14ac:dyDescent="0.25">
      <c r="A130" t="s">
        <v>139</v>
      </c>
      <c r="B130" s="3">
        <v>129</v>
      </c>
      <c r="C130" s="3">
        <v>0</v>
      </c>
      <c r="D130" s="3">
        <v>0</v>
      </c>
      <c r="E130" s="3">
        <f>(2*geral!$B$10)-E2</f>
        <v>47403.199999999997</v>
      </c>
      <c r="F130" s="5">
        <f t="shared" si="2"/>
        <v>0</v>
      </c>
      <c r="G130" s="5">
        <v>1</v>
      </c>
      <c r="H130" s="9">
        <f t="shared" si="3"/>
        <v>1</v>
      </c>
      <c r="I130" s="5">
        <v>30</v>
      </c>
      <c r="J130" s="5">
        <f>I130/geral!$B$1</f>
        <v>120</v>
      </c>
    </row>
    <row r="131" spans="1:10" x14ac:dyDescent="0.25">
      <c r="B131" s="3"/>
      <c r="C131" s="3"/>
      <c r="D131" s="3"/>
      <c r="E131" s="3"/>
      <c r="F131" s="5"/>
      <c r="G131" s="5"/>
      <c r="H131" s="9"/>
      <c r="I131" s="5"/>
      <c r="J131" s="5"/>
    </row>
    <row r="132" spans="1:10" x14ac:dyDescent="0.25">
      <c r="B132" s="3"/>
      <c r="C132" s="3"/>
      <c r="D132" s="3"/>
      <c r="E132" s="3"/>
      <c r="F132" s="5"/>
      <c r="G132" s="5"/>
      <c r="H132" s="9"/>
      <c r="I132" s="5"/>
      <c r="J132" s="5"/>
    </row>
    <row r="133" spans="1:10" x14ac:dyDescent="0.25">
      <c r="B133" s="3"/>
      <c r="C133" s="3"/>
      <c r="D133" s="3"/>
      <c r="E133" s="3"/>
      <c r="F133" s="5"/>
      <c r="G133" s="5"/>
      <c r="H133" s="9"/>
      <c r="I133" s="5"/>
      <c r="J133" s="5"/>
    </row>
    <row r="134" spans="1:10" x14ac:dyDescent="0.25">
      <c r="B134" s="3"/>
      <c r="C134" s="3"/>
      <c r="D134" s="3"/>
      <c r="E134" s="3"/>
      <c r="F134" s="5"/>
      <c r="G134" s="5"/>
      <c r="H134" s="9"/>
      <c r="I134" s="5"/>
      <c r="J134" s="5"/>
    </row>
    <row r="135" spans="1:10" x14ac:dyDescent="0.25">
      <c r="B135" s="3"/>
      <c r="C135" s="3"/>
      <c r="D135" s="3"/>
      <c r="E135" s="3"/>
      <c r="F135" s="5"/>
      <c r="G135" s="5"/>
      <c r="H135" s="9"/>
      <c r="I135" s="5"/>
      <c r="J135" s="5"/>
    </row>
    <row r="136" spans="1:10" x14ac:dyDescent="0.25">
      <c r="B136" s="3"/>
      <c r="C136" s="3"/>
      <c r="D136" s="3"/>
      <c r="E136" s="3"/>
      <c r="F136" s="5"/>
      <c r="G136" s="5"/>
      <c r="H136" s="9"/>
      <c r="I136" s="5"/>
      <c r="J136" s="5"/>
    </row>
    <row r="137" spans="1:10" x14ac:dyDescent="0.25">
      <c r="B137" s="3"/>
      <c r="C137" s="3"/>
      <c r="D137" s="3"/>
      <c r="E137" s="3"/>
      <c r="F137" s="5"/>
      <c r="G137" s="5"/>
      <c r="H137" s="9"/>
      <c r="I137" s="5"/>
      <c r="J137" s="5"/>
    </row>
    <row r="138" spans="1:10" x14ac:dyDescent="0.25">
      <c r="B138" s="3"/>
      <c r="C138" s="3"/>
      <c r="D138" s="3"/>
      <c r="E138" s="3"/>
      <c r="F138" s="5"/>
      <c r="G138" s="5"/>
      <c r="H138" s="9"/>
      <c r="I138" s="5"/>
      <c r="J138" s="5"/>
    </row>
    <row r="139" spans="1:10" x14ac:dyDescent="0.25">
      <c r="B139" s="3"/>
      <c r="C139" s="3"/>
      <c r="D139" s="3"/>
      <c r="E139" s="3"/>
      <c r="F139" s="5"/>
      <c r="G139" s="5"/>
      <c r="H139" s="9"/>
      <c r="I139" s="5"/>
      <c r="J139" s="5"/>
    </row>
    <row r="140" spans="1:10" x14ac:dyDescent="0.25">
      <c r="B140" s="3"/>
      <c r="C140" s="3"/>
      <c r="D140" s="3"/>
      <c r="E140" s="3"/>
      <c r="F140" s="5"/>
      <c r="G140" s="5"/>
      <c r="H140" s="9"/>
      <c r="I140" s="5"/>
      <c r="J140" s="5"/>
    </row>
    <row r="141" spans="1:10" x14ac:dyDescent="0.25">
      <c r="B141" s="3"/>
      <c r="C141" s="3"/>
      <c r="D141" s="3"/>
      <c r="E141" s="3"/>
      <c r="F141" s="5"/>
      <c r="G141" s="5"/>
      <c r="H141" s="9"/>
      <c r="I141" s="5"/>
      <c r="J141" s="5"/>
    </row>
    <row r="142" spans="1:10" x14ac:dyDescent="0.25">
      <c r="B142" s="3"/>
      <c r="C142" s="3"/>
      <c r="D142" s="3"/>
      <c r="E142" s="3"/>
      <c r="F142" s="5"/>
      <c r="G142" s="5"/>
      <c r="H142" s="9"/>
      <c r="I142" s="5"/>
      <c r="J142" s="5"/>
    </row>
    <row r="143" spans="1:10" x14ac:dyDescent="0.25">
      <c r="B143" s="3"/>
      <c r="C143" s="3"/>
      <c r="D143" s="3"/>
      <c r="E143" s="3"/>
      <c r="F143" s="5"/>
      <c r="G143" s="5"/>
      <c r="H143" s="9"/>
      <c r="I143" s="5"/>
      <c r="J143" s="5"/>
    </row>
    <row r="144" spans="1:10" x14ac:dyDescent="0.25">
      <c r="B144" s="3"/>
      <c r="C144" s="3"/>
      <c r="D144" s="3"/>
      <c r="E144" s="3"/>
      <c r="F144" s="5"/>
      <c r="G144" s="5"/>
      <c r="H144" s="9"/>
      <c r="I144" s="5"/>
      <c r="J144" s="5"/>
    </row>
    <row r="145" spans="2:10" x14ac:dyDescent="0.25">
      <c r="B145" s="3"/>
      <c r="C145" s="3"/>
      <c r="D145" s="3"/>
      <c r="E145" s="3"/>
      <c r="F145" s="5"/>
      <c r="G145" s="5"/>
      <c r="H145" s="9"/>
      <c r="I145" s="5"/>
      <c r="J145" s="5"/>
    </row>
    <row r="146" spans="2:10" x14ac:dyDescent="0.25">
      <c r="B146" s="3"/>
      <c r="C146" s="3"/>
      <c r="D146" s="3"/>
      <c r="E146" s="3"/>
      <c r="F146" s="5"/>
      <c r="G146" s="5"/>
      <c r="H146" s="9"/>
      <c r="I146" s="5"/>
      <c r="J146" s="5"/>
    </row>
    <row r="147" spans="2:10" x14ac:dyDescent="0.25">
      <c r="B147" s="3"/>
      <c r="C147" s="3"/>
      <c r="D147" s="3"/>
      <c r="E147" s="3"/>
      <c r="F147" s="5"/>
      <c r="G147" s="5"/>
      <c r="H147" s="9"/>
      <c r="I147" s="5"/>
      <c r="J147" s="5"/>
    </row>
    <row r="148" spans="2:10" x14ac:dyDescent="0.25">
      <c r="B148" s="3"/>
      <c r="C148" s="3"/>
      <c r="D148" s="3"/>
      <c r="E148" s="3"/>
      <c r="F148" s="5"/>
      <c r="G148" s="5"/>
      <c r="H148" s="9"/>
      <c r="I148" s="5"/>
      <c r="J148" s="5"/>
    </row>
    <row r="149" spans="2:10" x14ac:dyDescent="0.25">
      <c r="B149" s="3"/>
      <c r="C149" s="3"/>
      <c r="D149" s="3"/>
      <c r="E149" s="3"/>
      <c r="F149" s="5"/>
      <c r="G149" s="5"/>
      <c r="H149" s="9"/>
      <c r="I149" s="5"/>
      <c r="J149" s="5"/>
    </row>
    <row r="150" spans="2:10" x14ac:dyDescent="0.25">
      <c r="B150" s="3"/>
      <c r="C150" s="3"/>
      <c r="D150" s="3"/>
      <c r="E150" s="3"/>
      <c r="F150" s="5"/>
      <c r="G150" s="5"/>
      <c r="H150" s="9"/>
      <c r="I150" s="5"/>
      <c r="J150" s="5"/>
    </row>
    <row r="151" spans="2:10" x14ac:dyDescent="0.25">
      <c r="B151" s="3"/>
      <c r="C151" s="3"/>
      <c r="D151" s="3"/>
      <c r="E151" s="3"/>
      <c r="F151" s="5"/>
      <c r="G151" s="5"/>
      <c r="H151" s="9"/>
      <c r="I151" s="5"/>
      <c r="J151" s="5"/>
    </row>
    <row r="152" spans="2:10" x14ac:dyDescent="0.25">
      <c r="B152" s="3"/>
      <c r="C152" s="3"/>
      <c r="D152" s="3"/>
      <c r="E152" s="3"/>
      <c r="F152" s="5"/>
      <c r="G152" s="5"/>
      <c r="H152" s="9"/>
      <c r="I152" s="5"/>
      <c r="J152" s="5"/>
    </row>
    <row r="153" spans="2:10" x14ac:dyDescent="0.25">
      <c r="B153" s="3"/>
      <c r="C153" s="3"/>
      <c r="D153" s="3"/>
      <c r="E153" s="3"/>
      <c r="F153" s="5"/>
      <c r="G153" s="5"/>
      <c r="H153" s="9"/>
      <c r="I153" s="5"/>
      <c r="J153" s="5"/>
    </row>
    <row r="154" spans="2:10" x14ac:dyDescent="0.25">
      <c r="B154" s="3"/>
      <c r="C154" s="3"/>
      <c r="D154" s="3"/>
      <c r="E154" s="3"/>
      <c r="F154" s="5"/>
      <c r="G154" s="5"/>
      <c r="H154" s="9"/>
      <c r="I154" s="5"/>
      <c r="J154" s="5"/>
    </row>
    <row r="155" spans="2:10" x14ac:dyDescent="0.25">
      <c r="B155" s="3"/>
      <c r="C155" s="3"/>
      <c r="D155" s="3"/>
      <c r="E155" s="3"/>
      <c r="F155" s="5"/>
      <c r="G155" s="5"/>
      <c r="H155" s="9"/>
      <c r="I155" s="5"/>
      <c r="J155" s="5"/>
    </row>
    <row r="156" spans="2:10" x14ac:dyDescent="0.25">
      <c r="B156" s="3"/>
      <c r="C156" s="3"/>
      <c r="D156" s="3"/>
      <c r="E156" s="3"/>
      <c r="F156" s="5"/>
      <c r="G156" s="5"/>
      <c r="H156" s="9"/>
      <c r="I156" s="5"/>
      <c r="J156" s="5"/>
    </row>
    <row r="157" spans="2:10" x14ac:dyDescent="0.25">
      <c r="B157" s="3"/>
      <c r="C157" s="3"/>
      <c r="D157" s="3"/>
      <c r="E157" s="3"/>
      <c r="F157" s="5"/>
      <c r="G157" s="5"/>
      <c r="H157" s="9"/>
      <c r="I157" s="5"/>
      <c r="J157" s="5"/>
    </row>
    <row r="158" spans="2:10" x14ac:dyDescent="0.25">
      <c r="B158" s="3"/>
      <c r="C158" s="3"/>
      <c r="D158" s="3"/>
      <c r="E158" s="3"/>
      <c r="F158" s="5"/>
      <c r="G158" s="5"/>
      <c r="H158" s="9"/>
      <c r="I158" s="5"/>
      <c r="J158" s="5"/>
    </row>
    <row r="159" spans="2:10" x14ac:dyDescent="0.25">
      <c r="B159" s="3"/>
      <c r="C159" s="3"/>
      <c r="D159" s="3"/>
      <c r="E159" s="3"/>
      <c r="F159" s="5"/>
      <c r="G159" s="5"/>
      <c r="H159" s="9"/>
      <c r="I159" s="5"/>
      <c r="J159" s="5"/>
    </row>
    <row r="160" spans="2:10" x14ac:dyDescent="0.25">
      <c r="B160" s="3"/>
      <c r="C160" s="3"/>
      <c r="D160" s="3"/>
      <c r="E160" s="3"/>
      <c r="F160" s="5"/>
      <c r="G160" s="5"/>
      <c r="H160" s="9"/>
      <c r="I160" s="5"/>
      <c r="J160" s="5"/>
    </row>
    <row r="161" spans="2:10" x14ac:dyDescent="0.25">
      <c r="B161" s="3"/>
      <c r="C161" s="3"/>
      <c r="D161" s="3"/>
      <c r="E161" s="3"/>
      <c r="F161" s="5"/>
      <c r="G161" s="5"/>
      <c r="H161" s="9"/>
      <c r="I161" s="5"/>
      <c r="J161" s="5"/>
    </row>
    <row r="162" spans="2:10" x14ac:dyDescent="0.25">
      <c r="B162" s="3"/>
      <c r="C162" s="3"/>
      <c r="D162" s="3"/>
      <c r="E162" s="3"/>
      <c r="F162" s="5"/>
      <c r="G162" s="5"/>
      <c r="H162" s="9"/>
      <c r="I162" s="5"/>
      <c r="J162" s="5"/>
    </row>
    <row r="163" spans="2:10" x14ac:dyDescent="0.25">
      <c r="B163" s="3"/>
      <c r="C163" s="3"/>
      <c r="D163" s="3"/>
      <c r="E163" s="3"/>
      <c r="F163" s="5"/>
      <c r="G163" s="5"/>
      <c r="H163" s="9"/>
      <c r="I163" s="5"/>
      <c r="J163" s="5"/>
    </row>
    <row r="164" spans="2:10" x14ac:dyDescent="0.25">
      <c r="B164" s="3"/>
      <c r="C164" s="3"/>
      <c r="D164" s="3"/>
      <c r="E164" s="3"/>
      <c r="F164" s="5"/>
      <c r="G164" s="5"/>
      <c r="H164" s="9"/>
      <c r="I164" s="5"/>
      <c r="J164" s="5"/>
    </row>
    <row r="165" spans="2:10" x14ac:dyDescent="0.25">
      <c r="B165" s="3"/>
      <c r="C165" s="3"/>
      <c r="D165" s="3"/>
      <c r="E165" s="3"/>
      <c r="F165" s="5"/>
      <c r="G165" s="5"/>
      <c r="H165" s="9"/>
      <c r="I165" s="5"/>
      <c r="J165" s="5"/>
    </row>
    <row r="166" spans="2:10" x14ac:dyDescent="0.25">
      <c r="B166" s="3"/>
      <c r="C166" s="3"/>
      <c r="D166" s="3"/>
      <c r="E166" s="3"/>
      <c r="F166" s="5"/>
      <c r="G166" s="5"/>
      <c r="H166" s="9"/>
      <c r="I166" s="5"/>
      <c r="J166" s="5"/>
    </row>
    <row r="167" spans="2:10" x14ac:dyDescent="0.25">
      <c r="B167" s="3"/>
      <c r="C167" s="3"/>
      <c r="D167" s="3"/>
      <c r="E167" s="3"/>
      <c r="F167" s="5"/>
      <c r="G167" s="5"/>
      <c r="H167" s="9"/>
      <c r="I167" s="5"/>
      <c r="J167" s="5"/>
    </row>
    <row r="168" spans="2:10" x14ac:dyDescent="0.25">
      <c r="B168" s="3"/>
      <c r="C168" s="3"/>
      <c r="D168" s="3"/>
      <c r="E168" s="3"/>
      <c r="F168" s="5"/>
      <c r="G168" s="5"/>
      <c r="H168" s="9"/>
      <c r="I168" s="5"/>
      <c r="J168" s="5"/>
    </row>
    <row r="169" spans="2:10" x14ac:dyDescent="0.25">
      <c r="B169" s="3"/>
      <c r="C169" s="3"/>
      <c r="D169" s="3"/>
      <c r="E169" s="3"/>
      <c r="F169" s="5"/>
      <c r="G169" s="5"/>
      <c r="H169" s="9"/>
      <c r="I169" s="5"/>
      <c r="J169" s="5"/>
    </row>
    <row r="170" spans="2:10" x14ac:dyDescent="0.25">
      <c r="B170" s="3"/>
      <c r="C170" s="3"/>
      <c r="D170" s="3"/>
      <c r="E170" s="3"/>
      <c r="F170" s="5"/>
      <c r="G170" s="5"/>
      <c r="H170" s="9"/>
      <c r="I170" s="5"/>
      <c r="J170" s="5"/>
    </row>
    <row r="171" spans="2:10" x14ac:dyDescent="0.25">
      <c r="B171" s="3"/>
      <c r="C171" s="3"/>
      <c r="D171" s="3"/>
      <c r="E171" s="3"/>
      <c r="F171" s="5"/>
      <c r="G171" s="5"/>
      <c r="H171" s="9"/>
      <c r="I171" s="5"/>
      <c r="J171" s="5"/>
    </row>
    <row r="172" spans="2:10" x14ac:dyDescent="0.25">
      <c r="B172" s="3"/>
      <c r="C172" s="3"/>
      <c r="D172" s="3"/>
      <c r="E172" s="3"/>
      <c r="F172" s="5"/>
      <c r="G172" s="5"/>
      <c r="H172" s="9"/>
      <c r="I172" s="5"/>
      <c r="J172" s="5"/>
    </row>
    <row r="173" spans="2:10" x14ac:dyDescent="0.25">
      <c r="B173" s="3"/>
      <c r="C173" s="3"/>
      <c r="D173" s="3"/>
      <c r="E173" s="3"/>
      <c r="F173" s="5"/>
      <c r="G173" s="5"/>
      <c r="H173" s="9"/>
      <c r="I173" s="5"/>
      <c r="J173" s="5"/>
    </row>
    <row r="174" spans="2:10" x14ac:dyDescent="0.25">
      <c r="B174" s="3"/>
      <c r="C174" s="3"/>
      <c r="D174" s="3"/>
      <c r="E174" s="3"/>
      <c r="F174" s="5"/>
      <c r="G174" s="5"/>
      <c r="H174" s="9"/>
      <c r="I174" s="5"/>
      <c r="J174" s="5"/>
    </row>
    <row r="175" spans="2:10" x14ac:dyDescent="0.25">
      <c r="B175" s="3"/>
      <c r="C175" s="3"/>
      <c r="D175" s="3"/>
      <c r="E175" s="3"/>
      <c r="F175" s="5"/>
      <c r="G175" s="5"/>
      <c r="H175" s="9"/>
      <c r="I175" s="5"/>
      <c r="J175" s="5"/>
    </row>
    <row r="176" spans="2:10" x14ac:dyDescent="0.25">
      <c r="B176" s="3"/>
      <c r="C176" s="3"/>
      <c r="D176" s="3"/>
      <c r="E176" s="3"/>
      <c r="F176" s="5"/>
      <c r="G176" s="5"/>
      <c r="H176" s="9"/>
      <c r="I176" s="5"/>
      <c r="J176" s="5"/>
    </row>
    <row r="177" spans="2:10" x14ac:dyDescent="0.25">
      <c r="B177" s="3"/>
      <c r="C177" s="3"/>
      <c r="D177" s="3"/>
      <c r="E177" s="3"/>
      <c r="F177" s="5"/>
      <c r="G177" s="5"/>
      <c r="H177" s="9"/>
      <c r="I177" s="5"/>
      <c r="J177" s="5"/>
    </row>
    <row r="178" spans="2:10" x14ac:dyDescent="0.25">
      <c r="B178" s="3"/>
      <c r="C178" s="3"/>
      <c r="D178" s="3"/>
      <c r="E178" s="3"/>
      <c r="F178" s="5"/>
      <c r="G178" s="5"/>
      <c r="H178" s="9"/>
      <c r="I178" s="5"/>
      <c r="J178" s="5"/>
    </row>
    <row r="179" spans="2:10" x14ac:dyDescent="0.25">
      <c r="B179" s="3"/>
      <c r="C179" s="3"/>
      <c r="D179" s="3"/>
      <c r="E179" s="3"/>
      <c r="F179" s="5"/>
      <c r="G179" s="5"/>
      <c r="H179" s="9"/>
      <c r="I179" s="5"/>
      <c r="J179" s="5"/>
    </row>
    <row r="180" spans="2:10" x14ac:dyDescent="0.25">
      <c r="B180" s="3"/>
      <c r="C180" s="3"/>
      <c r="D180" s="3"/>
      <c r="E180" s="3"/>
      <c r="F180" s="5"/>
      <c r="G180" s="5"/>
      <c r="H180" s="9"/>
      <c r="I180" s="5"/>
      <c r="J180" s="5"/>
    </row>
    <row r="181" spans="2:10" x14ac:dyDescent="0.25">
      <c r="B181" s="3"/>
      <c r="C181" s="3"/>
      <c r="D181" s="3"/>
      <c r="E181" s="3"/>
      <c r="F181" s="5"/>
      <c r="G181" s="5"/>
      <c r="H181" s="9"/>
      <c r="I181" s="5"/>
      <c r="J181" s="5"/>
    </row>
    <row r="182" spans="2:10" x14ac:dyDescent="0.25">
      <c r="B182" s="3"/>
      <c r="C182" s="3"/>
      <c r="D182" s="3"/>
      <c r="E182" s="3"/>
      <c r="F182" s="5"/>
      <c r="G182" s="5"/>
      <c r="H182" s="9"/>
      <c r="I182" s="5"/>
      <c r="J182" s="5"/>
    </row>
    <row r="183" spans="2:10" x14ac:dyDescent="0.25">
      <c r="B183" s="3"/>
      <c r="C183" s="3"/>
      <c r="D183" s="3"/>
      <c r="E183" s="3"/>
      <c r="F183" s="5"/>
      <c r="G183" s="5"/>
      <c r="H183" s="9"/>
      <c r="I183" s="5"/>
      <c r="J183" s="5"/>
    </row>
    <row r="184" spans="2:10" x14ac:dyDescent="0.25">
      <c r="B184" s="3"/>
      <c r="C184" s="3"/>
      <c r="D184" s="3"/>
      <c r="E184" s="3"/>
      <c r="F184" s="5"/>
      <c r="G184" s="5"/>
      <c r="H184" s="9"/>
      <c r="I184" s="5"/>
      <c r="J184" s="5"/>
    </row>
    <row r="185" spans="2:10" x14ac:dyDescent="0.25">
      <c r="B185" s="3"/>
      <c r="C185" s="3"/>
      <c r="D185" s="3"/>
      <c r="E185" s="3"/>
      <c r="F185" s="5"/>
      <c r="G185" s="5"/>
      <c r="H185" s="9"/>
      <c r="I185" s="5"/>
      <c r="J185" s="5"/>
    </row>
    <row r="186" spans="2:10" x14ac:dyDescent="0.25">
      <c r="B186" s="3"/>
      <c r="C186" s="3"/>
      <c r="D186" s="3"/>
      <c r="E186" s="3"/>
      <c r="F186" s="5"/>
      <c r="G186" s="5"/>
      <c r="H186" s="9"/>
      <c r="I186" s="5"/>
      <c r="J186" s="5"/>
    </row>
    <row r="187" spans="2:10" x14ac:dyDescent="0.25">
      <c r="B187" s="3"/>
      <c r="C187" s="3"/>
      <c r="D187" s="3"/>
      <c r="E187" s="3"/>
      <c r="F187" s="5"/>
      <c r="G187" s="5"/>
      <c r="H187" s="9"/>
      <c r="I187" s="5"/>
      <c r="J187" s="5"/>
    </row>
    <row r="188" spans="2:10" x14ac:dyDescent="0.25">
      <c r="B188" s="3"/>
      <c r="C188" s="3"/>
      <c r="D188" s="3"/>
      <c r="E188" s="3"/>
      <c r="F188" s="5"/>
      <c r="G188" s="5"/>
      <c r="H188" s="9"/>
      <c r="I188" s="5"/>
      <c r="J188" s="5"/>
    </row>
    <row r="189" spans="2:10" x14ac:dyDescent="0.25">
      <c r="B189" s="3"/>
      <c r="C189" s="3"/>
      <c r="D189" s="3"/>
      <c r="E189" s="3"/>
      <c r="F189" s="5"/>
      <c r="G189" s="5"/>
      <c r="H189" s="9"/>
      <c r="I189" s="5"/>
      <c r="J189" s="5"/>
    </row>
    <row r="190" spans="2:10" x14ac:dyDescent="0.25">
      <c r="B190" s="3"/>
      <c r="C190" s="3"/>
      <c r="D190" s="3"/>
      <c r="E190" s="3"/>
      <c r="F190" s="5"/>
      <c r="G190" s="5"/>
      <c r="H190" s="9"/>
      <c r="I190" s="5"/>
      <c r="J190" s="5"/>
    </row>
    <row r="191" spans="2:10" x14ac:dyDescent="0.25">
      <c r="B191" s="3"/>
      <c r="C191" s="3"/>
      <c r="D191" s="3"/>
      <c r="E191" s="3"/>
      <c r="F191" s="5"/>
      <c r="G191" s="5"/>
      <c r="H191" s="9"/>
      <c r="I191" s="5"/>
      <c r="J191" s="5"/>
    </row>
    <row r="192" spans="2:10" x14ac:dyDescent="0.25">
      <c r="B192" s="3"/>
      <c r="C192" s="3"/>
      <c r="D192" s="3"/>
      <c r="E192" s="3"/>
      <c r="F192" s="5"/>
      <c r="G192" s="5"/>
      <c r="H192" s="9"/>
      <c r="I192" s="5"/>
      <c r="J192" s="5"/>
    </row>
    <row r="193" spans="2:10" x14ac:dyDescent="0.25">
      <c r="B193" s="3"/>
      <c r="C193" s="3"/>
      <c r="D193" s="3"/>
      <c r="E193" s="3"/>
      <c r="F193" s="5"/>
      <c r="G193" s="5"/>
      <c r="H193" s="9"/>
      <c r="I193" s="5"/>
      <c r="J193" s="5"/>
    </row>
    <row r="194" spans="2:10" x14ac:dyDescent="0.25">
      <c r="B194" s="3"/>
      <c r="C194" s="3"/>
      <c r="D194" s="3"/>
      <c r="E194" s="3"/>
      <c r="F194" s="5"/>
      <c r="G194" s="5"/>
      <c r="H194" s="9"/>
      <c r="I194" s="5"/>
      <c r="J194" s="5"/>
    </row>
    <row r="195" spans="2:10" x14ac:dyDescent="0.25">
      <c r="B195" s="3"/>
      <c r="C195" s="3"/>
      <c r="D195" s="3"/>
      <c r="E195" s="3"/>
      <c r="F195" s="5"/>
      <c r="G195" s="5"/>
      <c r="H195" s="9"/>
      <c r="I195" s="5"/>
      <c r="J195" s="5"/>
    </row>
    <row r="196" spans="2:10" x14ac:dyDescent="0.25">
      <c r="B196" s="3"/>
      <c r="C196" s="3"/>
      <c r="D196" s="3"/>
      <c r="E196" s="3"/>
      <c r="F196" s="5"/>
      <c r="G196" s="5"/>
      <c r="H196" s="9"/>
      <c r="I196" s="5"/>
      <c r="J196" s="5"/>
    </row>
    <row r="197" spans="2:10" x14ac:dyDescent="0.25">
      <c r="B197" s="3"/>
      <c r="C197" s="3"/>
      <c r="D197" s="3"/>
      <c r="E197" s="3"/>
      <c r="F197" s="5"/>
      <c r="G197" s="5"/>
      <c r="H197" s="9"/>
      <c r="I197" s="5"/>
      <c r="J197" s="5"/>
    </row>
    <row r="198" spans="2:10" x14ac:dyDescent="0.25">
      <c r="B198" s="3"/>
      <c r="C198" s="3"/>
      <c r="D198" s="3"/>
      <c r="E198" s="3"/>
      <c r="F198" s="5"/>
      <c r="G198" s="5"/>
      <c r="H198" s="9"/>
      <c r="I198" s="5"/>
      <c r="J198" s="5"/>
    </row>
    <row r="199" spans="2:10" x14ac:dyDescent="0.25">
      <c r="B199" s="3"/>
      <c r="C199" s="3"/>
      <c r="D199" s="3"/>
      <c r="E199" s="3"/>
      <c r="F199" s="5"/>
      <c r="G199" s="5"/>
      <c r="H199" s="9"/>
      <c r="I199" s="5"/>
      <c r="J199" s="5"/>
    </row>
    <row r="200" spans="2:10" x14ac:dyDescent="0.25">
      <c r="B200" s="3"/>
      <c r="C200" s="3"/>
      <c r="D200" s="3"/>
      <c r="E200" s="3"/>
      <c r="F200" s="5"/>
      <c r="G200" s="5"/>
      <c r="H200" s="9"/>
      <c r="I200" s="5"/>
      <c r="J200" s="5"/>
    </row>
    <row r="201" spans="2:10" x14ac:dyDescent="0.25">
      <c r="B201" s="3"/>
      <c r="C201" s="3"/>
      <c r="D201" s="3"/>
      <c r="E201" s="3"/>
      <c r="F201" s="5"/>
      <c r="G201" s="5"/>
      <c r="H201" s="9"/>
      <c r="I201" s="5"/>
      <c r="J201" s="5"/>
    </row>
    <row r="202" spans="2:10" x14ac:dyDescent="0.25">
      <c r="B202" s="3"/>
      <c r="C202" s="3"/>
      <c r="D202" s="3"/>
      <c r="E202" s="3"/>
      <c r="F202" s="5"/>
      <c r="G202" s="5"/>
      <c r="H202" s="9"/>
      <c r="I202" s="5"/>
      <c r="J202" s="5"/>
    </row>
    <row r="203" spans="2:10" x14ac:dyDescent="0.25">
      <c r="B203" s="3"/>
      <c r="C203" s="3"/>
      <c r="D203" s="3"/>
      <c r="E203" s="3"/>
      <c r="F203" s="5"/>
      <c r="G203" s="5"/>
      <c r="H203" s="9"/>
      <c r="I203" s="5"/>
      <c r="J203" s="5"/>
    </row>
    <row r="204" spans="2:10" x14ac:dyDescent="0.25">
      <c r="B204" s="3"/>
      <c r="C204" s="3"/>
      <c r="D204" s="3"/>
      <c r="E204" s="3"/>
      <c r="F204" s="5"/>
      <c r="G204" s="5"/>
      <c r="H204" s="9"/>
      <c r="I204" s="5"/>
      <c r="J204" s="5"/>
    </row>
    <row r="205" spans="2:10" x14ac:dyDescent="0.25">
      <c r="B205" s="3"/>
      <c r="C205" s="3"/>
      <c r="D205" s="3"/>
      <c r="E205" s="3"/>
      <c r="F205" s="5"/>
      <c r="G205" s="5"/>
      <c r="H205" s="9"/>
      <c r="I205" s="5"/>
      <c r="J205" s="5"/>
    </row>
    <row r="206" spans="2:10" x14ac:dyDescent="0.25">
      <c r="B206" s="3"/>
      <c r="C206" s="3"/>
      <c r="D206" s="3"/>
      <c r="E206" s="3"/>
      <c r="F206" s="5"/>
      <c r="G206" s="5"/>
      <c r="H206" s="9"/>
      <c r="I206" s="5"/>
      <c r="J206" s="5"/>
    </row>
    <row r="207" spans="2:10" x14ac:dyDescent="0.25">
      <c r="B207" s="3"/>
      <c r="C207" s="3"/>
      <c r="D207" s="3"/>
      <c r="E207" s="3"/>
      <c r="F207" s="5"/>
      <c r="G207" s="5"/>
      <c r="H207" s="9"/>
      <c r="I207" s="5"/>
      <c r="J207" s="5"/>
    </row>
    <row r="208" spans="2:10" x14ac:dyDescent="0.25">
      <c r="B208" s="3"/>
      <c r="C208" s="3"/>
      <c r="D208" s="3"/>
      <c r="E208" s="3"/>
      <c r="F208" s="5"/>
      <c r="G208" s="5"/>
      <c r="H208" s="9"/>
      <c r="I208" s="5"/>
      <c r="J208" s="5"/>
    </row>
    <row r="209" spans="2:10" x14ac:dyDescent="0.25">
      <c r="B209" s="3"/>
      <c r="C209" s="3"/>
      <c r="D209" s="3"/>
      <c r="E209" s="3"/>
      <c r="F209" s="5"/>
      <c r="G209" s="5"/>
      <c r="H209" s="9"/>
      <c r="I209" s="5"/>
      <c r="J209" s="5"/>
    </row>
    <row r="210" spans="2:10" x14ac:dyDescent="0.25">
      <c r="B210" s="3"/>
      <c r="C210" s="3"/>
      <c r="D210" s="3"/>
      <c r="E210" s="3"/>
      <c r="F210" s="5"/>
      <c r="G210" s="5"/>
      <c r="H210" s="9"/>
      <c r="I210" s="5"/>
      <c r="J210" s="5"/>
    </row>
    <row r="211" spans="2:10" x14ac:dyDescent="0.25">
      <c r="B211" s="3"/>
      <c r="C211" s="3"/>
      <c r="D211" s="3"/>
      <c r="E211" s="3"/>
      <c r="F211" s="5"/>
      <c r="G211" s="5"/>
      <c r="H211" s="9"/>
      <c r="I211" s="5"/>
      <c r="J211" s="5"/>
    </row>
    <row r="212" spans="2:10" x14ac:dyDescent="0.25">
      <c r="B212" s="3"/>
      <c r="C212" s="3"/>
      <c r="D212" s="3"/>
      <c r="E212" s="3"/>
      <c r="F212" s="5"/>
      <c r="G212" s="5"/>
      <c r="H212" s="9"/>
      <c r="I212" s="5"/>
      <c r="J212" s="5"/>
    </row>
    <row r="213" spans="2:10" x14ac:dyDescent="0.25">
      <c r="B213" s="3"/>
      <c r="C213" s="3"/>
      <c r="D213" s="3"/>
      <c r="E213" s="3"/>
      <c r="F213" s="5"/>
      <c r="G213" s="5"/>
      <c r="H213" s="9"/>
      <c r="I213" s="5"/>
      <c r="J213" s="5"/>
    </row>
    <row r="214" spans="2:10" x14ac:dyDescent="0.25">
      <c r="B214" s="3"/>
      <c r="C214" s="3"/>
      <c r="D214" s="3"/>
      <c r="E214" s="3"/>
      <c r="F214" s="5"/>
      <c r="G214" s="5"/>
      <c r="H214" s="9"/>
      <c r="I214" s="5"/>
      <c r="J214" s="5"/>
    </row>
    <row r="215" spans="2:10" x14ac:dyDescent="0.25">
      <c r="B215" s="3"/>
      <c r="C215" s="3"/>
      <c r="D215" s="3"/>
      <c r="E215" s="3"/>
      <c r="F215" s="5"/>
      <c r="G215" s="5"/>
      <c r="H215" s="9"/>
      <c r="I215" s="5"/>
      <c r="J215" s="5"/>
    </row>
    <row r="216" spans="2:10" x14ac:dyDescent="0.25">
      <c r="B216" s="3"/>
      <c r="C216" s="3"/>
      <c r="D216" s="3"/>
      <c r="E216" s="3"/>
      <c r="F216" s="5"/>
      <c r="G216" s="5"/>
      <c r="H216" s="9"/>
      <c r="I216" s="5"/>
      <c r="J216" s="5"/>
    </row>
    <row r="217" spans="2:10" x14ac:dyDescent="0.25">
      <c r="B217" s="3"/>
      <c r="C217" s="3"/>
      <c r="D217" s="3"/>
      <c r="E217" s="3"/>
      <c r="F217" s="5"/>
      <c r="G217" s="5"/>
      <c r="H217" s="9"/>
      <c r="I217" s="5"/>
      <c r="J217" s="5"/>
    </row>
    <row r="218" spans="2:10" x14ac:dyDescent="0.25">
      <c r="B218" s="3"/>
      <c r="C218" s="3"/>
      <c r="D218" s="3"/>
      <c r="E218" s="3"/>
      <c r="F218" s="5"/>
      <c r="G218" s="5"/>
      <c r="H218" s="9"/>
      <c r="I218" s="5"/>
      <c r="J218" s="5"/>
    </row>
    <row r="219" spans="2:10" x14ac:dyDescent="0.25">
      <c r="B219" s="3"/>
      <c r="C219" s="3"/>
      <c r="D219" s="3"/>
      <c r="E219" s="3"/>
      <c r="F219" s="5"/>
      <c r="G219" s="5"/>
      <c r="H219" s="9"/>
      <c r="I219" s="5"/>
      <c r="J219" s="5"/>
    </row>
    <row r="220" spans="2:10" x14ac:dyDescent="0.25">
      <c r="B220" s="3"/>
      <c r="C220" s="3"/>
      <c r="D220" s="3"/>
      <c r="E220" s="3"/>
      <c r="F220" s="5"/>
      <c r="G220" s="5"/>
      <c r="H220" s="9"/>
      <c r="I220" s="5"/>
      <c r="J220" s="5"/>
    </row>
    <row r="221" spans="2:10" x14ac:dyDescent="0.25">
      <c r="B221" s="3"/>
      <c r="C221" s="3"/>
      <c r="D221" s="3"/>
      <c r="E221" s="3"/>
      <c r="F221" s="5"/>
      <c r="G221" s="5"/>
      <c r="H221" s="9"/>
      <c r="I221" s="5"/>
      <c r="J221" s="5"/>
    </row>
    <row r="222" spans="2:10" x14ac:dyDescent="0.25">
      <c r="B222" s="3"/>
      <c r="C222" s="3"/>
      <c r="D222" s="3"/>
      <c r="E222" s="3"/>
      <c r="F222" s="5"/>
      <c r="G222" s="5"/>
      <c r="H222" s="9"/>
      <c r="I222" s="5"/>
      <c r="J222" s="5"/>
    </row>
    <row r="223" spans="2:10" x14ac:dyDescent="0.25">
      <c r="B223" s="3"/>
      <c r="C223" s="3"/>
      <c r="D223" s="3"/>
      <c r="E223" s="3"/>
      <c r="F223" s="5"/>
      <c r="G223" s="5"/>
      <c r="H223" s="9"/>
      <c r="I223" s="5"/>
      <c r="J223" s="5"/>
    </row>
    <row r="224" spans="2:10" x14ac:dyDescent="0.25">
      <c r="B224" s="3"/>
      <c r="C224" s="3"/>
      <c r="D224" s="3"/>
      <c r="E224" s="3"/>
      <c r="F224" s="5"/>
      <c r="G224" s="5"/>
      <c r="H224" s="9"/>
      <c r="I224" s="5"/>
      <c r="J224" s="5"/>
    </row>
    <row r="225" spans="2:10" x14ac:dyDescent="0.25">
      <c r="B225" s="3"/>
      <c r="C225" s="3"/>
      <c r="D225" s="3"/>
      <c r="E225" s="3"/>
      <c r="F225" s="5"/>
      <c r="G225" s="5"/>
      <c r="H225" s="9"/>
      <c r="I225" s="5"/>
      <c r="J225" s="5"/>
    </row>
    <row r="226" spans="2:10" x14ac:dyDescent="0.25">
      <c r="B226" s="3"/>
      <c r="C226" s="3"/>
      <c r="D226" s="3"/>
      <c r="E226" s="3"/>
      <c r="F226" s="5"/>
      <c r="G226" s="5"/>
      <c r="H226" s="9"/>
      <c r="I226" s="5"/>
      <c r="J226" s="5"/>
    </row>
    <row r="227" spans="2:10" x14ac:dyDescent="0.25">
      <c r="B227" s="3"/>
      <c r="C227" s="3"/>
      <c r="D227" s="3"/>
      <c r="E227" s="3"/>
      <c r="F227" s="5"/>
      <c r="G227" s="5"/>
      <c r="H227" s="9"/>
      <c r="I227" s="5"/>
      <c r="J227" s="5"/>
    </row>
    <row r="228" spans="2:10" x14ac:dyDescent="0.25">
      <c r="B228" s="3"/>
      <c r="C228" s="3"/>
      <c r="D228" s="3"/>
      <c r="E228" s="3"/>
      <c r="F228" s="5"/>
      <c r="G228" s="5"/>
      <c r="H228" s="9"/>
      <c r="I228" s="5"/>
      <c r="J228" s="5"/>
    </row>
    <row r="229" spans="2:10" x14ac:dyDescent="0.25">
      <c r="B229" s="3"/>
      <c r="C229" s="3"/>
      <c r="D229" s="3"/>
      <c r="E229" s="3"/>
      <c r="F229" s="5"/>
      <c r="G229" s="5"/>
      <c r="H229" s="9"/>
      <c r="I229" s="5"/>
      <c r="J229" s="5"/>
    </row>
    <row r="230" spans="2:10" x14ac:dyDescent="0.25">
      <c r="B230" s="3"/>
      <c r="C230" s="3"/>
      <c r="D230" s="3"/>
      <c r="E230" s="3"/>
      <c r="F230" s="5"/>
      <c r="G230" s="5"/>
      <c r="H230" s="9"/>
      <c r="I230" s="5"/>
      <c r="J230" s="5"/>
    </row>
    <row r="231" spans="2:10" x14ac:dyDescent="0.25">
      <c r="B231" s="3"/>
      <c r="C231" s="3"/>
      <c r="D231" s="3"/>
      <c r="E231" s="3"/>
      <c r="F231" s="5"/>
      <c r="G231" s="5"/>
      <c r="H231" s="9"/>
      <c r="I231" s="5"/>
      <c r="J231" s="5"/>
    </row>
    <row r="232" spans="2:10" x14ac:dyDescent="0.25">
      <c r="B232" s="3"/>
      <c r="C232" s="3"/>
      <c r="D232" s="3"/>
      <c r="E232" s="3"/>
      <c r="F232" s="5"/>
      <c r="G232" s="5"/>
      <c r="H232" s="9"/>
      <c r="I232" s="5"/>
      <c r="J232" s="5"/>
    </row>
    <row r="233" spans="2:10" x14ac:dyDescent="0.25">
      <c r="B233" s="3"/>
      <c r="C233" s="3"/>
      <c r="D233" s="3"/>
      <c r="E233" s="3"/>
      <c r="F233" s="5"/>
      <c r="G233" s="5"/>
      <c r="H233" s="9"/>
      <c r="I233" s="5"/>
      <c r="J233" s="5"/>
    </row>
    <row r="234" spans="2:10" x14ac:dyDescent="0.25">
      <c r="B234" s="3"/>
      <c r="C234" s="3"/>
      <c r="D234" s="3"/>
      <c r="E234" s="3"/>
      <c r="F234" s="5"/>
      <c r="G234" s="5"/>
      <c r="H234" s="9"/>
      <c r="I234" s="5"/>
      <c r="J234" s="5"/>
    </row>
    <row r="235" spans="2:10" x14ac:dyDescent="0.25">
      <c r="B235" s="3"/>
      <c r="C235" s="3"/>
      <c r="D235" s="3"/>
      <c r="E235" s="3"/>
      <c r="F235" s="5"/>
      <c r="G235" s="5"/>
      <c r="H235" s="9"/>
      <c r="I235" s="5"/>
      <c r="J235" s="5"/>
    </row>
    <row r="236" spans="2:10" x14ac:dyDescent="0.25">
      <c r="B236" s="3"/>
      <c r="C236" s="3"/>
      <c r="D236" s="3"/>
      <c r="E236" s="3"/>
      <c r="F236" s="5"/>
      <c r="G236" s="5"/>
      <c r="H236" s="9"/>
      <c r="I236" s="5"/>
      <c r="J236" s="5"/>
    </row>
    <row r="237" spans="2:10" x14ac:dyDescent="0.25">
      <c r="B237" s="3"/>
      <c r="C237" s="3"/>
      <c r="D237" s="3"/>
      <c r="E237" s="3"/>
      <c r="F237" s="5"/>
      <c r="G237" s="5"/>
      <c r="H237" s="9"/>
      <c r="I237" s="5"/>
      <c r="J237" s="5"/>
    </row>
    <row r="238" spans="2:10" x14ac:dyDescent="0.25">
      <c r="B238" s="3"/>
      <c r="C238" s="3"/>
      <c r="D238" s="3"/>
      <c r="E238" s="3"/>
      <c r="F238" s="5"/>
      <c r="G238" s="5"/>
      <c r="H238" s="9"/>
      <c r="I238" s="5"/>
      <c r="J238" s="5"/>
    </row>
    <row r="239" spans="2:10" x14ac:dyDescent="0.25">
      <c r="B239" s="3"/>
      <c r="C239" s="3"/>
      <c r="D239" s="3"/>
      <c r="E239" s="3"/>
      <c r="F239" s="5"/>
      <c r="G239" s="5"/>
      <c r="H239" s="9"/>
      <c r="I239" s="5"/>
      <c r="J239" s="5"/>
    </row>
    <row r="240" spans="2:10" x14ac:dyDescent="0.25">
      <c r="B240" s="3"/>
      <c r="C240" s="3"/>
      <c r="D240" s="3"/>
      <c r="E240" s="3"/>
      <c r="F240" s="5"/>
      <c r="G240" s="5"/>
      <c r="H240" s="9"/>
      <c r="I240" s="5"/>
      <c r="J240" s="5"/>
    </row>
    <row r="241" spans="2:10" x14ac:dyDescent="0.25">
      <c r="B241" s="3"/>
      <c r="C241" s="3"/>
      <c r="D241" s="3"/>
      <c r="E241" s="3"/>
      <c r="F241" s="5"/>
      <c r="G241" s="5"/>
      <c r="H241" s="9"/>
      <c r="I241" s="5"/>
      <c r="J241" s="5"/>
    </row>
    <row r="242" spans="2:10" x14ac:dyDescent="0.25">
      <c r="B242" s="3"/>
      <c r="C242" s="3"/>
      <c r="D242" s="3"/>
      <c r="E242" s="3"/>
      <c r="F242" s="5"/>
      <c r="G242" s="5"/>
      <c r="H242" s="9"/>
      <c r="I242" s="5"/>
      <c r="J242" s="5"/>
    </row>
    <row r="243" spans="2:10" x14ac:dyDescent="0.25">
      <c r="B243" s="3"/>
      <c r="C243" s="3"/>
      <c r="D243" s="3"/>
      <c r="E243" s="3"/>
      <c r="F243" s="5"/>
      <c r="G243" s="5"/>
      <c r="H243" s="9"/>
      <c r="I243" s="5"/>
      <c r="J243" s="5"/>
    </row>
    <row r="244" spans="2:10" x14ac:dyDescent="0.25">
      <c r="B244" s="3"/>
      <c r="C244" s="3"/>
      <c r="D244" s="3"/>
      <c r="E244" s="3"/>
      <c r="F244" s="5"/>
      <c r="G244" s="5"/>
      <c r="H244" s="9"/>
      <c r="I244" s="5"/>
      <c r="J244" s="5"/>
    </row>
    <row r="245" spans="2:10" x14ac:dyDescent="0.25">
      <c r="B245" s="3"/>
      <c r="C245" s="3"/>
      <c r="D245" s="3"/>
      <c r="E245" s="3"/>
      <c r="F245" s="5"/>
      <c r="G245" s="5"/>
      <c r="H245" s="9"/>
      <c r="I245" s="5"/>
      <c r="J245" s="5"/>
    </row>
    <row r="246" spans="2:10" x14ac:dyDescent="0.25">
      <c r="B246" s="3"/>
      <c r="C246" s="3"/>
      <c r="D246" s="3"/>
      <c r="E246" s="3"/>
      <c r="F246" s="5"/>
      <c r="G246" s="5"/>
      <c r="H246" s="9"/>
      <c r="I246" s="5"/>
      <c r="J246" s="5"/>
    </row>
    <row r="247" spans="2:10" x14ac:dyDescent="0.25">
      <c r="B247" s="3"/>
      <c r="C247" s="3"/>
      <c r="D247" s="3"/>
      <c r="E247" s="3"/>
      <c r="F247" s="5"/>
      <c r="G247" s="5"/>
      <c r="H247" s="9"/>
      <c r="I247" s="5"/>
      <c r="J247" s="5"/>
    </row>
    <row r="248" spans="2:10" x14ac:dyDescent="0.25">
      <c r="B248" s="3"/>
      <c r="C248" s="3"/>
      <c r="D248" s="3"/>
      <c r="E248" s="3"/>
      <c r="F248" s="5"/>
      <c r="G248" s="5"/>
      <c r="H248" s="9"/>
      <c r="I248" s="5"/>
      <c r="J248" s="5"/>
    </row>
    <row r="249" spans="2:10" x14ac:dyDescent="0.25">
      <c r="B249" s="3"/>
      <c r="C249" s="3"/>
      <c r="D249" s="3"/>
      <c r="E249" s="3"/>
      <c r="F249" s="5"/>
      <c r="G249" s="5"/>
      <c r="H249" s="9"/>
      <c r="I249" s="5"/>
      <c r="J249" s="5"/>
    </row>
    <row r="250" spans="2:10" x14ac:dyDescent="0.25">
      <c r="B250" s="3"/>
      <c r="C250" s="3"/>
      <c r="D250" s="3"/>
      <c r="E250" s="3"/>
      <c r="F250" s="5"/>
      <c r="G250" s="5"/>
      <c r="H250" s="9"/>
      <c r="I250" s="5"/>
      <c r="J250" s="5"/>
    </row>
    <row r="251" spans="2:10" x14ac:dyDescent="0.25">
      <c r="B251" s="3"/>
      <c r="C251" s="3"/>
      <c r="D251" s="3"/>
      <c r="E251" s="3"/>
      <c r="F251" s="5"/>
      <c r="G251" s="5"/>
      <c r="H251" s="9"/>
      <c r="I251" s="5"/>
      <c r="J251" s="5"/>
    </row>
    <row r="252" spans="2:10" x14ac:dyDescent="0.25">
      <c r="B252" s="3"/>
      <c r="C252" s="3"/>
      <c r="D252" s="3"/>
      <c r="E252" s="3"/>
      <c r="F252" s="5"/>
      <c r="G252" s="5"/>
      <c r="H252" s="9"/>
      <c r="I252" s="5"/>
      <c r="J252" s="5"/>
    </row>
    <row r="253" spans="2:10" x14ac:dyDescent="0.25">
      <c r="B253" s="3"/>
      <c r="C253" s="3"/>
      <c r="D253" s="3"/>
      <c r="E253" s="3"/>
      <c r="F253" s="5"/>
      <c r="G253" s="5"/>
      <c r="H253" s="9"/>
      <c r="I253" s="5"/>
      <c r="J253" s="5"/>
    </row>
    <row r="254" spans="2:10" x14ac:dyDescent="0.25">
      <c r="B254" s="3"/>
      <c r="C254" s="3"/>
      <c r="D254" s="3"/>
      <c r="E254" s="3"/>
      <c r="F254" s="5"/>
      <c r="G254" s="5"/>
      <c r="H254" s="9"/>
      <c r="I254" s="5"/>
      <c r="J254" s="5"/>
    </row>
    <row r="255" spans="2:10" x14ac:dyDescent="0.25">
      <c r="B255" s="3"/>
      <c r="C255" s="3"/>
      <c r="D255" s="3"/>
      <c r="E255" s="3"/>
      <c r="F255" s="5"/>
      <c r="G255" s="5"/>
      <c r="H255" s="9"/>
      <c r="I255" s="5"/>
      <c r="J255" s="5"/>
    </row>
    <row r="256" spans="2:10" x14ac:dyDescent="0.25">
      <c r="B256" s="3"/>
      <c r="C256" s="3"/>
      <c r="D256" s="3"/>
      <c r="E256" s="3"/>
      <c r="F256" s="5"/>
      <c r="G256" s="5"/>
      <c r="H256" s="9"/>
      <c r="I256" s="5"/>
      <c r="J256" s="5"/>
    </row>
    <row r="257" spans="2:10" x14ac:dyDescent="0.25">
      <c r="B257" s="3"/>
      <c r="C257" s="3"/>
      <c r="D257" s="3"/>
      <c r="E257" s="3"/>
      <c r="F257" s="5"/>
      <c r="G257" s="5"/>
      <c r="H257" s="9"/>
      <c r="I257" s="5"/>
      <c r="J257" s="5"/>
    </row>
    <row r="258" spans="2:10" x14ac:dyDescent="0.25">
      <c r="B258" s="3"/>
      <c r="C258" s="3"/>
      <c r="D258" s="3"/>
      <c r="E258" s="3"/>
      <c r="F258" s="5"/>
      <c r="J258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BAA2-9D19-4008-9BB9-86E804177F52}">
  <dimension ref="A1:B39"/>
  <sheetViews>
    <sheetView workbookViewId="0">
      <selection activeCell="A40" sqref="A40:B47"/>
    </sheetView>
  </sheetViews>
  <sheetFormatPr defaultRowHeight="15" x14ac:dyDescent="0.25"/>
  <cols>
    <col min="1" max="1" width="11.28515625" bestFit="1" customWidth="1"/>
  </cols>
  <sheetData>
    <row r="1" spans="1:2" x14ac:dyDescent="0.25">
      <c r="A1" t="s">
        <v>139</v>
      </c>
      <c r="B1">
        <v>136</v>
      </c>
    </row>
    <row r="2" spans="1:2" x14ac:dyDescent="0.25">
      <c r="A2" t="s">
        <v>140</v>
      </c>
      <c r="B2">
        <v>136</v>
      </c>
    </row>
    <row r="3" spans="1:2" x14ac:dyDescent="0.25">
      <c r="A3" t="s">
        <v>141</v>
      </c>
      <c r="B3">
        <v>136</v>
      </c>
    </row>
    <row r="4" spans="1:2" x14ac:dyDescent="0.25">
      <c r="A4" t="s">
        <v>142</v>
      </c>
      <c r="B4">
        <v>136</v>
      </c>
    </row>
    <row r="5" spans="1:2" x14ac:dyDescent="0.25">
      <c r="A5" t="s">
        <v>143</v>
      </c>
      <c r="B5">
        <v>136</v>
      </c>
    </row>
    <row r="6" spans="1:2" x14ac:dyDescent="0.25">
      <c r="A6" t="s">
        <v>144</v>
      </c>
      <c r="B6">
        <v>136</v>
      </c>
    </row>
    <row r="7" spans="1:2" x14ac:dyDescent="0.25">
      <c r="A7" t="s">
        <v>145</v>
      </c>
      <c r="B7">
        <v>136</v>
      </c>
    </row>
    <row r="8" spans="1:2" x14ac:dyDescent="0.25">
      <c r="A8" t="s">
        <v>146</v>
      </c>
      <c r="B8">
        <v>136</v>
      </c>
    </row>
    <row r="9" spans="1:2" x14ac:dyDescent="0.25">
      <c r="A9" t="s">
        <v>147</v>
      </c>
      <c r="B9">
        <v>136</v>
      </c>
    </row>
    <row r="10" spans="1:2" x14ac:dyDescent="0.25">
      <c r="A10" t="s">
        <v>148</v>
      </c>
      <c r="B10">
        <v>136</v>
      </c>
    </row>
    <row r="11" spans="1:2" x14ac:dyDescent="0.25">
      <c r="A11" t="s">
        <v>149</v>
      </c>
      <c r="B11">
        <v>136</v>
      </c>
    </row>
    <row r="12" spans="1:2" x14ac:dyDescent="0.25">
      <c r="A12" t="s">
        <v>150</v>
      </c>
      <c r="B12">
        <v>136</v>
      </c>
    </row>
    <row r="13" spans="1:2" x14ac:dyDescent="0.25">
      <c r="A13" t="s">
        <v>151</v>
      </c>
      <c r="B13">
        <v>136</v>
      </c>
    </row>
    <row r="14" spans="1:2" x14ac:dyDescent="0.25">
      <c r="A14" t="s">
        <v>26</v>
      </c>
      <c r="B14">
        <v>136</v>
      </c>
    </row>
    <row r="15" spans="1:2" x14ac:dyDescent="0.25">
      <c r="A15" t="s">
        <v>152</v>
      </c>
      <c r="B15">
        <v>136</v>
      </c>
    </row>
    <row r="16" spans="1:2" x14ac:dyDescent="0.25">
      <c r="A16" t="s">
        <v>153</v>
      </c>
      <c r="B16">
        <v>136</v>
      </c>
    </row>
    <row r="17" spans="1:2" x14ac:dyDescent="0.25">
      <c r="A17" t="s">
        <v>154</v>
      </c>
      <c r="B17">
        <v>136</v>
      </c>
    </row>
    <row r="18" spans="1:2" x14ac:dyDescent="0.25">
      <c r="A18" t="s">
        <v>155</v>
      </c>
      <c r="B18">
        <v>136</v>
      </c>
    </row>
    <row r="19" spans="1:2" x14ac:dyDescent="0.25">
      <c r="A19" t="s">
        <v>156</v>
      </c>
      <c r="B19">
        <v>136</v>
      </c>
    </row>
    <row r="20" spans="1:2" x14ac:dyDescent="0.25">
      <c r="A20" t="s">
        <v>157</v>
      </c>
      <c r="B20">
        <v>136</v>
      </c>
    </row>
    <row r="21" spans="1:2" x14ac:dyDescent="0.25">
      <c r="A21" t="s">
        <v>156</v>
      </c>
      <c r="B21">
        <v>136</v>
      </c>
    </row>
    <row r="22" spans="1:2" x14ac:dyDescent="0.25">
      <c r="A22" t="s">
        <v>155</v>
      </c>
      <c r="B22">
        <v>136</v>
      </c>
    </row>
    <row r="23" spans="1:2" x14ac:dyDescent="0.25">
      <c r="A23" t="s">
        <v>154</v>
      </c>
      <c r="B23">
        <v>136</v>
      </c>
    </row>
    <row r="24" spans="1:2" x14ac:dyDescent="0.25">
      <c r="A24" t="s">
        <v>153</v>
      </c>
      <c r="B24">
        <v>136</v>
      </c>
    </row>
    <row r="25" spans="1:2" x14ac:dyDescent="0.25">
      <c r="A25" t="s">
        <v>152</v>
      </c>
      <c r="B25">
        <v>136</v>
      </c>
    </row>
    <row r="26" spans="1:2" x14ac:dyDescent="0.25">
      <c r="A26" t="s">
        <v>26</v>
      </c>
      <c r="B26">
        <v>136</v>
      </c>
    </row>
    <row r="27" spans="1:2" x14ac:dyDescent="0.25">
      <c r="A27" t="s">
        <v>151</v>
      </c>
      <c r="B27">
        <v>136</v>
      </c>
    </row>
    <row r="28" spans="1:2" x14ac:dyDescent="0.25">
      <c r="A28" t="s">
        <v>150</v>
      </c>
      <c r="B28">
        <v>136</v>
      </c>
    </row>
    <row r="29" spans="1:2" x14ac:dyDescent="0.25">
      <c r="A29" t="s">
        <v>149</v>
      </c>
      <c r="B29">
        <v>136</v>
      </c>
    </row>
    <row r="30" spans="1:2" x14ac:dyDescent="0.25">
      <c r="A30" t="s">
        <v>148</v>
      </c>
      <c r="B30">
        <v>136</v>
      </c>
    </row>
    <row r="31" spans="1:2" x14ac:dyDescent="0.25">
      <c r="A31" t="s">
        <v>147</v>
      </c>
      <c r="B31">
        <v>136</v>
      </c>
    </row>
    <row r="32" spans="1:2" x14ac:dyDescent="0.25">
      <c r="A32" t="s">
        <v>146</v>
      </c>
      <c r="B32">
        <v>136</v>
      </c>
    </row>
    <row r="33" spans="1:2" x14ac:dyDescent="0.25">
      <c r="A33" t="s">
        <v>145</v>
      </c>
      <c r="B33">
        <v>136</v>
      </c>
    </row>
    <row r="34" spans="1:2" x14ac:dyDescent="0.25">
      <c r="A34" t="s">
        <v>144</v>
      </c>
      <c r="B34">
        <v>136</v>
      </c>
    </row>
    <row r="35" spans="1:2" x14ac:dyDescent="0.25">
      <c r="A35" t="s">
        <v>143</v>
      </c>
      <c r="B35">
        <v>136</v>
      </c>
    </row>
    <row r="36" spans="1:2" x14ac:dyDescent="0.25">
      <c r="A36" t="s">
        <v>142</v>
      </c>
      <c r="B36">
        <v>136</v>
      </c>
    </row>
    <row r="37" spans="1:2" x14ac:dyDescent="0.25">
      <c r="A37" t="s">
        <v>141</v>
      </c>
      <c r="B37">
        <v>136</v>
      </c>
    </row>
    <row r="38" spans="1:2" x14ac:dyDescent="0.25">
      <c r="A38" t="s">
        <v>140</v>
      </c>
      <c r="B38">
        <v>136</v>
      </c>
    </row>
    <row r="39" spans="1:2" x14ac:dyDescent="0.25">
      <c r="A39" t="s">
        <v>139</v>
      </c>
      <c r="B39">
        <v>136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899A-C722-4C5C-8A33-729C8B1AE6F4}">
  <dimension ref="A1:B18"/>
  <sheetViews>
    <sheetView workbookViewId="0">
      <selection activeCell="B13" sqref="B13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8</v>
      </c>
      <c r="B1">
        <v>130.5</v>
      </c>
    </row>
    <row r="2" spans="1:2" x14ac:dyDescent="0.25">
      <c r="A2" t="s">
        <v>9</v>
      </c>
      <c r="B2">
        <v>1.1200000000000001</v>
      </c>
    </row>
    <row r="3" spans="1:2" x14ac:dyDescent="0.25">
      <c r="A3" t="s">
        <v>10</v>
      </c>
      <c r="B3">
        <v>1.2</v>
      </c>
    </row>
    <row r="4" spans="1:2" x14ac:dyDescent="0.25">
      <c r="A4" t="s">
        <v>11</v>
      </c>
      <c r="B4">
        <v>217734</v>
      </c>
    </row>
    <row r="5" spans="1:2" x14ac:dyDescent="0.25">
      <c r="A5" t="s">
        <v>12</v>
      </c>
      <c r="B5">
        <v>146910</v>
      </c>
    </row>
    <row r="6" spans="1:2" x14ac:dyDescent="0.25">
      <c r="A6" t="s">
        <v>13</v>
      </c>
      <c r="B6">
        <v>0.05</v>
      </c>
    </row>
    <row r="7" spans="1:2" x14ac:dyDescent="0.25">
      <c r="A7" t="s">
        <v>14</v>
      </c>
      <c r="B7">
        <f>4*99450</f>
        <v>397800</v>
      </c>
    </row>
    <row r="8" spans="1:2" x14ac:dyDescent="0.25">
      <c r="A8" t="s">
        <v>15</v>
      </c>
      <c r="B8">
        <f>0.697/12</f>
        <v>5.8083333333333327E-2</v>
      </c>
    </row>
    <row r="9" spans="1:2" x14ac:dyDescent="0.25">
      <c r="A9" t="s">
        <v>16</v>
      </c>
      <c r="B9">
        <v>1418</v>
      </c>
    </row>
    <row r="10" spans="1:2" x14ac:dyDescent="0.25">
      <c r="A10" t="s">
        <v>17</v>
      </c>
      <c r="B10">
        <v>1102</v>
      </c>
    </row>
    <row r="11" spans="1:2" x14ac:dyDescent="0.25">
      <c r="A11" t="s">
        <v>18</v>
      </c>
      <c r="B11">
        <v>3782</v>
      </c>
    </row>
    <row r="12" spans="1:2" x14ac:dyDescent="0.25">
      <c r="A12" t="s">
        <v>19</v>
      </c>
      <c r="B12">
        <v>1027</v>
      </c>
    </row>
    <row r="13" spans="1:2" x14ac:dyDescent="0.25">
      <c r="A13" t="s">
        <v>20</v>
      </c>
      <c r="B13" s="1">
        <v>7.3079999999999998</v>
      </c>
    </row>
    <row r="14" spans="1:2" x14ac:dyDescent="0.25">
      <c r="A14" t="s">
        <v>21</v>
      </c>
      <c r="B14">
        <v>820</v>
      </c>
    </row>
    <row r="15" spans="1:2" x14ac:dyDescent="0.25">
      <c r="A15" t="s">
        <v>22</v>
      </c>
      <c r="B15">
        <v>24</v>
      </c>
    </row>
    <row r="16" spans="1:2" x14ac:dyDescent="0.25">
      <c r="A16" t="s">
        <v>23</v>
      </c>
      <c r="B16" s="1">
        <v>3.17</v>
      </c>
    </row>
    <row r="17" spans="1:2" x14ac:dyDescent="0.25">
      <c r="A17" t="s">
        <v>24</v>
      </c>
      <c r="B17" s="1">
        <v>3.6259999999999999</v>
      </c>
    </row>
    <row r="18" spans="1:2" x14ac:dyDescent="0.25">
      <c r="A18" t="s">
        <v>25</v>
      </c>
      <c r="B18">
        <v>0.9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F45F-ADDF-4D81-9218-5A0E1CE29348}">
  <dimension ref="A1:F46"/>
  <sheetViews>
    <sheetView tabSelected="1" workbookViewId="0">
      <selection activeCell="H19" sqref="H19"/>
    </sheetView>
  </sheetViews>
  <sheetFormatPr defaultRowHeight="15" x14ac:dyDescent="0.25"/>
  <cols>
    <col min="1" max="1" width="9.5703125" style="2" bestFit="1" customWidth="1"/>
    <col min="2" max="2" width="9.85546875" bestFit="1" customWidth="1"/>
    <col min="3" max="3" width="11" bestFit="1" customWidth="1"/>
    <col min="5" max="5" width="22.85546875" bestFit="1" customWidth="1"/>
  </cols>
  <sheetData>
    <row r="1" spans="1:6" x14ac:dyDescent="0.25">
      <c r="B1" t="s">
        <v>181</v>
      </c>
      <c r="C1" t="s">
        <v>182</v>
      </c>
    </row>
    <row r="2" spans="1:6" x14ac:dyDescent="0.25">
      <c r="A2" t="s">
        <v>139</v>
      </c>
      <c r="B2">
        <v>0</v>
      </c>
      <c r="C2">
        <f>IF(B2*$F$2&gt;=1,1,B2*$F$2)</f>
        <v>0</v>
      </c>
      <c r="E2" t="s">
        <v>183</v>
      </c>
      <c r="F2">
        <f>2-(geral!$B$6/41)</f>
        <v>1.0487804878048781</v>
      </c>
    </row>
    <row r="3" spans="1:6" x14ac:dyDescent="0.25">
      <c r="A3" t="s">
        <v>140</v>
      </c>
      <c r="B3">
        <v>0.5</v>
      </c>
      <c r="C3">
        <f>IF(B3*$F$2&gt;=1,1,B3*$F$2)</f>
        <v>0.52439024390243905</v>
      </c>
      <c r="E3" t="s">
        <v>184</v>
      </c>
    </row>
    <row r="4" spans="1:6" x14ac:dyDescent="0.25">
      <c r="A4" t="s">
        <v>141</v>
      </c>
      <c r="B4">
        <v>0.6</v>
      </c>
      <c r="C4">
        <f>IF(B4*$F$2&gt;=1,1,B4*$F$2)</f>
        <v>0.62926829268292683</v>
      </c>
    </row>
    <row r="5" spans="1:6" x14ac:dyDescent="0.25">
      <c r="A5" t="s">
        <v>142</v>
      </c>
      <c r="B5">
        <v>0.7</v>
      </c>
      <c r="C5">
        <f>IF(B5*$F$2&gt;=1,1,B5*$F$2)</f>
        <v>0.73414634146341462</v>
      </c>
    </row>
    <row r="6" spans="1:6" x14ac:dyDescent="0.25">
      <c r="A6" t="s">
        <v>143</v>
      </c>
      <c r="B6">
        <v>0.8</v>
      </c>
      <c r="C6">
        <f>IF(B6*$F$2&gt;=1,1,B6*$F$2)</f>
        <v>0.83902439024390252</v>
      </c>
    </row>
    <row r="7" spans="1:6" x14ac:dyDescent="0.25">
      <c r="A7" t="s">
        <v>144</v>
      </c>
      <c r="B7">
        <v>0.8</v>
      </c>
      <c r="C7">
        <f>IF(B7*$F$2&gt;=1,1,B7*$F$2)</f>
        <v>0.83902439024390252</v>
      </c>
    </row>
    <row r="8" spans="1:6" x14ac:dyDescent="0.25">
      <c r="A8" t="s">
        <v>145</v>
      </c>
      <c r="B8">
        <v>0.9</v>
      </c>
      <c r="C8">
        <f>IF(B8*$F$2&gt;=1,1,B8*$F$2)</f>
        <v>0.94390243902439031</v>
      </c>
    </row>
    <row r="9" spans="1:6" x14ac:dyDescent="0.25">
      <c r="A9" t="s">
        <v>146</v>
      </c>
      <c r="B9">
        <v>0.9</v>
      </c>
      <c r="C9">
        <f>IF(B9*$F$2&gt;=1,1,B9*$F$2)</f>
        <v>0.94390243902439031</v>
      </c>
    </row>
    <row r="10" spans="1:6" x14ac:dyDescent="0.25">
      <c r="A10" t="s">
        <v>147</v>
      </c>
      <c r="B10">
        <v>0.9</v>
      </c>
      <c r="C10">
        <f>IF(B10*$F$2&gt;=1,1,B10*$F$2)</f>
        <v>0.94390243902439031</v>
      </c>
    </row>
    <row r="11" spans="1:6" x14ac:dyDescent="0.25">
      <c r="A11" t="s">
        <v>148</v>
      </c>
      <c r="B11">
        <v>0.9</v>
      </c>
      <c r="C11">
        <f>IF(B11*$F$2&gt;=1,1,B11*$F$2)</f>
        <v>0.94390243902439031</v>
      </c>
    </row>
    <row r="12" spans="1:6" x14ac:dyDescent="0.25">
      <c r="A12" t="s">
        <v>149</v>
      </c>
      <c r="B12">
        <v>1</v>
      </c>
      <c r="C12">
        <f>IF(B12*$F$2&gt;=1,1,B12*$F$2)</f>
        <v>1</v>
      </c>
    </row>
    <row r="13" spans="1:6" x14ac:dyDescent="0.25">
      <c r="A13" t="s">
        <v>150</v>
      </c>
      <c r="B13">
        <v>1</v>
      </c>
      <c r="C13">
        <f>IF(B13*$F$2&gt;=1,1,B13*$F$2)</f>
        <v>1</v>
      </c>
    </row>
    <row r="14" spans="1:6" x14ac:dyDescent="0.25">
      <c r="A14" t="s">
        <v>151</v>
      </c>
      <c r="B14">
        <v>1</v>
      </c>
      <c r="C14">
        <f>IF(B14*$F$2&gt;=1,1,B14*$F$2)</f>
        <v>1</v>
      </c>
    </row>
    <row r="15" spans="1:6" x14ac:dyDescent="0.25">
      <c r="A15" t="s">
        <v>26</v>
      </c>
      <c r="B15">
        <v>0.7</v>
      </c>
      <c r="C15">
        <f>IF(B15*$F$2&gt;=1,1,B15*$F$2)</f>
        <v>0.73414634146341462</v>
      </c>
    </row>
    <row r="16" spans="1:6" x14ac:dyDescent="0.25">
      <c r="A16" t="s">
        <v>152</v>
      </c>
      <c r="B16">
        <v>0.7</v>
      </c>
      <c r="C16">
        <f>IF(B16*$F$2&gt;=1,1,B16*$F$2)</f>
        <v>0.73414634146341462</v>
      </c>
    </row>
    <row r="17" spans="1:3" x14ac:dyDescent="0.25">
      <c r="A17" t="s">
        <v>153</v>
      </c>
      <c r="B17">
        <v>0.6</v>
      </c>
      <c r="C17">
        <f>IF(B17*$F$2&gt;=1,1,B17*$F$2)</f>
        <v>0.62926829268292683</v>
      </c>
    </row>
    <row r="18" spans="1:3" x14ac:dyDescent="0.25">
      <c r="A18" t="s">
        <v>154</v>
      </c>
      <c r="B18">
        <v>0.5</v>
      </c>
      <c r="C18">
        <f>IF(B18*$F$2&gt;=1,1,B18*$F$2)</f>
        <v>0.52439024390243905</v>
      </c>
    </row>
    <row r="19" spans="1:3" x14ac:dyDescent="0.25">
      <c r="A19" t="s">
        <v>155</v>
      </c>
      <c r="B19">
        <v>0.5</v>
      </c>
      <c r="C19">
        <f>IF(B19*$F$2&gt;=1,1,B19*$F$2)</f>
        <v>0.52439024390243905</v>
      </c>
    </row>
    <row r="20" spans="1:3" x14ac:dyDescent="0.25">
      <c r="A20" t="s">
        <v>156</v>
      </c>
      <c r="B20">
        <v>0</v>
      </c>
      <c r="C20">
        <f>IF(B20*$F$2&gt;=1,1,B20*$F$2)</f>
        <v>0</v>
      </c>
    </row>
    <row r="21" spans="1:3" x14ac:dyDescent="0.25">
      <c r="A21" t="s">
        <v>157</v>
      </c>
      <c r="B21">
        <v>0</v>
      </c>
      <c r="C21">
        <f>IF(B21*$F$2&gt;=1,1,B21*$F$2)</f>
        <v>0</v>
      </c>
    </row>
    <row r="22" spans="1:3" x14ac:dyDescent="0.25">
      <c r="A22" t="s">
        <v>156</v>
      </c>
      <c r="B22">
        <v>0.4</v>
      </c>
      <c r="C22">
        <f>IF(B22*$F$2&gt;=1,1,B22*$F$2)</f>
        <v>0.41951219512195126</v>
      </c>
    </row>
    <row r="23" spans="1:3" x14ac:dyDescent="0.25">
      <c r="A23" t="s">
        <v>155</v>
      </c>
      <c r="B23">
        <v>0.4</v>
      </c>
      <c r="C23">
        <f>IF(B23*$F$2&gt;=1,1,B23*$F$2)</f>
        <v>0.41951219512195126</v>
      </c>
    </row>
    <row r="24" spans="1:3" x14ac:dyDescent="0.25">
      <c r="A24" t="s">
        <v>154</v>
      </c>
      <c r="B24">
        <v>0.4</v>
      </c>
      <c r="C24">
        <f>IF(B24*$F$2&gt;=1,1,B24*$F$2)</f>
        <v>0.41951219512195126</v>
      </c>
    </row>
    <row r="25" spans="1:3" x14ac:dyDescent="0.25">
      <c r="A25" t="s">
        <v>153</v>
      </c>
      <c r="B25">
        <v>0.5</v>
      </c>
      <c r="C25">
        <f>IF(B25*$F$2&gt;=1,1,B25*$F$2)</f>
        <v>0.52439024390243905</v>
      </c>
    </row>
    <row r="26" spans="1:3" x14ac:dyDescent="0.25">
      <c r="A26" t="s">
        <v>152</v>
      </c>
      <c r="B26">
        <v>0.5</v>
      </c>
      <c r="C26">
        <f>IF(B26*$F$2&gt;=1,1,B26*$F$2)</f>
        <v>0.52439024390243905</v>
      </c>
    </row>
    <row r="27" spans="1:3" x14ac:dyDescent="0.25">
      <c r="A27" t="s">
        <v>26</v>
      </c>
      <c r="B27">
        <v>0.7</v>
      </c>
      <c r="C27">
        <f>IF(B27*$F$2&gt;=1,1,B27*$F$2)</f>
        <v>0.73414634146341462</v>
      </c>
    </row>
    <row r="28" spans="1:3" x14ac:dyDescent="0.25">
      <c r="A28" t="s">
        <v>151</v>
      </c>
      <c r="B28">
        <v>0.7</v>
      </c>
      <c r="C28">
        <f>IF(B28*$F$2&gt;=1,1,B28*$F$2)</f>
        <v>0.73414634146341462</v>
      </c>
    </row>
    <row r="29" spans="1:3" x14ac:dyDescent="0.25">
      <c r="A29" t="s">
        <v>150</v>
      </c>
      <c r="B29">
        <v>0.7</v>
      </c>
      <c r="C29">
        <f>IF(B29*$F$2&gt;=1,1,B29*$F$2)</f>
        <v>0.73414634146341462</v>
      </c>
    </row>
    <row r="30" spans="1:3" x14ac:dyDescent="0.25">
      <c r="A30" t="s">
        <v>149</v>
      </c>
      <c r="B30">
        <v>0.6</v>
      </c>
      <c r="C30">
        <f>IF(B30*$F$2&gt;=1,1,B30*$F$2)</f>
        <v>0.62926829268292683</v>
      </c>
    </row>
    <row r="31" spans="1:3" x14ac:dyDescent="0.25">
      <c r="A31" t="s">
        <v>148</v>
      </c>
      <c r="B31">
        <v>0.5</v>
      </c>
      <c r="C31">
        <f>IF(B31*$F$2&gt;=1,1,B31*$F$2)</f>
        <v>0.52439024390243905</v>
      </c>
    </row>
    <row r="32" spans="1:3" x14ac:dyDescent="0.25">
      <c r="A32" t="s">
        <v>147</v>
      </c>
      <c r="B32">
        <v>0.4</v>
      </c>
      <c r="C32">
        <f>IF(B32*$F$2&gt;=1,1,B32*$F$2)</f>
        <v>0.41951219512195126</v>
      </c>
    </row>
    <row r="33" spans="1:3" x14ac:dyDescent="0.25">
      <c r="A33" t="s">
        <v>146</v>
      </c>
      <c r="B33">
        <v>0.3</v>
      </c>
      <c r="C33">
        <f>IF(B33*$F$2&gt;=1,1,B33*$F$2)</f>
        <v>0.31463414634146342</v>
      </c>
    </row>
    <row r="34" spans="1:3" x14ac:dyDescent="0.25">
      <c r="A34" t="s">
        <v>145</v>
      </c>
      <c r="B34">
        <v>0.3</v>
      </c>
      <c r="C34">
        <f>IF(B34*$F$2&gt;=1,1,B34*$F$2)</f>
        <v>0.31463414634146342</v>
      </c>
    </row>
    <row r="35" spans="1:3" x14ac:dyDescent="0.25">
      <c r="A35" t="s">
        <v>144</v>
      </c>
      <c r="B35">
        <v>0.3</v>
      </c>
      <c r="C35">
        <f>IF(B35*$F$2&gt;=1,1,B35*$F$2)</f>
        <v>0.31463414634146342</v>
      </c>
    </row>
    <row r="36" spans="1:3" x14ac:dyDescent="0.25">
      <c r="A36" t="s">
        <v>143</v>
      </c>
      <c r="B36">
        <v>0.3</v>
      </c>
      <c r="C36">
        <f>IF(B36*$F$2&gt;=1,1,B36*$F$2)</f>
        <v>0.31463414634146342</v>
      </c>
    </row>
    <row r="37" spans="1:3" x14ac:dyDescent="0.25">
      <c r="A37" t="s">
        <v>142</v>
      </c>
      <c r="B37">
        <v>0.3</v>
      </c>
      <c r="C37">
        <f>IF(B37*$F$2&gt;=1,1,B37*$F$2)</f>
        <v>0.31463414634146342</v>
      </c>
    </row>
    <row r="38" spans="1:3" x14ac:dyDescent="0.25">
      <c r="A38" t="s">
        <v>141</v>
      </c>
      <c r="B38">
        <v>0.3</v>
      </c>
      <c r="C38">
        <f>IF(B38*$F$2&gt;=1,1,B38*$F$2)</f>
        <v>0.31463414634146342</v>
      </c>
    </row>
    <row r="39" spans="1:3" x14ac:dyDescent="0.25">
      <c r="A39" t="s">
        <v>140</v>
      </c>
      <c r="B39">
        <v>0</v>
      </c>
      <c r="C39">
        <f>IF(B39*$F$2&gt;=1,1,B39*$F$2)</f>
        <v>0</v>
      </c>
    </row>
    <row r="40" spans="1:3" x14ac:dyDescent="0.25">
      <c r="A40"/>
    </row>
    <row r="41" spans="1:3" x14ac:dyDescent="0.25">
      <c r="A41"/>
    </row>
    <row r="42" spans="1:3" x14ac:dyDescent="0.25">
      <c r="A42"/>
    </row>
    <row r="43" spans="1:3" x14ac:dyDescent="0.25">
      <c r="A43"/>
    </row>
    <row r="44" spans="1:3" x14ac:dyDescent="0.25">
      <c r="A44"/>
    </row>
    <row r="45" spans="1:3" x14ac:dyDescent="0.25">
      <c r="A45"/>
    </row>
    <row r="46" spans="1:3" x14ac:dyDescent="0.25">
      <c r="A4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D77D-4A79-4D91-9F1E-C470AB75671E}">
  <dimension ref="A1:B39"/>
  <sheetViews>
    <sheetView topLeftCell="A31" zoomScale="85" zoomScaleNormal="85" workbookViewId="0">
      <selection activeCell="B37" sqref="B37"/>
    </sheetView>
  </sheetViews>
  <sheetFormatPr defaultRowHeight="15" x14ac:dyDescent="0.25"/>
  <cols>
    <col min="1" max="1" width="11.28515625" bestFit="1" customWidth="1"/>
    <col min="6" max="6" width="12.5703125" bestFit="1" customWidth="1"/>
  </cols>
  <sheetData>
    <row r="1" spans="1:2" x14ac:dyDescent="0.25">
      <c r="A1" t="s">
        <v>139</v>
      </c>
      <c r="B1">
        <v>0</v>
      </c>
    </row>
    <row r="2" spans="1:2" x14ac:dyDescent="0.25">
      <c r="A2" t="s">
        <v>140</v>
      </c>
      <c r="B2">
        <v>753.55</v>
      </c>
    </row>
    <row r="3" spans="1:2" x14ac:dyDescent="0.25">
      <c r="A3" t="s">
        <v>141</v>
      </c>
      <c r="B3">
        <v>2218.4</v>
      </c>
    </row>
    <row r="4" spans="1:2" x14ac:dyDescent="0.25">
      <c r="A4" t="s">
        <v>142</v>
      </c>
      <c r="B4">
        <v>4333.6000000000004</v>
      </c>
    </row>
    <row r="5" spans="1:2" x14ac:dyDescent="0.25">
      <c r="A5" t="s">
        <v>143</v>
      </c>
      <c r="B5">
        <v>6045.7</v>
      </c>
    </row>
    <row r="6" spans="1:2" x14ac:dyDescent="0.25">
      <c r="A6" t="s">
        <v>144</v>
      </c>
      <c r="B6">
        <v>7582.9</v>
      </c>
    </row>
    <row r="7" spans="1:2" x14ac:dyDescent="0.25">
      <c r="A7" t="s">
        <v>145</v>
      </c>
      <c r="B7">
        <v>8764.2000000000007</v>
      </c>
    </row>
    <row r="8" spans="1:2" x14ac:dyDescent="0.25">
      <c r="A8" t="s">
        <v>146</v>
      </c>
      <c r="B8">
        <v>11044</v>
      </c>
    </row>
    <row r="9" spans="1:2" x14ac:dyDescent="0.25">
      <c r="A9" t="s">
        <v>147</v>
      </c>
      <c r="B9">
        <v>12326.2</v>
      </c>
    </row>
    <row r="10" spans="1:2" x14ac:dyDescent="0.25">
      <c r="A10" t="s">
        <v>148</v>
      </c>
      <c r="B10">
        <v>13751.45</v>
      </c>
    </row>
    <row r="11" spans="1:2" x14ac:dyDescent="0.25">
      <c r="A11" t="s">
        <v>149</v>
      </c>
      <c r="B11">
        <v>15576.55</v>
      </c>
    </row>
    <row r="12" spans="1:2" x14ac:dyDescent="0.25">
      <c r="A12" t="s">
        <v>150</v>
      </c>
      <c r="B12">
        <v>16448.400000000001</v>
      </c>
    </row>
    <row r="13" spans="1:2" x14ac:dyDescent="0.25">
      <c r="A13" t="s">
        <v>151</v>
      </c>
      <c r="B13">
        <v>17491.7</v>
      </c>
    </row>
    <row r="14" spans="1:2" x14ac:dyDescent="0.25">
      <c r="A14" t="s">
        <v>26</v>
      </c>
      <c r="B14">
        <v>18220.3</v>
      </c>
    </row>
    <row r="15" spans="1:2" x14ac:dyDescent="0.25">
      <c r="A15" t="s">
        <v>152</v>
      </c>
      <c r="B15">
        <v>18918.900000000001</v>
      </c>
    </row>
    <row r="16" spans="1:2" x14ac:dyDescent="0.25">
      <c r="A16" t="s">
        <v>153</v>
      </c>
      <c r="B16">
        <v>19561.05</v>
      </c>
    </row>
    <row r="17" spans="1:2" x14ac:dyDescent="0.25">
      <c r="A17" t="s">
        <v>154</v>
      </c>
      <c r="B17">
        <v>20332.7</v>
      </c>
    </row>
    <row r="18" spans="1:2" x14ac:dyDescent="0.25">
      <c r="A18" t="s">
        <v>155</v>
      </c>
      <c r="B18">
        <v>21257.8</v>
      </c>
    </row>
    <row r="19" spans="1:2" x14ac:dyDescent="0.25">
      <c r="A19" t="s">
        <v>156</v>
      </c>
      <c r="B19">
        <v>22799.4</v>
      </c>
    </row>
    <row r="20" spans="1:2" x14ac:dyDescent="0.25">
      <c r="A20" t="s">
        <v>157</v>
      </c>
      <c r="B20">
        <v>23735.599999999999</v>
      </c>
    </row>
    <row r="21" spans="1:2" x14ac:dyDescent="0.25">
      <c r="A21" t="s">
        <v>156</v>
      </c>
      <c r="B21">
        <f>2*$B$20-B19</f>
        <v>24671.799999999996</v>
      </c>
    </row>
    <row r="22" spans="1:2" x14ac:dyDescent="0.25">
      <c r="A22" t="s">
        <v>155</v>
      </c>
      <c r="B22">
        <f>2*$B$20-B18</f>
        <v>26213.399999999998</v>
      </c>
    </row>
    <row r="23" spans="1:2" x14ac:dyDescent="0.25">
      <c r="A23" t="s">
        <v>154</v>
      </c>
      <c r="B23">
        <f>2*$B$20-B17</f>
        <v>27138.499999999996</v>
      </c>
    </row>
    <row r="24" spans="1:2" x14ac:dyDescent="0.25">
      <c r="A24" t="s">
        <v>153</v>
      </c>
      <c r="B24">
        <f>2*$B$20-B16</f>
        <v>27910.149999999998</v>
      </c>
    </row>
    <row r="25" spans="1:2" x14ac:dyDescent="0.25">
      <c r="A25" t="s">
        <v>152</v>
      </c>
      <c r="B25">
        <f>2*$B$20-B15</f>
        <v>28552.299999999996</v>
      </c>
    </row>
    <row r="26" spans="1:2" x14ac:dyDescent="0.25">
      <c r="A26" t="s">
        <v>26</v>
      </c>
      <c r="B26">
        <f>2*$B$20-B14</f>
        <v>29250.899999999998</v>
      </c>
    </row>
    <row r="27" spans="1:2" x14ac:dyDescent="0.25">
      <c r="A27" t="s">
        <v>151</v>
      </c>
      <c r="B27">
        <f>2*$B$20-B13</f>
        <v>29979.499999999996</v>
      </c>
    </row>
    <row r="28" spans="1:2" x14ac:dyDescent="0.25">
      <c r="A28" t="s">
        <v>150</v>
      </c>
      <c r="B28">
        <f>2*$B$20-B12</f>
        <v>31022.799999999996</v>
      </c>
    </row>
    <row r="29" spans="1:2" x14ac:dyDescent="0.25">
      <c r="A29" t="s">
        <v>149</v>
      </c>
      <c r="B29">
        <f>2*$B$20-B11</f>
        <v>31894.649999999998</v>
      </c>
    </row>
    <row r="30" spans="1:2" x14ac:dyDescent="0.25">
      <c r="A30" t="s">
        <v>148</v>
      </c>
      <c r="B30">
        <f>2*$B$20-B10</f>
        <v>33719.75</v>
      </c>
    </row>
    <row r="31" spans="1:2" x14ac:dyDescent="0.25">
      <c r="A31" t="s">
        <v>147</v>
      </c>
      <c r="B31">
        <f>2*$B$20-B9</f>
        <v>35145</v>
      </c>
    </row>
    <row r="32" spans="1:2" x14ac:dyDescent="0.25">
      <c r="A32" t="s">
        <v>146</v>
      </c>
      <c r="B32">
        <f>2*$B$20-B8</f>
        <v>36427.199999999997</v>
      </c>
    </row>
    <row r="33" spans="1:2" x14ac:dyDescent="0.25">
      <c r="A33" t="s">
        <v>145</v>
      </c>
      <c r="B33">
        <f>2*$B$20-B7</f>
        <v>38707</v>
      </c>
    </row>
    <row r="34" spans="1:2" x14ac:dyDescent="0.25">
      <c r="A34" t="s">
        <v>144</v>
      </c>
      <c r="B34">
        <f>2*$B$20-B6</f>
        <v>39888.299999999996</v>
      </c>
    </row>
    <row r="35" spans="1:2" x14ac:dyDescent="0.25">
      <c r="A35" t="s">
        <v>143</v>
      </c>
      <c r="B35">
        <f>2*$B$20-B5</f>
        <v>41425.5</v>
      </c>
    </row>
    <row r="36" spans="1:2" x14ac:dyDescent="0.25">
      <c r="A36" t="s">
        <v>142</v>
      </c>
      <c r="B36">
        <f>2*$B$20-B4</f>
        <v>43137.599999999999</v>
      </c>
    </row>
    <row r="37" spans="1:2" x14ac:dyDescent="0.25">
      <c r="A37" t="s">
        <v>141</v>
      </c>
      <c r="B37">
        <f>2*$B$20-B3</f>
        <v>45252.799999999996</v>
      </c>
    </row>
    <row r="38" spans="1:2" x14ac:dyDescent="0.25">
      <c r="A38" t="s">
        <v>140</v>
      </c>
      <c r="B38">
        <f>2*$B$20-B2</f>
        <v>46717.649999999994</v>
      </c>
    </row>
    <row r="39" spans="1:2" x14ac:dyDescent="0.25">
      <c r="A39" t="s">
        <v>139</v>
      </c>
      <c r="B39">
        <f>2*$B$20-B1</f>
        <v>47471.199999999997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6F36-3994-4122-A839-5F51BF49F8AE}">
  <dimension ref="A1:F18"/>
  <sheetViews>
    <sheetView workbookViewId="0">
      <selection activeCell="C8" sqref="C8"/>
    </sheetView>
  </sheetViews>
  <sheetFormatPr defaultRowHeight="15" x14ac:dyDescent="0.25"/>
  <sheetData>
    <row r="1" spans="1:6" x14ac:dyDescent="0.25">
      <c r="A1" t="s">
        <v>158</v>
      </c>
      <c r="B1">
        <v>675.5</v>
      </c>
    </row>
    <row r="2" spans="1:6" x14ac:dyDescent="0.25">
      <c r="A2" t="s">
        <v>159</v>
      </c>
      <c r="B2">
        <v>2134.6</v>
      </c>
      <c r="F2" t="s">
        <v>176</v>
      </c>
    </row>
    <row r="3" spans="1:6" x14ac:dyDescent="0.25">
      <c r="A3" t="s">
        <v>160</v>
      </c>
      <c r="B3">
        <v>4468.6000000000004</v>
      </c>
      <c r="F3" t="s">
        <v>176</v>
      </c>
    </row>
    <row r="4" spans="1:6" x14ac:dyDescent="0.25">
      <c r="A4" t="s">
        <v>161</v>
      </c>
      <c r="B4">
        <v>6167.6</v>
      </c>
      <c r="F4" t="s">
        <v>176</v>
      </c>
    </row>
    <row r="5" spans="1:6" x14ac:dyDescent="0.25">
      <c r="A5" t="s">
        <v>162</v>
      </c>
      <c r="B5">
        <v>7462.6</v>
      </c>
      <c r="F5" t="s">
        <v>176</v>
      </c>
    </row>
    <row r="6" spans="1:6" x14ac:dyDescent="0.25">
      <c r="A6" t="s">
        <v>163</v>
      </c>
      <c r="B6">
        <v>8836.6</v>
      </c>
      <c r="F6" t="s">
        <v>176</v>
      </c>
    </row>
    <row r="7" spans="1:6" x14ac:dyDescent="0.25">
      <c r="A7" t="s">
        <v>164</v>
      </c>
      <c r="B7">
        <v>11152.6</v>
      </c>
      <c r="F7" t="s">
        <v>177</v>
      </c>
    </row>
    <row r="8" spans="1:6" x14ac:dyDescent="0.25">
      <c r="A8" t="s">
        <v>165</v>
      </c>
      <c r="B8">
        <v>12419.8</v>
      </c>
      <c r="F8" t="s">
        <v>177</v>
      </c>
    </row>
    <row r="9" spans="1:6" x14ac:dyDescent="0.25">
      <c r="A9" t="s">
        <v>166</v>
      </c>
      <c r="B9">
        <v>13610.6</v>
      </c>
      <c r="F9" t="s">
        <v>177</v>
      </c>
    </row>
    <row r="10" spans="1:6" x14ac:dyDescent="0.25">
      <c r="A10" t="s">
        <v>167</v>
      </c>
      <c r="B10">
        <v>15437.6</v>
      </c>
      <c r="F10" t="s">
        <v>178</v>
      </c>
    </row>
    <row r="11" spans="1:6" x14ac:dyDescent="0.25">
      <c r="A11" t="s">
        <v>168</v>
      </c>
      <c r="B11">
        <v>16529.599999999999</v>
      </c>
      <c r="F11" t="s">
        <v>178</v>
      </c>
    </row>
    <row r="12" spans="1:6" x14ac:dyDescent="0.25">
      <c r="A12" t="s">
        <v>169</v>
      </c>
      <c r="B12">
        <v>17569.599999999999</v>
      </c>
      <c r="F12" t="s">
        <v>178</v>
      </c>
    </row>
    <row r="13" spans="1:6" x14ac:dyDescent="0.25">
      <c r="A13" t="s">
        <v>170</v>
      </c>
      <c r="B13">
        <v>18310.599999999999</v>
      </c>
      <c r="F13" t="s">
        <v>178</v>
      </c>
    </row>
    <row r="14" spans="1:6" x14ac:dyDescent="0.25">
      <c r="A14" t="s">
        <v>171</v>
      </c>
      <c r="B14">
        <v>18829.599999999999</v>
      </c>
      <c r="F14" t="s">
        <v>178</v>
      </c>
    </row>
    <row r="15" spans="1:6" x14ac:dyDescent="0.25">
      <c r="A15" t="s">
        <v>172</v>
      </c>
      <c r="B15">
        <v>19616.599999999999</v>
      </c>
      <c r="F15" t="s">
        <v>178</v>
      </c>
    </row>
    <row r="16" spans="1:6" x14ac:dyDescent="0.25">
      <c r="A16" t="s">
        <v>173</v>
      </c>
      <c r="B16">
        <v>20237.599999999999</v>
      </c>
      <c r="F16" t="s">
        <v>178</v>
      </c>
    </row>
    <row r="17" spans="1:6" x14ac:dyDescent="0.25">
      <c r="A17" t="s">
        <v>174</v>
      </c>
      <c r="B17">
        <v>21181.599999999999</v>
      </c>
      <c r="F17" t="s">
        <v>178</v>
      </c>
    </row>
    <row r="18" spans="1:6" x14ac:dyDescent="0.25">
      <c r="A18" t="s">
        <v>175</v>
      </c>
      <c r="B18">
        <v>22892.6</v>
      </c>
      <c r="F18" t="s">
        <v>178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51DB-1AA9-42C8-8137-740F83D949C1}">
  <dimension ref="A1:B4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134</v>
      </c>
    </row>
    <row r="2" spans="1:2" x14ac:dyDescent="0.25">
      <c r="A2" t="s">
        <v>133</v>
      </c>
      <c r="B2">
        <f>0.65+(13.15/(((trem!B4+trem!B5)/1000)/trem!B15))</f>
        <v>1.515501694803699</v>
      </c>
    </row>
    <row r="3" spans="1:2" x14ac:dyDescent="0.25">
      <c r="A3" t="s">
        <v>135</v>
      </c>
      <c r="B3">
        <v>2.8000000000000001E-2</v>
      </c>
    </row>
    <row r="4" spans="1:2" x14ac:dyDescent="0.25">
      <c r="A4" t="s">
        <v>136</v>
      </c>
      <c r="B4">
        <f>(0.00456*trem!B16*trem!B17)/((trem!B4+trem!B5)/6000)</f>
        <v>8.6245031098825149E-4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E51D-56E0-442D-BCD1-98CE99046A77}">
  <dimension ref="A1:D62"/>
  <sheetViews>
    <sheetView topLeftCell="A31" workbookViewId="0">
      <selection activeCell="I2" sqref="I2:J58"/>
    </sheetView>
  </sheetViews>
  <sheetFormatPr defaultRowHeight="15" x14ac:dyDescent="0.25"/>
  <cols>
    <col min="1" max="1" width="17" bestFit="1" customWidth="1"/>
    <col min="2" max="2" width="12.140625" bestFit="1" customWidth="1"/>
    <col min="3" max="3" width="10.85546875" bestFit="1" customWidth="1"/>
    <col min="4" max="4" width="9.85546875" bestFit="1" customWidth="1"/>
    <col min="8" max="9" width="18.42578125" bestFit="1" customWidth="1"/>
    <col min="10" max="10" width="5.85546875" bestFit="1" customWidth="1"/>
  </cols>
  <sheetData>
    <row r="1" spans="1:4" x14ac:dyDescent="0.25">
      <c r="A1" s="3" t="s">
        <v>88</v>
      </c>
      <c r="B1" s="3" t="s">
        <v>89</v>
      </c>
      <c r="C1" s="3" t="s">
        <v>90</v>
      </c>
      <c r="D1" s="3" t="s">
        <v>91</v>
      </c>
    </row>
    <row r="2" spans="1:4" x14ac:dyDescent="0.25">
      <c r="A2" s="3" t="s">
        <v>27</v>
      </c>
      <c r="B2">
        <v>0</v>
      </c>
      <c r="C2">
        <v>459.3</v>
      </c>
      <c r="D2">
        <v>-1.1499999999999999</v>
      </c>
    </row>
    <row r="3" spans="1:4" x14ac:dyDescent="0.25">
      <c r="A3" s="3" t="s">
        <v>29</v>
      </c>
      <c r="B3">
        <v>919.7</v>
      </c>
      <c r="C3">
        <v>1483.1</v>
      </c>
      <c r="D3">
        <v>1.35</v>
      </c>
    </row>
    <row r="4" spans="1:4" x14ac:dyDescent="0.25">
      <c r="A4" s="3" t="s">
        <v>30</v>
      </c>
      <c r="B4">
        <v>1483.1</v>
      </c>
      <c r="C4">
        <v>2056.1</v>
      </c>
      <c r="D4">
        <v>0.56999999999999995</v>
      </c>
    </row>
    <row r="5" spans="1:4" x14ac:dyDescent="0.25">
      <c r="A5" s="3" t="s">
        <v>31</v>
      </c>
      <c r="B5">
        <v>2376.1999999999998</v>
      </c>
      <c r="C5">
        <v>2860.4</v>
      </c>
      <c r="D5">
        <v>0.89</v>
      </c>
    </row>
    <row r="6" spans="1:4" x14ac:dyDescent="0.25">
      <c r="A6" s="3" t="s">
        <v>32</v>
      </c>
      <c r="B6">
        <v>2860.4</v>
      </c>
      <c r="C6">
        <v>3004.4</v>
      </c>
      <c r="D6">
        <v>-2.16</v>
      </c>
    </row>
    <row r="7" spans="1:4" x14ac:dyDescent="0.25">
      <c r="A7" s="3" t="s">
        <v>33</v>
      </c>
      <c r="B7">
        <v>3004.4</v>
      </c>
      <c r="C7">
        <v>3161.1</v>
      </c>
      <c r="D7">
        <v>0.89</v>
      </c>
    </row>
    <row r="8" spans="1:4" x14ac:dyDescent="0.25">
      <c r="A8" s="3" t="s">
        <v>34</v>
      </c>
      <c r="B8">
        <v>3161.1</v>
      </c>
      <c r="C8">
        <v>3367.6</v>
      </c>
      <c r="D8">
        <v>-0.41</v>
      </c>
    </row>
    <row r="9" spans="1:4" x14ac:dyDescent="0.25">
      <c r="A9" s="3" t="s">
        <v>35</v>
      </c>
      <c r="B9">
        <v>3367.6</v>
      </c>
      <c r="C9">
        <v>3965.6</v>
      </c>
      <c r="D9">
        <v>-1.82</v>
      </c>
    </row>
    <row r="10" spans="1:4" x14ac:dyDescent="0.25">
      <c r="A10" s="3" t="s">
        <v>28</v>
      </c>
      <c r="B10">
        <v>3965.6</v>
      </c>
      <c r="C10">
        <v>4229.2</v>
      </c>
      <c r="D10">
        <v>-3.53</v>
      </c>
    </row>
    <row r="11" spans="1:4" x14ac:dyDescent="0.25">
      <c r="A11" s="3" t="s">
        <v>36</v>
      </c>
      <c r="B11">
        <v>4492.3</v>
      </c>
      <c r="C11">
        <v>4782.3999999999996</v>
      </c>
      <c r="D11">
        <v>-3.9</v>
      </c>
    </row>
    <row r="12" spans="1:4" x14ac:dyDescent="0.25">
      <c r="A12" s="3" t="s">
        <v>37</v>
      </c>
      <c r="B12">
        <v>4782.3999999999996</v>
      </c>
      <c r="C12">
        <v>5217.5</v>
      </c>
      <c r="D12">
        <v>-0.99</v>
      </c>
    </row>
    <row r="13" spans="1:4" x14ac:dyDescent="0.25">
      <c r="A13" s="3" t="s">
        <v>38</v>
      </c>
      <c r="B13">
        <v>5217.5</v>
      </c>
      <c r="C13">
        <v>5618.1</v>
      </c>
      <c r="D13">
        <v>-0.5</v>
      </c>
    </row>
    <row r="14" spans="1:4" x14ac:dyDescent="0.25">
      <c r="A14" s="3" t="s">
        <v>39</v>
      </c>
      <c r="B14">
        <v>5618.1</v>
      </c>
      <c r="C14">
        <v>5797.4</v>
      </c>
      <c r="D14">
        <v>-0.95</v>
      </c>
    </row>
    <row r="15" spans="1:4" x14ac:dyDescent="0.25">
      <c r="A15" s="3" t="s">
        <v>40</v>
      </c>
      <c r="B15">
        <v>5797.4</v>
      </c>
      <c r="C15">
        <v>5947.3</v>
      </c>
      <c r="D15">
        <v>-2.14</v>
      </c>
    </row>
    <row r="16" spans="1:4" x14ac:dyDescent="0.25">
      <c r="A16" s="3" t="s">
        <v>41</v>
      </c>
      <c r="B16">
        <v>6190.1</v>
      </c>
      <c r="C16">
        <v>6423.1</v>
      </c>
      <c r="D16">
        <v>-1.67</v>
      </c>
    </row>
    <row r="17" spans="1:4" x14ac:dyDescent="0.25">
      <c r="A17" s="3" t="s">
        <v>42</v>
      </c>
      <c r="B17">
        <v>6423.1</v>
      </c>
      <c r="C17">
        <v>6786.3</v>
      </c>
      <c r="D17">
        <v>-0.51</v>
      </c>
    </row>
    <row r="18" spans="1:4" x14ac:dyDescent="0.25">
      <c r="A18" s="3" t="s">
        <v>43</v>
      </c>
      <c r="B18">
        <v>6786.3</v>
      </c>
      <c r="C18">
        <v>6998.2</v>
      </c>
      <c r="D18">
        <v>0.52</v>
      </c>
    </row>
    <row r="19" spans="1:4" x14ac:dyDescent="0.25">
      <c r="A19" s="3" t="s">
        <v>44</v>
      </c>
      <c r="B19">
        <v>6998.2</v>
      </c>
      <c r="C19">
        <v>7313</v>
      </c>
      <c r="D19">
        <v>-0.72</v>
      </c>
    </row>
    <row r="20" spans="1:4" x14ac:dyDescent="0.25">
      <c r="A20" s="3" t="s">
        <v>45</v>
      </c>
      <c r="B20">
        <v>7659.1</v>
      </c>
      <c r="C20">
        <v>8689.1</v>
      </c>
      <c r="D20">
        <v>-0.28999999999999998</v>
      </c>
    </row>
    <row r="21" spans="1:4" x14ac:dyDescent="0.25">
      <c r="A21" s="3" t="s">
        <v>46</v>
      </c>
      <c r="B21">
        <v>8996.7000000000007</v>
      </c>
      <c r="C21">
        <v>9308.7000000000007</v>
      </c>
      <c r="D21">
        <v>-1.03</v>
      </c>
    </row>
    <row r="22" spans="1:4" x14ac:dyDescent="0.25">
      <c r="A22" s="3" t="s">
        <v>47</v>
      </c>
      <c r="B22">
        <v>9388.7000000000007</v>
      </c>
      <c r="C22">
        <v>9528.7000000000007</v>
      </c>
      <c r="D22">
        <v>-0.43</v>
      </c>
    </row>
    <row r="23" spans="1:4" x14ac:dyDescent="0.25">
      <c r="A23" s="3" t="s">
        <v>48</v>
      </c>
      <c r="B23">
        <v>9528.7000000000007</v>
      </c>
      <c r="C23">
        <v>10008.700000000001</v>
      </c>
      <c r="D23">
        <v>0.54</v>
      </c>
    </row>
    <row r="24" spans="1:4" x14ac:dyDescent="0.25">
      <c r="A24" s="3" t="s">
        <v>49</v>
      </c>
      <c r="B24">
        <v>10008.700000000001</v>
      </c>
      <c r="C24">
        <v>10328.700000000001</v>
      </c>
      <c r="D24">
        <v>1.22</v>
      </c>
    </row>
    <row r="25" spans="1:4" x14ac:dyDescent="0.25">
      <c r="A25" s="3" t="s">
        <v>50</v>
      </c>
      <c r="B25">
        <v>10328.700000000001</v>
      </c>
      <c r="C25">
        <v>10608.7</v>
      </c>
      <c r="D25">
        <v>0.56999999999999995</v>
      </c>
    </row>
    <row r="26" spans="1:4" x14ac:dyDescent="0.25">
      <c r="A26" s="3" t="s">
        <v>51</v>
      </c>
      <c r="B26">
        <v>10608.7</v>
      </c>
      <c r="C26">
        <v>10928.7</v>
      </c>
      <c r="D26">
        <v>1</v>
      </c>
    </row>
    <row r="27" spans="1:4" x14ac:dyDescent="0.25">
      <c r="A27" s="3" t="s">
        <v>52</v>
      </c>
      <c r="B27">
        <v>11265.1</v>
      </c>
      <c r="C27">
        <v>11643.3</v>
      </c>
      <c r="D27">
        <v>0.6</v>
      </c>
    </row>
    <row r="28" spans="1:4" x14ac:dyDescent="0.25">
      <c r="A28" s="3" t="s">
        <v>53</v>
      </c>
      <c r="B28">
        <v>11643.3</v>
      </c>
      <c r="C28">
        <v>11760.1</v>
      </c>
      <c r="D28">
        <v>1.5</v>
      </c>
    </row>
    <row r="29" spans="1:4" x14ac:dyDescent="0.25">
      <c r="A29" s="3" t="s">
        <v>54</v>
      </c>
      <c r="B29">
        <v>11760.1</v>
      </c>
      <c r="C29">
        <v>12248.7</v>
      </c>
      <c r="D29">
        <v>-0.25</v>
      </c>
    </row>
    <row r="30" spans="1:4" x14ac:dyDescent="0.25">
      <c r="A30" s="3" t="s">
        <v>55</v>
      </c>
      <c r="B30">
        <v>12506.2</v>
      </c>
      <c r="C30">
        <v>12657.2</v>
      </c>
      <c r="D30">
        <v>-1</v>
      </c>
    </row>
    <row r="31" spans="1:4" x14ac:dyDescent="0.25">
      <c r="A31" s="3" t="s">
        <v>56</v>
      </c>
      <c r="B31">
        <v>13092.7</v>
      </c>
      <c r="C31">
        <v>13612.7</v>
      </c>
      <c r="D31">
        <v>0.5</v>
      </c>
    </row>
    <row r="32" spans="1:4" x14ac:dyDescent="0.25">
      <c r="A32" s="3" t="s">
        <v>57</v>
      </c>
      <c r="B32">
        <v>13890.7</v>
      </c>
      <c r="C32">
        <v>14193.7</v>
      </c>
      <c r="D32">
        <v>-0.9</v>
      </c>
    </row>
    <row r="33" spans="1:4" x14ac:dyDescent="0.25">
      <c r="A33" s="3" t="s">
        <v>58</v>
      </c>
      <c r="B33">
        <v>14193.7</v>
      </c>
      <c r="C33">
        <v>14428</v>
      </c>
      <c r="D33">
        <v>-4</v>
      </c>
    </row>
    <row r="34" spans="1:4" x14ac:dyDescent="0.25">
      <c r="A34" s="3" t="s">
        <v>59</v>
      </c>
      <c r="B34">
        <v>14428</v>
      </c>
      <c r="C34">
        <v>15261.8</v>
      </c>
      <c r="D34">
        <v>-0.6</v>
      </c>
    </row>
    <row r="35" spans="1:4" x14ac:dyDescent="0.25">
      <c r="A35" s="3" t="s">
        <v>60</v>
      </c>
      <c r="B35">
        <v>15261.8</v>
      </c>
      <c r="C35">
        <v>15430.3</v>
      </c>
      <c r="D35">
        <v>4</v>
      </c>
    </row>
    <row r="36" spans="1:4" x14ac:dyDescent="0.25">
      <c r="A36" s="3" t="s">
        <v>61</v>
      </c>
      <c r="B36">
        <v>15680.8</v>
      </c>
      <c r="C36">
        <v>15841.6</v>
      </c>
      <c r="D36">
        <v>-1</v>
      </c>
    </row>
    <row r="37" spans="1:4" x14ac:dyDescent="0.25">
      <c r="A37" s="3" t="s">
        <v>62</v>
      </c>
      <c r="B37">
        <v>15841.6</v>
      </c>
      <c r="C37">
        <v>16210.5</v>
      </c>
      <c r="D37">
        <v>3.1</v>
      </c>
    </row>
    <row r="38" spans="1:4" x14ac:dyDescent="0.25">
      <c r="A38" s="3" t="s">
        <v>63</v>
      </c>
      <c r="B38">
        <v>16552.599999999999</v>
      </c>
      <c r="C38">
        <v>16832.599999999999</v>
      </c>
      <c r="D38">
        <v>-3.2</v>
      </c>
    </row>
    <row r="39" spans="1:4" x14ac:dyDescent="0.25">
      <c r="A39" s="3" t="s">
        <v>64</v>
      </c>
      <c r="B39">
        <v>16832.599999999999</v>
      </c>
      <c r="C39">
        <v>17332.599999999999</v>
      </c>
      <c r="D39">
        <v>-0.5</v>
      </c>
    </row>
    <row r="40" spans="1:4" x14ac:dyDescent="0.25">
      <c r="A40" s="3" t="s">
        <v>65</v>
      </c>
      <c r="B40">
        <v>17332.599999999999</v>
      </c>
      <c r="C40">
        <v>17392.599999999999</v>
      </c>
      <c r="D40">
        <v>1.5</v>
      </c>
    </row>
    <row r="41" spans="1:4" x14ac:dyDescent="0.25">
      <c r="A41" s="3" t="s">
        <v>66</v>
      </c>
      <c r="B41">
        <v>17809.400000000001</v>
      </c>
      <c r="C41">
        <v>18062.599999999999</v>
      </c>
      <c r="D41">
        <v>2.5</v>
      </c>
    </row>
    <row r="42" spans="1:4" x14ac:dyDescent="0.25">
      <c r="A42" s="3" t="s">
        <v>67</v>
      </c>
      <c r="B42">
        <v>18319.7</v>
      </c>
      <c r="C42">
        <v>18785.599999999999</v>
      </c>
      <c r="D42">
        <v>-4</v>
      </c>
    </row>
    <row r="43" spans="1:4" x14ac:dyDescent="0.25">
      <c r="A43" s="3" t="s">
        <v>68</v>
      </c>
      <c r="B43">
        <v>18785.599999999999</v>
      </c>
      <c r="C43">
        <v>18839.7</v>
      </c>
      <c r="D43">
        <v>-0.49</v>
      </c>
    </row>
    <row r="44" spans="1:4" x14ac:dyDescent="0.25">
      <c r="A44" s="3" t="s">
        <v>69</v>
      </c>
      <c r="B44">
        <v>18839.7</v>
      </c>
      <c r="C44">
        <v>19006.599999999999</v>
      </c>
      <c r="D44">
        <v>0.25</v>
      </c>
    </row>
    <row r="45" spans="1:4" x14ac:dyDescent="0.25">
      <c r="A45" s="3" t="s">
        <v>70</v>
      </c>
      <c r="B45">
        <v>19006.599999999999</v>
      </c>
      <c r="C45">
        <v>19227.2</v>
      </c>
      <c r="D45">
        <v>0.56000000000000005</v>
      </c>
    </row>
    <row r="46" spans="1:4" x14ac:dyDescent="0.25">
      <c r="A46" s="3" t="s">
        <v>71</v>
      </c>
      <c r="B46">
        <v>19227.2</v>
      </c>
      <c r="C46">
        <v>19456.5</v>
      </c>
      <c r="D46">
        <v>-0.5</v>
      </c>
    </row>
    <row r="47" spans="1:4" x14ac:dyDescent="0.25">
      <c r="A47" s="3" t="s">
        <v>72</v>
      </c>
      <c r="B47">
        <v>19672.7</v>
      </c>
      <c r="C47">
        <v>19847.599999999999</v>
      </c>
      <c r="D47">
        <v>-1.92</v>
      </c>
    </row>
    <row r="48" spans="1:4" x14ac:dyDescent="0.25">
      <c r="A48" s="3" t="s">
        <v>73</v>
      </c>
      <c r="B48">
        <v>19847.599999999999</v>
      </c>
      <c r="C48">
        <v>19944.400000000001</v>
      </c>
      <c r="D48">
        <v>-2.14</v>
      </c>
    </row>
    <row r="49" spans="1:4" x14ac:dyDescent="0.25">
      <c r="A49" s="3" t="s">
        <v>74</v>
      </c>
      <c r="B49">
        <v>19944.400000000001</v>
      </c>
      <c r="C49">
        <v>20224.7</v>
      </c>
      <c r="D49">
        <v>4</v>
      </c>
    </row>
    <row r="50" spans="1:4" x14ac:dyDescent="0.25">
      <c r="A50" s="3" t="s">
        <v>75</v>
      </c>
      <c r="B50">
        <v>20413.2</v>
      </c>
      <c r="C50">
        <v>20604.599999999999</v>
      </c>
      <c r="D50">
        <v>0.25</v>
      </c>
    </row>
    <row r="51" spans="1:4" x14ac:dyDescent="0.25">
      <c r="A51" s="3" t="s">
        <v>76</v>
      </c>
      <c r="B51">
        <v>20604.599999999999</v>
      </c>
      <c r="C51">
        <v>20774.599999999999</v>
      </c>
      <c r="D51">
        <v>-0.25</v>
      </c>
    </row>
    <row r="52" spans="1:4" x14ac:dyDescent="0.25">
      <c r="A52" s="3" t="s">
        <v>77</v>
      </c>
      <c r="B52">
        <v>20846.3</v>
      </c>
      <c r="C52">
        <v>21032.400000000001</v>
      </c>
      <c r="D52">
        <v>-0.27</v>
      </c>
    </row>
    <row r="53" spans="1:4" x14ac:dyDescent="0.25">
      <c r="A53" s="3" t="s">
        <v>78</v>
      </c>
      <c r="B53">
        <v>21032.400000000001</v>
      </c>
      <c r="C53">
        <v>21183.599999999999</v>
      </c>
      <c r="D53">
        <v>-0.56999999999999995</v>
      </c>
    </row>
    <row r="54" spans="1:4" x14ac:dyDescent="0.25">
      <c r="A54" s="3" t="s">
        <v>79</v>
      </c>
      <c r="B54">
        <v>21403.8</v>
      </c>
      <c r="C54">
        <v>21909</v>
      </c>
      <c r="D54">
        <v>-0.75</v>
      </c>
    </row>
    <row r="55" spans="1:4" x14ac:dyDescent="0.25">
      <c r="A55" s="3" t="s">
        <v>80</v>
      </c>
      <c r="B55">
        <v>21909</v>
      </c>
      <c r="C55">
        <v>22082</v>
      </c>
      <c r="D55">
        <v>-4</v>
      </c>
    </row>
    <row r="56" spans="1:4" x14ac:dyDescent="0.25">
      <c r="A56" s="3" t="s">
        <v>81</v>
      </c>
      <c r="B56">
        <v>22082</v>
      </c>
      <c r="C56">
        <v>22491.5</v>
      </c>
      <c r="D56">
        <v>0.3</v>
      </c>
    </row>
    <row r="57" spans="1:4" x14ac:dyDescent="0.25">
      <c r="A57" s="3" t="s">
        <v>82</v>
      </c>
      <c r="B57">
        <v>22491.5</v>
      </c>
      <c r="C57">
        <v>22675.7</v>
      </c>
      <c r="D57">
        <v>4</v>
      </c>
    </row>
    <row r="58" spans="1:4" x14ac:dyDescent="0.25">
      <c r="A58" s="3" t="s">
        <v>83</v>
      </c>
      <c r="B58">
        <v>22957.9</v>
      </c>
      <c r="C58">
        <v>23008.799999999999</v>
      </c>
      <c r="D58">
        <v>-1.1499999999999999</v>
      </c>
    </row>
    <row r="59" spans="1:4" x14ac:dyDescent="0.25">
      <c r="A59" s="3"/>
      <c r="B59" s="3"/>
      <c r="C59" s="3"/>
      <c r="D59" s="4"/>
    </row>
    <row r="60" spans="1:4" x14ac:dyDescent="0.25">
      <c r="A60" s="3"/>
      <c r="B60" s="3"/>
      <c r="C60" s="3"/>
      <c r="D60" s="3"/>
    </row>
    <row r="61" spans="1:4" x14ac:dyDescent="0.25">
      <c r="A61" s="3"/>
      <c r="B61" s="3"/>
      <c r="C61" s="3"/>
      <c r="D61" s="4"/>
    </row>
    <row r="62" spans="1:4" x14ac:dyDescent="0.25">
      <c r="A62" s="3"/>
      <c r="B62" s="3"/>
      <c r="C62" s="3"/>
      <c r="D62" s="3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F540-E03C-4B8E-9A29-005B2AF5A4E3}">
  <dimension ref="A1:H62"/>
  <sheetViews>
    <sheetView topLeftCell="A10" workbookViewId="0">
      <selection activeCell="D2" sqref="D2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11.140625" bestFit="1" customWidth="1"/>
    <col min="4" max="4" width="10.5703125" bestFit="1" customWidth="1"/>
    <col min="5" max="5" width="26.85546875" bestFit="1" customWidth="1"/>
    <col min="6" max="6" width="25.85546875" bestFit="1" customWidth="1"/>
    <col min="7" max="7" width="19.5703125" customWidth="1"/>
    <col min="8" max="8" width="13.28515625" bestFit="1" customWidth="1"/>
  </cols>
  <sheetData>
    <row r="1" spans="1:8" x14ac:dyDescent="0.25">
      <c r="A1" s="3" t="s">
        <v>92</v>
      </c>
      <c r="B1" s="3" t="s">
        <v>93</v>
      </c>
      <c r="C1" s="3" t="s">
        <v>94</v>
      </c>
      <c r="D1" s="3" t="s">
        <v>95</v>
      </c>
      <c r="E1" s="3" t="s">
        <v>127</v>
      </c>
      <c r="F1" s="2"/>
      <c r="G1" s="2"/>
      <c r="H1" s="3"/>
    </row>
    <row r="2" spans="1:8" x14ac:dyDescent="0.25">
      <c r="A2" s="3" t="s">
        <v>27</v>
      </c>
      <c r="B2" s="3">
        <v>0</v>
      </c>
      <c r="C2" s="3">
        <v>303</v>
      </c>
      <c r="D2" s="3">
        <v>200</v>
      </c>
      <c r="E2" s="3">
        <f t="shared" ref="E2:E33" si="0">IF(D2&lt;250,530/(D2-30),IF(D2&gt;=250,IF(D2&lt;350,530/(D2-35),650/(D2-55))))</f>
        <v>3.1176470588235294</v>
      </c>
      <c r="G2" s="3"/>
    </row>
    <row r="3" spans="1:8" x14ac:dyDescent="0.25">
      <c r="A3" s="3" t="s">
        <v>29</v>
      </c>
      <c r="B3" s="3">
        <v>542.29999999999995</v>
      </c>
      <c r="C3" s="3">
        <v>573.4</v>
      </c>
      <c r="D3" s="3">
        <v>250</v>
      </c>
      <c r="E3" s="3">
        <f t="shared" si="0"/>
        <v>2.4651162790697674</v>
      </c>
      <c r="G3" s="3"/>
    </row>
    <row r="4" spans="1:8" x14ac:dyDescent="0.25">
      <c r="A4" s="3" t="s">
        <v>30</v>
      </c>
      <c r="B4" s="3">
        <v>622.9</v>
      </c>
      <c r="C4" s="3">
        <v>654</v>
      </c>
      <c r="D4" s="3">
        <v>250</v>
      </c>
      <c r="E4" s="3">
        <f t="shared" si="0"/>
        <v>2.4651162790697674</v>
      </c>
    </row>
    <row r="5" spans="1:8" x14ac:dyDescent="0.25">
      <c r="A5" s="3" t="s">
        <v>31</v>
      </c>
      <c r="B5" s="3">
        <v>853.1</v>
      </c>
      <c r="C5" s="3">
        <v>930.3</v>
      </c>
      <c r="D5" s="3">
        <v>1000.96</v>
      </c>
      <c r="E5" s="3">
        <f t="shared" si="0"/>
        <v>0.68713264831493925</v>
      </c>
    </row>
    <row r="6" spans="1:8" x14ac:dyDescent="0.25">
      <c r="A6" s="3" t="s">
        <v>32</v>
      </c>
      <c r="B6" s="3">
        <v>950.3</v>
      </c>
      <c r="C6" s="3">
        <v>983.8</v>
      </c>
      <c r="D6" s="3">
        <v>1000</v>
      </c>
      <c r="E6" s="3">
        <f t="shared" si="0"/>
        <v>0.68783068783068779</v>
      </c>
    </row>
    <row r="7" spans="1:8" x14ac:dyDescent="0.25">
      <c r="A7" s="3" t="s">
        <v>33</v>
      </c>
      <c r="B7" s="3">
        <v>1051.8</v>
      </c>
      <c r="C7" s="3">
        <v>1460.3</v>
      </c>
      <c r="D7" s="3">
        <v>850</v>
      </c>
      <c r="E7" s="3">
        <f t="shared" si="0"/>
        <v>0.8176100628930818</v>
      </c>
    </row>
    <row r="8" spans="1:8" x14ac:dyDescent="0.25">
      <c r="A8" s="3" t="s">
        <v>34</v>
      </c>
      <c r="B8" s="3">
        <v>1852.8</v>
      </c>
      <c r="C8" s="3">
        <v>2177.6999999999998</v>
      </c>
      <c r="D8" s="3">
        <v>450</v>
      </c>
      <c r="E8" s="3">
        <f t="shared" si="0"/>
        <v>1.6455696202531647</v>
      </c>
    </row>
    <row r="9" spans="1:8" x14ac:dyDescent="0.25">
      <c r="A9" s="3" t="s">
        <v>35</v>
      </c>
      <c r="B9" s="3">
        <v>2220.1999999999998</v>
      </c>
      <c r="C9" s="3">
        <v>2532.9</v>
      </c>
      <c r="D9" s="3">
        <v>625</v>
      </c>
      <c r="E9" s="3">
        <f t="shared" si="0"/>
        <v>1.1403508771929824</v>
      </c>
    </row>
    <row r="10" spans="1:8" x14ac:dyDescent="0.25">
      <c r="A10" s="3" t="s">
        <v>28</v>
      </c>
      <c r="B10" s="3">
        <v>2532.9</v>
      </c>
      <c r="C10" s="3">
        <v>3023.3</v>
      </c>
      <c r="D10" s="3">
        <v>300</v>
      </c>
      <c r="E10" s="3">
        <f t="shared" si="0"/>
        <v>2</v>
      </c>
    </row>
    <row r="11" spans="1:8" x14ac:dyDescent="0.25">
      <c r="A11" s="3" t="s">
        <v>36</v>
      </c>
      <c r="B11" s="3">
        <v>3023.3</v>
      </c>
      <c r="C11" s="3">
        <v>3205.2</v>
      </c>
      <c r="D11" s="3">
        <v>655</v>
      </c>
      <c r="E11" s="3">
        <f t="shared" si="0"/>
        <v>1.0833333333333333</v>
      </c>
    </row>
    <row r="12" spans="1:8" x14ac:dyDescent="0.25">
      <c r="A12" s="3" t="s">
        <v>37</v>
      </c>
      <c r="B12" s="3">
        <v>3407.4</v>
      </c>
      <c r="C12" s="3">
        <v>3826</v>
      </c>
      <c r="D12" s="3">
        <v>500</v>
      </c>
      <c r="E12" s="3">
        <f t="shared" si="0"/>
        <v>1.4606741573033708</v>
      </c>
    </row>
    <row r="13" spans="1:8" x14ac:dyDescent="0.25">
      <c r="A13" s="3" t="s">
        <v>38</v>
      </c>
      <c r="B13" s="3">
        <v>3826</v>
      </c>
      <c r="C13" s="3">
        <v>4038.2</v>
      </c>
      <c r="D13" s="3">
        <v>689.5</v>
      </c>
      <c r="E13" s="3">
        <f t="shared" si="0"/>
        <v>1.024428684003152</v>
      </c>
    </row>
    <row r="14" spans="1:8" x14ac:dyDescent="0.25">
      <c r="A14" s="3" t="s">
        <v>39</v>
      </c>
      <c r="B14" s="3">
        <v>4038.2</v>
      </c>
      <c r="C14" s="3">
        <v>4147.5</v>
      </c>
      <c r="D14" s="3">
        <v>623.79999999999995</v>
      </c>
      <c r="E14" s="3">
        <f t="shared" si="0"/>
        <v>1.1427566807313643</v>
      </c>
    </row>
    <row r="15" spans="1:8" x14ac:dyDescent="0.25">
      <c r="A15" s="3" t="s">
        <v>40</v>
      </c>
      <c r="B15" s="3">
        <v>4452.3999999999996</v>
      </c>
      <c r="C15" s="3">
        <v>4708</v>
      </c>
      <c r="D15" s="3">
        <v>1500</v>
      </c>
      <c r="E15" s="3">
        <f t="shared" si="0"/>
        <v>0.44982698961937717</v>
      </c>
    </row>
    <row r="16" spans="1:8" x14ac:dyDescent="0.25">
      <c r="A16" s="3" t="s">
        <v>41</v>
      </c>
      <c r="B16" s="3">
        <v>4853.8999999999996</v>
      </c>
      <c r="C16" s="3">
        <v>5025</v>
      </c>
      <c r="D16" s="3">
        <v>500</v>
      </c>
      <c r="E16" s="3">
        <f t="shared" si="0"/>
        <v>1.4606741573033708</v>
      </c>
    </row>
    <row r="17" spans="1:5" x14ac:dyDescent="0.25">
      <c r="A17" s="3" t="s">
        <v>42</v>
      </c>
      <c r="B17" s="3">
        <v>5025</v>
      </c>
      <c r="C17" s="3">
        <v>5369.8</v>
      </c>
      <c r="D17" s="3">
        <v>600</v>
      </c>
      <c r="E17" s="3">
        <f t="shared" si="0"/>
        <v>1.1926605504587156</v>
      </c>
    </row>
    <row r="18" spans="1:5" x14ac:dyDescent="0.25">
      <c r="A18" s="3" t="s">
        <v>43</v>
      </c>
      <c r="B18" s="3">
        <v>5635.3</v>
      </c>
      <c r="C18" s="3">
        <v>5906</v>
      </c>
      <c r="D18" s="3">
        <v>600</v>
      </c>
      <c r="E18" s="3">
        <f t="shared" si="0"/>
        <v>1.1926605504587156</v>
      </c>
    </row>
    <row r="19" spans="1:5" x14ac:dyDescent="0.25">
      <c r="A19" s="3" t="s">
        <v>44</v>
      </c>
      <c r="B19" s="3">
        <v>6348.2</v>
      </c>
      <c r="C19" s="3">
        <v>6657.7</v>
      </c>
      <c r="D19" s="3">
        <v>799.44</v>
      </c>
      <c r="E19" s="3">
        <f t="shared" si="0"/>
        <v>0.87313954113158876</v>
      </c>
    </row>
    <row r="20" spans="1:5" x14ac:dyDescent="0.25">
      <c r="A20" s="3" t="s">
        <v>45</v>
      </c>
      <c r="B20" s="3">
        <v>6657.7</v>
      </c>
      <c r="C20" s="3">
        <v>6866.4</v>
      </c>
      <c r="D20" s="3">
        <v>2500</v>
      </c>
      <c r="E20" s="3">
        <f t="shared" si="0"/>
        <v>0.2658486707566462</v>
      </c>
    </row>
    <row r="21" spans="1:5" x14ac:dyDescent="0.25">
      <c r="A21" s="3" t="s">
        <v>46</v>
      </c>
      <c r="B21" s="3">
        <v>6866.4</v>
      </c>
      <c r="C21" s="3">
        <v>7060</v>
      </c>
      <c r="D21" s="3">
        <v>2500</v>
      </c>
      <c r="E21" s="3">
        <f t="shared" si="0"/>
        <v>0.2658486707566462</v>
      </c>
    </row>
    <row r="22" spans="1:5" x14ac:dyDescent="0.25">
      <c r="A22" s="3" t="s">
        <v>47</v>
      </c>
      <c r="B22" s="3">
        <v>7278.4</v>
      </c>
      <c r="C22" s="3">
        <v>7489.1</v>
      </c>
      <c r="D22" s="3">
        <v>600</v>
      </c>
      <c r="E22" s="3">
        <f t="shared" si="0"/>
        <v>1.1926605504587156</v>
      </c>
    </row>
    <row r="23" spans="1:5" x14ac:dyDescent="0.25">
      <c r="A23" s="3" t="s">
        <v>48</v>
      </c>
      <c r="B23" s="3">
        <v>7647.5</v>
      </c>
      <c r="C23" s="3">
        <v>7914.5</v>
      </c>
      <c r="D23" s="3">
        <v>584.54</v>
      </c>
      <c r="E23" s="3">
        <f t="shared" si="0"/>
        <v>1.2274804547342977</v>
      </c>
    </row>
    <row r="24" spans="1:5" x14ac:dyDescent="0.25">
      <c r="A24" s="3" t="s">
        <v>49</v>
      </c>
      <c r="B24" s="3">
        <v>8873.2000000000007</v>
      </c>
      <c r="C24" s="3">
        <v>8949.6</v>
      </c>
      <c r="D24" s="3">
        <v>1000</v>
      </c>
      <c r="E24" s="3">
        <f t="shared" si="0"/>
        <v>0.68783068783068779</v>
      </c>
    </row>
    <row r="25" spans="1:5" x14ac:dyDescent="0.25">
      <c r="A25" s="3" t="s">
        <v>50</v>
      </c>
      <c r="B25" s="3">
        <v>8979.6</v>
      </c>
      <c r="C25" s="3">
        <v>9128.2000000000007</v>
      </c>
      <c r="D25" s="3">
        <v>1800</v>
      </c>
      <c r="E25" s="3">
        <f t="shared" si="0"/>
        <v>0.37249283667621774</v>
      </c>
    </row>
    <row r="26" spans="1:5" x14ac:dyDescent="0.25">
      <c r="A26" s="3" t="s">
        <v>51</v>
      </c>
      <c r="B26" s="3">
        <v>9128.2000000000007</v>
      </c>
      <c r="C26" s="3">
        <v>9332.1</v>
      </c>
      <c r="D26" s="3">
        <v>2000</v>
      </c>
      <c r="E26" s="3">
        <f t="shared" si="0"/>
        <v>0.33419023136246789</v>
      </c>
    </row>
    <row r="27" spans="1:5" x14ac:dyDescent="0.25">
      <c r="A27" s="3" t="s">
        <v>52</v>
      </c>
      <c r="B27" s="3">
        <v>9622.6</v>
      </c>
      <c r="C27" s="3">
        <v>9676.5</v>
      </c>
      <c r="D27" s="3">
        <v>3000</v>
      </c>
      <c r="E27" s="3">
        <f t="shared" si="0"/>
        <v>0.22071307300509338</v>
      </c>
    </row>
    <row r="28" spans="1:5" x14ac:dyDescent="0.25">
      <c r="A28" s="3" t="s">
        <v>53</v>
      </c>
      <c r="B28" s="3">
        <v>9863.5</v>
      </c>
      <c r="C28" s="3">
        <v>9901.7999999999993</v>
      </c>
      <c r="D28" s="3">
        <v>3005</v>
      </c>
      <c r="E28" s="3">
        <f t="shared" si="0"/>
        <v>0.22033898305084745</v>
      </c>
    </row>
    <row r="29" spans="1:5" x14ac:dyDescent="0.25">
      <c r="A29" s="3" t="s">
        <v>54</v>
      </c>
      <c r="B29" s="3">
        <v>10182.700000000001</v>
      </c>
      <c r="C29" s="3">
        <v>10225.700000000001</v>
      </c>
      <c r="D29" s="3">
        <v>3000</v>
      </c>
      <c r="E29" s="3">
        <f t="shared" si="0"/>
        <v>0.22071307300509338</v>
      </c>
    </row>
    <row r="30" spans="1:5" x14ac:dyDescent="0.25">
      <c r="A30" s="3" t="s">
        <v>55</v>
      </c>
      <c r="B30" s="3">
        <v>10404.200000000001</v>
      </c>
      <c r="C30" s="3">
        <v>10463.1</v>
      </c>
      <c r="D30" s="3">
        <v>3005</v>
      </c>
      <c r="E30" s="3">
        <f t="shared" si="0"/>
        <v>0.22033898305084745</v>
      </c>
    </row>
    <row r="31" spans="1:5" x14ac:dyDescent="0.25">
      <c r="A31" s="3" t="s">
        <v>56</v>
      </c>
      <c r="B31" s="3">
        <v>10676.7</v>
      </c>
      <c r="C31" s="3">
        <v>10976</v>
      </c>
      <c r="D31" s="3">
        <v>2000</v>
      </c>
      <c r="E31" s="3">
        <f t="shared" si="0"/>
        <v>0.33419023136246789</v>
      </c>
    </row>
    <row r="32" spans="1:5" x14ac:dyDescent="0.25">
      <c r="A32" s="3" t="s">
        <v>57</v>
      </c>
      <c r="B32" s="3">
        <v>11161.7</v>
      </c>
      <c r="C32" s="3">
        <v>11500.7</v>
      </c>
      <c r="D32" s="3">
        <v>2000</v>
      </c>
      <c r="E32" s="3">
        <f t="shared" si="0"/>
        <v>0.33419023136246789</v>
      </c>
    </row>
    <row r="33" spans="1:5" x14ac:dyDescent="0.25">
      <c r="A33" s="3" t="s">
        <v>58</v>
      </c>
      <c r="B33" s="3">
        <v>11587.1</v>
      </c>
      <c r="C33" s="3">
        <v>11771.6</v>
      </c>
      <c r="D33" s="3">
        <v>2000</v>
      </c>
      <c r="E33" s="3">
        <f t="shared" si="0"/>
        <v>0.33419023136246789</v>
      </c>
    </row>
    <row r="34" spans="1:5" x14ac:dyDescent="0.25">
      <c r="A34" s="3" t="s">
        <v>59</v>
      </c>
      <c r="B34" s="3">
        <v>11813.3</v>
      </c>
      <c r="C34" s="3">
        <v>12191.2</v>
      </c>
      <c r="D34" s="3">
        <v>750</v>
      </c>
      <c r="E34" s="3">
        <f t="shared" ref="E34:E62" si="1">IF(D34&lt;250,530/(D34-30),IF(D34&gt;=250,IF(D34&lt;350,530/(D34-35),650/(D34-55))))</f>
        <v>0.93525179856115104</v>
      </c>
    </row>
    <row r="35" spans="1:5" x14ac:dyDescent="0.25">
      <c r="A35" s="3" t="s">
        <v>60</v>
      </c>
      <c r="B35" s="3">
        <v>12481.2</v>
      </c>
      <c r="C35" s="3">
        <v>12736.7</v>
      </c>
      <c r="D35" s="3">
        <v>1500</v>
      </c>
      <c r="E35" s="3">
        <f t="shared" si="1"/>
        <v>0.44982698961937717</v>
      </c>
    </row>
    <row r="36" spans="1:5" x14ac:dyDescent="0.25">
      <c r="A36" s="3" t="s">
        <v>61</v>
      </c>
      <c r="B36" s="3">
        <v>12961.4</v>
      </c>
      <c r="C36" s="3">
        <v>13243.7</v>
      </c>
      <c r="D36" s="3">
        <v>1500</v>
      </c>
      <c r="E36" s="3">
        <f t="shared" si="1"/>
        <v>0.44982698961937717</v>
      </c>
    </row>
    <row r="37" spans="1:5" x14ac:dyDescent="0.25">
      <c r="A37" s="3" t="s">
        <v>62</v>
      </c>
      <c r="B37" s="3">
        <v>13883.6</v>
      </c>
      <c r="C37" s="3">
        <v>13984.3</v>
      </c>
      <c r="D37" s="3">
        <v>1600</v>
      </c>
      <c r="E37" s="3">
        <f t="shared" si="1"/>
        <v>0.42071197411003236</v>
      </c>
    </row>
    <row r="38" spans="1:5" x14ac:dyDescent="0.25">
      <c r="A38" s="3" t="s">
        <v>63</v>
      </c>
      <c r="B38" s="3">
        <v>14036.9</v>
      </c>
      <c r="C38" s="3">
        <v>14177.8</v>
      </c>
      <c r="D38" s="3">
        <v>2000</v>
      </c>
      <c r="E38" s="3">
        <f t="shared" si="1"/>
        <v>0.33419023136246789</v>
      </c>
    </row>
    <row r="39" spans="1:5" x14ac:dyDescent="0.25">
      <c r="A39" s="3" t="s">
        <v>64</v>
      </c>
      <c r="B39" s="3">
        <v>14373.2</v>
      </c>
      <c r="C39" s="3">
        <v>14647.9</v>
      </c>
      <c r="D39" s="3">
        <v>2000</v>
      </c>
      <c r="E39" s="3">
        <f t="shared" si="1"/>
        <v>0.33419023136246789</v>
      </c>
    </row>
    <row r="40" spans="1:5" x14ac:dyDescent="0.25">
      <c r="A40" s="3" t="s">
        <v>65</v>
      </c>
      <c r="B40" s="3">
        <v>15164.7</v>
      </c>
      <c r="C40" s="3">
        <v>15307</v>
      </c>
      <c r="D40" s="3">
        <v>2950</v>
      </c>
      <c r="E40" s="3">
        <f t="shared" si="1"/>
        <v>0.22452504317789293</v>
      </c>
    </row>
    <row r="41" spans="1:5" x14ac:dyDescent="0.25">
      <c r="A41" s="3" t="s">
        <v>66</v>
      </c>
      <c r="B41" s="3">
        <v>15307</v>
      </c>
      <c r="C41" s="3">
        <v>15451.3</v>
      </c>
      <c r="D41" s="3">
        <v>2750</v>
      </c>
      <c r="E41" s="3">
        <f t="shared" si="1"/>
        <v>0.24118738404452691</v>
      </c>
    </row>
    <row r="42" spans="1:5" x14ac:dyDescent="0.25">
      <c r="A42" s="3" t="s">
        <v>67</v>
      </c>
      <c r="B42" s="3">
        <v>15848.3</v>
      </c>
      <c r="C42" s="3">
        <v>15992.9</v>
      </c>
      <c r="D42" s="3">
        <v>2000</v>
      </c>
      <c r="E42" s="3">
        <f t="shared" si="1"/>
        <v>0.33419023136246789</v>
      </c>
    </row>
    <row r="43" spans="1:5" x14ac:dyDescent="0.25">
      <c r="A43" s="3" t="s">
        <v>68</v>
      </c>
      <c r="B43" s="3">
        <v>16014</v>
      </c>
      <c r="C43" s="3">
        <v>16200.3</v>
      </c>
      <c r="D43" s="3">
        <v>755.7</v>
      </c>
      <c r="E43" s="3">
        <f t="shared" si="1"/>
        <v>0.92764378478664189</v>
      </c>
    </row>
    <row r="44" spans="1:5" x14ac:dyDescent="0.25">
      <c r="A44" s="3" t="s">
        <v>69</v>
      </c>
      <c r="B44" s="3">
        <v>16220.3</v>
      </c>
      <c r="C44" s="3">
        <v>16320.5</v>
      </c>
      <c r="D44" s="3">
        <v>6000</v>
      </c>
      <c r="E44" s="3">
        <f t="shared" si="1"/>
        <v>0.10933557611438183</v>
      </c>
    </row>
    <row r="45" spans="1:5" x14ac:dyDescent="0.25">
      <c r="A45" s="3" t="s">
        <v>70</v>
      </c>
      <c r="B45" s="3">
        <v>16545.099999999999</v>
      </c>
      <c r="C45" s="3">
        <v>16846.8</v>
      </c>
      <c r="D45" s="3">
        <v>2000</v>
      </c>
      <c r="E45" s="3">
        <f t="shared" si="1"/>
        <v>0.33419023136246789</v>
      </c>
    </row>
    <row r="46" spans="1:5" x14ac:dyDescent="0.25">
      <c r="A46" s="3" t="s">
        <v>71</v>
      </c>
      <c r="B46" s="3">
        <v>17082.5</v>
      </c>
      <c r="C46" s="3">
        <v>17297.5</v>
      </c>
      <c r="D46" s="3">
        <v>2005.7</v>
      </c>
      <c r="E46" s="3">
        <f t="shared" si="1"/>
        <v>0.33321371815245809</v>
      </c>
    </row>
    <row r="47" spans="1:5" x14ac:dyDescent="0.25">
      <c r="A47" s="3" t="s">
        <v>72</v>
      </c>
      <c r="B47" s="3">
        <v>17567.5</v>
      </c>
      <c r="C47" s="3">
        <v>17814.900000000001</v>
      </c>
      <c r="D47" s="3">
        <v>700</v>
      </c>
      <c r="E47" s="3">
        <f t="shared" si="1"/>
        <v>1.0077519379844961</v>
      </c>
    </row>
    <row r="48" spans="1:5" x14ac:dyDescent="0.25">
      <c r="A48" s="3" t="s">
        <v>73</v>
      </c>
      <c r="B48" s="3">
        <v>17814.900000000001</v>
      </c>
      <c r="C48" s="3">
        <v>18077.900000000001</v>
      </c>
      <c r="D48" s="3">
        <v>304.5</v>
      </c>
      <c r="E48" s="3">
        <f t="shared" si="1"/>
        <v>1.966604823747681</v>
      </c>
    </row>
    <row r="49" spans="1:5" x14ac:dyDescent="0.25">
      <c r="A49" s="3" t="s">
        <v>74</v>
      </c>
      <c r="B49" s="3">
        <v>18239.400000000001</v>
      </c>
      <c r="C49" s="3">
        <v>18634.599999999999</v>
      </c>
      <c r="D49" s="3">
        <v>470</v>
      </c>
      <c r="E49" s="3">
        <f t="shared" si="1"/>
        <v>1.5662650602409638</v>
      </c>
    </row>
    <row r="50" spans="1:5" x14ac:dyDescent="0.25">
      <c r="A50" s="3" t="s">
        <v>75</v>
      </c>
      <c r="B50" s="3">
        <v>18857.7</v>
      </c>
      <c r="C50" s="3">
        <v>18961.2</v>
      </c>
      <c r="D50" s="3">
        <v>1500</v>
      </c>
      <c r="E50" s="3">
        <f t="shared" si="1"/>
        <v>0.44982698961937717</v>
      </c>
    </row>
    <row r="51" spans="1:5" x14ac:dyDescent="0.25">
      <c r="A51" s="3" t="s">
        <v>76</v>
      </c>
      <c r="B51" s="3">
        <v>19044.599999999999</v>
      </c>
      <c r="C51" s="3">
        <v>19304.7</v>
      </c>
      <c r="D51" s="3">
        <v>700</v>
      </c>
      <c r="E51" s="3">
        <f t="shared" si="1"/>
        <v>1.0077519379844961</v>
      </c>
    </row>
    <row r="52" spans="1:5" x14ac:dyDescent="0.25">
      <c r="A52" s="3" t="s">
        <v>77</v>
      </c>
      <c r="B52" s="3">
        <v>19325.3</v>
      </c>
      <c r="C52" s="3">
        <v>19481.7</v>
      </c>
      <c r="D52" s="3">
        <v>2000</v>
      </c>
      <c r="E52" s="3">
        <f t="shared" si="1"/>
        <v>0.33419023136246789</v>
      </c>
    </row>
    <row r="53" spans="1:5" x14ac:dyDescent="0.25">
      <c r="A53" s="3" t="s">
        <v>78</v>
      </c>
      <c r="B53" s="3">
        <v>19625.7</v>
      </c>
      <c r="C53" s="3">
        <v>20181.3</v>
      </c>
      <c r="D53" s="3">
        <v>500</v>
      </c>
      <c r="E53" s="3">
        <f t="shared" si="1"/>
        <v>1.4606741573033708</v>
      </c>
    </row>
    <row r="54" spans="1:5" x14ac:dyDescent="0.25">
      <c r="A54" s="3" t="s">
        <v>79</v>
      </c>
      <c r="B54" s="3">
        <v>20377.8</v>
      </c>
      <c r="C54" s="3">
        <v>20548.3</v>
      </c>
      <c r="D54" s="3">
        <v>1000</v>
      </c>
      <c r="E54" s="3">
        <f t="shared" si="1"/>
        <v>0.68783068783068779</v>
      </c>
    </row>
    <row r="55" spans="1:5" x14ac:dyDescent="0.25">
      <c r="A55" s="3" t="s">
        <v>80</v>
      </c>
      <c r="B55" s="3">
        <v>20725.3</v>
      </c>
      <c r="C55" s="3">
        <v>20766.2</v>
      </c>
      <c r="D55" s="3">
        <v>6004.4</v>
      </c>
      <c r="E55" s="3">
        <f t="shared" si="1"/>
        <v>0.10925471476115239</v>
      </c>
    </row>
    <row r="56" spans="1:5" x14ac:dyDescent="0.25">
      <c r="A56" s="3" t="s">
        <v>81</v>
      </c>
      <c r="B56" s="3">
        <v>20821.099999999999</v>
      </c>
      <c r="C56" s="3">
        <v>20862.3</v>
      </c>
      <c r="D56" s="3">
        <v>6000</v>
      </c>
      <c r="E56" s="3">
        <f t="shared" si="1"/>
        <v>0.10933557611438183</v>
      </c>
    </row>
    <row r="57" spans="1:5" x14ac:dyDescent="0.25">
      <c r="A57" s="3" t="s">
        <v>82</v>
      </c>
      <c r="B57" s="3">
        <v>21285.9</v>
      </c>
      <c r="C57" s="3">
        <v>21487.200000000001</v>
      </c>
      <c r="D57" s="3">
        <v>700</v>
      </c>
      <c r="E57" s="3">
        <f t="shared" si="1"/>
        <v>1.0077519379844961</v>
      </c>
    </row>
    <row r="58" spans="1:5" x14ac:dyDescent="0.25">
      <c r="A58" s="3" t="s">
        <v>83</v>
      </c>
      <c r="B58" s="3">
        <v>21487.200000000001</v>
      </c>
      <c r="C58" s="3">
        <v>21756</v>
      </c>
      <c r="D58" s="3">
        <v>500</v>
      </c>
      <c r="E58" s="3">
        <f t="shared" si="1"/>
        <v>1.4606741573033708</v>
      </c>
    </row>
    <row r="59" spans="1:5" x14ac:dyDescent="0.25">
      <c r="A59" s="3" t="s">
        <v>84</v>
      </c>
      <c r="B59" s="3">
        <v>22041.9</v>
      </c>
      <c r="C59" s="3">
        <v>22488</v>
      </c>
      <c r="D59" s="3">
        <v>700</v>
      </c>
      <c r="E59" s="3">
        <f t="shared" si="1"/>
        <v>1.0077519379844961</v>
      </c>
    </row>
    <row r="60" spans="1:5" x14ac:dyDescent="0.25">
      <c r="A60" s="3" t="s">
        <v>85</v>
      </c>
      <c r="B60" s="3">
        <v>22488</v>
      </c>
      <c r="C60" s="3">
        <v>22699.4</v>
      </c>
      <c r="D60" s="3">
        <v>600</v>
      </c>
      <c r="E60" s="3">
        <f t="shared" si="1"/>
        <v>1.1926605504587156</v>
      </c>
    </row>
    <row r="61" spans="1:5" x14ac:dyDescent="0.25">
      <c r="A61" s="3" t="s">
        <v>86</v>
      </c>
      <c r="B61" s="3">
        <v>22854.3</v>
      </c>
      <c r="C61" s="3">
        <v>22993.8</v>
      </c>
      <c r="D61" s="3">
        <v>500</v>
      </c>
      <c r="E61" s="3">
        <f t="shared" si="1"/>
        <v>1.4606741573033708</v>
      </c>
    </row>
    <row r="62" spans="1:5" x14ac:dyDescent="0.25">
      <c r="A62" s="3" t="s">
        <v>87</v>
      </c>
      <c r="B62" s="3">
        <v>22993.8</v>
      </c>
      <c r="C62" s="3">
        <v>23125.3</v>
      </c>
      <c r="D62" s="3">
        <v>350</v>
      </c>
      <c r="E62" s="3">
        <f t="shared" si="1"/>
        <v>2.2033898305084745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geral</vt:lpstr>
      <vt:lpstr>tam_plat</vt:lpstr>
      <vt:lpstr>trem</vt:lpstr>
      <vt:lpstr>txc</vt:lpstr>
      <vt:lpstr>loc_est</vt:lpstr>
      <vt:lpstr>loc_ret</vt:lpstr>
      <vt:lpstr>davis</vt:lpstr>
      <vt:lpstr>ramp</vt:lpstr>
      <vt:lpstr>curv</vt:lpstr>
      <vt:lpstr>cross</vt:lpstr>
      <vt:lpstr>eletrica</vt:lpstr>
      <vt:lpstr>dados_rets</vt:lpstr>
      <vt:lpstr>antenas</vt:lpstr>
    </vt:vector>
  </TitlesOfParts>
  <Company>Metro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ANNIBAL PIMENTA</dc:creator>
  <cp:lastModifiedBy>MARCIO ANNIBAL PIMENTA</cp:lastModifiedBy>
  <dcterms:created xsi:type="dcterms:W3CDTF">2023-11-09T13:20:18Z</dcterms:created>
  <dcterms:modified xsi:type="dcterms:W3CDTF">2024-08-08T19:20:38Z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acbe4c-d86b-4fdf-b39b-4dab29bccff1_Enabled">
    <vt:lpwstr>true</vt:lpwstr>
  </property>
  <property fmtid="{D5CDD505-2E9C-101B-9397-08002B2CF9AE}" pid="3" name="MSIP_Label_7dacbe4c-d86b-4fdf-b39b-4dab29bccff1_SetDate">
    <vt:lpwstr>2023-11-09T13:20:44Z</vt:lpwstr>
  </property>
  <property fmtid="{D5CDD505-2E9C-101B-9397-08002B2CF9AE}" pid="4" name="MSIP_Label_7dacbe4c-d86b-4fdf-b39b-4dab29bccff1_Method">
    <vt:lpwstr>Privileged</vt:lpwstr>
  </property>
  <property fmtid="{D5CDD505-2E9C-101B-9397-08002B2CF9AE}" pid="5" name="MSIP_Label_7dacbe4c-d86b-4fdf-b39b-4dab29bccff1_Name">
    <vt:lpwstr>Pública</vt:lpwstr>
  </property>
  <property fmtid="{D5CDD505-2E9C-101B-9397-08002B2CF9AE}" pid="6" name="MSIP_Label_7dacbe4c-d86b-4fdf-b39b-4dab29bccff1_SiteId">
    <vt:lpwstr>623b0f62-ff86-487b-ae99-9b20f75d41fb</vt:lpwstr>
  </property>
  <property fmtid="{D5CDD505-2E9C-101B-9397-08002B2CF9AE}" pid="7" name="MSIP_Label_7dacbe4c-d86b-4fdf-b39b-4dab29bccff1_ActionId">
    <vt:lpwstr>adc567a5-03c2-4f21-aa56-3dae2f04ed09</vt:lpwstr>
  </property>
  <property fmtid="{D5CDD505-2E9C-101B-9397-08002B2CF9AE}" pid="8" name="MSIP_Label_7dacbe4c-d86b-4fdf-b39b-4dab29bccff1_ContentBits">
    <vt:lpwstr>0</vt:lpwstr>
  </property>
</Properties>
</file>