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Projetos\github.com\datascience\fia\analytics I - planilha\"/>
    </mc:Choice>
  </mc:AlternateContent>
  <xr:revisionPtr revIDLastSave="0" documentId="13_ncr:1_{6C4E33EE-8F4A-46AE-97B2-5E107378472F}" xr6:coauthVersionLast="47" xr6:coauthVersionMax="47" xr10:uidLastSave="{00000000-0000-0000-0000-000000000000}"/>
  <bookViews>
    <workbookView xWindow="-120" yWindow="-120" windowWidth="29040" windowHeight="15990" firstSheet="4" activeTab="6" xr2:uid="{00000000-000D-0000-FFFF-FFFF00000000}"/>
  </bookViews>
  <sheets>
    <sheet name="Média" sheetId="12" r:id="rId1"/>
    <sheet name="Proporção" sheetId="14" r:id="rId2"/>
    <sheet name="IC Estratificado - GastoSaude" sheetId="2" r:id="rId3"/>
    <sheet name="IC Estratificado - Cartao Fin" sheetId="23" r:id="rId4"/>
    <sheet name="IC Estratificado - Cartao Inf" sheetId="24" r:id="rId5"/>
    <sheet name="AP-Estratificado - GastoSaude" sheetId="28" r:id="rId6"/>
    <sheet name="AN-Estratificado - GastoSaude" sheetId="29" r:id="rId7"/>
    <sheet name="AP-Estratificado - GastoMensal" sheetId="25" r:id="rId8"/>
    <sheet name="AN-Estratificado - GastoMensal" sheetId="30" r:id="rId9"/>
    <sheet name="AP-Estratificado -CestaBasica" sheetId="31" r:id="rId10"/>
    <sheet name="AN-Estratificado - CestaBasica" sheetId="32" r:id="rId11"/>
  </sheets>
  <calcPr calcId="181029"/>
</workbook>
</file>

<file path=xl/calcChain.xml><?xml version="1.0" encoding="utf-8"?>
<calcChain xmlns="http://schemas.openxmlformats.org/spreadsheetml/2006/main">
  <c r="E10" i="14" l="1"/>
  <c r="G7" i="32"/>
  <c r="H6" i="32" s="1"/>
  <c r="D4" i="32"/>
  <c r="G7" i="31"/>
  <c r="H5" i="31" s="1"/>
  <c r="D4" i="31"/>
  <c r="H4" i="32" l="1"/>
  <c r="H5" i="32"/>
  <c r="H4" i="31"/>
  <c r="D6" i="31"/>
  <c r="D7" i="31" s="1"/>
  <c r="J4" i="31" s="1"/>
  <c r="H6" i="31"/>
  <c r="D6" i="32"/>
  <c r="D7" i="32" s="1"/>
  <c r="J5" i="32" l="1"/>
  <c r="J4" i="32"/>
  <c r="J6" i="32"/>
  <c r="J6" i="31"/>
  <c r="J5" i="31"/>
  <c r="D61" i="30"/>
  <c r="C45" i="30"/>
  <c r="C60" i="30" s="1"/>
  <c r="C44" i="30"/>
  <c r="C59" i="30" s="1"/>
  <c r="C43" i="30"/>
  <c r="G7" i="30"/>
  <c r="D4" i="30"/>
  <c r="D4" i="29"/>
  <c r="G7" i="29"/>
  <c r="H5" i="29" s="1"/>
  <c r="G7" i="28"/>
  <c r="H6" i="28" s="1"/>
  <c r="D4" i="28"/>
  <c r="C58" i="30" l="1"/>
  <c r="C46" i="30"/>
  <c r="C61" i="30" s="1"/>
  <c r="J7" i="31"/>
  <c r="K5" i="31" s="1"/>
  <c r="J7" i="32"/>
  <c r="D6" i="30"/>
  <c r="H4" i="30"/>
  <c r="D43" i="30" s="1"/>
  <c r="H5" i="30"/>
  <c r="D44" i="30" s="1"/>
  <c r="D59" i="30" s="1"/>
  <c r="H6" i="30"/>
  <c r="D45" i="30" s="1"/>
  <c r="D60" i="30" s="1"/>
  <c r="D6" i="29"/>
  <c r="D7" i="29" s="1"/>
  <c r="H6" i="29"/>
  <c r="H4" i="29"/>
  <c r="H4" i="28"/>
  <c r="D7" i="28"/>
  <c r="H5" i="28"/>
  <c r="D4" i="25"/>
  <c r="I5" i="12"/>
  <c r="C5" i="12"/>
  <c r="M6" i="14"/>
  <c r="E7" i="14"/>
  <c r="D7" i="30" l="1"/>
  <c r="K5" i="32"/>
  <c r="K4" i="32"/>
  <c r="K4" i="31"/>
  <c r="K6" i="32"/>
  <c r="K6" i="31"/>
  <c r="D58" i="30"/>
  <c r="E46" i="30"/>
  <c r="J4" i="29"/>
  <c r="J6" i="29"/>
  <c r="J5" i="29"/>
  <c r="J5" i="28"/>
  <c r="J4" i="28"/>
  <c r="J6" i="28"/>
  <c r="E9" i="14"/>
  <c r="E5" i="14" s="1"/>
  <c r="J7" i="29" l="1"/>
  <c r="K5" i="29" s="1"/>
  <c r="J4" i="30"/>
  <c r="J6" i="30"/>
  <c r="J5" i="30"/>
  <c r="B28" i="30"/>
  <c r="F44" i="30"/>
  <c r="F59" i="30" s="1"/>
  <c r="H59" i="30" s="1"/>
  <c r="C34" i="30"/>
  <c r="F45" i="30"/>
  <c r="F60" i="30" s="1"/>
  <c r="H60" i="30" s="1"/>
  <c r="C35" i="30"/>
  <c r="C33" i="30"/>
  <c r="F43" i="30"/>
  <c r="J7" i="30"/>
  <c r="J7" i="28"/>
  <c r="D61" i="25"/>
  <c r="C45" i="25"/>
  <c r="C60" i="25" s="1"/>
  <c r="C44" i="25"/>
  <c r="C59" i="25" s="1"/>
  <c r="C43" i="25"/>
  <c r="C58" i="25" s="1"/>
  <c r="M21" i="2"/>
  <c r="M20" i="2"/>
  <c r="L22" i="2"/>
  <c r="G8" i="2"/>
  <c r="H6" i="2" s="1"/>
  <c r="I6" i="2" s="1"/>
  <c r="K22" i="2"/>
  <c r="G7" i="25"/>
  <c r="H8" i="24"/>
  <c r="D8" i="24"/>
  <c r="K4" i="29" l="1"/>
  <c r="K6" i="29"/>
  <c r="H6" i="25"/>
  <c r="D45" i="25" s="1"/>
  <c r="D60" i="25" s="1"/>
  <c r="D6" i="25"/>
  <c r="D7" i="25" s="1"/>
  <c r="J5" i="25"/>
  <c r="C34" i="25" s="1"/>
  <c r="H5" i="25"/>
  <c r="D44" i="25" s="1"/>
  <c r="D59" i="25" s="1"/>
  <c r="H4" i="25"/>
  <c r="D43" i="25" s="1"/>
  <c r="D58" i="25" s="1"/>
  <c r="C36" i="30"/>
  <c r="K4" i="30"/>
  <c r="K6" i="30"/>
  <c r="K5" i="30"/>
  <c r="F58" i="30"/>
  <c r="H58" i="30" s="1"/>
  <c r="H61" i="30" s="1"/>
  <c r="I61" i="30" s="1"/>
  <c r="K58" i="30" s="1"/>
  <c r="F46" i="30"/>
  <c r="F61" i="30" s="1"/>
  <c r="E7" i="24"/>
  <c r="F7" i="24" s="1"/>
  <c r="J6" i="24"/>
  <c r="J7" i="24"/>
  <c r="J5" i="24"/>
  <c r="K6" i="28"/>
  <c r="K5" i="28"/>
  <c r="K4" i="28"/>
  <c r="E46" i="25"/>
  <c r="C46" i="25"/>
  <c r="C61" i="25" s="1"/>
  <c r="M19" i="2"/>
  <c r="M22" i="2" s="1"/>
  <c r="H5" i="2"/>
  <c r="H7" i="2"/>
  <c r="I7" i="2" s="1"/>
  <c r="D8" i="2"/>
  <c r="D7" i="2"/>
  <c r="E6" i="24"/>
  <c r="F6" i="24" s="1"/>
  <c r="E5" i="24"/>
  <c r="H8" i="23"/>
  <c r="D8" i="23"/>
  <c r="E7" i="23" s="1"/>
  <c r="F7" i="23" s="1"/>
  <c r="J7" i="23" s="1"/>
  <c r="M9" i="14"/>
  <c r="P10" i="14" s="1"/>
  <c r="J6" i="25" l="1"/>
  <c r="C35" i="25" s="1"/>
  <c r="J4" i="25"/>
  <c r="C33" i="25" s="1"/>
  <c r="K59" i="30"/>
  <c r="M57" i="30"/>
  <c r="M58" i="30"/>
  <c r="J8" i="24"/>
  <c r="K8" i="24" s="1"/>
  <c r="F43" i="25"/>
  <c r="F58" i="25" s="1"/>
  <c r="H58" i="25" s="1"/>
  <c r="B28" i="25"/>
  <c r="I5" i="2"/>
  <c r="H8" i="2"/>
  <c r="E8" i="24"/>
  <c r="F5" i="24"/>
  <c r="G8" i="24" s="1"/>
  <c r="E6" i="23"/>
  <c r="F6" i="23" s="1"/>
  <c r="J6" i="23" s="1"/>
  <c r="E5" i="23"/>
  <c r="F5" i="23" s="1"/>
  <c r="P14" i="14"/>
  <c r="T15" i="14" s="1"/>
  <c r="L15" i="12"/>
  <c r="P16" i="12" s="1"/>
  <c r="F15" i="12"/>
  <c r="J5" i="23" l="1"/>
  <c r="J8" i="23" s="1"/>
  <c r="K8" i="23" s="1"/>
  <c r="M5" i="23" s="1"/>
  <c r="M6" i="23" s="1"/>
  <c r="G8" i="23"/>
  <c r="F45" i="25"/>
  <c r="F60" i="25" s="1"/>
  <c r="H60" i="25" s="1"/>
  <c r="J7" i="25"/>
  <c r="F44" i="25"/>
  <c r="F59" i="25" s="1"/>
  <c r="H59" i="25" s="1"/>
  <c r="M5" i="24"/>
  <c r="E8" i="23"/>
  <c r="T17" i="14"/>
  <c r="S17" i="14"/>
  <c r="T8" i="14"/>
  <c r="S10" i="14" s="1"/>
  <c r="P18" i="12"/>
  <c r="O18" i="12"/>
  <c r="E14" i="14"/>
  <c r="L5" i="12"/>
  <c r="P6" i="12" s="1"/>
  <c r="P8" i="12" s="1"/>
  <c r="F5" i="12"/>
  <c r="O4" i="23" l="1"/>
  <c r="O5" i="23"/>
  <c r="K5" i="25"/>
  <c r="C36" i="25"/>
  <c r="M6" i="24"/>
  <c r="O5" i="24"/>
  <c r="O4" i="24"/>
  <c r="H61" i="25"/>
  <c r="I61" i="25" s="1"/>
  <c r="K58" i="25" s="1"/>
  <c r="M58" i="25" s="1"/>
  <c r="K4" i="25"/>
  <c r="K6" i="25"/>
  <c r="F46" i="25"/>
  <c r="F61" i="25" s="1"/>
  <c r="T10" i="14"/>
  <c r="O8" i="12"/>
  <c r="K59" i="25" l="1"/>
  <c r="M57" i="25"/>
  <c r="M26" i="2"/>
  <c r="M27" i="2" s="1"/>
  <c r="M29" i="2" l="1"/>
  <c r="M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E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karin:</t>
        </r>
        <r>
          <rPr>
            <sz val="8"/>
            <color indexed="81"/>
            <rFont val="Tahoma"/>
            <family val="2"/>
          </rPr>
          <t xml:space="preserve">
Qdo não se tem este valor, usar 0,5. Este valor maximiza o valor da amostra.</t>
        </r>
      </text>
    </comment>
  </commentList>
</comments>
</file>

<file path=xl/sharedStrings.xml><?xml version="1.0" encoding="utf-8"?>
<sst xmlns="http://schemas.openxmlformats.org/spreadsheetml/2006/main" count="332" uniqueCount="66">
  <si>
    <t>População Finita</t>
  </si>
  <si>
    <t>Tamanho de amostra</t>
  </si>
  <si>
    <t>Margem de erro</t>
  </si>
  <si>
    <t>Intervalo de confiaça</t>
  </si>
  <si>
    <r>
      <rPr>
        <sz val="11"/>
        <color rgb="FF434343"/>
        <rFont val="Symbol"/>
        <family val="1"/>
        <charset val="2"/>
      </rPr>
      <t>g</t>
    </r>
    <r>
      <rPr>
        <sz val="11"/>
        <color rgb="FF434343"/>
        <rFont val="Calibri"/>
        <family val="2"/>
        <scheme val="minor"/>
      </rPr>
      <t>=</t>
    </r>
  </si>
  <si>
    <t>Z=</t>
  </si>
  <si>
    <t>n=</t>
  </si>
  <si>
    <t>ME</t>
  </si>
  <si>
    <t>X barra</t>
  </si>
  <si>
    <t>ME=</t>
  </si>
  <si>
    <t>Legenda:</t>
  </si>
  <si>
    <t>S=</t>
  </si>
  <si>
    <t>Inserir informações</t>
  </si>
  <si>
    <t>N=</t>
  </si>
  <si>
    <t>[</t>
  </si>
  <si>
    <t>]</t>
  </si>
  <si>
    <t>Amostra</t>
  </si>
  <si>
    <t>População Infinita</t>
  </si>
  <si>
    <t>Confiança</t>
  </si>
  <si>
    <r>
      <t xml:space="preserve">Estatística com </t>
    </r>
    <r>
      <rPr>
        <sz val="10"/>
        <color rgb="FF434343"/>
        <rFont val="Symbol"/>
        <family val="1"/>
        <charset val="2"/>
      </rPr>
      <t>g</t>
    </r>
    <r>
      <rPr>
        <sz val="10"/>
        <color rgb="FF434343"/>
        <rFont val="Arial"/>
        <family val="2"/>
      </rPr>
      <t xml:space="preserve"> de confiança</t>
    </r>
  </si>
  <si>
    <t>p^</t>
  </si>
  <si>
    <t>Proporção</t>
  </si>
  <si>
    <t>p^=</t>
  </si>
  <si>
    <t>1-p^</t>
  </si>
  <si>
    <t>q^=</t>
  </si>
  <si>
    <t>p^ * (1-p^)=</t>
  </si>
  <si>
    <t>Tamanho da população finita</t>
  </si>
  <si>
    <t>Amostragem Estratificada</t>
  </si>
  <si>
    <t>Estrato</t>
  </si>
  <si>
    <t>N</t>
  </si>
  <si>
    <t>%</t>
  </si>
  <si>
    <t>W</t>
  </si>
  <si>
    <t>S_piloto</t>
  </si>
  <si>
    <t>90% de confiança da Distribuição Normal</t>
  </si>
  <si>
    <t>Total</t>
  </si>
  <si>
    <t>Resultado a pesquisa coletada com a amostra de 2.225 prestadores</t>
  </si>
  <si>
    <t>S_estimado</t>
  </si>
  <si>
    <t>n</t>
  </si>
  <si>
    <t>X_barra</t>
  </si>
  <si>
    <r>
      <t xml:space="preserve">Variância X_barra </t>
    </r>
    <r>
      <rPr>
        <b/>
        <sz val="10"/>
        <color rgb="FF434343"/>
        <rFont val="Arial"/>
        <family val="2"/>
      </rPr>
      <t>Finito</t>
    </r>
  </si>
  <si>
    <t>DP=</t>
  </si>
  <si>
    <t>IC (0,9) =</t>
  </si>
  <si>
    <t>S</t>
  </si>
  <si>
    <t>Var_estimada</t>
  </si>
  <si>
    <t>z=</t>
  </si>
  <si>
    <t>IC (0,95)=</t>
  </si>
  <si>
    <t>1 – Classe A</t>
  </si>
  <si>
    <t>2 – Classe B</t>
  </si>
  <si>
    <t>3 – Classe C</t>
  </si>
  <si>
    <t>Desvio Padrão Média =</t>
  </si>
  <si>
    <r>
      <t xml:space="preserve">Var X_barra </t>
    </r>
    <r>
      <rPr>
        <b/>
        <sz val="10"/>
        <color rgb="FF434343"/>
        <rFont val="Arial"/>
        <family val="2"/>
      </rPr>
      <t>Infinito</t>
    </r>
  </si>
  <si>
    <t>IC (0,95) =</t>
  </si>
  <si>
    <t>Alocação Proporcional</t>
  </si>
  <si>
    <t>n_Proporcional</t>
  </si>
  <si>
    <t>%_Poporcional</t>
  </si>
  <si>
    <t>Alocação Neyman</t>
  </si>
  <si>
    <t>n_Neyman</t>
  </si>
  <si>
    <t>%_Neyman</t>
  </si>
  <si>
    <r>
      <t xml:space="preserve">(a) </t>
    </r>
    <r>
      <rPr>
        <sz val="16"/>
        <color rgb="FF434343"/>
        <rFont val="Open Sans"/>
      </rPr>
      <t>Calcule o tamanho amostral considerando uma confiança de 95% e margem de erro R$5.</t>
    </r>
  </si>
  <si>
    <r>
      <t xml:space="preserve">(b) </t>
    </r>
    <r>
      <rPr>
        <sz val="16"/>
        <color rgb="FF434343"/>
        <rFont val="Open Sans"/>
      </rPr>
      <t>Calcule no n amostral por estrato considerando alocação porporcional.</t>
    </r>
  </si>
  <si>
    <t>n_proporcional</t>
  </si>
  <si>
    <r>
      <t xml:space="preserve">(c) </t>
    </r>
    <r>
      <rPr>
        <sz val="16"/>
        <color rgb="FF434343"/>
        <rFont val="Open Sans"/>
      </rPr>
      <t xml:space="preserve">Após a pesquisa realizada, obteve-se os resultados da “Pesquisa” e foram calculados as médias e DP (desvio padrão) amostrais por estrato. Calcule a estimativa pontual da média do gasto mensal dos clientes da loja. </t>
    </r>
  </si>
  <si>
    <r>
      <t xml:space="preserve">(d) </t>
    </r>
    <r>
      <rPr>
        <sz val="16"/>
        <color rgb="FF434343"/>
        <rFont val="Open Sans"/>
      </rPr>
      <t>Calcule o intervalo com 95% confiança para o gasto médio dos clientes da loja, considerando:</t>
    </r>
  </si>
  <si>
    <r>
      <t xml:space="preserve">(b) </t>
    </r>
    <r>
      <rPr>
        <sz val="16"/>
        <color rgb="FF434343"/>
        <rFont val="Open Sans"/>
      </rPr>
      <t>Calcule no n amostral por estrato considerando alocação de Neyman.</t>
    </r>
  </si>
  <si>
    <t>n_Neynam</t>
  </si>
  <si>
    <r>
      <rPr>
        <b/>
        <sz val="11"/>
        <color rgb="FF434343"/>
        <rFont val="Symbol"/>
        <family val="1"/>
        <charset val="2"/>
      </rPr>
      <t>g</t>
    </r>
    <r>
      <rPr>
        <b/>
        <sz val="11"/>
        <color rgb="FF434343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</si>
</sst>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_-&quot;R$&quot;\ * #,##0.000_-;\-&quot;R$&quot;\ * #,##0.000_-;_-&quot;R$&quot;\ * &quot;-&quot;??_-;_-@_-"/>
    <numFmt numFmtId="166" formatCode="_-&quot;R$&quot;\ * #,##0.000_-;\-&quot;R$&quot;\ * #,##0.000_-;_-&quot;R$&quot;\ * &quot;-&quot;???_-;_-@_-"/>
    <numFmt numFmtId="167" formatCode="0.000"/>
    <numFmt numFmtId="168" formatCode="_-* #,##0_-;\-* #,##0_-;_-* &quot;-&quot;??_-;_-@_-"/>
    <numFmt numFmtId="169" formatCode="_-* #,##0.000_-;\-* #,##0.000_-;_-* &quot;-&quot;??_-;_-@_-"/>
    <numFmt numFmtId="170" formatCode="_-&quot;R$&quot;\ * #,##0_-;\-&quot;R$&quot;\ * #,##0_-;_-&quot;R$&quot;\ * &quot;-&quot;???_-;_-@_-"/>
    <numFmt numFmtId="171" formatCode="_-&quot;R$&quot;\ * #,##0.0000_-;\-&quot;R$&quot;\ * #,##0.0000_-;_-&quot;R$&quot;\ * &quot;-&quot;??_-;_-@_-"/>
    <numFmt numFmtId="172" formatCode="_-* #,##0.0000_-;\-* #,##0.0000_-;_-* &quot;-&quot;??_-;_-@_-"/>
    <numFmt numFmtId="173" formatCode="_-&quot;R$&quot;\ * #,##0.00_-;\-&quot;R$&quot;\ * #,##0.00_-;_-&quot;R$&quot;\ * &quot;-&quot;???_-;_-@_-"/>
    <numFmt numFmtId="174" formatCode="_-&quot;R$&quot;\ * #,##0.0_-;\-&quot;R$&quot;\ * #,##0.0_-;_-&quot;R$&quot;\ * &quot;-&quot;???_-;_-@_-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BED9DB"/>
      <name val="Arial"/>
      <family val="2"/>
    </font>
    <font>
      <b/>
      <sz val="10"/>
      <color rgb="FFBED9DB"/>
      <name val="Arial"/>
      <family val="2"/>
    </font>
    <font>
      <sz val="11"/>
      <color rgb="FF434343"/>
      <name val="Open sans"/>
    </font>
    <font>
      <sz val="10"/>
      <color rgb="FF434343"/>
      <name val="Open sans"/>
    </font>
    <font>
      <sz val="10"/>
      <color rgb="FFFF0000"/>
      <name val="Open sans"/>
    </font>
    <font>
      <b/>
      <sz val="11"/>
      <color rgb="FFFF0000"/>
      <name val="Open sans"/>
    </font>
    <font>
      <b/>
      <sz val="10"/>
      <color rgb="FFFF0000"/>
      <name val="Open sans"/>
    </font>
    <font>
      <sz val="11"/>
      <color rgb="FF434343"/>
      <name val="Calibri"/>
      <family val="2"/>
      <scheme val="minor"/>
    </font>
    <font>
      <sz val="10"/>
      <color rgb="FF434343"/>
      <name val="Arial"/>
      <family val="2"/>
    </font>
    <font>
      <b/>
      <sz val="10"/>
      <color rgb="FF434343"/>
      <name val="Open sans"/>
    </font>
    <font>
      <b/>
      <sz val="11"/>
      <color rgb="FFFF0000"/>
      <name val="Calibri"/>
      <family val="2"/>
      <scheme val="minor"/>
    </font>
    <font>
      <b/>
      <sz val="10"/>
      <color rgb="FF434343"/>
      <name val="Arial"/>
      <family val="2"/>
    </font>
    <font>
      <b/>
      <sz val="11"/>
      <color rgb="FF434343"/>
      <name val="Calibri"/>
      <family val="2"/>
      <scheme val="minor"/>
    </font>
    <font>
      <sz val="10"/>
      <color rgb="FFFFFF00"/>
      <name val="Arial"/>
      <family val="2"/>
    </font>
    <font>
      <sz val="10"/>
      <color rgb="FFDB7D74"/>
      <name val="Arial"/>
      <family val="2"/>
    </font>
    <font>
      <sz val="8"/>
      <color rgb="FF434343"/>
      <name val="Open sans"/>
    </font>
    <font>
      <sz val="16"/>
      <color rgb="FF434343"/>
      <name val="Open Sans"/>
    </font>
    <font>
      <b/>
      <sz val="11"/>
      <color rgb="FF434343"/>
      <name val="Open Sans"/>
    </font>
    <font>
      <sz val="16"/>
      <color rgb="FF434343"/>
      <name val="Arial"/>
      <family val="2"/>
    </font>
    <font>
      <sz val="10"/>
      <color rgb="FF78D9DB"/>
      <name val="Arial"/>
      <family val="2"/>
    </font>
    <font>
      <b/>
      <sz val="10"/>
      <color rgb="FF78D9DB"/>
      <name val="Arial"/>
      <family val="2"/>
    </font>
    <font>
      <sz val="11"/>
      <color rgb="FF434343"/>
      <name val="Symbol"/>
      <family val="1"/>
      <charset val="2"/>
    </font>
    <font>
      <sz val="11"/>
      <color rgb="FF434343"/>
      <name val="Calibri"/>
      <family val="1"/>
      <charset val="2"/>
      <scheme val="minor"/>
    </font>
    <font>
      <sz val="10"/>
      <color rgb="FF434343"/>
      <name val="Symbol"/>
      <family val="1"/>
      <charset val="2"/>
    </font>
    <font>
      <sz val="11"/>
      <color rgb="FFFF0000"/>
      <name val="Calibri"/>
      <family val="2"/>
      <scheme val="minor"/>
    </font>
    <font>
      <b/>
      <sz val="11"/>
      <color rgb="FF434343"/>
      <name val="Calibri"/>
      <family val="1"/>
      <charset val="2"/>
      <scheme val="minor"/>
    </font>
    <font>
      <b/>
      <sz val="11"/>
      <color rgb="FF434343"/>
      <name val="Symbol"/>
      <family val="1"/>
      <charset val="2"/>
    </font>
    <font>
      <sz val="11"/>
      <color rgb="FFC00000"/>
      <name val="Calibri"/>
      <family val="2"/>
      <scheme val="minor"/>
    </font>
    <font>
      <b/>
      <sz val="11"/>
      <color rgb="FF434343"/>
      <name val="Open sans"/>
      <family val="2"/>
    </font>
    <font>
      <sz val="10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AD9DB"/>
        <bgColor indexed="64"/>
      </patternFill>
    </fill>
    <fill>
      <patternFill patternType="solid">
        <fgColor rgb="FF78D9DB"/>
        <bgColor indexed="64"/>
      </patternFill>
    </fill>
    <fill>
      <patternFill patternType="solid">
        <fgColor rgb="FF96D9DB"/>
        <bgColor indexed="64"/>
      </patternFill>
    </fill>
    <fill>
      <patternFill patternType="solid">
        <fgColor rgb="FFBE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CD9DB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6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3" fontId="0" fillId="0" borderId="0" xfId="0" applyNumberFormat="1"/>
    <xf numFmtId="1" fontId="6" fillId="2" borderId="6" xfId="0" applyNumberFormat="1" applyFont="1" applyFill="1" applyBorder="1" applyAlignment="1">
      <alignment horizontal="left"/>
    </xf>
    <xf numFmtId="3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right"/>
    </xf>
    <xf numFmtId="3" fontId="7" fillId="2" borderId="8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3" fontId="7" fillId="4" borderId="3" xfId="0" applyNumberFormat="1" applyFont="1" applyFill="1" applyBorder="1" applyAlignment="1">
      <alignment horizontal="right"/>
    </xf>
    <xf numFmtId="3" fontId="7" fillId="3" borderId="0" xfId="0" applyNumberFormat="1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9" fillId="0" borderId="0" xfId="0" applyFont="1"/>
    <xf numFmtId="0" fontId="10" fillId="0" borderId="0" xfId="0" applyFont="1"/>
    <xf numFmtId="0" fontId="9" fillId="0" borderId="0" xfId="0" applyFont="1" applyFill="1" applyBorder="1"/>
    <xf numFmtId="165" fontId="0" fillId="0" borderId="0" xfId="0" applyNumberFormat="1"/>
    <xf numFmtId="166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1" fillId="0" borderId="0" xfId="3" applyFont="1"/>
    <xf numFmtId="43" fontId="12" fillId="0" borderId="15" xfId="4" applyFont="1" applyBorder="1"/>
    <xf numFmtId="0" fontId="14" fillId="5" borderId="16" xfId="3" applyFont="1" applyFill="1" applyBorder="1"/>
    <xf numFmtId="0" fontId="16" fillId="0" borderId="0" xfId="3" applyFont="1"/>
    <xf numFmtId="43" fontId="17" fillId="0" borderId="15" xfId="4" applyFont="1" applyBorder="1"/>
    <xf numFmtId="3" fontId="7" fillId="2" borderId="0" xfId="0" applyNumberFormat="1" applyFont="1" applyFill="1" applyBorder="1" applyAlignment="1">
      <alignment horizontal="left"/>
    </xf>
    <xf numFmtId="3" fontId="7" fillId="5" borderId="0" xfId="0" applyNumberFormat="1" applyFont="1" applyFill="1" applyBorder="1" applyAlignment="1">
      <alignment horizontal="left"/>
    </xf>
    <xf numFmtId="0" fontId="18" fillId="0" borderId="0" xfId="3" applyFont="1"/>
    <xf numFmtId="0" fontId="16" fillId="6" borderId="15" xfId="3" applyFont="1" applyFill="1" applyBorder="1"/>
    <xf numFmtId="0" fontId="19" fillId="5" borderId="15" xfId="3" applyFont="1" applyFill="1" applyBorder="1"/>
    <xf numFmtId="0" fontId="11" fillId="5" borderId="0" xfId="3" applyFont="1" applyFill="1" applyBorder="1" applyAlignment="1">
      <alignment horizontal="right"/>
    </xf>
    <xf numFmtId="43" fontId="13" fillId="5" borderId="0" xfId="4" applyFont="1" applyFill="1" applyBorder="1"/>
    <xf numFmtId="0" fontId="11" fillId="5" borderId="0" xfId="3" applyFont="1" applyFill="1" applyBorder="1"/>
    <xf numFmtId="0" fontId="6" fillId="7" borderId="0" xfId="0" applyFont="1" applyFill="1" applyBorder="1"/>
    <xf numFmtId="1" fontId="6" fillId="7" borderId="0" xfId="0" applyNumberFormat="1" applyFont="1" applyFill="1" applyBorder="1" applyAlignment="1">
      <alignment horizontal="left"/>
    </xf>
    <xf numFmtId="3" fontId="7" fillId="7" borderId="0" xfId="0" applyNumberFormat="1" applyFont="1" applyFill="1" applyBorder="1" applyAlignment="1">
      <alignment horizontal="right"/>
    </xf>
    <xf numFmtId="0" fontId="0" fillId="7" borderId="0" xfId="0" applyFill="1"/>
    <xf numFmtId="43" fontId="17" fillId="6" borderId="15" xfId="4" applyFont="1" applyFill="1" applyBorder="1"/>
    <xf numFmtId="43" fontId="12" fillId="6" borderId="15" xfId="4" applyFont="1" applyFill="1" applyBorder="1"/>
    <xf numFmtId="0" fontId="20" fillId="2" borderId="10" xfId="0" applyFont="1" applyFill="1" applyBorder="1"/>
    <xf numFmtId="0" fontId="17" fillId="0" borderId="1" xfId="0" applyFont="1" applyBorder="1"/>
    <xf numFmtId="0" fontId="17" fillId="0" borderId="3" xfId="0" applyFont="1" applyBorder="1"/>
    <xf numFmtId="0" fontId="17" fillId="0" borderId="5" xfId="0" quotePrefix="1" applyFont="1" applyBorder="1" applyAlignment="1">
      <alignment horizontal="left"/>
    </xf>
    <xf numFmtId="0" fontId="20" fillId="2" borderId="6" xfId="0" applyFont="1" applyFill="1" applyBorder="1"/>
    <xf numFmtId="0" fontId="17" fillId="0" borderId="1" xfId="0" quotePrefix="1" applyFont="1" applyBorder="1" applyAlignment="1">
      <alignment horizontal="left"/>
    </xf>
    <xf numFmtId="0" fontId="17" fillId="6" borderId="3" xfId="0" quotePrefix="1" applyFont="1" applyFill="1" applyBorder="1" applyAlignment="1">
      <alignment horizontal="left"/>
    </xf>
    <xf numFmtId="0" fontId="17" fillId="6" borderId="5" xfId="0" quotePrefix="1" applyFont="1" applyFill="1" applyBorder="1" applyAlignment="1">
      <alignment horizontal="left"/>
    </xf>
    <xf numFmtId="0" fontId="17" fillId="0" borderId="2" xfId="0" applyFont="1" applyBorder="1"/>
    <xf numFmtId="3" fontId="17" fillId="6" borderId="9" xfId="0" applyNumberFormat="1" applyFont="1" applyFill="1" applyBorder="1"/>
    <xf numFmtId="0" fontId="21" fillId="0" borderId="18" xfId="3" applyFont="1" applyBorder="1"/>
    <xf numFmtId="0" fontId="16" fillId="0" borderId="18" xfId="3" applyFont="1" applyBorder="1"/>
    <xf numFmtId="0" fontId="16" fillId="0" borderId="2" xfId="3" applyFont="1" applyBorder="1"/>
    <xf numFmtId="0" fontId="11" fillId="0" borderId="0" xfId="3" applyFont="1" applyBorder="1"/>
    <xf numFmtId="0" fontId="11" fillId="0" borderId="3" xfId="3" applyFont="1" applyBorder="1"/>
    <xf numFmtId="0" fontId="11" fillId="0" borderId="4" xfId="3" applyFont="1" applyBorder="1"/>
    <xf numFmtId="0" fontId="11" fillId="0" borderId="5" xfId="3" applyFont="1" applyBorder="1"/>
    <xf numFmtId="0" fontId="11" fillId="0" borderId="19" xfId="3" applyFont="1" applyBorder="1"/>
    <xf numFmtId="0" fontId="11" fillId="0" borderId="9" xfId="3" applyFont="1" applyBorder="1"/>
    <xf numFmtId="0" fontId="16" fillId="0" borderId="3" xfId="3" applyFont="1" applyBorder="1"/>
    <xf numFmtId="0" fontId="16" fillId="0" borderId="0" xfId="3" applyFont="1" applyBorder="1"/>
    <xf numFmtId="0" fontId="16" fillId="0" borderId="4" xfId="3" applyFont="1" applyBorder="1"/>
    <xf numFmtId="0" fontId="16" fillId="5" borderId="0" xfId="3" applyFont="1" applyFill="1" applyBorder="1" applyAlignment="1">
      <alignment horizontal="right"/>
    </xf>
    <xf numFmtId="43" fontId="8" fillId="5" borderId="0" xfId="4" applyFont="1" applyFill="1" applyBorder="1"/>
    <xf numFmtId="0" fontId="16" fillId="5" borderId="0" xfId="3" applyFont="1" applyFill="1" applyBorder="1"/>
    <xf numFmtId="43" fontId="17" fillId="0" borderId="0" xfId="4" applyFont="1" applyBorder="1"/>
    <xf numFmtId="0" fontId="16" fillId="0" borderId="5" xfId="3" applyFont="1" applyBorder="1"/>
    <xf numFmtId="0" fontId="16" fillId="0" borderId="19" xfId="3" applyFont="1" applyBorder="1"/>
    <xf numFmtId="43" fontId="17" fillId="0" borderId="19" xfId="4" applyFont="1" applyBorder="1"/>
    <xf numFmtId="0" fontId="16" fillId="0" borderId="9" xfId="3" applyFont="1" applyBorder="1"/>
    <xf numFmtId="0" fontId="19" fillId="5" borderId="0" xfId="3" applyFont="1" applyFill="1" applyBorder="1"/>
    <xf numFmtId="0" fontId="14" fillId="5" borderId="0" xfId="3" applyFont="1" applyFill="1" applyBorder="1"/>
    <xf numFmtId="0" fontId="0" fillId="7" borderId="0" xfId="0" applyFill="1" applyBorder="1"/>
    <xf numFmtId="0" fontId="0" fillId="0" borderId="18" xfId="0" applyBorder="1"/>
    <xf numFmtId="0" fontId="0" fillId="0" borderId="18" xfId="0" applyBorder="1" applyAlignment="1">
      <alignment horizontal="right"/>
    </xf>
    <xf numFmtId="43" fontId="17" fillId="0" borderId="18" xfId="4" applyFont="1" applyBorder="1"/>
    <xf numFmtId="0" fontId="6" fillId="7" borderId="3" xfId="0" applyFont="1" applyFill="1" applyBorder="1"/>
    <xf numFmtId="0" fontId="6" fillId="7" borderId="5" xfId="0" applyFont="1" applyFill="1" applyBorder="1"/>
    <xf numFmtId="1" fontId="6" fillId="7" borderId="19" xfId="0" applyNumberFormat="1" applyFont="1" applyFill="1" applyBorder="1" applyAlignment="1">
      <alignment horizontal="left"/>
    </xf>
    <xf numFmtId="3" fontId="7" fillId="7" borderId="19" xfId="0" applyNumberFormat="1" applyFont="1" applyFill="1" applyBorder="1" applyAlignment="1">
      <alignment horizontal="right"/>
    </xf>
    <xf numFmtId="0" fontId="0" fillId="7" borderId="19" xfId="0" applyFill="1" applyBorder="1"/>
    <xf numFmtId="0" fontId="11" fillId="7" borderId="0" xfId="3" applyFont="1" applyFill="1" applyBorder="1" applyAlignment="1"/>
    <xf numFmtId="0" fontId="0" fillId="7" borderId="4" xfId="0" applyFill="1" applyBorder="1"/>
    <xf numFmtId="0" fontId="11" fillId="7" borderId="19" xfId="3" applyFont="1" applyFill="1" applyBorder="1"/>
    <xf numFmtId="0" fontId="11" fillId="5" borderId="19" xfId="3" applyFont="1" applyFill="1" applyBorder="1" applyAlignment="1">
      <alignment horizontal="right"/>
    </xf>
    <xf numFmtId="43" fontId="13" fillId="5" borderId="19" xfId="4" applyFont="1" applyFill="1" applyBorder="1"/>
    <xf numFmtId="0" fontId="11" fillId="5" borderId="9" xfId="3" applyFont="1" applyFill="1" applyBorder="1"/>
    <xf numFmtId="0" fontId="0" fillId="0" borderId="4" xfId="0" applyBorder="1"/>
    <xf numFmtId="1" fontId="7" fillId="2" borderId="6" xfId="0" applyNumberFormat="1" applyFont="1" applyFill="1" applyBorder="1" applyAlignment="1">
      <alignment horizontal="left"/>
    </xf>
    <xf numFmtId="0" fontId="17" fillId="6" borderId="0" xfId="0" applyFont="1" applyFill="1" applyBorder="1" applyAlignment="1">
      <alignment horizontal="left"/>
    </xf>
    <xf numFmtId="0" fontId="16" fillId="5" borderId="4" xfId="3" applyFont="1" applyFill="1" applyBorder="1"/>
    <xf numFmtId="0" fontId="16" fillId="7" borderId="19" xfId="3" applyFont="1" applyFill="1" applyBorder="1"/>
    <xf numFmtId="0" fontId="16" fillId="7" borderId="19" xfId="3" applyFont="1" applyFill="1" applyBorder="1" applyAlignment="1">
      <alignment horizontal="right"/>
    </xf>
    <xf numFmtId="43" fontId="8" fillId="7" borderId="19" xfId="4" applyFont="1" applyFill="1" applyBorder="1"/>
    <xf numFmtId="0" fontId="16" fillId="7" borderId="9" xfId="3" applyFont="1" applyFill="1" applyBorder="1"/>
    <xf numFmtId="0" fontId="17" fillId="0" borderId="0" xfId="0" applyFont="1" applyBorder="1"/>
    <xf numFmtId="168" fontId="7" fillId="3" borderId="17" xfId="4" applyNumberFormat="1" applyFont="1" applyFill="1" applyBorder="1"/>
    <xf numFmtId="168" fontId="15" fillId="3" borderId="17" xfId="4" applyNumberFormat="1" applyFont="1" applyFill="1" applyBorder="1"/>
    <xf numFmtId="0" fontId="16" fillId="7" borderId="15" xfId="3" applyFont="1" applyFill="1" applyBorder="1"/>
    <xf numFmtId="1" fontId="17" fillId="6" borderId="4" xfId="1" applyNumberFormat="1" applyFont="1" applyFill="1" applyBorder="1"/>
    <xf numFmtId="3" fontId="17" fillId="6" borderId="0" xfId="0" applyNumberFormat="1" applyFont="1" applyFill="1" applyBorder="1" applyAlignment="1">
      <alignment horizontal="right"/>
    </xf>
    <xf numFmtId="164" fontId="17" fillId="6" borderId="0" xfId="2" applyNumberFormat="1" applyFont="1" applyFill="1" applyBorder="1" applyAlignment="1">
      <alignment horizontal="right"/>
    </xf>
    <xf numFmtId="0" fontId="20" fillId="0" borderId="6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7" xfId="0" applyFont="1" applyBorder="1" applyAlignment="1">
      <alignment horizontal="right"/>
    </xf>
    <xf numFmtId="0" fontId="20" fillId="0" borderId="6" xfId="0" applyFont="1" applyBorder="1" applyAlignment="1">
      <alignment horizontal="right"/>
    </xf>
    <xf numFmtId="0" fontId="20" fillId="0" borderId="8" xfId="0" applyFont="1" applyBorder="1" applyAlignment="1">
      <alignment horizontal="right"/>
    </xf>
    <xf numFmtId="3" fontId="17" fillId="0" borderId="7" xfId="0" applyNumberFormat="1" applyFont="1" applyBorder="1" applyAlignment="1">
      <alignment horizontal="right"/>
    </xf>
    <xf numFmtId="0" fontId="17" fillId="0" borderId="7" xfId="0" applyFont="1" applyBorder="1" applyAlignment="1">
      <alignment horizontal="right"/>
    </xf>
    <xf numFmtId="3" fontId="17" fillId="0" borderId="6" xfId="0" applyNumberFormat="1" applyFont="1" applyBorder="1"/>
    <xf numFmtId="3" fontId="17" fillId="0" borderId="7" xfId="0" applyNumberFormat="1" applyFont="1" applyBorder="1"/>
    <xf numFmtId="0" fontId="17" fillId="0" borderId="8" xfId="0" applyFont="1" applyBorder="1"/>
    <xf numFmtId="0" fontId="17" fillId="0" borderId="0" xfId="0" applyFont="1"/>
    <xf numFmtId="0" fontId="17" fillId="3" borderId="0" xfId="0" applyFont="1" applyFill="1"/>
    <xf numFmtId="3" fontId="17" fillId="7" borderId="0" xfId="0" applyNumberFormat="1" applyFont="1" applyFill="1" applyBorder="1" applyAlignment="1">
      <alignment horizontal="right"/>
    </xf>
    <xf numFmtId="9" fontId="17" fillId="7" borderId="0" xfId="1" applyFont="1" applyFill="1" applyBorder="1" applyAlignment="1">
      <alignment horizontal="right"/>
    </xf>
    <xf numFmtId="0" fontId="20" fillId="6" borderId="7" xfId="0" applyFont="1" applyFill="1" applyBorder="1" applyAlignment="1">
      <alignment horizontal="right"/>
    </xf>
    <xf numFmtId="44" fontId="17" fillId="8" borderId="5" xfId="0" applyNumberFormat="1" applyFont="1" applyFill="1" applyBorder="1"/>
    <xf numFmtId="44" fontId="20" fillId="8" borderId="5" xfId="0" applyNumberFormat="1" applyFont="1" applyFill="1" applyBorder="1"/>
    <xf numFmtId="0" fontId="17" fillId="8" borderId="10" xfId="0" applyFont="1" applyFill="1" applyBorder="1"/>
    <xf numFmtId="165" fontId="17" fillId="8" borderId="11" xfId="0" applyNumberFormat="1" applyFont="1" applyFill="1" applyBorder="1"/>
    <xf numFmtId="2" fontId="0" fillId="0" borderId="0" xfId="0" applyNumberFormat="1"/>
    <xf numFmtId="9" fontId="17" fillId="0" borderId="7" xfId="1" applyFont="1" applyBorder="1" applyAlignment="1">
      <alignment horizontal="right"/>
    </xf>
    <xf numFmtId="2" fontId="17" fillId="7" borderId="4" xfId="1" applyNumberFormat="1" applyFont="1" applyFill="1" applyBorder="1" applyAlignment="1">
      <alignment horizontal="right"/>
    </xf>
    <xf numFmtId="3" fontId="17" fillId="0" borderId="8" xfId="0" applyNumberFormat="1" applyFont="1" applyBorder="1" applyAlignment="1">
      <alignment horizontal="right"/>
    </xf>
    <xf numFmtId="0" fontId="20" fillId="6" borderId="10" xfId="0" applyFont="1" applyFill="1" applyBorder="1"/>
    <xf numFmtId="164" fontId="17" fillId="6" borderId="11" xfId="2" applyNumberFormat="1" applyFont="1" applyFill="1" applyBorder="1"/>
    <xf numFmtId="44" fontId="17" fillId="0" borderId="10" xfId="0" applyNumberFormat="1" applyFont="1" applyBorder="1"/>
    <xf numFmtId="0" fontId="17" fillId="8" borderId="22" xfId="0" applyFont="1" applyFill="1" applyBorder="1"/>
    <xf numFmtId="44" fontId="17" fillId="8" borderId="22" xfId="0" applyNumberFormat="1" applyFont="1" applyFill="1" applyBorder="1"/>
    <xf numFmtId="44" fontId="17" fillId="8" borderId="11" xfId="0" applyNumberFormat="1" applyFont="1" applyFill="1" applyBorder="1"/>
    <xf numFmtId="170" fontId="0" fillId="0" borderId="0" xfId="0" applyNumberFormat="1"/>
    <xf numFmtId="0" fontId="0" fillId="0" borderId="0" xfId="0" applyFill="1" applyBorder="1"/>
    <xf numFmtId="0" fontId="17" fillId="0" borderId="0" xfId="0" applyFont="1" applyFill="1" applyBorder="1"/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/>
    </xf>
    <xf numFmtId="3" fontId="17" fillId="0" borderId="0" xfId="0" applyNumberFormat="1" applyFont="1" applyFill="1" applyBorder="1" applyAlignment="1">
      <alignment horizontal="right"/>
    </xf>
    <xf numFmtId="9" fontId="17" fillId="0" borderId="0" xfId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44" fontId="17" fillId="0" borderId="0" xfId="0" applyNumberFormat="1" applyFont="1" applyFill="1" applyBorder="1"/>
    <xf numFmtId="165" fontId="17" fillId="0" borderId="0" xfId="0" applyNumberFormat="1" applyFont="1" applyFill="1" applyBorder="1"/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4" fontId="20" fillId="0" borderId="0" xfId="0" applyNumberFormat="1" applyFont="1" applyFill="1" applyBorder="1"/>
    <xf numFmtId="165" fontId="20" fillId="0" borderId="0" xfId="0" applyNumberFormat="1" applyFont="1" applyFill="1" applyBorder="1"/>
    <xf numFmtId="166" fontId="22" fillId="0" borderId="0" xfId="0" applyNumberFormat="1" applyFont="1" applyFill="1" applyBorder="1"/>
    <xf numFmtId="44" fontId="23" fillId="0" borderId="10" xfId="0" applyNumberFormat="1" applyFont="1" applyBorder="1"/>
    <xf numFmtId="0" fontId="20" fillId="6" borderId="10" xfId="0" applyFont="1" applyFill="1" applyBorder="1" applyAlignment="1">
      <alignment horizontal="right"/>
    </xf>
    <xf numFmtId="164" fontId="17" fillId="6" borderId="11" xfId="2" applyNumberFormat="1" applyFont="1" applyFill="1" applyBorder="1" applyAlignment="1">
      <alignment horizontal="right"/>
    </xf>
    <xf numFmtId="164" fontId="17" fillId="6" borderId="21" xfId="2" applyNumberFormat="1" applyFont="1" applyFill="1" applyBorder="1" applyAlignment="1">
      <alignment horizontal="right"/>
    </xf>
    <xf numFmtId="3" fontId="17" fillId="6" borderId="3" xfId="0" applyNumberFormat="1" applyFont="1" applyFill="1" applyBorder="1" applyAlignment="1">
      <alignment horizontal="right"/>
    </xf>
    <xf numFmtId="3" fontId="17" fillId="6" borderId="5" xfId="0" applyNumberFormat="1" applyFont="1" applyFill="1" applyBorder="1" applyAlignment="1">
      <alignment horizontal="right"/>
    </xf>
    <xf numFmtId="3" fontId="17" fillId="6" borderId="19" xfId="0" applyNumberFormat="1" applyFont="1" applyFill="1" applyBorder="1" applyAlignment="1">
      <alignment horizontal="right"/>
    </xf>
    <xf numFmtId="9" fontId="17" fillId="7" borderId="19" xfId="1" applyFont="1" applyFill="1" applyBorder="1" applyAlignment="1">
      <alignment horizontal="right"/>
    </xf>
    <xf numFmtId="2" fontId="17" fillId="7" borderId="9" xfId="1" applyNumberFormat="1" applyFont="1" applyFill="1" applyBorder="1" applyAlignment="1">
      <alignment horizontal="right"/>
    </xf>
    <xf numFmtId="164" fontId="17" fillId="6" borderId="3" xfId="2" applyNumberFormat="1" applyFont="1" applyFill="1" applyBorder="1" applyAlignment="1">
      <alignment horizontal="right"/>
    </xf>
    <xf numFmtId="164" fontId="17" fillId="6" borderId="5" xfId="2" applyNumberFormat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24" fillId="0" borderId="0" xfId="0" applyFont="1" applyAlignment="1">
      <alignment horizontal="right"/>
    </xf>
    <xf numFmtId="167" fontId="24" fillId="0" borderId="0" xfId="0" applyNumberFormat="1" applyFont="1"/>
    <xf numFmtId="171" fontId="20" fillId="8" borderId="10" xfId="0" applyNumberFormat="1" applyFont="1" applyFill="1" applyBorder="1"/>
    <xf numFmtId="2" fontId="0" fillId="0" borderId="13" xfId="0" applyNumberFormat="1" applyBorder="1"/>
    <xf numFmtId="172" fontId="7" fillId="5" borderId="0" xfId="4" applyNumberFormat="1" applyFont="1" applyFill="1" applyBorder="1"/>
    <xf numFmtId="172" fontId="15" fillId="5" borderId="0" xfId="4" applyNumberFormat="1" applyFont="1" applyFill="1" applyBorder="1"/>
    <xf numFmtId="169" fontId="7" fillId="5" borderId="15" xfId="4" applyNumberFormat="1" applyFont="1" applyFill="1" applyBorder="1"/>
    <xf numFmtId="169" fontId="15" fillId="5" borderId="17" xfId="4" applyNumberFormat="1" applyFont="1" applyFill="1" applyBorder="1"/>
    <xf numFmtId="0" fontId="26" fillId="0" borderId="23" xfId="0" applyFont="1" applyBorder="1" applyAlignment="1">
      <alignment horizontal="left" wrapText="1" readingOrder="1"/>
    </xf>
    <xf numFmtId="0" fontId="26" fillId="0" borderId="24" xfId="0" applyFont="1" applyBorder="1" applyAlignment="1">
      <alignment horizontal="left" wrapText="1" readingOrder="1"/>
    </xf>
    <xf numFmtId="0" fontId="26" fillId="0" borderId="25" xfId="0" applyFont="1" applyBorder="1" applyAlignment="1">
      <alignment horizontal="left" wrapText="1" readingOrder="1"/>
    </xf>
    <xf numFmtId="164" fontId="17" fillId="6" borderId="4" xfId="2" applyNumberFormat="1" applyFont="1" applyFill="1" applyBorder="1" applyAlignment="1">
      <alignment horizontal="right"/>
    </xf>
    <xf numFmtId="0" fontId="17" fillId="0" borderId="8" xfId="0" applyFont="1" applyBorder="1" applyAlignment="1">
      <alignment horizontal="right"/>
    </xf>
    <xf numFmtId="44" fontId="17" fillId="8" borderId="21" xfId="0" applyNumberFormat="1" applyFont="1" applyFill="1" applyBorder="1"/>
    <xf numFmtId="171" fontId="20" fillId="8" borderId="21" xfId="0" applyNumberFormat="1" applyFont="1" applyFill="1" applyBorder="1"/>
    <xf numFmtId="0" fontId="24" fillId="0" borderId="0" xfId="0" applyFont="1"/>
    <xf numFmtId="0" fontId="24" fillId="8" borderId="0" xfId="0" applyFont="1" applyFill="1" applyAlignment="1">
      <alignment horizontal="right"/>
    </xf>
    <xf numFmtId="174" fontId="24" fillId="8" borderId="0" xfId="0" applyNumberFormat="1" applyFont="1" applyFill="1"/>
    <xf numFmtId="2" fontId="17" fillId="7" borderId="0" xfId="1" applyNumberFormat="1" applyFont="1" applyFill="1" applyBorder="1" applyAlignment="1">
      <alignment horizontal="right"/>
    </xf>
    <xf numFmtId="0" fontId="0" fillId="0" borderId="10" xfId="0" applyBorder="1"/>
    <xf numFmtId="3" fontId="0" fillId="0" borderId="0" xfId="0" applyNumberFormat="1" applyAlignment="1">
      <alignment horizontal="left"/>
    </xf>
    <xf numFmtId="0" fontId="27" fillId="7" borderId="0" xfId="0" applyFont="1" applyFill="1" applyAlignment="1">
      <alignment horizontal="left" vertical="center" wrapText="1"/>
    </xf>
    <xf numFmtId="4" fontId="17" fillId="6" borderId="0" xfId="0" applyNumberFormat="1" applyFont="1" applyFill="1" applyBorder="1" applyAlignment="1">
      <alignment horizontal="right"/>
    </xf>
    <xf numFmtId="4" fontId="17" fillId="6" borderId="19" xfId="0" applyNumberFormat="1" applyFont="1" applyFill="1" applyBorder="1" applyAlignment="1">
      <alignment horizontal="right"/>
    </xf>
    <xf numFmtId="3" fontId="17" fillId="0" borderId="10" xfId="0" applyNumberFormat="1" applyFont="1" applyBorder="1"/>
    <xf numFmtId="0" fontId="26" fillId="0" borderId="26" xfId="0" applyFont="1" applyBorder="1" applyAlignment="1">
      <alignment horizontal="left" wrapText="1" readingOrder="1"/>
    </xf>
    <xf numFmtId="3" fontId="17" fillId="6" borderId="11" xfId="0" applyNumberFormat="1" applyFont="1" applyFill="1" applyBorder="1" applyAlignment="1">
      <alignment horizontal="right"/>
    </xf>
    <xf numFmtId="0" fontId="26" fillId="0" borderId="3" xfId="0" applyFont="1" applyBorder="1" applyAlignment="1">
      <alignment horizontal="left" wrapText="1" readingOrder="1"/>
    </xf>
    <xf numFmtId="0" fontId="26" fillId="0" borderId="27" xfId="0" applyFont="1" applyBorder="1" applyAlignment="1">
      <alignment horizontal="left" wrapText="1" readingOrder="1"/>
    </xf>
    <xf numFmtId="165" fontId="17" fillId="0" borderId="0" xfId="0" applyNumberFormat="1" applyFont="1" applyAlignment="1">
      <alignment horizontal="right"/>
    </xf>
    <xf numFmtId="165" fontId="17" fillId="0" borderId="0" xfId="0" applyNumberFormat="1" applyFont="1"/>
    <xf numFmtId="4" fontId="0" fillId="0" borderId="0" xfId="0" applyNumberFormat="1"/>
    <xf numFmtId="0" fontId="17" fillId="8" borderId="0" xfId="0" applyFont="1" applyFill="1" applyAlignment="1">
      <alignment horizontal="right" indent="1"/>
    </xf>
    <xf numFmtId="173" fontId="17" fillId="8" borderId="0" xfId="0" applyNumberFormat="1" applyFont="1" applyFill="1"/>
    <xf numFmtId="0" fontId="28" fillId="0" borderId="22" xfId="0" applyFont="1" applyBorder="1"/>
    <xf numFmtId="167" fontId="29" fillId="0" borderId="21" xfId="0" applyNumberFormat="1" applyFont="1" applyBorder="1"/>
    <xf numFmtId="3" fontId="0" fillId="0" borderId="11" xfId="0" applyNumberFormat="1" applyBorder="1"/>
    <xf numFmtId="3" fontId="0" fillId="0" borderId="10" xfId="0" applyNumberFormat="1" applyBorder="1"/>
    <xf numFmtId="165" fontId="29" fillId="0" borderId="21" xfId="0" applyNumberFormat="1" applyFont="1" applyBorder="1"/>
    <xf numFmtId="9" fontId="16" fillId="0" borderId="0" xfId="1" applyFont="1" applyBorder="1"/>
    <xf numFmtId="0" fontId="20" fillId="7" borderId="1" xfId="0" applyFont="1" applyFill="1" applyBorder="1"/>
    <xf numFmtId="0" fontId="20" fillId="2" borderId="1" xfId="0" applyFont="1" applyFill="1" applyBorder="1"/>
    <xf numFmtId="0" fontId="17" fillId="0" borderId="11" xfId="0" applyFont="1" applyBorder="1"/>
    <xf numFmtId="0" fontId="16" fillId="0" borderId="3" xfId="3" applyFont="1" applyBorder="1" applyAlignment="1">
      <alignment horizontal="left"/>
    </xf>
    <xf numFmtId="0" fontId="31" fillId="6" borderId="1" xfId="3" applyFont="1" applyFill="1" applyBorder="1" applyAlignment="1">
      <alignment horizontal="left"/>
    </xf>
    <xf numFmtId="0" fontId="17" fillId="0" borderId="22" xfId="0" applyFont="1" applyBorder="1"/>
    <xf numFmtId="3" fontId="7" fillId="2" borderId="2" xfId="0" applyNumberFormat="1" applyFont="1" applyFill="1" applyBorder="1" applyAlignment="1"/>
    <xf numFmtId="0" fontId="16" fillId="6" borderId="2" xfId="3" applyFont="1" applyFill="1" applyBorder="1" applyAlignment="1"/>
    <xf numFmtId="167" fontId="16" fillId="7" borderId="4" xfId="3" applyNumberFormat="1" applyFont="1" applyFill="1" applyBorder="1" applyAlignment="1"/>
    <xf numFmtId="2" fontId="17" fillId="6" borderId="4" xfId="1" applyNumberFormat="1" applyFont="1" applyFill="1" applyBorder="1" applyAlignment="1"/>
    <xf numFmtId="167" fontId="17" fillId="6" borderId="4" xfId="1" applyNumberFormat="1" applyFont="1" applyFill="1" applyBorder="1" applyAlignment="1"/>
    <xf numFmtId="3" fontId="17" fillId="6" borderId="9" xfId="0" applyNumberFormat="1" applyFont="1" applyFill="1" applyBorder="1" applyAlignment="1"/>
    <xf numFmtId="1" fontId="16" fillId="6" borderId="15" xfId="3" applyNumberFormat="1" applyFont="1" applyFill="1" applyBorder="1"/>
    <xf numFmtId="0" fontId="20" fillId="0" borderId="0" xfId="0" applyFont="1" applyBorder="1" applyAlignment="1">
      <alignment horizontal="right"/>
    </xf>
    <xf numFmtId="0" fontId="20" fillId="0" borderId="4" xfId="0" applyFont="1" applyBorder="1" applyAlignment="1">
      <alignment horizontal="right"/>
    </xf>
    <xf numFmtId="0" fontId="17" fillId="7" borderId="5" xfId="0" quotePrefix="1" applyFont="1" applyFill="1" applyBorder="1" applyAlignment="1">
      <alignment horizontal="left"/>
    </xf>
    <xf numFmtId="3" fontId="17" fillId="7" borderId="9" xfId="0" applyNumberFormat="1" applyFont="1" applyFill="1" applyBorder="1"/>
    <xf numFmtId="0" fontId="17" fillId="0" borderId="10" xfId="0" applyFont="1" applyBorder="1"/>
    <xf numFmtId="3" fontId="17" fillId="0" borderId="11" xfId="0" applyNumberFormat="1" applyFont="1" applyBorder="1"/>
    <xf numFmtId="3" fontId="7" fillId="3" borderId="0" xfId="0" applyNumberFormat="1" applyFont="1" applyFill="1" applyBorder="1" applyAlignment="1">
      <alignment horizontal="right"/>
    </xf>
    <xf numFmtId="9" fontId="7" fillId="3" borderId="4" xfId="1" applyFont="1" applyFill="1" applyBorder="1" applyAlignment="1">
      <alignment horizontal="right"/>
    </xf>
    <xf numFmtId="0" fontId="3" fillId="0" borderId="0" xfId="0" applyFont="1" applyBorder="1" applyAlignment="1">
      <alignment horizontal="right" wrapText="1"/>
    </xf>
    <xf numFmtId="0" fontId="17" fillId="9" borderId="22" xfId="0" applyFont="1" applyFill="1" applyBorder="1"/>
    <xf numFmtId="0" fontId="17" fillId="9" borderId="11" xfId="0" applyFont="1" applyFill="1" applyBorder="1"/>
    <xf numFmtId="0" fontId="17" fillId="9" borderId="3" xfId="0" applyFont="1" applyFill="1" applyBorder="1"/>
    <xf numFmtId="0" fontId="17" fillId="9" borderId="5" xfId="0" quotePrefix="1" applyFont="1" applyFill="1" applyBorder="1" applyAlignment="1">
      <alignment horizontal="left"/>
    </xf>
    <xf numFmtId="2" fontId="8" fillId="3" borderId="0" xfId="1" applyNumberFormat="1" applyFont="1" applyFill="1" applyBorder="1" applyAlignment="1">
      <alignment horizontal="right"/>
    </xf>
    <xf numFmtId="167" fontId="33" fillId="3" borderId="4" xfId="3" applyNumberFormat="1" applyFont="1" applyFill="1" applyBorder="1" applyAlignment="1"/>
    <xf numFmtId="3" fontId="8" fillId="3" borderId="9" xfId="0" applyNumberFormat="1" applyFont="1" applyFill="1" applyBorder="1"/>
    <xf numFmtId="0" fontId="21" fillId="0" borderId="3" xfId="3" applyFont="1" applyBorder="1" applyAlignment="1">
      <alignment horizontal="left"/>
    </xf>
    <xf numFmtId="0" fontId="20" fillId="7" borderId="5" xfId="0" quotePrefix="1" applyFont="1" applyFill="1" applyBorder="1" applyAlignment="1">
      <alignment horizontal="left"/>
    </xf>
    <xf numFmtId="0" fontId="34" fillId="6" borderId="1" xfId="3" applyFont="1" applyFill="1" applyBorder="1" applyAlignment="1">
      <alignment horizontal="left"/>
    </xf>
    <xf numFmtId="0" fontId="20" fillId="6" borderId="3" xfId="0" quotePrefix="1" applyFont="1" applyFill="1" applyBorder="1" applyAlignment="1">
      <alignment horizontal="left"/>
    </xf>
    <xf numFmtId="167" fontId="36" fillId="3" borderId="4" xfId="3" applyNumberFormat="1" applyFont="1" applyFill="1" applyBorder="1" applyAlignment="1"/>
    <xf numFmtId="0" fontId="37" fillId="9" borderId="15" xfId="3" applyFont="1" applyFill="1" applyBorder="1"/>
    <xf numFmtId="0" fontId="34" fillId="9" borderId="20" xfId="3" applyFont="1" applyFill="1" applyBorder="1" applyAlignment="1">
      <alignment horizontal="right"/>
    </xf>
    <xf numFmtId="0" fontId="21" fillId="9" borderId="20" xfId="3" applyFont="1" applyFill="1" applyBorder="1" applyAlignment="1">
      <alignment horizontal="right"/>
    </xf>
    <xf numFmtId="0" fontId="21" fillId="9" borderId="15" xfId="3" applyFont="1" applyFill="1" applyBorder="1"/>
    <xf numFmtId="2" fontId="38" fillId="3" borderId="4" xfId="1" applyNumberFormat="1" applyFont="1" applyFill="1" applyBorder="1" applyAlignment="1"/>
    <xf numFmtId="0" fontId="16" fillId="9" borderId="15" xfId="3" applyFont="1" applyFill="1" applyBorder="1"/>
    <xf numFmtId="0" fontId="17" fillId="9" borderId="21" xfId="0" quotePrefix="1" applyFont="1" applyFill="1" applyBorder="1" applyAlignment="1">
      <alignment horizontal="left"/>
    </xf>
    <xf numFmtId="0" fontId="31" fillId="9" borderId="15" xfId="3" applyFont="1" applyFill="1" applyBorder="1" applyAlignment="1">
      <alignment horizontal="right"/>
    </xf>
    <xf numFmtId="0" fontId="16" fillId="9" borderId="15" xfId="3" applyFont="1" applyFill="1" applyBorder="1" applyAlignment="1">
      <alignment horizontal="right"/>
    </xf>
    <xf numFmtId="1" fontId="7" fillId="9" borderId="1" xfId="0" applyNumberFormat="1" applyFont="1" applyFill="1" applyBorder="1" applyAlignment="1">
      <alignment horizontal="left"/>
    </xf>
    <xf numFmtId="0" fontId="31" fillId="9" borderId="1" xfId="3" applyFont="1" applyFill="1" applyBorder="1" applyAlignment="1">
      <alignment horizontal="left"/>
    </xf>
    <xf numFmtId="0" fontId="16" fillId="9" borderId="3" xfId="3" applyFont="1" applyFill="1" applyBorder="1" applyAlignment="1">
      <alignment horizontal="left"/>
    </xf>
    <xf numFmtId="0" fontId="17" fillId="9" borderId="3" xfId="0" quotePrefix="1" applyFont="1" applyFill="1" applyBorder="1" applyAlignment="1">
      <alignment horizontal="left"/>
    </xf>
    <xf numFmtId="1" fontId="7" fillId="9" borderId="6" xfId="0" applyNumberFormat="1" applyFont="1" applyFill="1" applyBorder="1" applyAlignment="1">
      <alignment horizontal="left"/>
    </xf>
    <xf numFmtId="0" fontId="26" fillId="9" borderId="23" xfId="0" applyFont="1" applyFill="1" applyBorder="1" applyAlignment="1">
      <alignment horizontal="left" wrapText="1" readingOrder="1"/>
    </xf>
    <xf numFmtId="0" fontId="26" fillId="9" borderId="24" xfId="0" applyFont="1" applyFill="1" applyBorder="1" applyAlignment="1">
      <alignment horizontal="left" wrapText="1" readingOrder="1"/>
    </xf>
    <xf numFmtId="0" fontId="26" fillId="9" borderId="25" xfId="0" applyFont="1" applyFill="1" applyBorder="1" applyAlignment="1">
      <alignment horizontal="left" wrapText="1" readingOrder="1"/>
    </xf>
    <xf numFmtId="0" fontId="20" fillId="9" borderId="3" xfId="0" applyFont="1" applyFill="1" applyBorder="1" applyAlignment="1">
      <alignment horizontal="left"/>
    </xf>
    <xf numFmtId="1" fontId="6" fillId="9" borderId="6" xfId="0" applyNumberFormat="1" applyFont="1" applyFill="1" applyBorder="1" applyAlignment="1">
      <alignment horizontal="left"/>
    </xf>
    <xf numFmtId="0" fontId="11" fillId="3" borderId="3" xfId="3" applyFont="1" applyFill="1" applyBorder="1" applyAlignment="1">
      <alignment horizontal="center"/>
    </xf>
    <xf numFmtId="0" fontId="11" fillId="3" borderId="0" xfId="3" applyFont="1" applyFill="1" applyBorder="1" applyAlignment="1">
      <alignment horizontal="center"/>
    </xf>
    <xf numFmtId="0" fontId="11" fillId="3" borderId="4" xfId="3" applyFont="1" applyFill="1" applyBorder="1" applyAlignment="1">
      <alignment horizontal="center"/>
    </xf>
    <xf numFmtId="0" fontId="11" fillId="7" borderId="19" xfId="3" applyFont="1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7" fillId="8" borderId="0" xfId="0" applyFont="1" applyFill="1" applyAlignment="1">
      <alignment horizontal="left" vertical="center"/>
    </xf>
    <xf numFmtId="0" fontId="27" fillId="8" borderId="0" xfId="0" applyFont="1" applyFill="1" applyAlignment="1">
      <alignment horizontal="left" vertical="center" wrapText="1"/>
    </xf>
  </cellXfs>
  <cellStyles count="7">
    <cellStyle name="Moeda" xfId="2" builtinId="4"/>
    <cellStyle name="Normal" xfId="0" builtinId="0"/>
    <cellStyle name="Normal 2" xfId="3" xr:uid="{00000000-0005-0000-0000-000002000000}"/>
    <cellStyle name="Normal 2 2" xfId="5" xr:uid="{00000000-0005-0000-0000-000003000000}"/>
    <cellStyle name="Porcentagem" xfId="1" builtinId="5"/>
    <cellStyle name="Vírgula 2" xfId="4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78D9DB"/>
      <color rgb="FF434343"/>
      <color rgb="FFDB7D74"/>
      <color rgb="FF8CD9DB"/>
      <color rgb="FFBED9DB"/>
      <color rgb="FFAAD9DB"/>
      <color rgb="FF96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459442</xdr:colOff>
      <xdr:row>2</xdr:row>
      <xdr:rowOff>56029</xdr:rowOff>
    </xdr:from>
    <xdr:to>
      <xdr:col>20</xdr:col>
      <xdr:colOff>427891</xdr:colOff>
      <xdr:row>3</xdr:row>
      <xdr:rowOff>193476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544736" y="56029"/>
          <a:ext cx="1705361" cy="327947"/>
        </a:xfrm>
        <a:prstGeom prst="rect">
          <a:avLst/>
        </a:prstGeom>
      </xdr:spPr>
    </xdr:pic>
    <xdr:clientData/>
  </xdr:twoCellAnchor>
  <xdr:twoCellAnchor>
    <xdr:from>
      <xdr:col>10</xdr:col>
      <xdr:colOff>9525</xdr:colOff>
      <xdr:row>5</xdr:row>
      <xdr:rowOff>57149</xdr:rowOff>
    </xdr:from>
    <xdr:to>
      <xdr:col>11</xdr:col>
      <xdr:colOff>590550</xdr:colOff>
      <xdr:row>7</xdr:row>
      <xdr:rowOff>180974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to 68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 bwMode="auto">
            <a:xfrm>
              <a:off x="4438650" y="628649"/>
              <a:ext cx="1190625" cy="5048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𝑍</m:t>
                    </m:r>
                    <m:r>
                      <a:rPr lang="pt-BR" sz="11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d>
                      <m:dPr>
                        <m:ctrlPr>
                          <a:rPr lang="pt-BR" sz="11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1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1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  <m:r>
                      <a:rPr lang="pt-BR" sz="11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rad>
                      <m:radPr>
                        <m:degHide m:val="on"/>
                        <m:ctrlPr>
                          <a:rPr lang="pt-BR" sz="11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BR" sz="11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6" name="Objeto 68">
              <a:extLst>
                <a:ext uri="{FF2B5EF4-FFF2-40B4-BE49-F238E27FC236}">
                  <a16:creationId xmlns:a16="http://schemas.microsoft.com/office/drawing/2014/main" id="{E3C8B5AE-1FF2-436E-969F-3D2EF1C49F0A}"/>
                </a:ext>
              </a:extLst>
            </xdr:cNvPr>
            <xdr:cNvSpPr txBox="1"/>
          </xdr:nvSpPr>
          <xdr:spPr bwMode="auto">
            <a:xfrm>
              <a:off x="4438650" y="628649"/>
              <a:ext cx="1190625" cy="5048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𝑍.(𝑆/√𝑛).√((𝑁−𝑛)/(𝑁−1))</a:t>
              </a:r>
              <a:endParaRPr lang="pt-BR" sz="11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171450</xdr:colOff>
      <xdr:row>5</xdr:row>
      <xdr:rowOff>95250</xdr:rowOff>
    </xdr:from>
    <xdr:to>
      <xdr:col>6</xdr:col>
      <xdr:colOff>161925</xdr:colOff>
      <xdr:row>7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to 39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 bwMode="auto">
            <a:xfrm>
              <a:off x="1095375" y="666750"/>
              <a:ext cx="1819275" cy="4286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05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05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05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5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p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5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pt-BR" sz="105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sSup>
                          <m:sSupPr>
                            <m:ctrlP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05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05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𝑀𝐸</m:t>
                                </m:r>
                              </m:e>
                            </m:d>
                          </m:e>
                          <m:sup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5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ctrlP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pt-BR" sz="105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5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p>
                            <m:r>
                              <a:rPr lang="pt-BR" sz="105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05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7" name="Objeto 39">
              <a:extLst>
                <a:ext uri="{FF2B5EF4-FFF2-40B4-BE49-F238E27FC236}">
                  <a16:creationId xmlns:a16="http://schemas.microsoft.com/office/drawing/2014/main" id="{31BC6343-8C95-4B3D-9E1D-E04182828A4C}"/>
                </a:ext>
              </a:extLst>
            </xdr:cNvPr>
            <xdr:cNvSpPr txBox="1"/>
          </xdr:nvSpPr>
          <xdr:spPr bwMode="auto">
            <a:xfrm>
              <a:off x="1095375" y="666750"/>
              <a:ext cx="1819275" cy="4286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5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𝑛=(𝑍^2.𝑆^2.𝑁)/((𝑀𝐸)^2.(𝑁−1)+𝑍^2.𝑆^2 )</a:t>
              </a:r>
              <a:endParaRPr lang="pt-BR" sz="105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571500</xdr:colOff>
      <xdr:row>8</xdr:row>
      <xdr:rowOff>0</xdr:rowOff>
    </xdr:from>
    <xdr:to>
      <xdr:col>17</xdr:col>
      <xdr:colOff>114299</xdr:colOff>
      <xdr:row>9</xdr:row>
      <xdr:rowOff>109262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6219825" y="1143000"/>
              <a:ext cx="1762124" cy="29976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2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2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2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2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2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2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200"/>
            </a:p>
          </xdr:txBody>
        </xdr:sp>
      </mc:Choice>
      <mc:Fallback xmlns="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EE04F79F-33C1-47E9-872A-59B5D1B1F73F}"/>
                </a:ext>
              </a:extLst>
            </xdr:cNvPr>
            <xdr:cNvSpPr txBox="1"/>
          </xdr:nvSpPr>
          <xdr:spPr>
            <a:xfrm>
              <a:off x="6219825" y="1143000"/>
              <a:ext cx="1762124" cy="29976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2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2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2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2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200"/>
            </a:p>
          </xdr:txBody>
        </xdr:sp>
      </mc:Fallback>
    </mc:AlternateContent>
    <xdr:clientData/>
  </xdr:twoCellAnchor>
  <xdr:twoCellAnchor>
    <xdr:from>
      <xdr:col>1</xdr:col>
      <xdr:colOff>304801</xdr:colOff>
      <xdr:row>13</xdr:row>
      <xdr:rowOff>76200</xdr:rowOff>
    </xdr:from>
    <xdr:to>
      <xdr:col>4</xdr:col>
      <xdr:colOff>85726</xdr:colOff>
      <xdr:row>15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Objeto 27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 bwMode="auto">
            <a:xfrm>
              <a:off x="304801" y="2552700"/>
              <a:ext cx="1314450" cy="4667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1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1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1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p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1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𝑀𝐸</m:t>
                                </m:r>
                              </m:e>
                            </m:d>
                          </m:e>
                          <m:sup>
                            <m:r>
                              <a:rPr lang="pt-BR" sz="11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1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Objeto 27">
              <a:extLst>
                <a:ext uri="{FF2B5EF4-FFF2-40B4-BE49-F238E27FC236}">
                  <a16:creationId xmlns:a16="http://schemas.microsoft.com/office/drawing/2014/main" id="{E7364670-45A0-45E7-85F7-49A458BB9036}"/>
                </a:ext>
              </a:extLst>
            </xdr:cNvPr>
            <xdr:cNvSpPr txBox="1"/>
          </xdr:nvSpPr>
          <xdr:spPr bwMode="auto">
            <a:xfrm>
              <a:off x="304801" y="2552700"/>
              <a:ext cx="1314450" cy="4667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𝑛=(𝑍^2.𝑆^2)/(𝑀𝐸)^2 </a:t>
              </a:r>
              <a:endParaRPr lang="pt-BR" sz="11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12</xdr:col>
      <xdr:colOff>571501</xdr:colOff>
      <xdr:row>18</xdr:row>
      <xdr:rowOff>57150</xdr:rowOff>
    </xdr:from>
    <xdr:to>
      <xdr:col>17</xdr:col>
      <xdr:colOff>142875</xdr:colOff>
      <xdr:row>19</xdr:row>
      <xdr:rowOff>175937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22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5648326" y="1171575"/>
              <a:ext cx="1762124" cy="29976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2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2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2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200" b="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pt-BR" sz="12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2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2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200"/>
            </a:p>
          </xdr:txBody>
        </xdr:sp>
      </mc:Choice>
      <mc:Fallback xmlns="">
        <xdr:sp macro="" textlink="">
          <xdr:nvSpPr>
            <xdr:cNvPr id="11" name="CaixaDeTexto 22">
              <a:extLst>
                <a:ext uri="{FF2B5EF4-FFF2-40B4-BE49-F238E27FC236}">
                  <a16:creationId xmlns:a16="http://schemas.microsoft.com/office/drawing/2014/main" id="{70AAAC13-3A81-4738-B865-7B539178809F}"/>
                </a:ext>
              </a:extLst>
            </xdr:cNvPr>
            <xdr:cNvSpPr txBox="1"/>
          </xdr:nvSpPr>
          <xdr:spPr>
            <a:xfrm>
              <a:off x="5648326" y="1171575"/>
              <a:ext cx="1762124" cy="29976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2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</a:t>
              </a:r>
              <a:r>
                <a:rPr lang="pt-BR" sz="12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 </a:t>
              </a:r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±</a:t>
              </a:r>
              <a:r>
                <a:rPr lang="pt-BR" sz="12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2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2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200"/>
            </a:p>
          </xdr:txBody>
        </xdr:sp>
      </mc:Fallback>
    </mc:AlternateContent>
    <xdr:clientData/>
  </xdr:twoCellAnchor>
  <xdr:twoCellAnchor>
    <xdr:from>
      <xdr:col>8</xdr:col>
      <xdr:colOff>38101</xdr:colOff>
      <xdr:row>13</xdr:row>
      <xdr:rowOff>104775</xdr:rowOff>
    </xdr:from>
    <xdr:to>
      <xdr:col>9</xdr:col>
      <xdr:colOff>247651</xdr:colOff>
      <xdr:row>16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to 19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 bwMode="auto">
            <a:xfrm>
              <a:off x="3857626" y="2371725"/>
              <a:ext cx="819150" cy="4857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𝑍</m:t>
                    </m:r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d>
                      <m:dPr>
                        <m:ctrlP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e>
                    </m:d>
                  </m:oMath>
                </m:oMathPara>
              </a14:m>
              <a:endParaRPr lang="pt-BR" sz="1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2" name="Objeto 19">
              <a:extLst>
                <a:ext uri="{FF2B5EF4-FFF2-40B4-BE49-F238E27FC236}">
                  <a16:creationId xmlns:a16="http://schemas.microsoft.com/office/drawing/2014/main" id="{8CDAC299-63E9-4A53-9715-A86D0B1BD1A4}"/>
                </a:ext>
              </a:extLst>
            </xdr:cNvPr>
            <xdr:cNvSpPr txBox="1"/>
          </xdr:nvSpPr>
          <xdr:spPr bwMode="auto">
            <a:xfrm>
              <a:off x="3857626" y="2371725"/>
              <a:ext cx="819150" cy="4857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𝑍.(𝑆/√𝑛)</a:t>
              </a:r>
              <a:endParaRPr lang="pt-BR" sz="1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0</xdr:rowOff>
    </xdr:from>
    <xdr:to>
      <xdr:col>13</xdr:col>
      <xdr:colOff>149425</xdr:colOff>
      <xdr:row>1</xdr:row>
      <xdr:rowOff>156497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963275" y="0"/>
          <a:ext cx="1702000" cy="327947"/>
        </a:xfrm>
        <a:prstGeom prst="rect">
          <a:avLst/>
        </a:prstGeom>
      </xdr:spPr>
    </xdr:pic>
    <xdr:clientData/>
  </xdr:twoCellAnchor>
  <xdr:twoCellAnchor>
    <xdr:from>
      <xdr:col>3</xdr:col>
      <xdr:colOff>647700</xdr:colOff>
      <xdr:row>7</xdr:row>
      <xdr:rowOff>28575</xdr:rowOff>
    </xdr:from>
    <xdr:to>
      <xdr:col>4</xdr:col>
      <xdr:colOff>847726</xdr:colOff>
      <xdr:row>9</xdr:row>
      <xdr:rowOff>133350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>
          <a:cxnSpLocks/>
        </xdr:cNvCxnSpPr>
      </xdr:nvCxnSpPr>
      <xdr:spPr bwMode="auto">
        <a:xfrm>
          <a:off x="3590925" y="1257300"/>
          <a:ext cx="904876" cy="4286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307601</xdr:colOff>
      <xdr:row>5</xdr:row>
      <xdr:rowOff>2242</xdr:rowOff>
    </xdr:from>
    <xdr:to>
      <xdr:col>9</xdr:col>
      <xdr:colOff>307601</xdr:colOff>
      <xdr:row>9</xdr:row>
      <xdr:rowOff>54349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 bwMode="auto">
        <a:xfrm>
          <a:off x="9042026" y="888067"/>
          <a:ext cx="0" cy="7188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1162051</xdr:colOff>
      <xdr:row>9</xdr:row>
      <xdr:rowOff>142875</xdr:rowOff>
    </xdr:from>
    <xdr:to>
      <xdr:col>10</xdr:col>
      <xdr:colOff>1</xdr:colOff>
      <xdr:row>13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to 7">
              <a:extLst>
                <a:ext uri="{FF2B5EF4-FFF2-40B4-BE49-F238E27FC236}">
                  <a16:creationId xmlns:a16="http://schemas.microsoft.com/office/drawing/2014/main" id="{00000000-0008-0000-0900-00000B000000}"/>
                </a:ext>
              </a:extLst>
            </xdr:cNvPr>
            <xdr:cNvSpPr txBox="1"/>
          </xdr:nvSpPr>
          <xdr:spPr bwMode="auto">
            <a:xfrm>
              <a:off x="8534401" y="1695450"/>
              <a:ext cx="1190625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t-BR" sz="12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1" name="Objeto 7">
              <a:extLst>
                <a:ext uri="{FF2B5EF4-FFF2-40B4-BE49-F238E27FC236}">
                  <a16:creationId xmlns:a16="http://schemas.microsoft.com/office/drawing/2014/main" id="{C04A305E-2399-4E91-A755-9E21E464DF11}"/>
                </a:ext>
              </a:extLst>
            </xdr:cNvPr>
            <xdr:cNvSpPr txBox="1"/>
          </xdr:nvSpPr>
          <xdr:spPr bwMode="auto">
            <a:xfrm>
              <a:off x="8534401" y="1695450"/>
              <a:ext cx="1190625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𝑛_ℎ=𝑁_ℎ/𝑁.𝑛</a:t>
              </a:r>
              <a:endParaRPr lang="pt-BR" sz="12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5</xdr:col>
      <xdr:colOff>114300</xdr:colOff>
      <xdr:row>7</xdr:row>
      <xdr:rowOff>133350</xdr:rowOff>
    </xdr:from>
    <xdr:to>
      <xdr:col>8</xdr:col>
      <xdr:colOff>781050</xdr:colOff>
      <xdr:row>13</xdr:row>
      <xdr:rowOff>55562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to 5">
              <a:extLst>
                <a:ext uri="{FF2B5EF4-FFF2-40B4-BE49-F238E27FC236}">
                  <a16:creationId xmlns:a16="http://schemas.microsoft.com/office/drawing/2014/main" id="{00000000-0008-0000-0900-00000C000000}"/>
                </a:ext>
              </a:extLst>
            </xdr:cNvPr>
            <xdr:cNvSpPr txBox="1"/>
          </xdr:nvSpPr>
          <xdr:spPr bwMode="auto">
            <a:xfrm>
              <a:off x="4648200" y="1362075"/>
              <a:ext cx="3505200" cy="89376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num>
                      <m:den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𝑀𝐸</m:t>
                                    </m:r>
                                  </m:num>
                                  <m:den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den>
                    </m:f>
                  </m:oMath>
                </m:oMathPara>
              </a14:m>
              <a:endParaRPr lang="pt-BR" sz="1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2" name="Objeto 5">
              <a:extLst>
                <a:ext uri="{FF2B5EF4-FFF2-40B4-BE49-F238E27FC236}">
                  <a16:creationId xmlns:a16="http://schemas.microsoft.com/office/drawing/2014/main" id="{F1FB3C6D-26B9-4C6D-98D0-0E78397F33F7}"/>
                </a:ext>
              </a:extLst>
            </xdr:cNvPr>
            <xdr:cNvSpPr txBox="1"/>
          </xdr:nvSpPr>
          <xdr:spPr bwMode="auto">
            <a:xfrm>
              <a:off x="4648200" y="1362075"/>
              <a:ext cx="3505200" cy="89376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𝑛=𝑁(𝑁_1.𝑆_1^2+𝑁_2.𝑆_2^2+𝑁_3.𝑆_3^2 )/(𝑁^2.(𝑀𝐸/𝑍)^2+(𝑁_1.𝑆_1^2+𝑁_2.𝑆_2^2+𝑁_3.𝑆_3^2 ) )</a:t>
              </a:r>
              <a:endParaRPr lang="pt-BR" sz="1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266699</xdr:colOff>
      <xdr:row>12</xdr:row>
      <xdr:rowOff>133350</xdr:rowOff>
    </xdr:from>
    <xdr:to>
      <xdr:col>11</xdr:col>
      <xdr:colOff>85725</xdr:colOff>
      <xdr:row>18</xdr:row>
      <xdr:rowOff>72819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266699" y="2171700"/>
          <a:ext cx="10534651" cy="91101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6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Considere</a:t>
          </a:r>
          <a:r>
            <a:rPr lang="pt-BR" sz="1600" baseline="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 que</a:t>
          </a:r>
          <a:r>
            <a:rPr lang="pt-BR" sz="16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 o gestor de um supermercado</a:t>
          </a:r>
          <a:r>
            <a:rPr lang="pt-BR" sz="1600" baseline="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 deseja calcular o </a:t>
          </a:r>
          <a:r>
            <a:rPr lang="pt-BR" sz="1600" b="1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tamanho da amostra </a:t>
          </a:r>
          <a:r>
            <a:rPr lang="pt-BR" sz="16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para estimar o </a:t>
          </a:r>
          <a:r>
            <a:rPr lang="pt-BR" sz="1600" b="1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gasto com cesta básica </a:t>
          </a:r>
          <a:r>
            <a:rPr lang="pt-BR" sz="16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de acordo com classe social. Considere para o cálculo a alocação de Neyman, margem de erro de R$5, 95% de confiança, S e N dados a seguir:</a:t>
          </a:r>
        </a:p>
      </xdr:txBody>
    </xdr:sp>
    <xdr:clientData/>
  </xdr:twoCellAnchor>
  <xdr:twoCellAnchor editAs="oneCell">
    <xdr:from>
      <xdr:col>1</xdr:col>
      <xdr:colOff>1372892</xdr:colOff>
      <xdr:row>18</xdr:row>
      <xdr:rowOff>85852</xdr:rowOff>
    </xdr:from>
    <xdr:to>
      <xdr:col>7</xdr:col>
      <xdr:colOff>149488</xdr:colOff>
      <xdr:row>25</xdr:row>
      <xdr:rowOff>19177</xdr:rowOff>
    </xdr:to>
    <xdr:pic>
      <xdr:nvPicPr>
        <xdr:cNvPr id="14" name="table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5317" y="3095752"/>
          <a:ext cx="4967846" cy="1066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0</xdr:rowOff>
    </xdr:from>
    <xdr:to>
      <xdr:col>13</xdr:col>
      <xdr:colOff>149425</xdr:colOff>
      <xdr:row>1</xdr:row>
      <xdr:rowOff>156497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963275" y="0"/>
          <a:ext cx="1702000" cy="327947"/>
        </a:xfrm>
        <a:prstGeom prst="rect">
          <a:avLst/>
        </a:prstGeom>
      </xdr:spPr>
    </xdr:pic>
    <xdr:clientData/>
  </xdr:twoCellAnchor>
  <xdr:twoCellAnchor>
    <xdr:from>
      <xdr:col>3</xdr:col>
      <xdr:colOff>647700</xdr:colOff>
      <xdr:row>7</xdr:row>
      <xdr:rowOff>28575</xdr:rowOff>
    </xdr:from>
    <xdr:to>
      <xdr:col>4</xdr:col>
      <xdr:colOff>847726</xdr:colOff>
      <xdr:row>9</xdr:row>
      <xdr:rowOff>133350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>
          <a:cxnSpLocks/>
        </xdr:cNvCxnSpPr>
      </xdr:nvCxnSpPr>
      <xdr:spPr bwMode="auto">
        <a:xfrm>
          <a:off x="3590925" y="1257300"/>
          <a:ext cx="904876" cy="4286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307601</xdr:colOff>
      <xdr:row>5</xdr:row>
      <xdr:rowOff>2242</xdr:rowOff>
    </xdr:from>
    <xdr:to>
      <xdr:col>9</xdr:col>
      <xdr:colOff>307601</xdr:colOff>
      <xdr:row>9</xdr:row>
      <xdr:rowOff>54349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 bwMode="auto">
        <a:xfrm>
          <a:off x="9042026" y="888067"/>
          <a:ext cx="0" cy="7188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1028700</xdr:colOff>
      <xdr:row>9</xdr:row>
      <xdr:rowOff>76200</xdr:rowOff>
    </xdr:from>
    <xdr:to>
      <xdr:col>9</xdr:col>
      <xdr:colOff>866775</xdr:colOff>
      <xdr:row>12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to 13">
              <a:extLst>
                <a:ext uri="{FF2B5EF4-FFF2-40B4-BE49-F238E27FC236}">
                  <a16:creationId xmlns:a16="http://schemas.microsoft.com/office/drawing/2014/main" id="{00000000-0008-0000-0A00-00000B000000}"/>
                </a:ext>
              </a:extLst>
            </xdr:cNvPr>
            <xdr:cNvSpPr txBox="1"/>
          </xdr:nvSpPr>
          <xdr:spPr bwMode="auto">
            <a:xfrm>
              <a:off x="8401050" y="1628775"/>
              <a:ext cx="1200150" cy="5238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t-BR" sz="12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1" name="Objeto 13">
              <a:extLst>
                <a:ext uri="{FF2B5EF4-FFF2-40B4-BE49-F238E27FC236}">
                  <a16:creationId xmlns:a16="http://schemas.microsoft.com/office/drawing/2014/main" id="{C3BFF7FF-60D1-4943-82AB-0A783109CB06}"/>
                </a:ext>
              </a:extLst>
            </xdr:cNvPr>
            <xdr:cNvSpPr txBox="1"/>
          </xdr:nvSpPr>
          <xdr:spPr bwMode="auto">
            <a:xfrm>
              <a:off x="8401050" y="1628775"/>
              <a:ext cx="1200150" cy="5238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𝑛_ℎ=(𝑁_ℎ 𝑆_ℎ)/(∑▒〖𝑁_ℎ 𝑆_ℎ 〗).𝑛</a:t>
              </a:r>
              <a:endParaRPr lang="pt-BR" sz="12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5</xdr:col>
      <xdr:colOff>47625</xdr:colOff>
      <xdr:row>8</xdr:row>
      <xdr:rowOff>19050</xdr:rowOff>
    </xdr:from>
    <xdr:to>
      <xdr:col>8</xdr:col>
      <xdr:colOff>1038225</xdr:colOff>
      <xdr:row>12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to 19">
              <a:extLst>
                <a:ext uri="{FF2B5EF4-FFF2-40B4-BE49-F238E27FC236}">
                  <a16:creationId xmlns:a16="http://schemas.microsoft.com/office/drawing/2014/main" id="{00000000-0008-0000-0A00-00000C000000}"/>
                </a:ext>
              </a:extLst>
            </xdr:cNvPr>
            <xdr:cNvSpPr txBox="1"/>
          </xdr:nvSpPr>
          <xdr:spPr bwMode="auto">
            <a:xfrm>
              <a:off x="4581525" y="1409700"/>
              <a:ext cx="3829050" cy="6381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𝑀𝐸</m:t>
                                    </m:r>
                                  </m:num>
                                  <m:den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den>
                    </m:f>
                  </m:oMath>
                </m:oMathPara>
              </a14:m>
              <a:endParaRPr lang="pt-BR" sz="1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2" name="Objeto 19">
              <a:extLst>
                <a:ext uri="{FF2B5EF4-FFF2-40B4-BE49-F238E27FC236}">
                  <a16:creationId xmlns:a16="http://schemas.microsoft.com/office/drawing/2014/main" id="{4CD8CEBE-996B-460F-8FE7-16B15281B9E4}"/>
                </a:ext>
              </a:extLst>
            </xdr:cNvPr>
            <xdr:cNvSpPr txBox="1"/>
          </xdr:nvSpPr>
          <xdr:spPr bwMode="auto">
            <a:xfrm>
              <a:off x="4581525" y="1409700"/>
              <a:ext cx="3829050" cy="6381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𝑛=(𝑁_1.𝑆_1+𝑁_2.𝑆_2+𝑁_3.𝑆_3 )^2/(𝑁^2.(𝑀𝐸/𝑍)^2+(𝑁_1.𝑆_1^2+𝑁_2.𝑆_2^2+𝑁_3.𝑆_3^2 ) )</a:t>
              </a:r>
              <a:endParaRPr lang="pt-BR" sz="1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0</xdr:col>
      <xdr:colOff>352424</xdr:colOff>
      <xdr:row>13</xdr:row>
      <xdr:rowOff>0</xdr:rowOff>
    </xdr:from>
    <xdr:to>
      <xdr:col>11</xdr:col>
      <xdr:colOff>180974</xdr:colOff>
      <xdr:row>18</xdr:row>
      <xdr:rowOff>101394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352424" y="2200275"/>
          <a:ext cx="10544175" cy="911019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6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Considere</a:t>
          </a:r>
          <a:r>
            <a:rPr lang="pt-BR" sz="1600" baseline="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 que</a:t>
          </a:r>
          <a:r>
            <a:rPr lang="pt-BR" sz="16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 o gestor de um supermercado</a:t>
          </a:r>
          <a:r>
            <a:rPr lang="pt-BR" sz="1600" baseline="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 deseja calcular o </a:t>
          </a:r>
          <a:r>
            <a:rPr lang="pt-BR" sz="1600" b="1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tamanho da amostra </a:t>
          </a:r>
          <a:r>
            <a:rPr lang="pt-BR" sz="16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para estimar o </a:t>
          </a:r>
          <a:r>
            <a:rPr lang="pt-BR" sz="1600" b="1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gasto com cesta básica </a:t>
          </a:r>
          <a:r>
            <a:rPr lang="pt-BR" sz="16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de acordo com classe social. Considere para o cálculo a alocação de Neyman, margem de erro de R$5, 95% de confiança, S e N dados a seguir:</a:t>
          </a:r>
        </a:p>
      </xdr:txBody>
    </xdr:sp>
    <xdr:clientData/>
  </xdr:twoCellAnchor>
  <xdr:twoCellAnchor editAs="oneCell">
    <xdr:from>
      <xdr:col>1</xdr:col>
      <xdr:colOff>1591967</xdr:colOff>
      <xdr:row>18</xdr:row>
      <xdr:rowOff>95377</xdr:rowOff>
    </xdr:from>
    <xdr:to>
      <xdr:col>7</xdr:col>
      <xdr:colOff>368563</xdr:colOff>
      <xdr:row>25</xdr:row>
      <xdr:rowOff>28702</xdr:rowOff>
    </xdr:to>
    <xdr:pic>
      <xdr:nvPicPr>
        <xdr:cNvPr id="14" name="table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4392" y="3105277"/>
          <a:ext cx="4967846" cy="106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171450</xdr:colOff>
      <xdr:row>19</xdr:row>
      <xdr:rowOff>66675</xdr:rowOff>
    </xdr:from>
    <xdr:to>
      <xdr:col>7</xdr:col>
      <xdr:colOff>248036</xdr:colOff>
      <xdr:row>21</xdr:row>
      <xdr:rowOff>32672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2895600" y="3381375"/>
          <a:ext cx="1705361" cy="327947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12</xdr:row>
      <xdr:rowOff>85725</xdr:rowOff>
    </xdr:from>
    <xdr:to>
      <xdr:col>10</xdr:col>
      <xdr:colOff>232083</xdr:colOff>
      <xdr:row>15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to 27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 bwMode="auto">
            <a:xfrm>
              <a:off x="3876675" y="2085975"/>
              <a:ext cx="1556058" cy="5619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0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0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acc>
                          <m:accPr>
                            <m:chr m:val="̂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acc>
                          <m:accPr>
                            <m:chr m:val="̂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sSup>
                          <m:sSupPr>
                            <m:ctrlP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𝑀𝐸</m:t>
                                </m:r>
                              </m:e>
                            </m:d>
                          </m:e>
                          <m:sup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000">
                <a:solidFill>
                  <a:srgbClr val="434343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endParaRPr>
            </a:p>
          </xdr:txBody>
        </xdr:sp>
      </mc:Choice>
      <mc:Fallback xmlns="">
        <xdr:sp macro="" textlink="">
          <xdr:nvSpPr>
            <xdr:cNvPr id="4" name="Objeto 27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 bwMode="auto">
            <a:xfrm>
              <a:off x="3876675" y="2085975"/>
              <a:ext cx="1556058" cy="5619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𝑛=(𝑍^2.</a:t>
              </a:r>
              <a:r>
                <a:rPr lang="pt-BR" sz="1000" i="0">
                  <a:solidFill>
                    <a:srgbClr val="DB7D74"/>
                  </a:solidFill>
                  <a:latin typeface="Cambria Math" panose="02040503050406030204" pitchFamily="18" charset="0"/>
                </a:rPr>
                <a:t>𝑝 ̂(1−𝑝 ̂)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)/(𝑀𝐸)^2 </a:t>
              </a:r>
              <a:endParaRPr lang="pt-BR" sz="1000">
                <a:solidFill>
                  <a:srgbClr val="434343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endParaRPr>
            </a:p>
          </xdr:txBody>
        </xdr:sp>
      </mc:Fallback>
    </mc:AlternateContent>
    <xdr:clientData/>
  </xdr:twoCellAnchor>
  <xdr:twoCellAnchor>
    <xdr:from>
      <xdr:col>4</xdr:col>
      <xdr:colOff>952500</xdr:colOff>
      <xdr:row>3</xdr:row>
      <xdr:rowOff>114300</xdr:rowOff>
    </xdr:from>
    <xdr:to>
      <xdr:col>11</xdr:col>
      <xdr:colOff>200025</xdr:colOff>
      <xdr:row>7</xdr:row>
      <xdr:rowOff>57150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to 39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 bwMode="auto">
            <a:xfrm>
              <a:off x="4010025" y="581025"/>
              <a:ext cx="2181225" cy="6953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0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0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acc>
                          <m:accPr>
                            <m:chr m:val="̂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acc>
                          <m:accPr>
                            <m:chr m:val="̂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sSup>
                          <m:sSupPr>
                            <m:ctrlP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𝑀𝐸</m:t>
                                </m:r>
                              </m:e>
                            </m:d>
                          </m:e>
                          <m:sup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ctrlP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d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p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acc>
                          <m:accPr>
                            <m:chr m:val="̂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acc>
                          <m:accPr>
                            <m:chr m:val="̂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acc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000">
                <a:solidFill>
                  <a:srgbClr val="434343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endParaRPr>
            </a:p>
          </xdr:txBody>
        </xdr:sp>
      </mc:Choice>
      <mc:Fallback xmlns="">
        <xdr:sp macro="" textlink="">
          <xdr:nvSpPr>
            <xdr:cNvPr id="6" name="Objeto 39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 bwMode="auto">
            <a:xfrm>
              <a:off x="4010025" y="581025"/>
              <a:ext cx="2181225" cy="6953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𝑛=(𝑍^2.</a:t>
              </a:r>
              <a:r>
                <a:rPr lang="pt-BR" sz="1000" i="0">
                  <a:solidFill>
                    <a:srgbClr val="DB7D74"/>
                  </a:solidFill>
                  <a:latin typeface="Cambria Math" panose="02040503050406030204" pitchFamily="18" charset="0"/>
                </a:rPr>
                <a:t>𝑝 ̂(1−𝑝 ̂)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.𝑁)/((𝑀𝐸)^2.(𝑁−1)+𝑍^2.</a:t>
              </a:r>
              <a:r>
                <a:rPr lang="pt-BR" sz="1000" i="0">
                  <a:solidFill>
                    <a:srgbClr val="DB7D74"/>
                  </a:solidFill>
                  <a:latin typeface="Cambria Math" panose="02040503050406030204" pitchFamily="18" charset="0"/>
                </a:rPr>
                <a:t>𝑝 ̂(1−𝑝 ̂)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)</a:t>
              </a:r>
              <a:endParaRPr lang="pt-BR" sz="1000">
                <a:solidFill>
                  <a:srgbClr val="434343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endParaRPr>
            </a:p>
          </xdr:txBody>
        </xdr:sp>
      </mc:Fallback>
    </mc:AlternateContent>
    <xdr:clientData/>
  </xdr:twoCellAnchor>
  <xdr:twoCellAnchor>
    <xdr:from>
      <xdr:col>17</xdr:col>
      <xdr:colOff>381000</xdr:colOff>
      <xdr:row>4</xdr:row>
      <xdr:rowOff>28575</xdr:rowOff>
    </xdr:from>
    <xdr:to>
      <xdr:col>21</xdr:col>
      <xdr:colOff>533399</xdr:colOff>
      <xdr:row>5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22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9848850" y="495300"/>
              <a:ext cx="2590799" cy="31432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2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2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2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2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2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2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2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200"/>
            </a:p>
          </xdr:txBody>
        </xdr:sp>
      </mc:Choice>
      <mc:Fallback xmlns="">
        <xdr:sp macro="" textlink="">
          <xdr:nvSpPr>
            <xdr:cNvPr id="7" name="CaixaDeTexto 22">
              <a:extLst>
                <a:ext uri="{FF2B5EF4-FFF2-40B4-BE49-F238E27FC236}">
                  <a16:creationId xmlns:a16="http://schemas.microsoft.com/office/drawing/2014/main" id="{487C170F-A294-44EE-A199-851618FB7780}"/>
                </a:ext>
              </a:extLst>
            </xdr:cNvPr>
            <xdr:cNvSpPr txBox="1"/>
          </xdr:nvSpPr>
          <xdr:spPr>
            <a:xfrm>
              <a:off x="9848850" y="495300"/>
              <a:ext cx="2590799" cy="314325"/>
            </a:xfrm>
            <a:prstGeom prst="rect">
              <a:avLst/>
            </a:prstGeom>
            <a:noFill/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2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2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2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2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200"/>
            </a:p>
          </xdr:txBody>
        </xdr:sp>
      </mc:Fallback>
    </mc:AlternateContent>
    <xdr:clientData/>
  </xdr:twoCellAnchor>
  <xdr:twoCellAnchor>
    <xdr:from>
      <xdr:col>13</xdr:col>
      <xdr:colOff>428625</xdr:colOff>
      <xdr:row>5</xdr:row>
      <xdr:rowOff>76199</xdr:rowOff>
    </xdr:from>
    <xdr:to>
      <xdr:col>15</xdr:col>
      <xdr:colOff>571501</xdr:colOff>
      <xdr:row>8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to 6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 bwMode="auto">
            <a:xfrm>
              <a:off x="7600950" y="885824"/>
              <a:ext cx="1362076" cy="514351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𝑍</m:t>
                    </m:r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d>
                      <m:d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ad>
                          <m:radPr>
                            <m:degHide m:val="on"/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lang="pt-BR" sz="900" i="1">
                                        <a:solidFill>
                                          <a:srgbClr val="DB7D74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900" i="1">
                                        <a:solidFill>
                                          <a:srgbClr val="DB7D74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  <m:r>
                                  <a:rPr lang="pt-BR" sz="900" i="1">
                                    <a:solidFill>
                                      <a:srgbClr val="DB7D74"/>
                                    </a:solidFill>
                                    <a:latin typeface="Cambria Math" panose="02040503050406030204" pitchFamily="18" charset="0"/>
                                  </a:rPr>
                                  <m:t>(1−</m:t>
                                </m:r>
                                <m:acc>
                                  <m:accPr>
                                    <m:chr m:val="̂"/>
                                    <m:ctrlPr>
                                      <a:rPr lang="pt-BR" sz="900" i="1">
                                        <a:solidFill>
                                          <a:srgbClr val="DB7D74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900" i="1">
                                        <a:solidFill>
                                          <a:srgbClr val="DB7D74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  <m:r>
                                  <a:rPr lang="pt-BR" sz="900" i="1">
                                    <a:solidFill>
                                      <a:srgbClr val="DB7D74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rad>
                      <m:radPr>
                        <m:degHide m:val="on"/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pt-BR" sz="900">
                <a:solidFill>
                  <a:srgbClr val="434343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endParaRPr>
            </a:p>
          </xdr:txBody>
        </xdr:sp>
      </mc:Choice>
      <mc:Fallback xmlns="">
        <xdr:sp macro="" textlink="">
          <xdr:nvSpPr>
            <xdr:cNvPr id="8" name="Objeto 68">
              <a:extLst>
                <a:ext uri="{FF2B5EF4-FFF2-40B4-BE49-F238E27FC236}">
                  <a16:creationId xmlns:a16="http://schemas.microsoft.com/office/drawing/2014/main" id="{E3C8B5AE-1FF2-436E-969F-3D2EF1C49F0A}"/>
                </a:ext>
              </a:extLst>
            </xdr:cNvPr>
            <xdr:cNvSpPr txBox="1"/>
          </xdr:nvSpPr>
          <xdr:spPr bwMode="auto">
            <a:xfrm>
              <a:off x="7600950" y="885824"/>
              <a:ext cx="1362076" cy="514351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9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𝑍.(√((</a:t>
              </a:r>
              <a:r>
                <a:rPr lang="pt-BR" sz="900" i="0">
                  <a:solidFill>
                    <a:srgbClr val="DB7D74"/>
                  </a:solidFill>
                  <a:latin typeface="Cambria Math" panose="02040503050406030204" pitchFamily="18" charset="0"/>
                </a:rPr>
                <a:t>𝑝 ̂(1−𝑝 ̂)</a:t>
              </a:r>
              <a:r>
                <a:rPr lang="pt-BR" sz="9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)/𝑛)).√((𝑁−𝑛)/(𝑁−1))</a:t>
              </a:r>
              <a:endParaRPr lang="pt-BR" sz="900">
                <a:solidFill>
                  <a:srgbClr val="434343"/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endParaRPr>
            </a:p>
          </xdr:txBody>
        </xdr:sp>
      </mc:Fallback>
    </mc:AlternateContent>
    <xdr:clientData/>
  </xdr:twoCellAnchor>
  <xdr:twoCellAnchor>
    <xdr:from>
      <xdr:col>14</xdr:col>
      <xdr:colOff>161925</xdr:colOff>
      <xdr:row>14</xdr:row>
      <xdr:rowOff>47625</xdr:rowOff>
    </xdr:from>
    <xdr:to>
      <xdr:col>15</xdr:col>
      <xdr:colOff>528637</xdr:colOff>
      <xdr:row>17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Objeto 1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 bwMode="auto">
            <a:xfrm>
              <a:off x="7800975" y="2514600"/>
              <a:ext cx="976312" cy="5334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8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𝑍</m:t>
                    </m:r>
                    <m:r>
                      <a:rPr lang="pt-BR" sz="8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d>
                      <m:dPr>
                        <m:ctrlP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ad>
                          <m:radPr>
                            <m:degHide m:val="on"/>
                            <m:ctrlPr>
                              <a:rPr lang="pt-BR" sz="8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pt-BR" sz="8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̂"/>
                                    <m:ctrlPr>
                                      <a:rPr lang="pt-BR" sz="800" i="1">
                                        <a:solidFill>
                                          <a:srgbClr val="DB7D74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800" i="1">
                                        <a:solidFill>
                                          <a:srgbClr val="DB7D74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  <m:r>
                                  <a:rPr lang="pt-BR" sz="800" i="1">
                                    <a:solidFill>
                                      <a:srgbClr val="DB7D74"/>
                                    </a:solidFill>
                                    <a:latin typeface="Cambria Math" panose="02040503050406030204" pitchFamily="18" charset="0"/>
                                  </a:rPr>
                                  <m:t>(1−</m:t>
                                </m:r>
                                <m:acc>
                                  <m:accPr>
                                    <m:chr m:val="̂"/>
                                    <m:ctrlPr>
                                      <a:rPr lang="pt-BR" sz="800" i="1">
                                        <a:solidFill>
                                          <a:srgbClr val="DB7D74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800" i="1">
                                        <a:solidFill>
                                          <a:srgbClr val="DB7D74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  <m:r>
                                  <a:rPr lang="pt-BR" sz="800" i="1">
                                    <a:solidFill>
                                      <a:srgbClr val="DB7D74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num>
                              <m:den>
                                <m:r>
                                  <a:rPr lang="pt-BR" sz="8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rad>
                      </m:e>
                    </m:d>
                  </m:oMath>
                </m:oMathPara>
              </a14:m>
              <a:endParaRPr lang="pt-BR" sz="8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endParaRPr>
            </a:p>
          </xdr:txBody>
        </xdr:sp>
      </mc:Choice>
      <mc:Fallback xmlns="">
        <xdr:sp macro="" textlink="">
          <xdr:nvSpPr>
            <xdr:cNvPr id="9" name="Objeto 19">
              <a:extLst>
                <a:ext uri="{FF2B5EF4-FFF2-40B4-BE49-F238E27FC236}">
                  <a16:creationId xmlns:a16="http://schemas.microsoft.com/office/drawing/2014/main" id="{8CDAC299-63E9-4A53-9715-A86D0B1BD1A4}"/>
                </a:ext>
              </a:extLst>
            </xdr:cNvPr>
            <xdr:cNvSpPr txBox="1"/>
          </xdr:nvSpPr>
          <xdr:spPr bwMode="auto">
            <a:xfrm>
              <a:off x="7800975" y="2514600"/>
              <a:ext cx="976312" cy="5334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8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𝑍.(√((</a:t>
              </a:r>
              <a:r>
                <a:rPr lang="pt-BR" sz="800" i="0">
                  <a:solidFill>
                    <a:srgbClr val="DB7D74"/>
                  </a:solidFill>
                  <a:latin typeface="Cambria Math" panose="02040503050406030204" pitchFamily="18" charset="0"/>
                </a:rPr>
                <a:t>𝑝 ̂(1−𝑝 ̂)</a:t>
              </a:r>
              <a:r>
                <a:rPr lang="pt-BR" sz="8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)/</a:t>
              </a:r>
              <a:r>
                <a:rPr lang="pt-BR" sz="8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𝑛))</a:t>
              </a:r>
              <a:endParaRPr lang="pt-BR" sz="8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13</xdr:row>
      <xdr:rowOff>38100</xdr:rowOff>
    </xdr:from>
    <xdr:to>
      <xdr:col>6</xdr:col>
      <xdr:colOff>248036</xdr:colOff>
      <xdr:row>15</xdr:row>
      <xdr:rowOff>42197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4162425" y="2181225"/>
          <a:ext cx="1705361" cy="327947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22</xdr:row>
      <xdr:rowOff>28575</xdr:rowOff>
    </xdr:from>
    <xdr:to>
      <xdr:col>18</xdr:col>
      <xdr:colOff>1038225</xdr:colOff>
      <xdr:row>24</xdr:row>
      <xdr:rowOff>152400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to 4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 bwMode="auto">
            <a:xfrm>
              <a:off x="11296650" y="3667125"/>
              <a:ext cx="8001000" cy="4476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𝑉</m:t>
                    </m:r>
                    <m:d>
                      <m:d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900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m:rPr>
                                    <m:sty m:val="p"/>
                                  </m:rPr>
                                  <a:rPr lang="pt-BR" sz="900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X</m:t>
                                </m:r>
                              </m:e>
                            </m:acc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sub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𝑠𝑡</m:t>
                            </m:r>
                          </m:sub>
                        </m:sSub>
                      </m:e>
                    </m:d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9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9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9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9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pt-BR" sz="9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pt-BR" sz="10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3" name="Objeto 4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SpPr txBox="1"/>
          </xdr:nvSpPr>
          <xdr:spPr bwMode="auto">
            <a:xfrm>
              <a:off x="11296650" y="3667125"/>
              <a:ext cx="8001000" cy="4476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9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𝑉(〖( X) ̄  〗_𝑠𝑡 )=(𝑊_1 )^2 (〖𝑆_1〗^2/𝑛_1 ).((𝑁_1−𝑛_1 ))/(𝑁_1−1)+(𝑊_2 )^2 (〖𝑆_2〗^2/𝑛_2 ).((𝑁_2−𝑛_2 ))/(𝑁_2−1)+(𝑊_3 )^2 (〖𝑆_3〗^2/𝑛_3 ).((𝑁_3−𝑛_3 ))/(𝑁_3−1)</a:t>
              </a:r>
              <a:endParaRPr lang="pt-BR" sz="10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47626</xdr:colOff>
      <xdr:row>15</xdr:row>
      <xdr:rowOff>76201</xdr:rowOff>
    </xdr:from>
    <xdr:to>
      <xdr:col>12</xdr:col>
      <xdr:colOff>638175</xdr:colOff>
      <xdr:row>16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to 9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 bwMode="auto">
            <a:xfrm>
              <a:off x="9353551" y="2543176"/>
              <a:ext cx="1362074" cy="219074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8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800" i="0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𝑠𝑡</m:t>
                        </m:r>
                      </m:sub>
                    </m:sSub>
                    <m:r>
                      <a:rPr lang="pt-BR" sz="8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8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800" i="0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8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8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800" i="0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8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8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800" i="0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8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pt-BR" sz="8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4" name="Objeto 9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SpPr txBox="1"/>
          </xdr:nvSpPr>
          <xdr:spPr bwMode="auto">
            <a:xfrm>
              <a:off x="9353551" y="2543176"/>
              <a:ext cx="1362074" cy="219074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8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X ̄_𝑠𝑡=𝑊_1 X ̄_1+𝑊_2 X ̄_2+𝑊_3 X ̄_3</a:t>
              </a:r>
              <a:endParaRPr lang="pt-BR" sz="8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71437</xdr:rowOff>
    </xdr:from>
    <xdr:to>
      <xdr:col>3</xdr:col>
      <xdr:colOff>529024</xdr:colOff>
      <xdr:row>2</xdr:row>
      <xdr:rowOff>75534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511969" y="71437"/>
          <a:ext cx="1707743" cy="337472"/>
        </a:xfrm>
        <a:prstGeom prst="rect">
          <a:avLst/>
        </a:prstGeom>
      </xdr:spPr>
    </xdr:pic>
    <xdr:clientData/>
  </xdr:twoCellAnchor>
  <xdr:twoCellAnchor>
    <xdr:from>
      <xdr:col>6</xdr:col>
      <xdr:colOff>2383</xdr:colOff>
      <xdr:row>8</xdr:row>
      <xdr:rowOff>90487</xdr:rowOff>
    </xdr:from>
    <xdr:to>
      <xdr:col>9</xdr:col>
      <xdr:colOff>428626</xdr:colOff>
      <xdr:row>10</xdr:row>
      <xdr:rowOff>131762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to 9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 bwMode="auto">
            <a:xfrm>
              <a:off x="3536158" y="1423987"/>
              <a:ext cx="2035968" cy="3651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1000" i="0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𝑠𝑡</m:t>
                        </m:r>
                      </m:sub>
                    </m:sSub>
                    <m:r>
                      <a:rPr lang="pt-BR" sz="1000" i="1">
                        <a:solidFill>
                          <a:srgbClr val="DB7D74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1000" i="0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000" i="1">
                        <a:solidFill>
                          <a:srgbClr val="DB7D74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1000" i="0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000" i="1">
                        <a:solidFill>
                          <a:srgbClr val="DB7D74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1000" i="0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pt-BR" sz="800">
                <a:solidFill>
                  <a:srgbClr val="DB7D74"/>
                </a:solidFill>
              </a:endParaRPr>
            </a:p>
          </xdr:txBody>
        </xdr:sp>
      </mc:Choice>
      <mc:Fallback xmlns="">
        <xdr:sp macro="" textlink="">
          <xdr:nvSpPr>
            <xdr:cNvPr id="4" name="Objeto 9">
              <a:extLst>
                <a:ext uri="{FF2B5EF4-FFF2-40B4-BE49-F238E27FC236}">
                  <a16:creationId xmlns:a16="http://schemas.microsoft.com/office/drawing/2014/main" id="{A88BAEF6-F2A1-44D3-A0B4-F76797FB2AEE}"/>
                </a:ext>
              </a:extLst>
            </xdr:cNvPr>
            <xdr:cNvSpPr txBox="1"/>
          </xdr:nvSpPr>
          <xdr:spPr bwMode="auto">
            <a:xfrm>
              <a:off x="3536158" y="1423987"/>
              <a:ext cx="2035968" cy="3651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solidFill>
                    <a:srgbClr val="DB7D74"/>
                  </a:solidFill>
                  <a:latin typeface="Cambria Math" panose="02040503050406030204" pitchFamily="18" charset="0"/>
                </a:rPr>
                <a:t>X ̄_𝑠𝑡=𝑊_1 X ̄_1+𝑊_2 X ̄_2+𝑊_3 X ̄_3</a:t>
              </a:r>
              <a:endParaRPr lang="pt-BR" sz="800">
                <a:solidFill>
                  <a:srgbClr val="DB7D74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38099</xdr:colOff>
      <xdr:row>12</xdr:row>
      <xdr:rowOff>123824</xdr:rowOff>
    </xdr:from>
    <xdr:to>
      <xdr:col>11</xdr:col>
      <xdr:colOff>600074</xdr:colOff>
      <xdr:row>21</xdr:row>
      <xdr:rowOff>72140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90524" y="2105024"/>
          <a:ext cx="7820025" cy="1405641"/>
        </a:xfrm>
        <a:prstGeom prst="rect">
          <a:avLst/>
        </a:prstGeom>
        <a:solidFill>
          <a:schemeClr val="bg1"/>
        </a:solidFill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 sz="11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Considere uma Instituição Financeira que deseja estimar o gasto médio com cartão de crédito das famílias de Classes A, B e C de uma determinada agência. Considere que na base de dados tem-se 1.000 clientes da classe A, 2.000 clientes da classe B e de 3.000 clientes da classe C. </a:t>
          </a:r>
        </a:p>
        <a:p>
          <a:pPr algn="just"/>
          <a:endParaRPr lang="pt-BR" sz="1100">
            <a:solidFill>
              <a:srgbClr val="434343"/>
            </a:solidFill>
            <a:latin typeface="Open Sans" panose="020B0604020202020204"/>
            <a:cs typeface="Arial" pitchFamily="34" charset="0"/>
          </a:endParaRPr>
        </a:p>
        <a:p>
          <a:pPr algn="just"/>
          <a:r>
            <a:rPr lang="pt-BR" sz="11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Na amostra obteve-se um gasto médio de R$ 12.000,00 para os clientes da classe A, R$ 4.000,00 para os clientes da classe B e de R$ 850,00 para os clientes da classe C.</a:t>
          </a:r>
        </a:p>
        <a:p>
          <a:pPr algn="just"/>
          <a:endParaRPr lang="pt-BR" sz="1100">
            <a:solidFill>
              <a:srgbClr val="434343"/>
            </a:solidFill>
            <a:latin typeface="Open Sans" panose="020B0604020202020204"/>
            <a:cs typeface="Arial" pitchFamily="34" charset="0"/>
          </a:endParaRPr>
        </a:p>
      </xdr:txBody>
    </xdr:sp>
    <xdr:clientData/>
  </xdr:twoCellAnchor>
  <xdr:twoCellAnchor>
    <xdr:from>
      <xdr:col>9</xdr:col>
      <xdr:colOff>57150</xdr:colOff>
      <xdr:row>8</xdr:row>
      <xdr:rowOff>38100</xdr:rowOff>
    </xdr:from>
    <xdr:to>
      <xdr:col>13</xdr:col>
      <xdr:colOff>538162</xdr:colOff>
      <xdr:row>12</xdr:row>
      <xdr:rowOff>92075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to 19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 bwMode="auto">
            <a:xfrm>
              <a:off x="5200650" y="1371600"/>
              <a:ext cx="5167312" cy="7016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𝑉</m:t>
                    </m:r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𝑠𝑡</m:t>
                            </m:r>
                          </m:sub>
                        </m:sSub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pt-BR" sz="1000">
                <a:solidFill>
                  <a:srgbClr val="78D9DB"/>
                </a:solidFill>
              </a:endParaRPr>
            </a:p>
          </xdr:txBody>
        </xdr:sp>
      </mc:Choice>
      <mc:Fallback xmlns="">
        <xdr:sp macro="" textlink="">
          <xdr:nvSpPr>
            <xdr:cNvPr id="11" name="Objeto 19">
              <a:extLst>
                <a:ext uri="{FF2B5EF4-FFF2-40B4-BE49-F238E27FC236}">
                  <a16:creationId xmlns:a16="http://schemas.microsoft.com/office/drawing/2014/main" id="{19FE397D-BB5D-49DE-B214-3DF0FB5EF879}"/>
                </a:ext>
              </a:extLst>
            </xdr:cNvPr>
            <xdr:cNvSpPr txBox="1"/>
          </xdr:nvSpPr>
          <xdr:spPr bwMode="auto">
            <a:xfrm>
              <a:off x="5200650" y="1371600"/>
              <a:ext cx="5167312" cy="7016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solidFill>
                    <a:srgbClr val="78D9DB"/>
                  </a:solidFill>
                  <a:latin typeface="Cambria Math" panose="02040503050406030204" pitchFamily="18" charset="0"/>
                </a:rPr>
                <a:t>𝑉(𝑥 ̄_𝑠𝑡 )=(𝑊_1 )^2 (〖𝑆_1〗^2/𝑛_1 ).((𝑁_1−𝑛_1 ))/(𝑁_1−1)+(𝑊_2 )^2 (〖𝑆_2〗^2/𝑛_2 ).((𝑁_2−𝑛_2 ))/(𝑁_2−1)+(𝑊_3 )^2 (〖𝑆_3〗^2/𝑛_3 ).((𝑁_3−𝑛_3 ))/(𝑁_3−1)</a:t>
              </a:r>
              <a:endParaRPr lang="pt-BR" sz="1000">
                <a:solidFill>
                  <a:srgbClr val="78D9DB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476249</xdr:colOff>
      <xdr:row>0</xdr:row>
      <xdr:rowOff>142875</xdr:rowOff>
    </xdr:from>
    <xdr:to>
      <xdr:col>15</xdr:col>
      <xdr:colOff>323849</xdr:colOff>
      <xdr:row>3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to 9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 bwMode="auto">
            <a:xfrm>
              <a:off x="8353424" y="142875"/>
              <a:ext cx="3171825" cy="3651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50">
                  <a:solidFill>
                    <a:srgbClr val="434343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rPr>
                <a:t>Intervalo de confiança </a:t>
              </a:r>
              <a:r>
                <a:rPr lang="pt-BR" sz="1100">
                  <a:solidFill>
                    <a:srgbClr val="434343"/>
                  </a:solidFill>
                </a:rPr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pt-BR" sz="11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pt-BR" sz="11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1100" b="0" i="0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pt-BR" sz="1100" i="0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X</m:t>
                          </m:r>
                        </m:e>
                      </m:acc>
                      <m:r>
                        <a:rPr lang="pt-BR" sz="11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</m:e>
                    <m:sub>
                      <m:r>
                        <a:rPr lang="pt-BR" sz="11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𝑠𝑡</m:t>
                      </m:r>
                    </m:sub>
                  </m:sSub>
                  <m:r>
                    <a:rPr lang="pt-BR" sz="1100" b="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pt-BR" sz="1100" b="0" i="1">
                      <a:solidFill>
                        <a:srgbClr val="434343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r>
                    <a:rPr lang="pt-BR" sz="1100" b="0" i="1">
                      <a:solidFill>
                        <a:srgbClr val="434343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𝑍</m:t>
                  </m:r>
                  <m:r>
                    <a:rPr lang="pt-BR" sz="1100" b="0" i="1">
                      <a:solidFill>
                        <a:srgbClr val="434343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 </m:t>
                  </m:r>
                  <m:rad>
                    <m:radPr>
                      <m:degHide m:val="on"/>
                      <m:ctrlPr>
                        <a:rPr lang="pt-BR" sz="11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pt-BR" sz="11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𝑉𝑎𝑟</m:t>
                      </m:r>
                      <m:r>
                        <a:rPr lang="pt-BR" sz="11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pt-BR" sz="11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acc>
                            <m:accPr>
                              <m:chr m:val="̄"/>
                              <m:ctrlPr>
                                <a:rPr lang="pt-BR" sz="11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m:rPr>
                                  <m:sty m:val="p"/>
                                </m:rPr>
                                <a:rPr lang="pt-BR" sz="1100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X</m:t>
                              </m:r>
                            </m:e>
                          </m:acc>
                          <m:r>
                            <a:rPr lang="pt-BR" sz="11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sub>
                          <m:r>
                            <a:rPr lang="pt-BR" sz="11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𝑠𝑡</m:t>
                          </m:r>
                        </m:sub>
                      </m:sSub>
                      <m:r>
                        <m:rPr>
                          <m:nor/>
                        </m:rPr>
                        <a:rPr lang="pt-BR" sz="1100">
                          <a:solidFill>
                            <a:srgbClr val="434343"/>
                          </a:solidFill>
                        </a:rPr>
                        <m:t>)</m:t>
                      </m:r>
                      <m:r>
                        <m:rPr>
                          <m:nor/>
                        </m:rPr>
                        <a:rPr lang="pt-BR" sz="1100" b="0" i="0">
                          <a:solidFill>
                            <a:srgbClr val="434343"/>
                          </a:solidFill>
                        </a:rPr>
                        <m:t>.</m:t>
                      </m:r>
                    </m:e>
                  </m:rad>
                </m:oMath>
              </a14:m>
              <a:endParaRPr lang="pt-BR" sz="11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2" name="Objeto 9">
              <a:extLst>
                <a:ext uri="{FF2B5EF4-FFF2-40B4-BE49-F238E27FC236}">
                  <a16:creationId xmlns:a16="http://schemas.microsoft.com/office/drawing/2014/main" id="{E8B0B7D5-541A-4971-B575-4453401BA958}"/>
                </a:ext>
              </a:extLst>
            </xdr:cNvPr>
            <xdr:cNvSpPr txBox="1"/>
          </xdr:nvSpPr>
          <xdr:spPr bwMode="auto">
            <a:xfrm>
              <a:off x="8353424" y="142875"/>
              <a:ext cx="3171825" cy="3651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50">
                  <a:solidFill>
                    <a:srgbClr val="434343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rPr>
                <a:t>Intervalo de confiança </a:t>
              </a:r>
              <a:r>
                <a:rPr lang="pt-BR" sz="1100">
                  <a:solidFill>
                    <a:srgbClr val="434343"/>
                  </a:solidFill>
                </a:rPr>
                <a:t>= 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〖(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X) ̄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 〗_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𝑠𝑡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 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±𝑍∙ √(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𝑉𝑎𝑟(〖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X ̄  〗_𝑠𝑡 "</a:t>
              </a:r>
              <a:r>
                <a:rPr lang="pt-BR" sz="1100" i="0">
                  <a:solidFill>
                    <a:srgbClr val="434343"/>
                  </a:solidFill>
                </a:rPr>
                <a:t>)</a:t>
              </a:r>
              <a:r>
                <a:rPr lang="pt-BR" sz="1100" b="0" i="0">
                  <a:solidFill>
                    <a:srgbClr val="434343"/>
                  </a:solidFill>
                </a:rPr>
                <a:t>.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pt-BR" sz="11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71437</xdr:rowOff>
    </xdr:from>
    <xdr:to>
      <xdr:col>3</xdr:col>
      <xdr:colOff>529024</xdr:colOff>
      <xdr:row>2</xdr:row>
      <xdr:rowOff>75534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507206" y="71437"/>
          <a:ext cx="1707743" cy="327947"/>
        </a:xfrm>
        <a:prstGeom prst="rect">
          <a:avLst/>
        </a:prstGeom>
      </xdr:spPr>
    </xdr:pic>
    <xdr:clientData/>
  </xdr:twoCellAnchor>
  <xdr:twoCellAnchor>
    <xdr:from>
      <xdr:col>6</xdr:col>
      <xdr:colOff>2383</xdr:colOff>
      <xdr:row>8</xdr:row>
      <xdr:rowOff>90487</xdr:rowOff>
    </xdr:from>
    <xdr:to>
      <xdr:col>9</xdr:col>
      <xdr:colOff>428626</xdr:colOff>
      <xdr:row>10</xdr:row>
      <xdr:rowOff>131762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to 9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 bwMode="auto">
            <a:xfrm>
              <a:off x="3536158" y="1433512"/>
              <a:ext cx="2035968" cy="3651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1000" i="0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𝑠𝑡</m:t>
                        </m:r>
                      </m:sub>
                    </m:sSub>
                    <m:r>
                      <a:rPr lang="pt-BR" sz="1000" i="1">
                        <a:solidFill>
                          <a:srgbClr val="DB7D74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1000" i="0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000" i="1">
                        <a:solidFill>
                          <a:srgbClr val="DB7D74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1000" i="0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000" i="1">
                        <a:solidFill>
                          <a:srgbClr val="DB7D74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𝑊</m:t>
                        </m:r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pt-BR" sz="1000" i="1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pt-BR" sz="1000" i="0">
                                <a:solidFill>
                                  <a:srgbClr val="DB7D74"/>
                                </a:solidFill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e>
                      <m:sub>
                        <m:r>
                          <a:rPr lang="pt-BR" sz="1000" i="1">
                            <a:solidFill>
                              <a:srgbClr val="DB7D74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pt-BR" sz="800">
                <a:solidFill>
                  <a:srgbClr val="DB7D74"/>
                </a:solidFill>
              </a:endParaRPr>
            </a:p>
          </xdr:txBody>
        </xdr:sp>
      </mc:Choice>
      <mc:Fallback xmlns="">
        <xdr:sp macro="" textlink="">
          <xdr:nvSpPr>
            <xdr:cNvPr id="3" name="Objeto 9">
              <a:extLst>
                <a:ext uri="{FF2B5EF4-FFF2-40B4-BE49-F238E27FC236}">
                  <a16:creationId xmlns:a16="http://schemas.microsoft.com/office/drawing/2014/main" id="{3F82677D-829E-4486-BE11-C5C9481CBB7C}"/>
                </a:ext>
              </a:extLst>
            </xdr:cNvPr>
            <xdr:cNvSpPr txBox="1"/>
          </xdr:nvSpPr>
          <xdr:spPr bwMode="auto">
            <a:xfrm>
              <a:off x="3536158" y="1433512"/>
              <a:ext cx="2035968" cy="3651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solidFill>
                    <a:srgbClr val="DB7D74"/>
                  </a:solidFill>
                  <a:latin typeface="Cambria Math" panose="02040503050406030204" pitchFamily="18" charset="0"/>
                </a:rPr>
                <a:t>X ̄_𝑠𝑡=𝑊_1 X ̄_1+𝑊_2 X ̄_2+𝑊_3 X ̄_3</a:t>
              </a:r>
              <a:endParaRPr lang="pt-BR" sz="800">
                <a:solidFill>
                  <a:srgbClr val="DB7D74"/>
                </a:solidFill>
              </a:endParaRPr>
            </a:p>
          </xdr:txBody>
        </xdr:sp>
      </mc:Fallback>
    </mc:AlternateContent>
    <xdr:clientData/>
  </xdr:twoCellAnchor>
  <xdr:twoCellAnchor>
    <xdr:from>
      <xdr:col>11</xdr:col>
      <xdr:colOff>476249</xdr:colOff>
      <xdr:row>0</xdr:row>
      <xdr:rowOff>142875</xdr:rowOff>
    </xdr:from>
    <xdr:to>
      <xdr:col>15</xdr:col>
      <xdr:colOff>323849</xdr:colOff>
      <xdr:row>3</xdr:row>
      <xdr:rowOff>12700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to 9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 bwMode="auto">
            <a:xfrm>
              <a:off x="8353424" y="142875"/>
              <a:ext cx="3419475" cy="3651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50">
                  <a:solidFill>
                    <a:srgbClr val="434343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rPr>
                <a:t>Intervalo de confiança </a:t>
              </a:r>
              <a:r>
                <a:rPr lang="pt-BR" sz="1100">
                  <a:solidFill>
                    <a:srgbClr val="434343"/>
                  </a:solidFill>
                </a:rPr>
                <a:t>= </a:t>
              </a:r>
              <a14:m>
                <m:oMath xmlns:m="http://schemas.openxmlformats.org/officeDocument/2006/math">
                  <m:sSub>
                    <m:sSubPr>
                      <m:ctrlPr>
                        <a:rPr lang="pt-BR" sz="11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pt-BR" sz="11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1100" b="0" i="0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m:rPr>
                              <m:sty m:val="p"/>
                            </m:rPr>
                            <a:rPr lang="pt-BR" sz="1100" i="0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X</m:t>
                          </m:r>
                        </m:e>
                      </m:acc>
                      <m:r>
                        <a:rPr lang="pt-BR" sz="11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</m:e>
                    <m:sub>
                      <m:r>
                        <a:rPr lang="pt-BR" sz="11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𝑠𝑡</m:t>
                      </m:r>
                    </m:sub>
                  </m:sSub>
                  <m:r>
                    <a:rPr lang="pt-BR" sz="1100" b="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pt-BR" sz="1100" b="0" i="1">
                      <a:solidFill>
                        <a:srgbClr val="434343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r>
                    <a:rPr lang="pt-BR" sz="1100" b="0" i="1">
                      <a:solidFill>
                        <a:srgbClr val="434343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𝑍</m:t>
                  </m:r>
                  <m:r>
                    <a:rPr lang="pt-BR" sz="1100" b="0" i="1">
                      <a:solidFill>
                        <a:srgbClr val="434343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∙ </m:t>
                  </m:r>
                  <m:rad>
                    <m:radPr>
                      <m:degHide m:val="on"/>
                      <m:ctrlPr>
                        <a:rPr lang="pt-BR" sz="11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pt-BR" sz="11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𝑉𝑎𝑟</m:t>
                      </m:r>
                      <m:r>
                        <a:rPr lang="pt-BR" sz="11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pt-BR" sz="11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acc>
                            <m:accPr>
                              <m:chr m:val="̄"/>
                              <m:ctrlPr>
                                <a:rPr lang="pt-BR" sz="11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m:rPr>
                                  <m:sty m:val="p"/>
                                </m:rPr>
                                <a:rPr lang="pt-BR" sz="1100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X</m:t>
                              </m:r>
                            </m:e>
                          </m:acc>
                          <m:r>
                            <a:rPr lang="pt-BR" sz="11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  <m:sub>
                          <m:r>
                            <a:rPr lang="pt-BR" sz="11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𝑠𝑡</m:t>
                          </m:r>
                        </m:sub>
                      </m:sSub>
                      <m:r>
                        <m:rPr>
                          <m:nor/>
                        </m:rPr>
                        <a:rPr lang="pt-BR" sz="1100">
                          <a:solidFill>
                            <a:srgbClr val="434343"/>
                          </a:solidFill>
                        </a:rPr>
                        <m:t>)</m:t>
                      </m:r>
                      <m:r>
                        <m:rPr>
                          <m:nor/>
                        </m:rPr>
                        <a:rPr lang="pt-BR" sz="1100" b="0" i="0">
                          <a:solidFill>
                            <a:srgbClr val="434343"/>
                          </a:solidFill>
                        </a:rPr>
                        <m:t>.</m:t>
                      </m:r>
                    </m:e>
                  </m:rad>
                </m:oMath>
              </a14:m>
              <a:endParaRPr lang="pt-BR" sz="11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6" name="Objeto 9">
              <a:extLst>
                <a:ext uri="{FF2B5EF4-FFF2-40B4-BE49-F238E27FC236}">
                  <a16:creationId xmlns:a16="http://schemas.microsoft.com/office/drawing/2014/main" id="{074BA22C-3B40-49B2-9B8B-601B45AC5739}"/>
                </a:ext>
              </a:extLst>
            </xdr:cNvPr>
            <xdr:cNvSpPr txBox="1"/>
          </xdr:nvSpPr>
          <xdr:spPr bwMode="auto">
            <a:xfrm>
              <a:off x="8353424" y="142875"/>
              <a:ext cx="3419475" cy="3651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50">
                  <a:solidFill>
                    <a:srgbClr val="434343"/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rPr>
                <a:t>Intervalo de confiança </a:t>
              </a:r>
              <a:r>
                <a:rPr lang="pt-BR" sz="1100">
                  <a:solidFill>
                    <a:srgbClr val="434343"/>
                  </a:solidFill>
                </a:rPr>
                <a:t>= 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〖(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X) ̄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 〗_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𝑠𝑡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 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±𝑍∙ √(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𝑉𝑎𝑟(〖</a:t>
              </a:r>
              <a:r>
                <a:rPr lang="pt-BR" sz="11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X ̄  〗_𝑠𝑡 "</a:t>
              </a:r>
              <a:r>
                <a:rPr lang="pt-BR" sz="1100" i="0">
                  <a:solidFill>
                    <a:srgbClr val="434343"/>
                  </a:solidFill>
                </a:rPr>
                <a:t>)</a:t>
              </a:r>
              <a:r>
                <a:rPr lang="pt-BR" sz="1100" b="0" i="0">
                  <a:solidFill>
                    <a:srgbClr val="434343"/>
                  </a:solidFill>
                </a:rPr>
                <a:t>.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1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pt-BR" sz="11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152400</xdr:colOff>
      <xdr:row>14</xdr:row>
      <xdr:rowOff>9526</xdr:rowOff>
    </xdr:from>
    <xdr:to>
      <xdr:col>11</xdr:col>
      <xdr:colOff>57150</xdr:colOff>
      <xdr:row>21</xdr:row>
      <xdr:rowOff>142875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504825" y="2409826"/>
          <a:ext cx="8124825" cy="1266824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 sz="11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Considere uma Instituição Financeira que deseja estimar o gasto médio com cartão de crédito dos clientes das Classes A, B e C de uma determinada cidade. Considere que na cidade tem-se 200.000 clientes da classe A, 475.000 clientes da classe B e de 885.000 clientes da classe C. </a:t>
          </a:r>
        </a:p>
        <a:p>
          <a:pPr algn="just"/>
          <a:endParaRPr lang="pt-BR" sz="700">
            <a:solidFill>
              <a:srgbClr val="434343"/>
            </a:solidFill>
            <a:latin typeface="Open Sans" panose="020B0604020202020204"/>
            <a:cs typeface="Arial" pitchFamily="34" charset="0"/>
          </a:endParaRPr>
        </a:p>
        <a:p>
          <a:pPr algn="just"/>
          <a:r>
            <a:rPr lang="pt-BR" sz="1100" b="1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Na amostra obteve-se um gasto médio de R$ 8.200,00 para os clientes da classe A, R$ 3.520,00 para os clientes da classe B e de R$ 850,00 para os clientes da classe C.</a:t>
          </a:r>
        </a:p>
        <a:p>
          <a:pPr algn="just"/>
          <a:endParaRPr lang="pt-BR" sz="1100">
            <a:solidFill>
              <a:srgbClr val="434343"/>
            </a:solidFill>
            <a:latin typeface="Open Sans" panose="020B0604020202020204"/>
            <a:cs typeface="Arial" pitchFamily="34" charset="0"/>
          </a:endParaRPr>
        </a:p>
        <a:p>
          <a:pPr algn="just"/>
          <a:endParaRPr lang="pt-BR" sz="1100">
            <a:solidFill>
              <a:srgbClr val="434343"/>
            </a:solidFill>
            <a:latin typeface="Open Sans" panose="020B0604020202020204"/>
            <a:cs typeface="Arial" pitchFamily="34" charset="0"/>
          </a:endParaRPr>
        </a:p>
      </xdr:txBody>
    </xdr:sp>
    <xdr:clientData/>
  </xdr:twoCellAnchor>
  <xdr:twoCellAnchor>
    <xdr:from>
      <xdr:col>9</xdr:col>
      <xdr:colOff>19050</xdr:colOff>
      <xdr:row>8</xdr:row>
      <xdr:rowOff>28575</xdr:rowOff>
    </xdr:from>
    <xdr:to>
      <xdr:col>21</xdr:col>
      <xdr:colOff>595921</xdr:colOff>
      <xdr:row>10</xdr:row>
      <xdr:rowOff>133350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to 2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 bwMode="auto">
            <a:xfrm>
              <a:off x="5448300" y="1371600"/>
              <a:ext cx="10892446" cy="4286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8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𝑉</m:t>
                    </m:r>
                    <m:d>
                      <m:dPr>
                        <m:ctrlP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𝑠𝑡</m:t>
                            </m:r>
                          </m:sub>
                        </m:sSub>
                      </m:e>
                    </m:d>
                    <m:r>
                      <a:rPr lang="pt-BR" sz="8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p>
                          <m:sSup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d>
                      <m:dPr>
                        <m:ctrlP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ctrlPr>
                              <a:rPr lang="pt-BR" sz="800" b="1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800" b="1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pt-BR" sz="800" b="1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pt-BR" sz="800" b="1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800" b="1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𝑺</m:t>
                                        </m:r>
                                      </m:e>
                                      <m:sub>
                                        <m:r>
                                          <a:rPr lang="pt-BR" sz="800" b="1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𝟏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pt-BR" sz="800" b="1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pt-BR" sz="800" b="1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800" b="1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𝒏</m:t>
                                    </m:r>
                                  </m:e>
                                  <m:sub>
                                    <m:r>
                                      <a:rPr lang="pt-BR" sz="800" b="1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𝟏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pt-BR" sz="800" b="1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pt-BR" sz="800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800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𝑆</m:t>
                                        </m:r>
                                      </m:e>
                                      <m:sub>
                                        <m:r>
                                          <a:rPr lang="pt-BR" sz="800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pt-BR" sz="800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800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𝑆</m:t>
                                        </m:r>
                                      </m:e>
                                      <m:sub>
                                        <m:r>
                                          <a:rPr lang="pt-BR" sz="800" i="1">
                                            <a:solidFill>
                                              <a:srgbClr val="78D9DB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pt-BR" sz="8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pt-BR" sz="8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d>
                          <m:dPr>
                            <m:ctrlP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8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8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e>
                    </m:d>
                  </m:oMath>
                </m:oMathPara>
              </a14:m>
              <a:endParaRPr lang="pt-BR" sz="800">
                <a:solidFill>
                  <a:srgbClr val="78D9DB"/>
                </a:solidFill>
              </a:endParaRPr>
            </a:p>
          </xdr:txBody>
        </xdr:sp>
      </mc:Choice>
      <mc:Fallback xmlns="">
        <xdr:sp macro="" textlink="">
          <xdr:nvSpPr>
            <xdr:cNvPr id="8" name="Objeto 2">
              <a:extLst>
                <a:ext uri="{FF2B5EF4-FFF2-40B4-BE49-F238E27FC236}">
                  <a16:creationId xmlns:a16="http://schemas.microsoft.com/office/drawing/2014/main" id="{802A1A34-A236-422B-9BC6-5FA28DD32C9C}"/>
                </a:ext>
              </a:extLst>
            </xdr:cNvPr>
            <xdr:cNvSpPr txBox="1"/>
          </xdr:nvSpPr>
          <xdr:spPr bwMode="auto">
            <a:xfrm>
              <a:off x="5448300" y="1371600"/>
              <a:ext cx="10892446" cy="4286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800" i="0">
                  <a:solidFill>
                    <a:srgbClr val="78D9DB"/>
                  </a:solidFill>
                  <a:latin typeface="Cambria Math" panose="02040503050406030204" pitchFamily="18" charset="0"/>
                </a:rPr>
                <a:t>𝑉(𝑥 ̄_𝑠𝑡 )=1/𝑁^2  (𝑁_1.</a:t>
              </a:r>
              <a:r>
                <a:rPr lang="pt-BR" sz="800" b="1" i="0">
                  <a:solidFill>
                    <a:srgbClr val="78D9DB"/>
                  </a:solidFill>
                  <a:latin typeface="Cambria Math" panose="02040503050406030204" pitchFamily="18" charset="0"/>
                </a:rPr>
                <a:t>(〖𝑺_𝟏〗^𝟐/𝒏_𝟏 ).(</a:t>
              </a:r>
              <a:r>
                <a:rPr lang="pt-BR" sz="800" i="0">
                  <a:solidFill>
                    <a:srgbClr val="78D9DB"/>
                  </a:solidFill>
                  <a:latin typeface="Cambria Math" panose="02040503050406030204" pitchFamily="18" charset="0"/>
                </a:rPr>
                <a:t>𝑁_1−𝑛_1 )+𝑁_2.(〖𝑆_2〗^2/𝑛_2 ).(𝑁_2−𝑛_2 )+𝑁_3.(〖𝑆_3〗^2/𝑛_3 ).(𝑁_3−𝑛_3 ))</a:t>
              </a:r>
              <a:endParaRPr lang="pt-BR" sz="800">
                <a:solidFill>
                  <a:srgbClr val="78D9DB"/>
                </a:solidFill>
              </a:endParaRP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0</xdr:rowOff>
    </xdr:from>
    <xdr:to>
      <xdr:col>13</xdr:col>
      <xdr:colOff>149425</xdr:colOff>
      <xdr:row>1</xdr:row>
      <xdr:rowOff>156497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963275" y="0"/>
          <a:ext cx="1702000" cy="327947"/>
        </a:xfrm>
        <a:prstGeom prst="rect">
          <a:avLst/>
        </a:prstGeom>
      </xdr:spPr>
    </xdr:pic>
    <xdr:clientData/>
  </xdr:twoCellAnchor>
  <xdr:twoCellAnchor>
    <xdr:from>
      <xdr:col>3</xdr:col>
      <xdr:colOff>238126</xdr:colOff>
      <xdr:row>6</xdr:row>
      <xdr:rowOff>95250</xdr:rowOff>
    </xdr:from>
    <xdr:to>
      <xdr:col>3</xdr:col>
      <xdr:colOff>247650</xdr:colOff>
      <xdr:row>11</xdr:row>
      <xdr:rowOff>133350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>
          <a:cxnSpLocks/>
        </xdr:cNvCxnSpPr>
      </xdr:nvCxnSpPr>
      <xdr:spPr bwMode="auto">
        <a:xfrm>
          <a:off x="3181351" y="1152525"/>
          <a:ext cx="9524" cy="857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307601</xdr:colOff>
      <xdr:row>5</xdr:row>
      <xdr:rowOff>2242</xdr:rowOff>
    </xdr:from>
    <xdr:to>
      <xdr:col>9</xdr:col>
      <xdr:colOff>307601</xdr:colOff>
      <xdr:row>9</xdr:row>
      <xdr:rowOff>54349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 bwMode="auto">
        <a:xfrm>
          <a:off x="9042026" y="888067"/>
          <a:ext cx="0" cy="7188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1162051</xdr:colOff>
      <xdr:row>9</xdr:row>
      <xdr:rowOff>142875</xdr:rowOff>
    </xdr:from>
    <xdr:to>
      <xdr:col>10</xdr:col>
      <xdr:colOff>1</xdr:colOff>
      <xdr:row>13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to 7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 bwMode="auto">
            <a:xfrm>
              <a:off x="8534401" y="1695450"/>
              <a:ext cx="1190625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t-BR" sz="12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2" name="Objeto 7">
              <a:extLst>
                <a:ext uri="{FF2B5EF4-FFF2-40B4-BE49-F238E27FC236}">
                  <a16:creationId xmlns:a16="http://schemas.microsoft.com/office/drawing/2014/main" id="{F16881DE-630F-42E4-BCDA-29D5F85099CD}"/>
                </a:ext>
              </a:extLst>
            </xdr:cNvPr>
            <xdr:cNvSpPr txBox="1"/>
          </xdr:nvSpPr>
          <xdr:spPr bwMode="auto">
            <a:xfrm>
              <a:off x="8534401" y="1695450"/>
              <a:ext cx="1190625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𝑛_ℎ=𝑁_ℎ/𝑁.𝑛</a:t>
              </a:r>
              <a:endParaRPr lang="pt-BR" sz="12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85726</xdr:colOff>
      <xdr:row>12</xdr:row>
      <xdr:rowOff>28575</xdr:rowOff>
    </xdr:from>
    <xdr:to>
      <xdr:col>4</xdr:col>
      <xdr:colOff>295276</xdr:colOff>
      <xdr:row>17</xdr:row>
      <xdr:rowOff>112712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to 5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 txBox="1"/>
          </xdr:nvSpPr>
          <xdr:spPr bwMode="auto">
            <a:xfrm>
              <a:off x="438151" y="2066925"/>
              <a:ext cx="3505200" cy="89376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num>
                      <m:den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𝑀𝐸</m:t>
                                    </m:r>
                                  </m:num>
                                  <m:den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den>
                    </m:f>
                  </m:oMath>
                </m:oMathPara>
              </a14:m>
              <a:endParaRPr lang="pt-BR" sz="1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4" name="Objeto 5">
              <a:extLst>
                <a:ext uri="{FF2B5EF4-FFF2-40B4-BE49-F238E27FC236}">
                  <a16:creationId xmlns:a16="http://schemas.microsoft.com/office/drawing/2014/main" id="{8D5A6AD0-E4E4-4787-8FEE-EEC5195BB042}"/>
                </a:ext>
              </a:extLst>
            </xdr:cNvPr>
            <xdr:cNvSpPr txBox="1"/>
          </xdr:nvSpPr>
          <xdr:spPr bwMode="auto">
            <a:xfrm>
              <a:off x="438151" y="2066925"/>
              <a:ext cx="3505200" cy="89376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𝑛=𝑁(𝑁_1.𝑆_1^2+𝑁_2.𝑆_2^2+𝑁_3.𝑆_3^2 )/(𝑁^2.(𝑀𝐸/𝑍)^2+(𝑁_1.𝑆_1^2+𝑁_2.𝑆_2^2+𝑁_3.𝑆_3^2 ) )</a:t>
              </a:r>
              <a:endParaRPr lang="pt-BR" sz="1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38100</xdr:colOff>
      <xdr:row>18</xdr:row>
      <xdr:rowOff>66675</xdr:rowOff>
    </xdr:from>
    <xdr:to>
      <xdr:col>4</xdr:col>
      <xdr:colOff>676275</xdr:colOff>
      <xdr:row>22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Objeto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 bwMode="auto">
            <a:xfrm>
              <a:off x="390525" y="3076575"/>
              <a:ext cx="3933825" cy="6477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85000" lnSpcReduction="100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0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0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000" b="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(10.000)</m:t>
                        </m:r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(5.000 . 120</m:t>
                        </m:r>
                        <m:r>
                          <a:rPr lang="pt-BR" sz="1000" i="1" baseline="30000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 +3.000 .170</m:t>
                        </m:r>
                        <m:r>
                          <a:rPr lang="pt-BR" sz="1000" i="1" baseline="30000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10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+2.000 . 230</m:t>
                        </m:r>
                        <m:r>
                          <a:rPr lang="pt-BR" sz="1000" i="1" baseline="30000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1000" b="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d>
                          <m:dPr>
                            <m:ctrlPr>
                              <a:rPr lang="pt-BR" sz="1000" b="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10.000</m:t>
                            </m:r>
                          </m:e>
                        </m:d>
                        <m:r>
                          <a:rPr lang="pt-BR" sz="1000" i="1" baseline="30000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0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000" b="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</m:num>
                                  <m:den>
                                    <m:r>
                                      <a:rPr lang="pt-BR" sz="10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1,645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000" b="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5.000.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0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120</m:t>
                                </m:r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pt-BR" sz="1000" b="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.000.</m:t>
                            </m:r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0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17</m:t>
                                </m:r>
                                <m: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pt-BR" sz="1000" b="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pt-BR" sz="10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.000.</m:t>
                            </m:r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0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23</m:t>
                                </m:r>
                                <m: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0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9" name="Objeto 8">
              <a:extLst>
                <a:ext uri="{FF2B5EF4-FFF2-40B4-BE49-F238E27FC236}">
                  <a16:creationId xmlns:a16="http://schemas.microsoft.com/office/drawing/2014/main" id="{4893D527-B40E-4006-871D-4F3B9C277D8C}"/>
                </a:ext>
              </a:extLst>
            </xdr:cNvPr>
            <xdr:cNvSpPr txBox="1"/>
          </xdr:nvSpPr>
          <xdr:spPr bwMode="auto">
            <a:xfrm>
              <a:off x="390525" y="3076575"/>
              <a:ext cx="3933825" cy="64770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85000" lnSpcReduction="100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(10.000)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(5.000 . 120</a:t>
              </a:r>
              <a:r>
                <a:rPr lang="pt-BR" sz="1000" i="0" baseline="30000">
                  <a:solidFill>
                    <a:srgbClr val="434343"/>
                  </a:solidFill>
                  <a:latin typeface="Cambria Math" panose="02040503050406030204" pitchFamily="18" charset="0"/>
                </a:rPr>
                <a:t>2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+3.000 .170</a:t>
              </a:r>
              <a:r>
                <a:rPr lang="pt-BR" sz="1000" i="0" baseline="30000">
                  <a:solidFill>
                    <a:srgbClr val="434343"/>
                  </a:solidFill>
                  <a:latin typeface="Cambria Math" panose="02040503050406030204" pitchFamily="18" charset="0"/>
                </a:rPr>
                <a:t>2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+2.000 . 230</a:t>
              </a:r>
              <a:r>
                <a:rPr lang="pt-BR" sz="1000" i="0" baseline="30000">
                  <a:solidFill>
                    <a:srgbClr val="434343"/>
                  </a:solidFill>
                  <a:latin typeface="Cambria Math" panose="02040503050406030204" pitchFamily="18" charset="0"/>
                </a:rPr>
                <a:t>2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))/((10.000)</a:t>
              </a:r>
              <a:r>
                <a:rPr lang="pt-BR" sz="1000" i="0" baseline="30000">
                  <a:solidFill>
                    <a:srgbClr val="434343"/>
                  </a:solidFill>
                  <a:latin typeface="Cambria Math" panose="02040503050406030204" pitchFamily="18" charset="0"/>
                </a:rPr>
                <a:t>2(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5/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1,645)^2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+(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5.000.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120^2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+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3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.000.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17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0^2+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2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.000.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23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0^2 ) )</a:t>
              </a:r>
              <a:endParaRPr lang="pt-BR" sz="10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0</xdr:rowOff>
    </xdr:from>
    <xdr:to>
      <xdr:col>13</xdr:col>
      <xdr:colOff>149425</xdr:colOff>
      <xdr:row>1</xdr:row>
      <xdr:rowOff>156497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963275" y="0"/>
          <a:ext cx="1702000" cy="327947"/>
        </a:xfrm>
        <a:prstGeom prst="rect">
          <a:avLst/>
        </a:prstGeom>
      </xdr:spPr>
    </xdr:pic>
    <xdr:clientData/>
  </xdr:twoCellAnchor>
  <xdr:twoCellAnchor>
    <xdr:from>
      <xdr:col>3</xdr:col>
      <xdr:colOff>238126</xdr:colOff>
      <xdr:row>6</xdr:row>
      <xdr:rowOff>95250</xdr:rowOff>
    </xdr:from>
    <xdr:to>
      <xdr:col>3</xdr:col>
      <xdr:colOff>247650</xdr:colOff>
      <xdr:row>11</xdr:row>
      <xdr:rowOff>133350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>
          <a:cxnSpLocks/>
        </xdr:cNvCxnSpPr>
      </xdr:nvCxnSpPr>
      <xdr:spPr bwMode="auto">
        <a:xfrm>
          <a:off x="3181351" y="1152525"/>
          <a:ext cx="9524" cy="85725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307601</xdr:colOff>
      <xdr:row>5</xdr:row>
      <xdr:rowOff>2242</xdr:rowOff>
    </xdr:from>
    <xdr:to>
      <xdr:col>9</xdr:col>
      <xdr:colOff>307601</xdr:colOff>
      <xdr:row>9</xdr:row>
      <xdr:rowOff>54349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 bwMode="auto">
        <a:xfrm>
          <a:off x="9042026" y="888067"/>
          <a:ext cx="0" cy="7188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66675</xdr:colOff>
      <xdr:row>12</xdr:row>
      <xdr:rowOff>47625</xdr:rowOff>
    </xdr:from>
    <xdr:to>
      <xdr:col>4</xdr:col>
      <xdr:colOff>600075</xdr:colOff>
      <xdr:row>16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to 19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SpPr txBox="1"/>
          </xdr:nvSpPr>
          <xdr:spPr bwMode="auto">
            <a:xfrm>
              <a:off x="419100" y="2085975"/>
              <a:ext cx="3829050" cy="6381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𝑀𝐸</m:t>
                                    </m:r>
                                  </m:num>
                                  <m:den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den>
                    </m:f>
                  </m:oMath>
                </m:oMathPara>
              </a14:m>
              <a:endParaRPr lang="pt-BR" sz="1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1" name="Objeto 19">
              <a:extLst>
                <a:ext uri="{FF2B5EF4-FFF2-40B4-BE49-F238E27FC236}">
                  <a16:creationId xmlns:a16="http://schemas.microsoft.com/office/drawing/2014/main" id="{0E164411-2FEA-4CD4-BE02-C25EA3D5FCB7}"/>
                </a:ext>
              </a:extLst>
            </xdr:cNvPr>
            <xdr:cNvSpPr txBox="1"/>
          </xdr:nvSpPr>
          <xdr:spPr bwMode="auto">
            <a:xfrm>
              <a:off x="419100" y="2085975"/>
              <a:ext cx="3829050" cy="6381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𝑛=(𝑁_1.𝑆_1+𝑁_2.𝑆_2+𝑁_3.𝑆_3 )^2/(𝑁^2.(𝑀𝐸/𝑍)^2+(𝑁_1.𝑆_1^2+𝑁_2.𝑆_2^2+𝑁_3.𝑆_3^2 ) )</a:t>
              </a:r>
              <a:endParaRPr lang="pt-BR" sz="1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8</xdr:col>
      <xdr:colOff>923925</xdr:colOff>
      <xdr:row>9</xdr:row>
      <xdr:rowOff>104775</xdr:rowOff>
    </xdr:from>
    <xdr:to>
      <xdr:col>9</xdr:col>
      <xdr:colOff>762000</xdr:colOff>
      <xdr:row>12</xdr:row>
      <xdr:rowOff>142875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to 13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 txBox="1"/>
          </xdr:nvSpPr>
          <xdr:spPr bwMode="auto">
            <a:xfrm>
              <a:off x="8296275" y="1657350"/>
              <a:ext cx="1200150" cy="5238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t-BR" sz="12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2" name="Objeto 13">
              <a:extLst>
                <a:ext uri="{FF2B5EF4-FFF2-40B4-BE49-F238E27FC236}">
                  <a16:creationId xmlns:a16="http://schemas.microsoft.com/office/drawing/2014/main" id="{E8B7B6F5-2B6E-4D2F-876D-F0625253CE00}"/>
                </a:ext>
              </a:extLst>
            </xdr:cNvPr>
            <xdr:cNvSpPr txBox="1"/>
          </xdr:nvSpPr>
          <xdr:spPr bwMode="auto">
            <a:xfrm>
              <a:off x="8296275" y="1657350"/>
              <a:ext cx="1200150" cy="5238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𝑛_ℎ=(𝑁_ℎ 𝑆_ℎ)/(∑▒〖𝑁_ℎ 𝑆_ℎ 〗).𝑛</a:t>
              </a:r>
              <a:endParaRPr lang="pt-BR" sz="12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1</xdr:col>
      <xdr:colOff>28575</xdr:colOff>
      <xdr:row>17</xdr:row>
      <xdr:rowOff>152400</xdr:rowOff>
    </xdr:from>
    <xdr:to>
      <xdr:col>5</xdr:col>
      <xdr:colOff>161925</xdr:colOff>
      <xdr:row>22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to 8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 txBox="1"/>
          </xdr:nvSpPr>
          <xdr:spPr bwMode="auto">
            <a:xfrm>
              <a:off x="381000" y="3000375"/>
              <a:ext cx="4314825" cy="6953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77500" lnSpcReduction="200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5.000 </m:t>
                                </m:r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 120</m:t>
                                </m:r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 +</m:t>
                                </m:r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.000</m:t>
                                </m:r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170</m:t>
                                </m:r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.000 . </m:t>
                                </m:r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230</m:t>
                                </m:r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pt-BR" sz="1400" b="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(10.000)</m:t>
                        </m:r>
                        <m:r>
                          <a:rPr lang="pt-BR" sz="1400" i="1" baseline="30000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5</m:t>
                                    </m:r>
                                  </m:num>
                                  <m:den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1,645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5.000.</m:t>
                            </m:r>
                            <m:sSup>
                              <m:sSupPr>
                                <m:ctrlP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120</m:t>
                                </m:r>
                              </m:e>
                              <m:sup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pt-BR" sz="1400" b="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.000.</m:t>
                            </m:r>
                            <m:sSup>
                              <m:s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17</m:t>
                                </m:r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pt-BR" sz="1400" b="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.000.</m:t>
                            </m:r>
                            <m:sSup>
                              <m:s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400" b="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23</m:t>
                                </m:r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e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pt-BR" sz="1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8" name="Objeto 8">
              <a:extLst>
                <a:ext uri="{FF2B5EF4-FFF2-40B4-BE49-F238E27FC236}">
                  <a16:creationId xmlns:a16="http://schemas.microsoft.com/office/drawing/2014/main" id="{4893D527-B40E-4006-871D-4F3B9C277D8C}"/>
                </a:ext>
              </a:extLst>
            </xdr:cNvPr>
            <xdr:cNvSpPr txBox="1"/>
          </xdr:nvSpPr>
          <xdr:spPr bwMode="auto">
            <a:xfrm>
              <a:off x="381000" y="3000375"/>
              <a:ext cx="4314825" cy="6953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77500" lnSpcReduction="200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5.000 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120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+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3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.000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 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170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+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2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.000 . 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230)^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2/(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(10.000)</a:t>
              </a:r>
              <a:r>
                <a:rPr lang="pt-BR" sz="1400" i="0" baseline="30000">
                  <a:solidFill>
                    <a:srgbClr val="434343"/>
                  </a:solidFill>
                  <a:latin typeface="Cambria Math" panose="02040503050406030204" pitchFamily="18" charset="0"/>
                </a:rPr>
                <a:t>2(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5/1,645)^2+(5.000.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120^2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+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3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.000.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17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0^2+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2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.000.</a:t>
              </a:r>
              <a:r>
                <a:rPr lang="pt-BR" sz="1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23</a:t>
              </a:r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0^2 ) )</a:t>
              </a:r>
              <a:endParaRPr lang="pt-BR" sz="1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0</xdr:rowOff>
    </xdr:from>
    <xdr:to>
      <xdr:col>13</xdr:col>
      <xdr:colOff>149425</xdr:colOff>
      <xdr:row>1</xdr:row>
      <xdr:rowOff>156497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544175" y="38100"/>
          <a:ext cx="1702000" cy="327947"/>
        </a:xfrm>
        <a:prstGeom prst="rect">
          <a:avLst/>
        </a:prstGeom>
      </xdr:spPr>
    </xdr:pic>
    <xdr:clientData/>
  </xdr:twoCellAnchor>
  <xdr:twoCellAnchor>
    <xdr:from>
      <xdr:col>3</xdr:col>
      <xdr:colOff>647700</xdr:colOff>
      <xdr:row>7</xdr:row>
      <xdr:rowOff>28575</xdr:rowOff>
    </xdr:from>
    <xdr:to>
      <xdr:col>4</xdr:col>
      <xdr:colOff>847726</xdr:colOff>
      <xdr:row>9</xdr:row>
      <xdr:rowOff>133350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cxnSpLocks/>
        </xdr:cNvCxnSpPr>
      </xdr:nvCxnSpPr>
      <xdr:spPr bwMode="auto">
        <a:xfrm>
          <a:off x="3505200" y="1257300"/>
          <a:ext cx="942976" cy="4286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307601</xdr:colOff>
      <xdr:row>5</xdr:row>
      <xdr:rowOff>2242</xdr:rowOff>
    </xdr:from>
    <xdr:to>
      <xdr:col>9</xdr:col>
      <xdr:colOff>307601</xdr:colOff>
      <xdr:row>9</xdr:row>
      <xdr:rowOff>54349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 bwMode="auto">
        <a:xfrm>
          <a:off x="7770719" y="965948"/>
          <a:ext cx="0" cy="70204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244492</xdr:colOff>
      <xdr:row>12</xdr:row>
      <xdr:rowOff>73347</xdr:rowOff>
    </xdr:from>
    <xdr:to>
      <xdr:col>12</xdr:col>
      <xdr:colOff>47625</xdr:colOff>
      <xdr:row>16</xdr:row>
      <xdr:rowOff>131994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244492" y="2216472"/>
          <a:ext cx="10652108" cy="70634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Uma grande rede de varejos deseja estimar o gasto mensal dos seus clientes por classe social. Para isso gostaria de realizar uma pesquisa com uma pequena parte de seus clientes para realizar tal estimativa. </a:t>
          </a:r>
          <a:r>
            <a:rPr lang="pt-BR" sz="1200" kern="1200">
              <a:solidFill>
                <a:srgbClr val="434343"/>
              </a:solidFill>
              <a:effectLst/>
              <a:latin typeface="Open sans" panose="020B0604020202020204"/>
              <a:ea typeface="+mn-ea"/>
              <a:cs typeface="+mn-cs"/>
            </a:rPr>
            <a:t>Calcule o tamanho amostral considerando uma confiança de 95% e margem de erro R$5.</a:t>
          </a:r>
          <a:endParaRPr lang="pt-BR" sz="1200">
            <a:solidFill>
              <a:srgbClr val="434343"/>
            </a:solidFill>
            <a:effectLst/>
            <a:latin typeface="Open sans" panose="020B0604020202020204"/>
          </a:endParaRPr>
        </a:p>
        <a:p>
          <a:endParaRPr lang="pt-BR" sz="1200">
            <a:solidFill>
              <a:srgbClr val="434343"/>
            </a:solidFill>
            <a:latin typeface="Open sans" panose="020B0604020202020204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316831</xdr:colOff>
      <xdr:row>16</xdr:row>
      <xdr:rowOff>137718</xdr:rowOff>
    </xdr:from>
    <xdr:to>
      <xdr:col>4</xdr:col>
      <xdr:colOff>740755</xdr:colOff>
      <xdr:row>24</xdr:row>
      <xdr:rowOff>67578</xdr:rowOff>
    </xdr:to>
    <xdr:pic>
      <xdr:nvPicPr>
        <xdr:cNvPr id="14" name="table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831" y="2849542"/>
          <a:ext cx="4054630" cy="1184918"/>
        </a:xfrm>
        <a:prstGeom prst="rect">
          <a:avLst/>
        </a:prstGeom>
      </xdr:spPr>
    </xdr:pic>
    <xdr:clientData/>
  </xdr:twoCellAnchor>
  <xdr:twoCellAnchor editAs="oneCell">
    <xdr:from>
      <xdr:col>5</xdr:col>
      <xdr:colOff>1362237</xdr:colOff>
      <xdr:row>16</xdr:row>
      <xdr:rowOff>117389</xdr:rowOff>
    </xdr:from>
    <xdr:to>
      <xdr:col>9</xdr:col>
      <xdr:colOff>78284</xdr:colOff>
      <xdr:row>24</xdr:row>
      <xdr:rowOff>46231</xdr:rowOff>
    </xdr:to>
    <xdr:pic>
      <xdr:nvPicPr>
        <xdr:cNvPr id="15" name="table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002" y="2829213"/>
          <a:ext cx="2927217" cy="1183900"/>
        </a:xfrm>
        <a:prstGeom prst="rect">
          <a:avLst/>
        </a:prstGeom>
      </xdr:spPr>
    </xdr:pic>
    <xdr:clientData/>
  </xdr:twoCellAnchor>
  <xdr:twoCellAnchor>
    <xdr:from>
      <xdr:col>5</xdr:col>
      <xdr:colOff>304746</xdr:colOff>
      <xdr:row>20</xdr:row>
      <xdr:rowOff>8281</xdr:rowOff>
    </xdr:from>
    <xdr:to>
      <xdr:col>5</xdr:col>
      <xdr:colOff>1285671</xdr:colOff>
      <xdr:row>21</xdr:row>
      <xdr:rowOff>120540</xdr:rowOff>
    </xdr:to>
    <xdr:sp macro="" textlink="">
      <xdr:nvSpPr>
        <xdr:cNvPr id="16" name="Seta: para a Direita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4428511" y="3347634"/>
          <a:ext cx="980925" cy="269141"/>
        </a:xfrm>
        <a:prstGeom prst="rightArrow">
          <a:avLst/>
        </a:prstGeom>
        <a:solidFill>
          <a:srgbClr val="8CD9D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100">
              <a:solidFill>
                <a:srgbClr val="434343"/>
              </a:solidFill>
              <a:latin typeface="Open Sans" panose="020B0604020202020204"/>
            </a:rPr>
            <a:t>Pesquisa</a:t>
          </a:r>
        </a:p>
      </xdr:txBody>
    </xdr:sp>
    <xdr:clientData/>
  </xdr:twoCellAnchor>
  <xdr:twoCellAnchor>
    <xdr:from>
      <xdr:col>6</xdr:col>
      <xdr:colOff>419773</xdr:colOff>
      <xdr:row>52</xdr:row>
      <xdr:rowOff>35115</xdr:rowOff>
    </xdr:from>
    <xdr:to>
      <xdr:col>11</xdr:col>
      <xdr:colOff>347383</xdr:colOff>
      <xdr:row>55</xdr:row>
      <xdr:rowOff>33618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to 19">
              <a:extLst>
                <a:ext uri="{FF2B5EF4-FFF2-40B4-BE49-F238E27FC236}">
                  <a16:creationId xmlns:a16="http://schemas.microsoft.com/office/drawing/2014/main" id="{00000000-0008-0000-0700-000012000000}"/>
                </a:ext>
              </a:extLst>
            </xdr:cNvPr>
            <xdr:cNvSpPr txBox="1"/>
          </xdr:nvSpPr>
          <xdr:spPr bwMode="auto">
            <a:xfrm>
              <a:off x="6728685" y="10176439"/>
              <a:ext cx="4342727" cy="46915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𝑉</m:t>
                    </m:r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𝑠𝑡</m:t>
                            </m:r>
                          </m:sub>
                        </m:sSub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pt-BR" sz="1000">
                <a:solidFill>
                  <a:srgbClr val="78D9DB"/>
                </a:solidFill>
              </a:endParaRPr>
            </a:p>
          </xdr:txBody>
        </xdr:sp>
      </mc:Choice>
      <mc:Fallback xmlns="">
        <xdr:sp macro="" textlink="">
          <xdr:nvSpPr>
            <xdr:cNvPr id="18" name="Objeto 19">
              <a:extLst>
                <a:ext uri="{FF2B5EF4-FFF2-40B4-BE49-F238E27FC236}">
                  <a16:creationId xmlns:a16="http://schemas.microsoft.com/office/drawing/2014/main" id="{FF4CC0EF-34B6-4E05-BA71-47275B10C819}"/>
                </a:ext>
              </a:extLst>
            </xdr:cNvPr>
            <xdr:cNvSpPr txBox="1"/>
          </xdr:nvSpPr>
          <xdr:spPr bwMode="auto">
            <a:xfrm>
              <a:off x="6728685" y="10176439"/>
              <a:ext cx="4342727" cy="469150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solidFill>
                    <a:srgbClr val="78D9DB"/>
                  </a:solidFill>
                  <a:latin typeface="Cambria Math" panose="02040503050406030204" pitchFamily="18" charset="0"/>
                </a:rPr>
                <a:t>𝑉(𝑥 ̄_𝑠𝑡 )=(𝑊_1 )^2 (〖𝑆_1〗^2/𝑛_1 ).((𝑁_1−𝑛_1 ))/(𝑁_1−1)+(𝑊_2 )^2 (〖𝑆_2〗^2/𝑛_2 ).((𝑁_2−𝑛_2 ))/(𝑁_2−1)+(𝑊_3 )^2 (〖𝑆_3〗^2/𝑛_3 ).((𝑁_3−𝑛_3 ))/(𝑁_3−1)</a:t>
              </a:r>
              <a:endParaRPr lang="pt-BR" sz="1000">
                <a:solidFill>
                  <a:srgbClr val="78D9DB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100853</xdr:colOff>
      <xdr:row>54</xdr:row>
      <xdr:rowOff>56030</xdr:rowOff>
    </xdr:from>
    <xdr:to>
      <xdr:col>7</xdr:col>
      <xdr:colOff>105895</xdr:colOff>
      <xdr:row>55</xdr:row>
      <xdr:rowOff>110377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CxnSpPr/>
      </xdr:nvCxnSpPr>
      <xdr:spPr bwMode="auto">
        <a:xfrm>
          <a:off x="6947647" y="10511118"/>
          <a:ext cx="5042" cy="21123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1162051</xdr:colOff>
      <xdr:row>9</xdr:row>
      <xdr:rowOff>142875</xdr:rowOff>
    </xdr:from>
    <xdr:to>
      <xdr:col>10</xdr:col>
      <xdr:colOff>1</xdr:colOff>
      <xdr:row>13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to 7">
              <a:extLst>
                <a:ext uri="{FF2B5EF4-FFF2-40B4-BE49-F238E27FC236}">
                  <a16:creationId xmlns:a16="http://schemas.microsoft.com/office/drawing/2014/main" id="{00000000-0008-0000-0700-000013000000}"/>
                </a:ext>
              </a:extLst>
            </xdr:cNvPr>
            <xdr:cNvSpPr txBox="1"/>
          </xdr:nvSpPr>
          <xdr:spPr bwMode="auto">
            <a:xfrm>
              <a:off x="8486776" y="1695450"/>
              <a:ext cx="971550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t-BR" sz="12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9" name="Objeto 7">
              <a:extLst>
                <a:ext uri="{FF2B5EF4-FFF2-40B4-BE49-F238E27FC236}">
                  <a16:creationId xmlns:a16="http://schemas.microsoft.com/office/drawing/2014/main" id="{E5346FFD-DDEF-4B3E-80BA-2506658971C8}"/>
                </a:ext>
              </a:extLst>
            </xdr:cNvPr>
            <xdr:cNvSpPr txBox="1"/>
          </xdr:nvSpPr>
          <xdr:spPr bwMode="auto">
            <a:xfrm>
              <a:off x="8486776" y="1695450"/>
              <a:ext cx="971550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𝑛_ℎ=𝑁_ℎ/𝑁.𝑛</a:t>
              </a:r>
              <a:endParaRPr lang="pt-BR" sz="12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5</xdr:col>
      <xdr:colOff>114300</xdr:colOff>
      <xdr:row>7</xdr:row>
      <xdr:rowOff>133350</xdr:rowOff>
    </xdr:from>
    <xdr:to>
      <xdr:col>8</xdr:col>
      <xdr:colOff>781050</xdr:colOff>
      <xdr:row>13</xdr:row>
      <xdr:rowOff>55562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to 5">
              <a:extLst>
                <a:ext uri="{FF2B5EF4-FFF2-40B4-BE49-F238E27FC236}">
                  <a16:creationId xmlns:a16="http://schemas.microsoft.com/office/drawing/2014/main" id="{00000000-0008-0000-0700-000015000000}"/>
                </a:ext>
              </a:extLst>
            </xdr:cNvPr>
            <xdr:cNvSpPr txBox="1"/>
          </xdr:nvSpPr>
          <xdr:spPr bwMode="auto">
            <a:xfrm>
              <a:off x="4648200" y="1362075"/>
              <a:ext cx="3505200" cy="89376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num>
                      <m:den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𝑀𝐸</m:t>
                                    </m:r>
                                  </m:num>
                                  <m:den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den>
                    </m:f>
                  </m:oMath>
                </m:oMathPara>
              </a14:m>
              <a:endParaRPr lang="pt-BR" sz="1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21" name="Objeto 5">
              <a:extLst>
                <a:ext uri="{FF2B5EF4-FFF2-40B4-BE49-F238E27FC236}">
                  <a16:creationId xmlns:a16="http://schemas.microsoft.com/office/drawing/2014/main" id="{6324290E-ADC8-42A6-BD57-A309DAC61516}"/>
                </a:ext>
              </a:extLst>
            </xdr:cNvPr>
            <xdr:cNvSpPr txBox="1"/>
          </xdr:nvSpPr>
          <xdr:spPr bwMode="auto">
            <a:xfrm>
              <a:off x="4648200" y="1362075"/>
              <a:ext cx="3505200" cy="893762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𝑛=𝑁(𝑁_1.𝑆_1^2+𝑁_2.𝑆_2^2+𝑁_3.𝑆_3^2 )/(𝑁^2.(𝑀𝐸/𝑍)^2+(𝑁_1.𝑆_1^2+𝑁_2.𝑆_2^2+𝑁_3.𝑆_3^2 ) )</a:t>
              </a:r>
              <a:endParaRPr lang="pt-BR" sz="1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0</xdr:rowOff>
    </xdr:from>
    <xdr:to>
      <xdr:col>13</xdr:col>
      <xdr:colOff>149425</xdr:colOff>
      <xdr:row>1</xdr:row>
      <xdr:rowOff>156497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963275" y="0"/>
          <a:ext cx="1702000" cy="327947"/>
        </a:xfrm>
        <a:prstGeom prst="rect">
          <a:avLst/>
        </a:prstGeom>
      </xdr:spPr>
    </xdr:pic>
    <xdr:clientData/>
  </xdr:twoCellAnchor>
  <xdr:twoCellAnchor>
    <xdr:from>
      <xdr:col>3</xdr:col>
      <xdr:colOff>647700</xdr:colOff>
      <xdr:row>7</xdr:row>
      <xdr:rowOff>28575</xdr:rowOff>
    </xdr:from>
    <xdr:to>
      <xdr:col>4</xdr:col>
      <xdr:colOff>847726</xdr:colOff>
      <xdr:row>9</xdr:row>
      <xdr:rowOff>133350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CxnSpPr>
          <a:cxnSpLocks/>
        </xdr:cNvCxnSpPr>
      </xdr:nvCxnSpPr>
      <xdr:spPr bwMode="auto">
        <a:xfrm>
          <a:off x="3590925" y="1257300"/>
          <a:ext cx="904876" cy="4286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307601</xdr:colOff>
      <xdr:row>5</xdr:row>
      <xdr:rowOff>2242</xdr:rowOff>
    </xdr:from>
    <xdr:to>
      <xdr:col>9</xdr:col>
      <xdr:colOff>307601</xdr:colOff>
      <xdr:row>9</xdr:row>
      <xdr:rowOff>54349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 bwMode="auto">
        <a:xfrm>
          <a:off x="9042026" y="888067"/>
          <a:ext cx="0" cy="7188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0</xdr:col>
      <xdr:colOff>244492</xdr:colOff>
      <xdr:row>12</xdr:row>
      <xdr:rowOff>73347</xdr:rowOff>
    </xdr:from>
    <xdr:to>
      <xdr:col>12</xdr:col>
      <xdr:colOff>47625</xdr:colOff>
      <xdr:row>16</xdr:row>
      <xdr:rowOff>131994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244492" y="2111697"/>
          <a:ext cx="11280758" cy="70634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rgbClr val="434343"/>
              </a:solidFill>
              <a:latin typeface="Open sans" panose="020B0604020202020204"/>
              <a:cs typeface="Arial" pitchFamily="34" charset="0"/>
            </a:rPr>
            <a:t>Uma grande rede de varejos deseja estimar o gasto mensal dos seus clientes por classe social. Para isso gostaria de realizar uma pesquisa com uma pequena parte de seus clientes para realizar tal estimativa. </a:t>
          </a:r>
          <a:r>
            <a:rPr lang="pt-BR" sz="1200" kern="1200">
              <a:solidFill>
                <a:srgbClr val="434343"/>
              </a:solidFill>
              <a:effectLst/>
              <a:latin typeface="Open sans" panose="020B0604020202020204"/>
              <a:ea typeface="+mn-ea"/>
              <a:cs typeface="+mn-cs"/>
            </a:rPr>
            <a:t>Calcule o tamanho amostral considerando uma confiança de 95% e margem de erro R$5.</a:t>
          </a:r>
          <a:endParaRPr lang="pt-BR" sz="1200">
            <a:solidFill>
              <a:srgbClr val="434343"/>
            </a:solidFill>
            <a:effectLst/>
            <a:latin typeface="Open sans" panose="020B0604020202020204"/>
          </a:endParaRPr>
        </a:p>
        <a:p>
          <a:endParaRPr lang="pt-BR" sz="1200">
            <a:solidFill>
              <a:srgbClr val="434343"/>
            </a:solidFill>
            <a:latin typeface="Open sans" panose="020B0604020202020204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316831</xdr:colOff>
      <xdr:row>16</xdr:row>
      <xdr:rowOff>137718</xdr:rowOff>
    </xdr:from>
    <xdr:to>
      <xdr:col>4</xdr:col>
      <xdr:colOff>740755</xdr:colOff>
      <xdr:row>24</xdr:row>
      <xdr:rowOff>67578</xdr:rowOff>
    </xdr:to>
    <xdr:pic>
      <xdr:nvPicPr>
        <xdr:cNvPr id="6" name="table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831" y="2823768"/>
          <a:ext cx="4071999" cy="1225260"/>
        </a:xfrm>
        <a:prstGeom prst="rect">
          <a:avLst/>
        </a:prstGeom>
      </xdr:spPr>
    </xdr:pic>
    <xdr:clientData/>
  </xdr:twoCellAnchor>
  <xdr:twoCellAnchor editAs="oneCell">
    <xdr:from>
      <xdr:col>5</xdr:col>
      <xdr:colOff>1362237</xdr:colOff>
      <xdr:row>16</xdr:row>
      <xdr:rowOff>117389</xdr:rowOff>
    </xdr:from>
    <xdr:to>
      <xdr:col>9</xdr:col>
      <xdr:colOff>78284</xdr:colOff>
      <xdr:row>24</xdr:row>
      <xdr:rowOff>46231</xdr:rowOff>
    </xdr:to>
    <xdr:pic>
      <xdr:nvPicPr>
        <xdr:cNvPr id="7" name="table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96137" y="2803439"/>
          <a:ext cx="2916572" cy="1224242"/>
        </a:xfrm>
        <a:prstGeom prst="rect">
          <a:avLst/>
        </a:prstGeom>
      </xdr:spPr>
    </xdr:pic>
    <xdr:clientData/>
  </xdr:twoCellAnchor>
  <xdr:twoCellAnchor>
    <xdr:from>
      <xdr:col>5</xdr:col>
      <xdr:colOff>304746</xdr:colOff>
      <xdr:row>20</xdr:row>
      <xdr:rowOff>8281</xdr:rowOff>
    </xdr:from>
    <xdr:to>
      <xdr:col>5</xdr:col>
      <xdr:colOff>1285671</xdr:colOff>
      <xdr:row>21</xdr:row>
      <xdr:rowOff>120540</xdr:rowOff>
    </xdr:to>
    <xdr:sp macro="" textlink="">
      <xdr:nvSpPr>
        <xdr:cNvPr id="8" name="Seta: para a Direita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4838646" y="3342031"/>
          <a:ext cx="980925" cy="274184"/>
        </a:xfrm>
        <a:prstGeom prst="rightArrow">
          <a:avLst/>
        </a:prstGeom>
        <a:solidFill>
          <a:srgbClr val="8CD9DB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100">
              <a:solidFill>
                <a:srgbClr val="434343"/>
              </a:solidFill>
              <a:latin typeface="Open Sans" panose="020B0604020202020204"/>
            </a:rPr>
            <a:t>Pesquisa</a:t>
          </a:r>
        </a:p>
      </xdr:txBody>
    </xdr:sp>
    <xdr:clientData/>
  </xdr:twoCellAnchor>
  <xdr:twoCellAnchor>
    <xdr:from>
      <xdr:col>6</xdr:col>
      <xdr:colOff>419773</xdr:colOff>
      <xdr:row>52</xdr:row>
      <xdr:rowOff>35115</xdr:rowOff>
    </xdr:from>
    <xdr:to>
      <xdr:col>11</xdr:col>
      <xdr:colOff>347383</xdr:colOff>
      <xdr:row>55</xdr:row>
      <xdr:rowOff>33618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Objeto 19">
              <a:extLst>
                <a:ext uri="{FF2B5EF4-FFF2-40B4-BE49-F238E27FC236}">
                  <a16:creationId xmlns:a16="http://schemas.microsoft.com/office/drawing/2014/main" id="{00000000-0008-0000-0800-000009000000}"/>
                </a:ext>
              </a:extLst>
            </xdr:cNvPr>
            <xdr:cNvSpPr txBox="1"/>
          </xdr:nvSpPr>
          <xdr:spPr bwMode="auto">
            <a:xfrm>
              <a:off x="6430048" y="9569640"/>
              <a:ext cx="4632960" cy="484278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𝑉</m:t>
                    </m:r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𝑠𝑡</m:t>
                            </m:r>
                          </m:sub>
                        </m:sSub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000" i="1">
                                        <a:solidFill>
                                          <a:srgbClr val="78D9DB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pt-BR" sz="1000" i="1">
                        <a:solidFill>
                          <a:srgbClr val="78D9DB"/>
                        </a:solidFill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t-BR" sz="1000" i="1">
                                    <a:solidFill>
                                      <a:srgbClr val="78D9DB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num>
                      <m:den>
                        <m:sSub>
                          <m:sSubPr>
                            <m:ctrlP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000" i="1">
                                <a:solidFill>
                                  <a:srgbClr val="78D9DB"/>
                                </a:solidFill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pt-BR" sz="1000" i="1">
                            <a:solidFill>
                              <a:srgbClr val="78D9DB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pt-BR" sz="1000">
                <a:solidFill>
                  <a:srgbClr val="78D9DB"/>
                </a:solidFill>
              </a:endParaRPr>
            </a:p>
          </xdr:txBody>
        </xdr:sp>
      </mc:Choice>
      <mc:Fallback xmlns="">
        <xdr:sp macro="" textlink="">
          <xdr:nvSpPr>
            <xdr:cNvPr id="9" name="Objeto 19">
              <a:extLst>
                <a:ext uri="{FF2B5EF4-FFF2-40B4-BE49-F238E27FC236}">
                  <a16:creationId xmlns:a16="http://schemas.microsoft.com/office/drawing/2014/main" id="{98AE993F-005A-4F90-8B2F-5111552D5050}"/>
                </a:ext>
              </a:extLst>
            </xdr:cNvPr>
            <xdr:cNvSpPr txBox="1"/>
          </xdr:nvSpPr>
          <xdr:spPr bwMode="auto">
            <a:xfrm>
              <a:off x="6430048" y="9569640"/>
              <a:ext cx="4632960" cy="484278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 fontScale="92500"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solidFill>
                    <a:srgbClr val="78D9DB"/>
                  </a:solidFill>
                  <a:latin typeface="Cambria Math" panose="02040503050406030204" pitchFamily="18" charset="0"/>
                </a:rPr>
                <a:t>𝑉(𝑥 ̄_𝑠𝑡 )=(𝑊_1 )^2 (〖𝑆_1〗^2/𝑛_1 ).((𝑁_1−𝑛_1 ))/(𝑁_1−1)+(𝑊_2 )^2 (〖𝑆_2〗^2/𝑛_2 ).((𝑁_2−𝑛_2 ))/(𝑁_2−1)+(𝑊_3 )^2 (〖𝑆_3〗^2/𝑛_3 ).((𝑁_3−𝑛_3 ))/(𝑁_3−1)</a:t>
              </a:r>
              <a:endParaRPr lang="pt-BR" sz="1000">
                <a:solidFill>
                  <a:srgbClr val="78D9DB"/>
                </a:solidFill>
              </a:endParaRPr>
            </a:p>
          </xdr:txBody>
        </xdr:sp>
      </mc:Fallback>
    </mc:AlternateContent>
    <xdr:clientData/>
  </xdr:twoCellAnchor>
  <xdr:twoCellAnchor>
    <xdr:from>
      <xdr:col>7</xdr:col>
      <xdr:colOff>100853</xdr:colOff>
      <xdr:row>54</xdr:row>
      <xdr:rowOff>56030</xdr:rowOff>
    </xdr:from>
    <xdr:to>
      <xdr:col>7</xdr:col>
      <xdr:colOff>105895</xdr:colOff>
      <xdr:row>55</xdr:row>
      <xdr:rowOff>110377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 bwMode="auto">
        <a:xfrm>
          <a:off x="6644528" y="9914405"/>
          <a:ext cx="5042" cy="21627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1028700</xdr:colOff>
      <xdr:row>9</xdr:row>
      <xdr:rowOff>76200</xdr:rowOff>
    </xdr:from>
    <xdr:to>
      <xdr:col>9</xdr:col>
      <xdr:colOff>866775</xdr:colOff>
      <xdr:row>12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Objeto 13">
              <a:extLst>
                <a:ext uri="{FF2B5EF4-FFF2-40B4-BE49-F238E27FC236}">
                  <a16:creationId xmlns:a16="http://schemas.microsoft.com/office/drawing/2014/main" id="{00000000-0008-0000-0800-00000D000000}"/>
                </a:ext>
              </a:extLst>
            </xdr:cNvPr>
            <xdr:cNvSpPr txBox="1"/>
          </xdr:nvSpPr>
          <xdr:spPr bwMode="auto">
            <a:xfrm>
              <a:off x="8401050" y="1628775"/>
              <a:ext cx="1200150" cy="5238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2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  <m:sSub>
                          <m:sSubPr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h</m:t>
                            </m:r>
                          </m:sub>
                        </m:sSub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2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2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pt-BR" sz="12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pt-BR" sz="12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3" name="Objeto 13">
              <a:extLst>
                <a:ext uri="{FF2B5EF4-FFF2-40B4-BE49-F238E27FC236}">
                  <a16:creationId xmlns:a16="http://schemas.microsoft.com/office/drawing/2014/main" id="{4CE899A5-616B-4B69-A94E-D18B2CAF2323}"/>
                </a:ext>
              </a:extLst>
            </xdr:cNvPr>
            <xdr:cNvSpPr txBox="1"/>
          </xdr:nvSpPr>
          <xdr:spPr bwMode="auto">
            <a:xfrm>
              <a:off x="8401050" y="1628775"/>
              <a:ext cx="1200150" cy="5238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rm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𝑛_ℎ=(𝑁_ℎ 𝑆_ℎ)/(∑▒〖𝑁_ℎ 𝑆_ℎ 〗).𝑛</a:t>
              </a:r>
              <a:endParaRPr lang="pt-BR" sz="12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5</xdr:col>
      <xdr:colOff>47625</xdr:colOff>
      <xdr:row>8</xdr:row>
      <xdr:rowOff>19050</xdr:rowOff>
    </xdr:from>
    <xdr:to>
      <xdr:col>8</xdr:col>
      <xdr:colOff>1038225</xdr:colOff>
      <xdr:row>12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Objeto 19">
              <a:extLst>
                <a:ext uri="{FF2B5EF4-FFF2-40B4-BE49-F238E27FC236}">
                  <a16:creationId xmlns:a16="http://schemas.microsoft.com/office/drawing/2014/main" id="{00000000-0008-0000-0800-00000E000000}"/>
                </a:ext>
              </a:extLst>
            </xdr:cNvPr>
            <xdr:cNvSpPr txBox="1"/>
          </xdr:nvSpPr>
          <xdr:spPr bwMode="auto">
            <a:xfrm>
              <a:off x="4581525" y="1409700"/>
              <a:ext cx="3829050" cy="6381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400" i="1">
                        <a:solidFill>
                          <a:srgbClr val="434343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  <m:sSub>
                                  <m:sSub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𝑆</m:t>
                                    </m:r>
                                  </m:e>
                                  <m:sub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𝑀𝐸</m:t>
                                    </m:r>
                                  </m:num>
                                  <m:den>
                                    <m:r>
                                      <a:rPr lang="pt-BR" sz="1400" i="1">
                                        <a:solidFill>
                                          <a:srgbClr val="434343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𝑍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400" i="1">
                            <a:solidFill>
                              <a:srgbClr val="434343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pt-BR" sz="1400" i="1">
                                <a:solidFill>
                                  <a:srgbClr val="434343"/>
                                </a:solidFill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Sup>
                              <m:sSubSupPr>
                                <m:ctrlP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  <m:sup>
                                <m:r>
                                  <a:rPr lang="pt-BR" sz="1400" i="1">
                                    <a:solidFill>
                                      <a:srgbClr val="434343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d>
                      </m:den>
                    </m:f>
                  </m:oMath>
                </m:oMathPara>
              </a14:m>
              <a:endParaRPr lang="pt-BR" sz="1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4" name="Objeto 19">
              <a:extLst>
                <a:ext uri="{FF2B5EF4-FFF2-40B4-BE49-F238E27FC236}">
                  <a16:creationId xmlns:a16="http://schemas.microsoft.com/office/drawing/2014/main" id="{B77ADA16-36EA-492E-B439-3688B87EDF26}"/>
                </a:ext>
              </a:extLst>
            </xdr:cNvPr>
            <xdr:cNvSpPr txBox="1"/>
          </xdr:nvSpPr>
          <xdr:spPr bwMode="auto">
            <a:xfrm>
              <a:off x="4581525" y="1409700"/>
              <a:ext cx="3829050" cy="638175"/>
            </a:xfrm>
            <a:prstGeom prst="rect">
              <a:avLst/>
            </a:prstGeom>
            <a:noFill/>
            <a:ln>
              <a:noFill/>
            </a:ln>
          </xdr:spPr>
          <xdr:txBody>
            <a:bodyPr wrap="square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𝑛=(𝑁_1.𝑆_1+𝑁_2.𝑆_2+𝑁_3.𝑆_3 )^2/(𝑁^2.(𝑀𝐸/𝑍)^2+(𝑁_1.𝑆_1^2+𝑁_2.𝑆_2^2+𝑁_3.𝑆_3^2 ) )</a:t>
              </a:r>
              <a:endParaRPr lang="pt-BR" sz="1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21"/>
  <sheetViews>
    <sheetView showGridLines="0" zoomScaleNormal="100" workbookViewId="0">
      <selection activeCell="C27" sqref="C27"/>
    </sheetView>
  </sheetViews>
  <sheetFormatPr defaultColWidth="9.140625" defaultRowHeight="15"/>
  <cols>
    <col min="1" max="1" width="9.140625" style="24"/>
    <col min="2" max="2" width="4.7109375" style="24" bestFit="1" customWidth="1"/>
    <col min="3" max="3" width="19.7109375" style="24" customWidth="1"/>
    <col min="4" max="5" width="9.140625" style="24"/>
    <col min="6" max="6" width="11.28515625" style="24" bestFit="1" customWidth="1"/>
    <col min="7" max="7" width="3.42578125" style="24" customWidth="1"/>
    <col min="8" max="8" width="3.42578125" style="24" bestFit="1" customWidth="1"/>
    <col min="9" max="13" width="9.140625" style="24"/>
    <col min="14" max="14" width="1.7109375" style="24" bestFit="1" customWidth="1"/>
    <col min="15" max="15" width="10.28515625" style="24" bestFit="1" customWidth="1"/>
    <col min="16" max="16" width="10.42578125" style="24" bestFit="1" customWidth="1"/>
    <col min="17" max="17" width="1.7109375" style="24" bestFit="1" customWidth="1"/>
    <col min="18" max="19" width="9.140625" style="24"/>
    <col min="20" max="20" width="17" style="24" bestFit="1" customWidth="1"/>
    <col min="21" max="16384" width="9.140625" style="24"/>
  </cols>
  <sheetData>
    <row r="1" spans="2:20" ht="22.5" customHeight="1" thickBot="1"/>
    <row r="2" spans="2:20">
      <c r="B2" s="199" t="s">
        <v>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</row>
    <row r="3" spans="2:20" ht="16.5">
      <c r="B3" s="252" t="s">
        <v>1</v>
      </c>
      <c r="C3" s="253"/>
      <c r="D3" s="253"/>
      <c r="E3" s="253"/>
      <c r="F3" s="253"/>
      <c r="G3" s="53"/>
      <c r="H3" s="253" t="s">
        <v>2</v>
      </c>
      <c r="I3" s="253"/>
      <c r="J3" s="253"/>
      <c r="K3" s="253"/>
      <c r="L3" s="253"/>
      <c r="M3" s="53"/>
      <c r="N3" s="253" t="s">
        <v>3</v>
      </c>
      <c r="O3" s="253"/>
      <c r="P3" s="253"/>
      <c r="Q3" s="253"/>
      <c r="R3" s="254"/>
    </row>
    <row r="4" spans="2:20" ht="15.75" thickBot="1">
      <c r="B4" s="234" t="s">
        <v>65</v>
      </c>
      <c r="C4" s="29">
        <v>0.95</v>
      </c>
      <c r="D4" s="60"/>
      <c r="E4" s="60"/>
      <c r="F4" s="198"/>
      <c r="G4" s="60"/>
      <c r="H4" s="234" t="s">
        <v>65</v>
      </c>
      <c r="I4" s="29">
        <v>0.95</v>
      </c>
      <c r="J4" s="60"/>
      <c r="K4" s="60"/>
      <c r="L4" s="60"/>
      <c r="M4" s="60"/>
      <c r="N4" s="60"/>
      <c r="O4" s="60"/>
      <c r="P4" s="60"/>
      <c r="Q4" s="60"/>
      <c r="R4" s="61"/>
    </row>
    <row r="5" spans="2:20" ht="15.75" thickBot="1">
      <c r="B5" s="235" t="s">
        <v>5</v>
      </c>
      <c r="C5" s="207">
        <f>_xlfn.NORM.S.INV(C4+(1-C4)/2)</f>
        <v>1.9599639845400536</v>
      </c>
      <c r="D5" s="60"/>
      <c r="E5" s="88" t="s">
        <v>6</v>
      </c>
      <c r="F5" s="96">
        <f>C5^2*C7^2*C8/(C6^2*(C8-1)+C5^2*C7^2)</f>
        <v>127.46264909220761</v>
      </c>
      <c r="G5" s="60"/>
      <c r="H5" s="235" t="s">
        <v>5</v>
      </c>
      <c r="I5" s="232">
        <f>_xlfn.NORM.S.INV(I4+(1-I4)/2)</f>
        <v>1.9599639845400536</v>
      </c>
      <c r="J5" s="60"/>
      <c r="K5" s="30" t="s">
        <v>7</v>
      </c>
      <c r="L5" s="165">
        <f>I5*I7/SQRT(I6)*SQRT((I8-I6)/(I8-1))</f>
        <v>100.22847680448562</v>
      </c>
      <c r="M5" s="60"/>
      <c r="N5" s="60"/>
      <c r="O5" s="238" t="s">
        <v>8</v>
      </c>
      <c r="P5" s="38">
        <v>1200</v>
      </c>
      <c r="Q5" s="60"/>
      <c r="R5" s="61"/>
    </row>
    <row r="6" spans="2:20" ht="15.75">
      <c r="B6" s="235" t="s">
        <v>9</v>
      </c>
      <c r="C6" s="29">
        <v>3</v>
      </c>
      <c r="D6" s="60"/>
      <c r="E6" s="60"/>
      <c r="F6" s="60"/>
      <c r="G6" s="60"/>
      <c r="H6" s="236" t="s">
        <v>6</v>
      </c>
      <c r="I6" s="29">
        <v>95</v>
      </c>
      <c r="J6" s="60"/>
      <c r="K6" s="60"/>
      <c r="L6" s="60"/>
      <c r="M6" s="60"/>
      <c r="N6" s="60"/>
      <c r="O6" s="238" t="s">
        <v>7</v>
      </c>
      <c r="P6" s="25">
        <f>L5</f>
        <v>100.22847680448562</v>
      </c>
      <c r="Q6" s="60"/>
      <c r="R6" s="61"/>
      <c r="T6" s="28" t="s">
        <v>10</v>
      </c>
    </row>
    <row r="7" spans="2:20">
      <c r="B7" s="235" t="s">
        <v>11</v>
      </c>
      <c r="C7" s="29">
        <v>20</v>
      </c>
      <c r="D7" s="60"/>
      <c r="E7" s="60"/>
      <c r="F7" s="60"/>
      <c r="G7" s="60"/>
      <c r="H7" s="236" t="s">
        <v>11</v>
      </c>
      <c r="I7" s="29">
        <v>500</v>
      </c>
      <c r="J7" s="60"/>
      <c r="K7" s="60"/>
      <c r="L7" s="60"/>
      <c r="M7" s="60"/>
      <c r="N7" s="60"/>
      <c r="O7" s="60"/>
      <c r="P7" s="60"/>
      <c r="Q7" s="60"/>
      <c r="R7" s="61"/>
      <c r="T7" s="12" t="s">
        <v>12</v>
      </c>
    </row>
    <row r="8" spans="2:20">
      <c r="B8" s="235" t="s">
        <v>13</v>
      </c>
      <c r="C8" s="211">
        <v>500</v>
      </c>
      <c r="D8" s="60"/>
      <c r="E8" s="60"/>
      <c r="F8" s="60"/>
      <c r="G8" s="60"/>
      <c r="H8" s="236" t="s">
        <v>13</v>
      </c>
      <c r="I8" s="29">
        <v>15000</v>
      </c>
      <c r="J8" s="60"/>
      <c r="K8" s="60"/>
      <c r="L8" s="60"/>
      <c r="M8" s="60"/>
      <c r="N8" s="62" t="s">
        <v>14</v>
      </c>
      <c r="O8" s="63">
        <f>P5-P6</f>
        <v>1099.7715231955144</v>
      </c>
      <c r="P8" s="63">
        <f>P5+P6</f>
        <v>1300.2284768044856</v>
      </c>
      <c r="Q8" s="64" t="s">
        <v>15</v>
      </c>
      <c r="R8" s="61"/>
      <c r="T8" s="26" t="s">
        <v>16</v>
      </c>
    </row>
    <row r="9" spans="2:20"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5"/>
      <c r="Q9" s="60"/>
      <c r="R9" s="61"/>
      <c r="T9" s="27" t="s">
        <v>7</v>
      </c>
    </row>
    <row r="10" spans="2:20" ht="15.75" thickBot="1">
      <c r="B10" s="66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8"/>
      <c r="P10" s="68"/>
      <c r="Q10" s="67"/>
      <c r="R10" s="69"/>
    </row>
    <row r="11" spans="2:20" ht="7.5" customHeight="1" thickBot="1"/>
    <row r="12" spans="2:20">
      <c r="B12" s="199" t="s">
        <v>17</v>
      </c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2"/>
    </row>
    <row r="13" spans="2:20" ht="16.5">
      <c r="B13" s="252" t="s">
        <v>1</v>
      </c>
      <c r="C13" s="253"/>
      <c r="D13" s="253"/>
      <c r="E13" s="253"/>
      <c r="F13" s="253"/>
      <c r="G13" s="53"/>
      <c r="H13" s="253" t="s">
        <v>2</v>
      </c>
      <c r="I13" s="253"/>
      <c r="J13" s="253"/>
      <c r="K13" s="253"/>
      <c r="L13" s="253"/>
      <c r="M13" s="53"/>
      <c r="N13" s="253" t="s">
        <v>3</v>
      </c>
      <c r="O13" s="253"/>
      <c r="P13" s="253"/>
      <c r="Q13" s="253"/>
      <c r="R13" s="254"/>
    </row>
    <row r="14" spans="2:20" ht="17.25" thickBot="1">
      <c r="B14" s="54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5"/>
    </row>
    <row r="15" spans="2:20" ht="17.25" thickBot="1">
      <c r="B15" s="54"/>
      <c r="C15" s="53"/>
      <c r="D15" s="53"/>
      <c r="E15" s="88" t="s">
        <v>6</v>
      </c>
      <c r="F15" s="97">
        <f>C5^2*C7^2/C6^2</f>
        <v>170.73150314196107</v>
      </c>
      <c r="G15" s="53"/>
      <c r="H15" s="53"/>
      <c r="I15" s="53"/>
      <c r="J15" s="53"/>
      <c r="K15" s="23" t="s">
        <v>7</v>
      </c>
      <c r="L15" s="166">
        <f>I5*I7/SQRT(I6)</f>
        <v>100.54403095023284</v>
      </c>
      <c r="M15" s="53"/>
      <c r="N15" s="53"/>
      <c r="O15" s="233" t="s">
        <v>8</v>
      </c>
      <c r="P15" s="39">
        <v>48500</v>
      </c>
      <c r="Q15" s="53"/>
      <c r="R15" s="55"/>
    </row>
    <row r="16" spans="2:20" ht="16.5">
      <c r="B16" s="54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233" t="s">
        <v>7</v>
      </c>
      <c r="P16" s="22">
        <f>L15</f>
        <v>100.54403095023284</v>
      </c>
      <c r="Q16" s="53"/>
      <c r="R16" s="55"/>
    </row>
    <row r="17" spans="2:18" ht="16.5">
      <c r="B17" s="54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5"/>
    </row>
    <row r="18" spans="2:18" ht="16.5">
      <c r="B18" s="54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31" t="s">
        <v>14</v>
      </c>
      <c r="O18" s="32">
        <f>P15-P16</f>
        <v>48399.45596904977</v>
      </c>
      <c r="P18" s="32">
        <f>P15+P16</f>
        <v>48600.54403095023</v>
      </c>
      <c r="Q18" s="33" t="s">
        <v>15</v>
      </c>
      <c r="R18" s="55"/>
    </row>
    <row r="19" spans="2:18" ht="16.5">
      <c r="B19" s="54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5"/>
    </row>
    <row r="20" spans="2:18" ht="17.25" thickBot="1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8"/>
    </row>
    <row r="21" spans="2:18" ht="16.5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</row>
  </sheetData>
  <mergeCells count="6">
    <mergeCell ref="B3:F3"/>
    <mergeCell ref="H3:L3"/>
    <mergeCell ref="N3:R3"/>
    <mergeCell ref="B13:F13"/>
    <mergeCell ref="H13:L13"/>
    <mergeCell ref="N13:R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6"/>
  <sheetViews>
    <sheetView showGridLines="0" zoomScaleNormal="100" workbookViewId="0">
      <selection activeCell="I7" sqref="I7"/>
    </sheetView>
  </sheetViews>
  <sheetFormatPr defaultRowHeight="12.75"/>
  <cols>
    <col min="1" max="1" width="5.28515625" customWidth="1"/>
    <col min="2" max="2" width="26.42578125" customWidth="1"/>
    <col min="3" max="3" width="12.42578125" customWidth="1"/>
    <col min="4" max="4" width="10.5703125" customWidth="1"/>
    <col min="5" max="5" width="13.28515625" customWidth="1"/>
    <col min="6" max="6" width="22.140625" customWidth="1"/>
    <col min="7" max="7" width="8" customWidth="1"/>
    <col min="8" max="8" width="12.42578125" bestFit="1" customWidth="1"/>
    <col min="9" max="9" width="20.42578125" customWidth="1"/>
    <col min="10" max="11" width="14.85546875" bestFit="1" customWidth="1"/>
    <col min="12" max="12" width="11.42578125" bestFit="1" customWidth="1"/>
    <col min="13" max="13" width="15.5703125" bestFit="1" customWidth="1"/>
    <col min="14" max="14" width="21.7109375" bestFit="1" customWidth="1"/>
    <col min="15" max="15" width="19" bestFit="1" customWidth="1"/>
    <col min="16" max="16" width="15.5703125" bestFit="1" customWidth="1"/>
    <col min="17" max="17" width="21.5703125" bestFit="1" customWidth="1"/>
    <col min="18" max="18" width="15.42578125" bestFit="1" customWidth="1"/>
    <col min="19" max="19" width="11.7109375" bestFit="1" customWidth="1"/>
    <col min="20" max="20" width="21.5703125" bestFit="1" customWidth="1"/>
    <col min="21" max="21" width="19" bestFit="1" customWidth="1"/>
    <col min="22" max="23" width="9.5703125" bestFit="1" customWidth="1"/>
  </cols>
  <sheetData>
    <row r="1" spans="2:20" ht="13.5" thickBot="1"/>
    <row r="2" spans="2:20" ht="13.5" thickBot="1">
      <c r="B2" s="40" t="s">
        <v>27</v>
      </c>
      <c r="C2" s="256" t="s">
        <v>52</v>
      </c>
      <c r="D2" s="257"/>
      <c r="F2" s="102" t="s">
        <v>28</v>
      </c>
      <c r="G2" s="104" t="s">
        <v>29</v>
      </c>
      <c r="H2" s="104" t="s">
        <v>31</v>
      </c>
      <c r="I2" s="104" t="s">
        <v>32</v>
      </c>
      <c r="J2" s="104" t="s">
        <v>53</v>
      </c>
      <c r="K2" s="106" t="s">
        <v>54</v>
      </c>
      <c r="M2" s="13"/>
      <c r="O2" s="13"/>
      <c r="P2" s="13"/>
      <c r="Q2" s="13"/>
      <c r="R2" s="15"/>
      <c r="S2" s="15"/>
      <c r="T2" s="15"/>
    </row>
    <row r="3" spans="2:20" ht="15">
      <c r="B3" s="204" t="s">
        <v>18</v>
      </c>
      <c r="C3" s="203" t="s">
        <v>4</v>
      </c>
      <c r="D3" s="206">
        <v>0.95</v>
      </c>
      <c r="F3" s="103"/>
      <c r="G3" s="212"/>
      <c r="H3" s="212"/>
      <c r="I3" s="212"/>
      <c r="J3" s="212"/>
      <c r="K3" s="213"/>
      <c r="M3" s="13"/>
      <c r="O3" s="13"/>
      <c r="P3" s="13"/>
      <c r="Q3" s="13"/>
      <c r="R3" s="15"/>
      <c r="S3" s="15"/>
      <c r="T3" s="15"/>
    </row>
    <row r="4" spans="2:20" ht="15">
      <c r="B4" s="201" t="s">
        <v>19</v>
      </c>
      <c r="C4" s="202" t="s">
        <v>5</v>
      </c>
      <c r="D4" s="207">
        <f>_xlfn.NORM.S.INV(D3+(1-D3)/2)</f>
        <v>1.9599639845400536</v>
      </c>
      <c r="F4" s="103">
        <v>1</v>
      </c>
      <c r="G4" s="100">
        <v>200</v>
      </c>
      <c r="H4" s="177">
        <f>G4/$G$7</f>
        <v>5.4054054054054057E-2</v>
      </c>
      <c r="I4" s="101">
        <v>300</v>
      </c>
      <c r="J4" s="218">
        <f>(G4/$G$7)*$D$7</f>
        <v>86.572504409721688</v>
      </c>
      <c r="K4" s="219">
        <f>J4/$J$7</f>
        <v>5.4054054054054057E-2</v>
      </c>
      <c r="M4" s="13"/>
      <c r="O4" s="13"/>
      <c r="P4" s="13"/>
      <c r="Q4" s="13"/>
      <c r="S4" s="16"/>
      <c r="T4" s="16"/>
    </row>
    <row r="5" spans="2:20">
      <c r="B5" s="42" t="s">
        <v>2</v>
      </c>
      <c r="C5" s="46" t="s">
        <v>9</v>
      </c>
      <c r="D5" s="99">
        <v>5</v>
      </c>
      <c r="F5" s="103">
        <v>2</v>
      </c>
      <c r="G5" s="100">
        <v>500</v>
      </c>
      <c r="H5" s="177">
        <f t="shared" ref="H5:H6" si="0">G5/$G$7</f>
        <v>0.13513513513513514</v>
      </c>
      <c r="I5" s="101">
        <v>200</v>
      </c>
      <c r="J5" s="218">
        <f t="shared" ref="J5:J6" si="1">(G5/$G$7)*$D$7</f>
        <v>216.43126102430423</v>
      </c>
      <c r="K5" s="219">
        <f t="shared" ref="K5:K6" si="2">J5/$J$7</f>
        <v>0.13513513513513514</v>
      </c>
      <c r="M5" s="13"/>
      <c r="O5" s="13"/>
      <c r="P5" s="13"/>
      <c r="Q5" s="13"/>
      <c r="S5" s="16"/>
      <c r="T5" s="16"/>
    </row>
    <row r="6" spans="2:20" ht="13.5" thickBot="1">
      <c r="B6" s="43" t="s">
        <v>26</v>
      </c>
      <c r="C6" s="214" t="s">
        <v>13</v>
      </c>
      <c r="D6" s="215">
        <f>G7</f>
        <v>3700</v>
      </c>
      <c r="F6" s="103">
        <v>3</v>
      </c>
      <c r="G6" s="100">
        <v>3000</v>
      </c>
      <c r="H6" s="177">
        <f t="shared" si="0"/>
        <v>0.81081081081081086</v>
      </c>
      <c r="I6" s="101">
        <v>100</v>
      </c>
      <c r="J6" s="218">
        <f t="shared" si="1"/>
        <v>1298.5875661458253</v>
      </c>
      <c r="K6" s="219">
        <f t="shared" si="2"/>
        <v>0.81081081081081086</v>
      </c>
      <c r="M6" s="13"/>
      <c r="O6" s="13"/>
      <c r="P6" s="13"/>
      <c r="Q6" s="13"/>
      <c r="S6" s="16"/>
      <c r="T6" s="16"/>
    </row>
    <row r="7" spans="2:20" ht="13.5" thickBot="1">
      <c r="B7" s="44" t="s">
        <v>16</v>
      </c>
      <c r="C7" s="5" t="s">
        <v>6</v>
      </c>
      <c r="D7" s="8">
        <f>(D6*((G4*(I4^2))+(G5*(I5^2))+(G6*(I6^2))))/(((D6^2)*((D5/D4)^2))+(((G4*(I4^2))+(G5*(I5^2))+(G6*(I6^2)))))</f>
        <v>1601.5913315798512</v>
      </c>
      <c r="F7" s="102" t="s">
        <v>34</v>
      </c>
      <c r="G7" s="107">
        <f>SUM(G4:G6)</f>
        <v>3700</v>
      </c>
      <c r="H7" s="107">
        <v>1</v>
      </c>
      <c r="I7" s="108"/>
      <c r="J7" s="110">
        <f>SUM(J4:J6)</f>
        <v>1601.5913315798512</v>
      </c>
      <c r="K7" s="111"/>
      <c r="M7" s="13"/>
      <c r="O7" s="14"/>
      <c r="P7" s="14"/>
      <c r="Q7" s="14"/>
      <c r="S7" s="16"/>
      <c r="T7" s="16"/>
    </row>
    <row r="8" spans="2:20">
      <c r="S8" s="17"/>
      <c r="T8" s="17"/>
    </row>
    <row r="9" spans="2:20">
      <c r="G9" s="4"/>
      <c r="H9" s="4"/>
      <c r="I9" s="4"/>
    </row>
    <row r="10" spans="2:20">
      <c r="B10" s="12" t="s">
        <v>12</v>
      </c>
    </row>
    <row r="11" spans="2:20">
      <c r="B11" s="11" t="s">
        <v>16</v>
      </c>
    </row>
    <row r="13" spans="2:20">
      <c r="O13" s="3"/>
    </row>
    <row r="14" spans="2:20">
      <c r="F14" s="112"/>
      <c r="G14" s="112"/>
      <c r="H14" s="112"/>
      <c r="I14" s="112"/>
      <c r="J14" s="112"/>
      <c r="K14" s="112"/>
      <c r="L14" s="112"/>
      <c r="O14" s="3"/>
    </row>
    <row r="26" spans="3:3">
      <c r="C26" s="190"/>
    </row>
  </sheetData>
  <mergeCells count="1">
    <mergeCell ref="C2:D2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14"/>
  <sheetViews>
    <sheetView showGridLines="0" zoomScaleNormal="100" workbookViewId="0">
      <selection activeCell="E26" sqref="E26"/>
    </sheetView>
  </sheetViews>
  <sheetFormatPr defaultRowHeight="12.75"/>
  <cols>
    <col min="1" max="1" width="5.28515625" customWidth="1"/>
    <col min="2" max="2" width="26.42578125" customWidth="1"/>
    <col min="3" max="3" width="12.42578125" customWidth="1"/>
    <col min="4" max="4" width="10.5703125" customWidth="1"/>
    <col min="5" max="5" width="13.28515625" customWidth="1"/>
    <col min="6" max="6" width="22.140625" customWidth="1"/>
    <col min="7" max="7" width="8" customWidth="1"/>
    <col min="8" max="8" width="12.42578125" bestFit="1" customWidth="1"/>
    <col min="9" max="9" width="20.42578125" customWidth="1"/>
    <col min="10" max="11" width="14.85546875" bestFit="1" customWidth="1"/>
    <col min="12" max="12" width="11.42578125" bestFit="1" customWidth="1"/>
    <col min="13" max="13" width="15.5703125" bestFit="1" customWidth="1"/>
    <col min="14" max="14" width="21.7109375" bestFit="1" customWidth="1"/>
    <col min="15" max="15" width="19" bestFit="1" customWidth="1"/>
    <col min="16" max="16" width="15.5703125" bestFit="1" customWidth="1"/>
    <col min="17" max="17" width="21.5703125" bestFit="1" customWidth="1"/>
    <col min="18" max="18" width="15.42578125" bestFit="1" customWidth="1"/>
    <col min="19" max="19" width="11.7109375" bestFit="1" customWidth="1"/>
    <col min="20" max="20" width="21.5703125" bestFit="1" customWidth="1"/>
    <col min="21" max="21" width="19" bestFit="1" customWidth="1"/>
    <col min="22" max="23" width="9.5703125" bestFit="1" customWidth="1"/>
  </cols>
  <sheetData>
    <row r="1" spans="2:20" ht="13.5" thickBot="1"/>
    <row r="2" spans="2:20" ht="13.5" thickBot="1">
      <c r="B2" s="40" t="s">
        <v>27</v>
      </c>
      <c r="C2" s="256" t="s">
        <v>55</v>
      </c>
      <c r="D2" s="257"/>
      <c r="F2" s="102" t="s">
        <v>28</v>
      </c>
      <c r="G2" s="104" t="s">
        <v>29</v>
      </c>
      <c r="H2" s="104" t="s">
        <v>31</v>
      </c>
      <c r="I2" s="104" t="s">
        <v>32</v>
      </c>
      <c r="J2" s="104" t="s">
        <v>56</v>
      </c>
      <c r="K2" s="106" t="s">
        <v>57</v>
      </c>
      <c r="M2" s="13"/>
      <c r="O2" s="13"/>
      <c r="P2" s="13"/>
      <c r="Q2" s="13"/>
      <c r="R2" s="15"/>
      <c r="S2" s="15"/>
      <c r="T2" s="15"/>
    </row>
    <row r="3" spans="2:20" ht="15">
      <c r="B3" s="221" t="s">
        <v>18</v>
      </c>
      <c r="C3" s="230" t="s">
        <v>65</v>
      </c>
      <c r="D3" s="206">
        <v>0.95</v>
      </c>
      <c r="F3" s="103"/>
      <c r="G3" s="212"/>
      <c r="H3" s="212"/>
      <c r="I3" s="212"/>
      <c r="J3" s="212"/>
      <c r="K3" s="213"/>
      <c r="M3" s="13"/>
      <c r="O3" s="13"/>
      <c r="P3" s="13"/>
      <c r="Q3" s="13"/>
      <c r="R3" s="15"/>
      <c r="S3" s="15"/>
      <c r="T3" s="15"/>
    </row>
    <row r="4" spans="2:20" ht="15">
      <c r="B4" s="222" t="s">
        <v>19</v>
      </c>
      <c r="C4" s="228" t="s">
        <v>5</v>
      </c>
      <c r="D4" s="226">
        <f>_xlfn.NORM.S.INV(D3+(1-D3)/2)</f>
        <v>1.9599639845400536</v>
      </c>
      <c r="F4" s="103">
        <v>1</v>
      </c>
      <c r="G4" s="100">
        <v>200</v>
      </c>
      <c r="H4" s="225">
        <f>G4/$G$7</f>
        <v>5.4054054054054057E-2</v>
      </c>
      <c r="I4" s="101">
        <v>300</v>
      </c>
      <c r="J4" s="218">
        <f>(G4*I4/($G$4*$I$4+$G$5*$I$5+$G$6*$I$6))*$D$7</f>
        <v>175.69125894914106</v>
      </c>
      <c r="K4" s="219">
        <f>J4/$J$7</f>
        <v>0.13043478260869565</v>
      </c>
      <c r="M4" s="13"/>
      <c r="O4" s="13"/>
      <c r="P4" s="13"/>
      <c r="Q4" s="13"/>
      <c r="S4" s="16"/>
      <c r="T4" s="16"/>
    </row>
    <row r="5" spans="2:20">
      <c r="B5" s="223" t="s">
        <v>2</v>
      </c>
      <c r="C5" s="231" t="s">
        <v>9</v>
      </c>
      <c r="D5" s="99">
        <v>5</v>
      </c>
      <c r="F5" s="103">
        <v>2</v>
      </c>
      <c r="G5" s="100">
        <v>500</v>
      </c>
      <c r="H5" s="225">
        <f t="shared" ref="H5:H6" si="0">G5/$G$7</f>
        <v>0.13513513513513514</v>
      </c>
      <c r="I5" s="101">
        <v>200</v>
      </c>
      <c r="J5" s="218">
        <f t="shared" ref="J5:J6" si="1">(G5*I5/($G$4*$I$4+$G$5*$I$5+$G$6*$I$6))*$D$7</f>
        <v>292.81876491523514</v>
      </c>
      <c r="K5" s="219">
        <f t="shared" ref="K5:K6" si="2">J5/$J$7</f>
        <v>0.21739130434782611</v>
      </c>
      <c r="M5" s="13"/>
      <c r="O5" s="13"/>
      <c r="P5" s="13"/>
      <c r="Q5" s="13"/>
      <c r="S5" s="16"/>
      <c r="T5" s="16"/>
    </row>
    <row r="6" spans="2:20" ht="13.5" thickBot="1">
      <c r="B6" s="224" t="s">
        <v>26</v>
      </c>
      <c r="C6" s="229" t="s">
        <v>13</v>
      </c>
      <c r="D6" s="227">
        <f>G7</f>
        <v>3700</v>
      </c>
      <c r="F6" s="103">
        <v>3</v>
      </c>
      <c r="G6" s="100">
        <v>3000</v>
      </c>
      <c r="H6" s="225">
        <f t="shared" si="0"/>
        <v>0.81081081081081086</v>
      </c>
      <c r="I6" s="101">
        <v>100</v>
      </c>
      <c r="J6" s="218">
        <f t="shared" si="1"/>
        <v>878.45629474570535</v>
      </c>
      <c r="K6" s="219">
        <f t="shared" si="2"/>
        <v>0.65217391304347827</v>
      </c>
      <c r="M6" s="13"/>
      <c r="O6" s="13"/>
      <c r="P6" s="13"/>
      <c r="Q6" s="13"/>
      <c r="S6" s="16"/>
      <c r="T6" s="16"/>
    </row>
    <row r="7" spans="2:20" ht="13.5" thickBot="1">
      <c r="B7" s="44" t="s">
        <v>16</v>
      </c>
      <c r="C7" s="5" t="s">
        <v>6</v>
      </c>
      <c r="D7" s="8">
        <f>(((G4*(I4))+(G5*(I5))+(G6*(I6)))^2)/(((D6^2)*((D5/D4)^2))+(((G4*(I4^2))+(G5*(I5^2))+(G6*(I6^2)))))</f>
        <v>1346.9663186100815</v>
      </c>
      <c r="F7" s="102" t="s">
        <v>34</v>
      </c>
      <c r="G7" s="107">
        <f>SUM(G4:G6)</f>
        <v>3700</v>
      </c>
      <c r="H7" s="107">
        <v>1</v>
      </c>
      <c r="I7" s="108"/>
      <c r="J7" s="110">
        <f>SUM(J4:J6)</f>
        <v>1346.9663186100815</v>
      </c>
      <c r="K7" s="111"/>
      <c r="M7" s="13"/>
      <c r="O7" s="14"/>
      <c r="P7" s="14"/>
      <c r="Q7" s="14"/>
      <c r="S7" s="16"/>
      <c r="T7" s="16"/>
    </row>
    <row r="8" spans="2:20">
      <c r="S8" s="17"/>
      <c r="T8" s="17"/>
    </row>
    <row r="9" spans="2:20">
      <c r="G9" s="4"/>
      <c r="H9" s="4"/>
      <c r="I9" s="4"/>
    </row>
    <row r="10" spans="2:20">
      <c r="B10" s="12" t="s">
        <v>12</v>
      </c>
    </row>
    <row r="11" spans="2:20">
      <c r="B11" s="11" t="s">
        <v>16</v>
      </c>
    </row>
    <row r="13" spans="2:20">
      <c r="O13" s="3"/>
    </row>
    <row r="14" spans="2:20">
      <c r="F14" s="112"/>
      <c r="G14" s="112"/>
      <c r="H14" s="112"/>
      <c r="I14" s="112"/>
      <c r="J14" s="112"/>
      <c r="K14" s="112"/>
      <c r="L14" s="112"/>
      <c r="O14" s="3"/>
    </row>
  </sheetData>
  <mergeCells count="1">
    <mergeCell ref="C2:D2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26"/>
  <sheetViews>
    <sheetView showGridLines="0" workbookViewId="0">
      <selection activeCell="X28" sqref="X28"/>
    </sheetView>
  </sheetViews>
  <sheetFormatPr defaultRowHeight="12.75"/>
  <cols>
    <col min="1" max="1" width="2.85546875" customWidth="1"/>
    <col min="2" max="2" width="2.140625" customWidth="1"/>
    <col min="3" max="3" width="35.85546875" bestFit="1" customWidth="1"/>
    <col min="4" max="4" width="5" bestFit="1" customWidth="1"/>
    <col min="5" max="5" width="14.42578125" bestFit="1" customWidth="1"/>
    <col min="6" max="6" width="1.7109375" customWidth="1"/>
    <col min="7" max="7" width="3.28515625" bestFit="1" customWidth="1"/>
    <col min="8" max="8" width="7.28515625" bestFit="1" customWidth="1"/>
    <col min="9" max="9" width="1.5703125" bestFit="1" customWidth="1"/>
    <col min="10" max="10" width="6.5703125" bestFit="1" customWidth="1"/>
    <col min="12" max="12" width="11.28515625" bestFit="1" customWidth="1"/>
  </cols>
  <sheetData>
    <row r="1" spans="2:22" ht="9" customHeight="1"/>
    <row r="2" spans="2:22" ht="16.5">
      <c r="C2" s="253" t="s">
        <v>1</v>
      </c>
      <c r="D2" s="253"/>
      <c r="E2" s="253"/>
      <c r="F2" s="253"/>
      <c r="G2" s="253"/>
      <c r="L2" s="253" t="s">
        <v>2</v>
      </c>
      <c r="M2" s="253"/>
      <c r="N2" s="253"/>
      <c r="O2" s="253"/>
      <c r="P2" s="253"/>
      <c r="Q2" s="53"/>
      <c r="R2" s="253" t="s">
        <v>3</v>
      </c>
      <c r="S2" s="253"/>
      <c r="T2" s="253"/>
      <c r="U2" s="253"/>
    </row>
    <row r="3" spans="2:22" ht="13.5" thickBot="1"/>
    <row r="4" spans="2:22" ht="13.5" thickBot="1">
      <c r="C4" s="1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2"/>
    </row>
    <row r="5" spans="2:22" s="37" customFormat="1" ht="15.75" thickBot="1">
      <c r="B5" s="72"/>
      <c r="C5" s="200" t="s">
        <v>0</v>
      </c>
      <c r="D5" s="242" t="s">
        <v>6</v>
      </c>
      <c r="E5" s="205">
        <f>(((E7)^2)*E8*E9*E11)/((E10)^2*(E11-1)+((E7)^2)*E8*E9)</f>
        <v>472.91789670991159</v>
      </c>
      <c r="F5" s="72"/>
      <c r="G5" s="3"/>
      <c r="H5" s="3"/>
      <c r="I5" s="3"/>
      <c r="J5" s="3"/>
      <c r="K5" s="72"/>
      <c r="L5" s="240" t="s">
        <v>4</v>
      </c>
      <c r="M5" s="29">
        <v>0.95</v>
      </c>
      <c r="N5" s="72"/>
      <c r="O5" s="72"/>
      <c r="P5" s="72"/>
      <c r="Q5" s="72"/>
      <c r="R5" s="72"/>
      <c r="S5" s="72"/>
      <c r="T5" s="72"/>
      <c r="U5" s="82"/>
    </row>
    <row r="6" spans="2:22" ht="15">
      <c r="C6" s="221" t="s">
        <v>18</v>
      </c>
      <c r="D6" s="243" t="s">
        <v>4</v>
      </c>
      <c r="E6" s="206">
        <v>0.95</v>
      </c>
      <c r="F6" s="3"/>
      <c r="G6" s="3"/>
      <c r="H6" s="3"/>
      <c r="I6" s="3"/>
      <c r="J6" s="3"/>
      <c r="K6" s="3"/>
      <c r="L6" s="241" t="s">
        <v>5</v>
      </c>
      <c r="M6" s="207">
        <f>_xlfn.NORM.S.INV(M5+(1-M5)/2)</f>
        <v>1.9599639845400536</v>
      </c>
      <c r="N6" s="3"/>
      <c r="O6" s="3"/>
      <c r="P6" s="3"/>
      <c r="Q6" s="3"/>
      <c r="R6" s="3"/>
      <c r="S6" s="3"/>
      <c r="T6" s="3"/>
      <c r="U6" s="87"/>
      <c r="V6" s="37"/>
    </row>
    <row r="7" spans="2:22" ht="15">
      <c r="C7" s="222" t="s">
        <v>19</v>
      </c>
      <c r="D7" s="244" t="s">
        <v>5</v>
      </c>
      <c r="E7" s="232">
        <f>_xlfn.NORM.S.INV(E6+(1-E6)/2)</f>
        <v>1.9599639845400536</v>
      </c>
      <c r="F7" s="3"/>
      <c r="G7" s="3"/>
      <c r="H7" s="3"/>
      <c r="I7" s="3"/>
      <c r="J7" s="3"/>
      <c r="K7" s="3"/>
      <c r="L7" s="238" t="s">
        <v>6</v>
      </c>
      <c r="M7" s="29"/>
      <c r="N7" s="60"/>
      <c r="O7" s="60"/>
      <c r="P7" s="60"/>
      <c r="Q7" s="60"/>
      <c r="R7" s="60"/>
      <c r="S7" s="238" t="s">
        <v>20</v>
      </c>
      <c r="T7" s="38"/>
      <c r="U7" s="61"/>
      <c r="V7" s="60"/>
    </row>
    <row r="8" spans="2:22" ht="15">
      <c r="C8" s="222" t="s">
        <v>21</v>
      </c>
      <c r="D8" s="245" t="s">
        <v>22</v>
      </c>
      <c r="E8" s="208">
        <v>0.3</v>
      </c>
      <c r="F8" s="3"/>
      <c r="G8" s="3"/>
      <c r="H8" s="3"/>
      <c r="I8" s="3"/>
      <c r="J8" s="3"/>
      <c r="K8" s="3"/>
      <c r="L8" s="238" t="s">
        <v>22</v>
      </c>
      <c r="M8" s="29"/>
      <c r="N8" s="60"/>
      <c r="O8" s="3"/>
      <c r="P8" s="3"/>
      <c r="Q8" s="60"/>
      <c r="R8" s="60"/>
      <c r="S8" s="238" t="s">
        <v>7</v>
      </c>
      <c r="T8" s="25" t="e">
        <f>P10</f>
        <v>#DIV/0!</v>
      </c>
      <c r="U8" s="61"/>
      <c r="V8" s="60"/>
    </row>
    <row r="9" spans="2:22" ht="15">
      <c r="C9" s="222" t="s">
        <v>23</v>
      </c>
      <c r="D9" s="245" t="s">
        <v>24</v>
      </c>
      <c r="E9" s="237">
        <f>1-E8</f>
        <v>0.7</v>
      </c>
      <c r="F9" s="3"/>
      <c r="G9" s="3"/>
      <c r="H9" s="3"/>
      <c r="I9" s="3"/>
      <c r="J9" s="3"/>
      <c r="K9" s="3"/>
      <c r="L9" s="238" t="s">
        <v>25</v>
      </c>
      <c r="M9" s="98">
        <f>M8*(1-M8)</f>
        <v>0</v>
      </c>
      <c r="N9" s="60"/>
      <c r="O9" s="3"/>
      <c r="P9" s="3"/>
      <c r="Q9" s="60"/>
      <c r="R9" s="60"/>
      <c r="S9" s="3"/>
      <c r="T9" s="3"/>
      <c r="U9" s="61"/>
      <c r="V9" s="60"/>
    </row>
    <row r="10" spans="2:22" ht="15">
      <c r="C10" s="222" t="s">
        <v>2</v>
      </c>
      <c r="D10" s="245" t="s">
        <v>9</v>
      </c>
      <c r="E10" s="209">
        <f>3/100</f>
        <v>0.03</v>
      </c>
      <c r="F10" s="3"/>
      <c r="G10" s="3"/>
      <c r="H10" s="3"/>
      <c r="I10" s="3"/>
      <c r="J10" s="3"/>
      <c r="K10" s="3"/>
      <c r="L10" s="238" t="s">
        <v>13</v>
      </c>
      <c r="M10" s="29"/>
      <c r="N10" s="60"/>
      <c r="O10" s="70" t="s">
        <v>7</v>
      </c>
      <c r="P10" s="163" t="e">
        <f>M6*SQRT(M9/M7)*SQRT((M10-M7)/(M10-1))</f>
        <v>#DIV/0!</v>
      </c>
      <c r="Q10" s="60"/>
      <c r="R10" s="62" t="s">
        <v>14</v>
      </c>
      <c r="S10" s="63" t="e">
        <f>T7-T8</f>
        <v>#DIV/0!</v>
      </c>
      <c r="T10" s="63" t="e">
        <f>T7+T8</f>
        <v>#DIV/0!</v>
      </c>
      <c r="U10" s="90" t="s">
        <v>15</v>
      </c>
      <c r="V10" s="60"/>
    </row>
    <row r="11" spans="2:22" ht="15.75" thickBot="1">
      <c r="C11" s="239" t="s">
        <v>26</v>
      </c>
      <c r="D11" s="224" t="s">
        <v>13</v>
      </c>
      <c r="E11" s="210">
        <v>1000</v>
      </c>
      <c r="F11" s="80"/>
      <c r="G11" s="80"/>
      <c r="H11" s="80"/>
      <c r="I11" s="80"/>
      <c r="J11" s="80"/>
      <c r="K11" s="80"/>
      <c r="L11" s="91"/>
      <c r="M11" s="91"/>
      <c r="N11" s="91"/>
      <c r="O11" s="91"/>
      <c r="P11" s="91"/>
      <c r="Q11" s="91"/>
      <c r="R11" s="92"/>
      <c r="S11" s="93"/>
      <c r="T11" s="93"/>
      <c r="U11" s="94"/>
      <c r="V11" s="60"/>
    </row>
    <row r="12" spans="2:22" ht="7.5" customHeight="1" thickBot="1">
      <c r="C12" s="95"/>
      <c r="E12" s="9"/>
      <c r="L12" s="60"/>
      <c r="M12" s="60"/>
      <c r="N12" s="60"/>
      <c r="O12" s="60"/>
      <c r="P12" s="60"/>
      <c r="Q12" s="60"/>
      <c r="R12" s="60"/>
      <c r="S12" s="60"/>
      <c r="T12" s="65"/>
      <c r="U12" s="60"/>
      <c r="V12" s="60"/>
    </row>
    <row r="13" spans="2:22" ht="15.75" thickBot="1">
      <c r="C13" s="41"/>
      <c r="D13" s="73"/>
      <c r="E13" s="74"/>
      <c r="F13" s="73"/>
      <c r="G13" s="73"/>
      <c r="H13" s="73"/>
      <c r="I13" s="73"/>
      <c r="J13" s="73"/>
      <c r="K13" s="73"/>
      <c r="L13" s="51"/>
      <c r="M13" s="51"/>
      <c r="N13" s="51"/>
      <c r="O13" s="51"/>
      <c r="P13" s="51"/>
      <c r="Q13" s="51"/>
      <c r="R13" s="51"/>
      <c r="S13" s="51"/>
      <c r="T13" s="75"/>
      <c r="U13" s="52"/>
      <c r="V13" s="60"/>
    </row>
    <row r="14" spans="2:22" ht="17.25" thickBot="1">
      <c r="C14" s="40" t="s">
        <v>17</v>
      </c>
      <c r="D14" s="246" t="s">
        <v>6</v>
      </c>
      <c r="E14" s="8">
        <f>((1.96)^2*E8*E9)/((E10)^2)</f>
        <v>896.37333333333322</v>
      </c>
      <c r="F14" s="3"/>
      <c r="G14" s="3"/>
      <c r="H14" s="3"/>
      <c r="I14" s="3"/>
      <c r="J14" s="3"/>
      <c r="K14" s="3"/>
      <c r="L14" s="60"/>
      <c r="M14" s="60"/>
      <c r="N14" s="60"/>
      <c r="O14" s="71" t="s">
        <v>7</v>
      </c>
      <c r="P14" s="164" t="e">
        <f>M6*SQRT(M9/M7)</f>
        <v>#DIV/0!</v>
      </c>
      <c r="Q14" s="60"/>
      <c r="R14" s="60"/>
      <c r="S14" s="238" t="s">
        <v>20</v>
      </c>
      <c r="T14" s="38"/>
      <c r="U14" s="61"/>
      <c r="V14" s="60"/>
    </row>
    <row r="15" spans="2:22" s="37" customFormat="1" ht="15">
      <c r="C15" s="76"/>
      <c r="D15" s="35"/>
      <c r="E15" s="36"/>
      <c r="F15" s="72"/>
      <c r="G15" s="72"/>
      <c r="H15" s="72"/>
      <c r="I15" s="72"/>
      <c r="J15" s="72"/>
      <c r="K15" s="72"/>
      <c r="L15" s="60"/>
      <c r="M15" s="60"/>
      <c r="N15" s="60"/>
      <c r="O15" s="60"/>
      <c r="P15" s="60"/>
      <c r="Q15" s="60"/>
      <c r="R15" s="60"/>
      <c r="S15" s="238" t="s">
        <v>7</v>
      </c>
      <c r="T15" s="25" t="e">
        <f>P14</f>
        <v>#DIV/0!</v>
      </c>
      <c r="U15" s="61"/>
      <c r="V15" s="60"/>
    </row>
    <row r="16" spans="2:22" s="37" customFormat="1" ht="15">
      <c r="C16" s="76"/>
      <c r="D16" s="35"/>
      <c r="E16" s="36"/>
      <c r="F16" s="72"/>
      <c r="G16" s="72"/>
      <c r="H16" s="72"/>
      <c r="I16" s="72"/>
      <c r="J16" s="72"/>
      <c r="K16" s="72"/>
      <c r="L16" s="60"/>
      <c r="M16" s="60"/>
      <c r="N16" s="60"/>
      <c r="O16" s="60"/>
      <c r="P16" s="60"/>
      <c r="Q16" s="60"/>
      <c r="R16" s="72"/>
      <c r="S16" s="72"/>
      <c r="T16" s="72"/>
      <c r="U16" s="82"/>
      <c r="V16" s="60"/>
    </row>
    <row r="17" spans="3:22" s="37" customFormat="1" ht="17.25" thickBot="1">
      <c r="C17" s="77"/>
      <c r="D17" s="78"/>
      <c r="E17" s="79"/>
      <c r="F17" s="80"/>
      <c r="G17" s="80"/>
      <c r="H17" s="80"/>
      <c r="I17" s="80"/>
      <c r="J17" s="80"/>
      <c r="K17" s="80"/>
      <c r="L17" s="255"/>
      <c r="M17" s="255"/>
      <c r="N17" s="255"/>
      <c r="O17" s="255"/>
      <c r="P17" s="255"/>
      <c r="Q17" s="83"/>
      <c r="R17" s="84" t="s">
        <v>14</v>
      </c>
      <c r="S17" s="85" t="e">
        <f>T14-T15</f>
        <v>#DIV/0!</v>
      </c>
      <c r="T17" s="85" t="e">
        <f>T14+T15</f>
        <v>#DIV/0!</v>
      </c>
      <c r="U17" s="86" t="s">
        <v>15</v>
      </c>
      <c r="V17" s="81"/>
    </row>
    <row r="18" spans="3:22" s="37" customFormat="1" ht="7.5" customHeight="1">
      <c r="C18" s="34"/>
      <c r="D18" s="35"/>
      <c r="E18" s="36"/>
      <c r="L18" s="53"/>
      <c r="M18" s="53"/>
      <c r="N18" s="53"/>
      <c r="O18" s="72"/>
      <c r="P18" s="72"/>
      <c r="Q18" s="53"/>
      <c r="R18" s="53"/>
      <c r="S18" s="53"/>
      <c r="T18" s="53"/>
      <c r="U18" s="53"/>
      <c r="V18" s="53"/>
    </row>
    <row r="19" spans="3:22" ht="16.5">
      <c r="C19" s="28" t="s">
        <v>10</v>
      </c>
      <c r="E19" s="4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</row>
    <row r="20" spans="3:22" ht="16.5">
      <c r="C20" s="89" t="s">
        <v>12</v>
      </c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</row>
    <row r="21" spans="3:22" ht="16.5">
      <c r="C21" s="26" t="s">
        <v>16</v>
      </c>
      <c r="L21" s="53"/>
      <c r="M21" s="53"/>
      <c r="N21" s="53"/>
      <c r="O21" s="53"/>
      <c r="P21" s="53"/>
      <c r="Q21" s="53"/>
      <c r="V21" s="53"/>
    </row>
    <row r="22" spans="3:22" ht="16.5">
      <c r="C22" s="27" t="s">
        <v>7</v>
      </c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spans="3:22" ht="16.5">
      <c r="E23" s="3"/>
      <c r="F23" s="3"/>
      <c r="G23" s="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</row>
    <row r="24" spans="3:22">
      <c r="E24" s="220"/>
      <c r="F24" s="3"/>
      <c r="G24" s="3"/>
    </row>
    <row r="25" spans="3:22">
      <c r="E25" s="3"/>
      <c r="F25" s="3"/>
      <c r="G25" s="3"/>
    </row>
    <row r="26" spans="3:22">
      <c r="E26" s="3"/>
      <c r="F26" s="3"/>
      <c r="G26" s="3"/>
    </row>
  </sheetData>
  <mergeCells count="4">
    <mergeCell ref="L2:P2"/>
    <mergeCell ref="L17:P17"/>
    <mergeCell ref="R2:U2"/>
    <mergeCell ref="C2:G2"/>
  </mergeCells>
  <pageMargins left="0.78740157499999996" right="0.78740157499999996" top="0.984251969" bottom="0.984251969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U29"/>
  <sheetViews>
    <sheetView showGridLines="0" topLeftCell="E1" zoomScaleNormal="100" workbookViewId="0">
      <selection activeCell="M27" sqref="M27"/>
    </sheetView>
  </sheetViews>
  <sheetFormatPr defaultRowHeight="12.75"/>
  <cols>
    <col min="1" max="1" width="5.28515625" customWidth="1"/>
    <col min="2" max="2" width="35.85546875" bestFit="1" customWidth="1"/>
    <col min="5" max="5" width="2.7109375" customWidth="1"/>
    <col min="6" max="6" width="22.140625" customWidth="1"/>
    <col min="7" max="7" width="8" customWidth="1"/>
    <col min="8" max="9" width="9.85546875" customWidth="1"/>
    <col min="10" max="10" width="11.5703125" bestFit="1" customWidth="1"/>
    <col min="11" max="11" width="14.85546875" bestFit="1" customWidth="1"/>
    <col min="12" max="12" width="15.5703125" bestFit="1" customWidth="1"/>
    <col min="13" max="13" width="21.7109375" bestFit="1" customWidth="1"/>
    <col min="14" max="14" width="19" bestFit="1" customWidth="1"/>
    <col min="15" max="15" width="15.5703125" bestFit="1" customWidth="1"/>
    <col min="16" max="16" width="21.5703125" bestFit="1" customWidth="1"/>
    <col min="17" max="17" width="15.42578125" bestFit="1" customWidth="1"/>
    <col min="18" max="18" width="11.7109375" bestFit="1" customWidth="1"/>
    <col min="19" max="19" width="21.5703125" bestFit="1" customWidth="1"/>
    <col min="20" max="20" width="19" bestFit="1" customWidth="1"/>
    <col min="21" max="22" width="9.5703125" bestFit="1" customWidth="1"/>
  </cols>
  <sheetData>
    <row r="3" spans="2:19" ht="13.5" thickBot="1"/>
    <row r="4" spans="2:19" ht="13.5" thickBot="1">
      <c r="B4" s="40" t="s">
        <v>27</v>
      </c>
      <c r="F4" s="102" t="s">
        <v>28</v>
      </c>
      <c r="G4" s="104" t="s">
        <v>29</v>
      </c>
      <c r="H4" s="104" t="s">
        <v>30</v>
      </c>
      <c r="I4" s="106" t="s">
        <v>31</v>
      </c>
      <c r="J4" s="106" t="s">
        <v>32</v>
      </c>
      <c r="N4" s="13"/>
      <c r="O4" s="13"/>
      <c r="P4" s="13"/>
      <c r="Q4" s="15"/>
      <c r="R4" s="15"/>
      <c r="S4" s="15"/>
    </row>
    <row r="5" spans="2:19">
      <c r="B5" s="41" t="s">
        <v>33</v>
      </c>
      <c r="C5" s="45" t="s">
        <v>5</v>
      </c>
      <c r="D5" s="48">
        <v>1.645</v>
      </c>
      <c r="F5" s="103">
        <v>1</v>
      </c>
      <c r="G5" s="100">
        <v>5000</v>
      </c>
      <c r="H5" s="115">
        <f>G5/$G$8</f>
        <v>0.5</v>
      </c>
      <c r="I5" s="123">
        <f>H5</f>
        <v>0.5</v>
      </c>
      <c r="J5" s="170">
        <v>120</v>
      </c>
      <c r="N5" s="13"/>
      <c r="O5" s="13"/>
      <c r="P5" s="13"/>
      <c r="R5" s="16"/>
      <c r="S5" s="16"/>
    </row>
    <row r="6" spans="2:19">
      <c r="B6" s="42" t="s">
        <v>2</v>
      </c>
      <c r="C6" s="46" t="s">
        <v>9</v>
      </c>
      <c r="D6" s="99">
        <v>250</v>
      </c>
      <c r="F6" s="103">
        <v>2</v>
      </c>
      <c r="G6" s="100">
        <v>3000</v>
      </c>
      <c r="H6" s="115">
        <f t="shared" ref="H6:H7" si="0">G6/$G$8</f>
        <v>0.3</v>
      </c>
      <c r="I6" s="123">
        <f t="shared" ref="I6:I7" si="1">H6</f>
        <v>0.3</v>
      </c>
      <c r="J6" s="170">
        <v>170</v>
      </c>
      <c r="N6" s="13"/>
      <c r="O6" s="13"/>
      <c r="P6" s="13"/>
      <c r="R6" s="16"/>
      <c r="S6" s="16"/>
    </row>
    <row r="7" spans="2:19" ht="13.5" thickBot="1">
      <c r="B7" s="43" t="s">
        <v>26</v>
      </c>
      <c r="C7" s="47" t="s">
        <v>13</v>
      </c>
      <c r="D7" s="49">
        <f>G8</f>
        <v>10000</v>
      </c>
      <c r="F7" s="103">
        <v>3</v>
      </c>
      <c r="G7" s="100">
        <v>2000</v>
      </c>
      <c r="H7" s="115">
        <f t="shared" si="0"/>
        <v>0.2</v>
      </c>
      <c r="I7" s="123">
        <f t="shared" si="1"/>
        <v>0.2</v>
      </c>
      <c r="J7" s="170">
        <v>230</v>
      </c>
      <c r="N7" s="13"/>
      <c r="O7" s="13"/>
      <c r="P7" s="13"/>
      <c r="R7" s="16"/>
      <c r="S7" s="16"/>
    </row>
    <row r="8" spans="2:19" ht="13.5" thickBot="1">
      <c r="B8" s="44" t="s">
        <v>16</v>
      </c>
      <c r="C8" s="5" t="s">
        <v>6</v>
      </c>
      <c r="D8" s="8">
        <f>((D5^2)*((G5*J5+G6*J6+G7*J7)^2))/(((D6^2)*G8)+((D5^2)*(G5*(J5^2)+G6*(J6^2)+G7*(J7^2))))</f>
        <v>4974.9116537372274</v>
      </c>
      <c r="F8" s="102" t="s">
        <v>34</v>
      </c>
      <c r="G8" s="107">
        <f>SUM(G5:G7)</f>
        <v>10000</v>
      </c>
      <c r="H8" s="122">
        <f>SUM(H5:H7)</f>
        <v>1</v>
      </c>
      <c r="I8" s="124">
        <v>1</v>
      </c>
      <c r="J8" s="171"/>
      <c r="N8" s="13"/>
      <c r="O8" s="14"/>
      <c r="P8" s="14"/>
      <c r="R8" s="16"/>
      <c r="S8" s="16"/>
    </row>
    <row r="9" spans="2:19">
      <c r="R9" s="17"/>
      <c r="S9" s="17"/>
    </row>
    <row r="10" spans="2:19">
      <c r="G10" s="4"/>
      <c r="H10" s="4"/>
      <c r="I10" s="4"/>
    </row>
    <row r="11" spans="2:19">
      <c r="B11" s="12" t="s">
        <v>12</v>
      </c>
    </row>
    <row r="12" spans="2:19">
      <c r="B12" s="11" t="s">
        <v>16</v>
      </c>
    </row>
    <row r="14" spans="2:19">
      <c r="N14" s="3"/>
    </row>
    <row r="15" spans="2:19">
      <c r="F15" s="112"/>
      <c r="G15" s="112"/>
      <c r="H15" s="112"/>
      <c r="I15" s="112"/>
      <c r="J15" s="112"/>
      <c r="K15" s="112"/>
      <c r="N15" s="3"/>
    </row>
    <row r="16" spans="2:19">
      <c r="L16" s="19"/>
      <c r="N16" s="3"/>
    </row>
    <row r="17" spans="6:21" ht="13.5" thickBot="1">
      <c r="F17" s="113" t="s">
        <v>35</v>
      </c>
      <c r="G17" s="113"/>
      <c r="H17" s="113"/>
      <c r="I17" s="113"/>
      <c r="J17" s="113"/>
      <c r="K17" s="113"/>
      <c r="L17" s="20"/>
      <c r="N17" s="3"/>
    </row>
    <row r="18" spans="6:21" ht="13.5" thickBot="1">
      <c r="F18" s="102" t="s">
        <v>28</v>
      </c>
      <c r="G18" s="104" t="s">
        <v>29</v>
      </c>
      <c r="H18" s="106" t="s">
        <v>31</v>
      </c>
      <c r="I18" s="104"/>
      <c r="J18" s="116" t="s">
        <v>36</v>
      </c>
      <c r="K18" s="105" t="s">
        <v>37</v>
      </c>
      <c r="L18" s="125" t="s">
        <v>38</v>
      </c>
      <c r="M18" s="128" t="s">
        <v>39</v>
      </c>
      <c r="N18" s="3"/>
    </row>
    <row r="19" spans="6:21">
      <c r="F19" s="103">
        <v>1</v>
      </c>
      <c r="G19" s="114">
        <v>5000</v>
      </c>
      <c r="H19" s="123">
        <v>0.5</v>
      </c>
      <c r="I19" s="115"/>
      <c r="J19" s="101">
        <v>128</v>
      </c>
      <c r="K19" s="10">
        <v>1112.7202212494806</v>
      </c>
      <c r="L19" s="126">
        <v>250</v>
      </c>
      <c r="M19" s="129">
        <f>((H19)^2)*((J19^2)/K19)*((G19-K19)/(G19-1))</f>
        <v>2.8624415672959334</v>
      </c>
      <c r="N19" s="3"/>
    </row>
    <row r="20" spans="6:21">
      <c r="F20" s="103">
        <v>2</v>
      </c>
      <c r="G20" s="114">
        <v>3000</v>
      </c>
      <c r="H20" s="123">
        <v>0.3</v>
      </c>
      <c r="I20" s="115"/>
      <c r="J20" s="101">
        <v>183</v>
      </c>
      <c r="K20" s="10">
        <v>667.63213274968837</v>
      </c>
      <c r="L20" s="126">
        <v>350</v>
      </c>
      <c r="M20" s="130">
        <f>((H20)^2)*((J20^2)/K20)*((G20-K20)/(G20-1))</f>
        <v>3.5109774639821207</v>
      </c>
      <c r="N20" s="3"/>
    </row>
    <row r="21" spans="6:21" ht="13.5" thickBot="1">
      <c r="F21" s="103">
        <v>3</v>
      </c>
      <c r="G21" s="114">
        <v>2000</v>
      </c>
      <c r="H21" s="123">
        <v>0.2</v>
      </c>
      <c r="I21" s="115"/>
      <c r="J21" s="101">
        <v>242</v>
      </c>
      <c r="K21" s="10">
        <v>445.08808849979226</v>
      </c>
      <c r="L21" s="126">
        <v>450</v>
      </c>
      <c r="M21" s="172">
        <f>((H21)^2)*((J21^2)/K21)*((G21-K21)/(G21-1))</f>
        <v>4.0939048807003511</v>
      </c>
      <c r="N21" s="3"/>
    </row>
    <row r="22" spans="6:21" ht="13.5" thickBot="1">
      <c r="F22" s="102" t="s">
        <v>34</v>
      </c>
      <c r="G22" s="107">
        <v>10000</v>
      </c>
      <c r="H22" s="124">
        <v>1</v>
      </c>
      <c r="I22" s="6"/>
      <c r="J22" s="7"/>
      <c r="K22" s="109">
        <f>SUM(K19:K21)</f>
        <v>2225.4404424989611</v>
      </c>
      <c r="L22" s="127">
        <f>L19*H19+H20*L20+H21*L21</f>
        <v>320</v>
      </c>
      <c r="M22" s="173">
        <f>SUM(M19:M21)</f>
        <v>10.467323911978404</v>
      </c>
      <c r="N22" s="3"/>
    </row>
    <row r="23" spans="6:21">
      <c r="M23" s="18"/>
      <c r="O23" s="3"/>
      <c r="U23" s="112"/>
    </row>
    <row r="24" spans="6:21">
      <c r="M24" s="162"/>
      <c r="O24" s="3"/>
    </row>
    <row r="25" spans="6:21">
      <c r="M25" s="121"/>
    </row>
    <row r="26" spans="6:21" ht="13.5">
      <c r="L26" s="159" t="s">
        <v>40</v>
      </c>
      <c r="M26" s="160">
        <f>SQRT(M22)</f>
        <v>3.2353243905331044</v>
      </c>
    </row>
    <row r="27" spans="6:21" ht="13.5">
      <c r="L27" s="159" t="s">
        <v>9</v>
      </c>
      <c r="M27" s="160">
        <f>M26*1.645</f>
        <v>5.3221086224269571</v>
      </c>
    </row>
    <row r="28" spans="6:21" ht="13.5">
      <c r="L28" s="175" t="s">
        <v>41</v>
      </c>
      <c r="M28" s="176">
        <f>L22-M27</f>
        <v>314.67789137757302</v>
      </c>
      <c r="O28" s="131"/>
      <c r="P28" s="131"/>
    </row>
    <row r="29" spans="6:21" ht="13.5">
      <c r="L29" s="174"/>
      <c r="M29" s="176">
        <f>L22+M27</f>
        <v>325.32210862242698</v>
      </c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O28"/>
  <sheetViews>
    <sheetView showGridLines="0" zoomScaleNormal="100" workbookViewId="0">
      <selection activeCell="M4" sqref="M4"/>
    </sheetView>
  </sheetViews>
  <sheetFormatPr defaultRowHeight="12.75"/>
  <cols>
    <col min="1" max="1" width="5.28515625" customWidth="1"/>
    <col min="2" max="2" width="2.7109375" customWidth="1"/>
    <col min="3" max="3" width="17.28515625" customWidth="1"/>
    <col min="4" max="4" width="11.5703125" customWidth="1"/>
    <col min="5" max="6" width="9.85546875" customWidth="1"/>
    <col min="7" max="7" width="12.140625" bestFit="1" customWidth="1"/>
    <col min="8" max="8" width="4" bestFit="1" customWidth="1"/>
    <col min="9" max="9" width="8" bestFit="1" customWidth="1"/>
    <col min="10" max="10" width="21.5703125" bestFit="1" customWidth="1"/>
    <col min="11" max="11" width="21.42578125" customWidth="1"/>
    <col min="12" max="12" width="11.7109375" bestFit="1" customWidth="1"/>
    <col min="13" max="13" width="10.5703125" bestFit="1" customWidth="1"/>
    <col min="14" max="14" width="19" bestFit="1" customWidth="1"/>
    <col min="15" max="15" width="13.28515625" bestFit="1" customWidth="1"/>
    <col min="16" max="16" width="9.5703125" bestFit="1" customWidth="1"/>
  </cols>
  <sheetData>
    <row r="3" spans="3:15" ht="13.5" thickBot="1"/>
    <row r="4" spans="3:15" ht="13.5" thickBot="1">
      <c r="C4" s="102" t="s">
        <v>28</v>
      </c>
      <c r="D4" s="104" t="s">
        <v>29</v>
      </c>
      <c r="E4" s="104" t="s">
        <v>30</v>
      </c>
      <c r="F4" s="106" t="s">
        <v>31</v>
      </c>
      <c r="G4" s="147" t="s">
        <v>38</v>
      </c>
      <c r="H4" s="147" t="s">
        <v>37</v>
      </c>
      <c r="I4" s="147" t="s">
        <v>42</v>
      </c>
      <c r="J4" s="128" t="s">
        <v>43</v>
      </c>
      <c r="K4" s="15"/>
      <c r="L4" s="157" t="s">
        <v>44</v>
      </c>
      <c r="M4" s="158">
        <v>1.96</v>
      </c>
      <c r="N4" s="191" t="s">
        <v>45</v>
      </c>
      <c r="O4" s="192">
        <f>G8-(M4*M5)</f>
        <v>3748.0286315811582</v>
      </c>
    </row>
    <row r="5" spans="3:15" ht="16.5">
      <c r="C5" s="167" t="s">
        <v>46</v>
      </c>
      <c r="D5" s="100">
        <v>1000</v>
      </c>
      <c r="E5" s="115">
        <f>D5/$D$8</f>
        <v>0.16666666666666666</v>
      </c>
      <c r="F5" s="123">
        <f>E5</f>
        <v>0.16666666666666666</v>
      </c>
      <c r="G5" s="148">
        <v>12000</v>
      </c>
      <c r="H5" s="150">
        <v>96</v>
      </c>
      <c r="I5" s="155">
        <v>200</v>
      </c>
      <c r="J5" s="129">
        <f>((F5)^2)*((I5^2)/H5)*((D5-H5)/(D5-1))</f>
        <v>10.473436399362326</v>
      </c>
      <c r="L5" s="188" t="s">
        <v>40</v>
      </c>
      <c r="M5" s="189">
        <f>K8</f>
        <v>5.2575008939666681</v>
      </c>
      <c r="N5" s="112"/>
      <c r="O5" s="192">
        <f>G8+(M4*M5)</f>
        <v>3768.6380350855079</v>
      </c>
    </row>
    <row r="6" spans="3:15" ht="17.25" thickBot="1">
      <c r="C6" s="168" t="s">
        <v>47</v>
      </c>
      <c r="D6" s="100">
        <v>2000</v>
      </c>
      <c r="E6" s="115">
        <f t="shared" ref="E6:E7" si="0">D6/$D$8</f>
        <v>0.33333333333333331</v>
      </c>
      <c r="F6" s="123">
        <f t="shared" ref="F6:F7" si="1">E6</f>
        <v>0.33333333333333331</v>
      </c>
      <c r="G6" s="148">
        <v>4000</v>
      </c>
      <c r="H6" s="150">
        <v>198</v>
      </c>
      <c r="I6" s="155">
        <v>50</v>
      </c>
      <c r="J6" s="130">
        <f>((F6)^2)*((I6^2)/H6)*((D6-H6)/(D6-1))</f>
        <v>1.2646615114515729</v>
      </c>
      <c r="L6" s="188" t="s">
        <v>9</v>
      </c>
      <c r="M6" s="189">
        <f>M4*M5</f>
        <v>10.304701752174669</v>
      </c>
      <c r="N6" s="112"/>
      <c r="O6" s="112"/>
    </row>
    <row r="7" spans="3:15" ht="17.25" thickBot="1">
      <c r="C7" s="169" t="s">
        <v>48</v>
      </c>
      <c r="D7" s="152">
        <v>3000</v>
      </c>
      <c r="E7" s="153">
        <f t="shared" si="0"/>
        <v>0.5</v>
      </c>
      <c r="F7" s="154">
        <f t="shared" si="1"/>
        <v>0.5</v>
      </c>
      <c r="G7" s="149">
        <v>850</v>
      </c>
      <c r="H7" s="151">
        <v>65</v>
      </c>
      <c r="I7" s="156">
        <v>65</v>
      </c>
      <c r="J7" s="117">
        <f>((F7)^2)*((I7^2)/H7)*((D7-H7)/(D7-1))</f>
        <v>15.903217739246415</v>
      </c>
      <c r="K7" s="193" t="s">
        <v>49</v>
      </c>
      <c r="L7" s="16"/>
      <c r="M7" s="16"/>
    </row>
    <row r="8" spans="3:15" ht="13.5" thickBot="1">
      <c r="C8" s="102" t="s">
        <v>34</v>
      </c>
      <c r="D8" s="107">
        <f>SUM(D5:D7)</f>
        <v>6000</v>
      </c>
      <c r="E8" s="122">
        <f>SUM(E5:E7)</f>
        <v>1</v>
      </c>
      <c r="F8" s="124">
        <v>1</v>
      </c>
      <c r="G8" s="146">
        <f>G5*F5+F6*G6+F7*G7</f>
        <v>3758.333333333333</v>
      </c>
      <c r="H8" s="183">
        <f>SUM(H5:H7)</f>
        <v>359</v>
      </c>
      <c r="J8" s="118">
        <f>SUM(J5:J7)</f>
        <v>27.641315650060314</v>
      </c>
      <c r="K8" s="194">
        <f>SQRT(J8)</f>
        <v>5.2575008939666681</v>
      </c>
      <c r="L8" s="16"/>
      <c r="M8" s="16"/>
    </row>
    <row r="9" spans="3:15">
      <c r="G9" s="18"/>
      <c r="J9" s="18"/>
      <c r="L9" s="17"/>
      <c r="M9" s="17"/>
    </row>
    <row r="10" spans="3:15">
      <c r="D10" s="4"/>
      <c r="E10" s="4"/>
      <c r="F10" s="4"/>
      <c r="G10" s="19"/>
      <c r="J10" s="19"/>
    </row>
    <row r="14" spans="3:15">
      <c r="H14" s="3"/>
    </row>
    <row r="15" spans="3:15">
      <c r="C15" s="112"/>
      <c r="D15" s="112"/>
      <c r="E15" s="112"/>
      <c r="F15" s="112"/>
      <c r="G15" s="112"/>
      <c r="H15" s="3"/>
      <c r="I15" s="3"/>
    </row>
    <row r="16" spans="3:15" s="132" customFormat="1"/>
    <row r="17" spans="3:15" s="132" customFormat="1">
      <c r="C17" s="133"/>
      <c r="D17" s="133"/>
      <c r="E17" s="133"/>
      <c r="F17" s="133"/>
      <c r="G17" s="133"/>
    </row>
    <row r="18" spans="3:15" s="132" customFormat="1">
      <c r="C18" s="134"/>
      <c r="D18" s="135"/>
      <c r="E18" s="135"/>
      <c r="F18" s="135"/>
      <c r="G18" s="135"/>
      <c r="I18" s="133"/>
      <c r="J18" s="133"/>
    </row>
    <row r="19" spans="3:15" s="132" customFormat="1">
      <c r="C19" s="134"/>
      <c r="D19" s="136"/>
      <c r="E19" s="137"/>
      <c r="F19" s="137"/>
      <c r="G19" s="138"/>
      <c r="I19" s="139"/>
      <c r="J19" s="140"/>
    </row>
    <row r="20" spans="3:15" s="132" customFormat="1">
      <c r="C20" s="134"/>
      <c r="D20" s="136"/>
      <c r="E20" s="137"/>
      <c r="F20" s="137"/>
      <c r="G20" s="138"/>
      <c r="I20" s="139"/>
      <c r="J20" s="140"/>
    </row>
    <row r="21" spans="3:15" s="132" customFormat="1">
      <c r="C21" s="134"/>
      <c r="D21" s="136"/>
      <c r="E21" s="137"/>
      <c r="F21" s="137"/>
      <c r="G21" s="138"/>
      <c r="I21" s="139"/>
      <c r="J21" s="140"/>
    </row>
    <row r="22" spans="3:15" s="132" customFormat="1">
      <c r="C22" s="134"/>
      <c r="D22" s="136"/>
      <c r="E22" s="141"/>
      <c r="F22" s="141"/>
      <c r="G22" s="142"/>
      <c r="I22" s="143"/>
      <c r="J22" s="144"/>
      <c r="L22" s="145"/>
    </row>
    <row r="23" spans="3:15" s="132" customFormat="1">
      <c r="O23" s="133"/>
    </row>
    <row r="24" spans="3:15" s="132" customFormat="1"/>
    <row r="28" spans="3:15">
      <c r="J28" s="131"/>
    </row>
  </sheetData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Q28"/>
  <sheetViews>
    <sheetView showGridLines="0" zoomScaleNormal="100" workbookViewId="0">
      <selection activeCell="D5" sqref="D5"/>
    </sheetView>
  </sheetViews>
  <sheetFormatPr defaultRowHeight="12.75"/>
  <cols>
    <col min="1" max="1" width="5.28515625" customWidth="1"/>
    <col min="2" max="2" width="2.7109375" customWidth="1"/>
    <col min="3" max="3" width="17.28515625" customWidth="1"/>
    <col min="4" max="4" width="13.85546875" customWidth="1"/>
    <col min="5" max="6" width="9.85546875" customWidth="1"/>
    <col min="7" max="7" width="12.140625" bestFit="1" customWidth="1"/>
    <col min="8" max="8" width="5.5703125" bestFit="1" customWidth="1"/>
    <col min="9" max="9" width="9.5703125" bestFit="1" customWidth="1"/>
    <col min="10" max="10" width="26.42578125" bestFit="1" customWidth="1"/>
    <col min="11" max="11" width="20.7109375" customWidth="1"/>
    <col min="12" max="12" width="11.7109375" bestFit="1" customWidth="1"/>
    <col min="13" max="13" width="10.5703125" bestFit="1" customWidth="1"/>
    <col min="14" max="14" width="19" bestFit="1" customWidth="1"/>
    <col min="15" max="15" width="14.28515625" bestFit="1" customWidth="1"/>
    <col min="16" max="16" width="9.5703125" bestFit="1" customWidth="1"/>
  </cols>
  <sheetData>
    <row r="3" spans="3:17" ht="13.5" thickBot="1"/>
    <row r="4" spans="3:17" ht="13.5" thickBot="1">
      <c r="C4" s="102" t="s">
        <v>28</v>
      </c>
      <c r="D4" s="104" t="s">
        <v>29</v>
      </c>
      <c r="E4" s="104" t="s">
        <v>30</v>
      </c>
      <c r="F4" s="106" t="s">
        <v>31</v>
      </c>
      <c r="G4" s="147" t="s">
        <v>38</v>
      </c>
      <c r="H4" s="147" t="s">
        <v>37</v>
      </c>
      <c r="I4" s="147" t="s">
        <v>42</v>
      </c>
      <c r="J4" s="119" t="s">
        <v>50</v>
      </c>
      <c r="K4" s="15"/>
      <c r="L4" s="157" t="s">
        <v>44</v>
      </c>
      <c r="M4" s="158">
        <v>1.96</v>
      </c>
      <c r="N4" s="191" t="s">
        <v>51</v>
      </c>
      <c r="O4" s="192">
        <f>G8-(M4*M5)</f>
        <v>2578.0107916247507</v>
      </c>
    </row>
    <row r="5" spans="3:17" ht="16.5">
      <c r="C5" s="247" t="s">
        <v>46</v>
      </c>
      <c r="D5" s="100">
        <v>200000</v>
      </c>
      <c r="E5" s="115">
        <f>D5/$D$8</f>
        <v>0.12820512820512819</v>
      </c>
      <c r="F5" s="123">
        <f>E5</f>
        <v>0.12820512820512819</v>
      </c>
      <c r="G5" s="148">
        <v>8200</v>
      </c>
      <c r="H5" s="150">
        <v>256</v>
      </c>
      <c r="I5" s="155">
        <v>1500</v>
      </c>
      <c r="J5" s="120">
        <f>D5*((I5^2)/H5)*(D5-H5)/($D$8^2)</f>
        <v>144.27699704142012</v>
      </c>
      <c r="L5" s="188" t="s">
        <v>40</v>
      </c>
      <c r="M5" s="189">
        <f>K8</f>
        <v>13.91717852740344</v>
      </c>
      <c r="N5" s="112"/>
      <c r="O5" s="192">
        <f>G8+(M4*M5)</f>
        <v>2632.5661314521722</v>
      </c>
    </row>
    <row r="6" spans="3:17" ht="17.25" thickBot="1">
      <c r="C6" s="248" t="s">
        <v>47</v>
      </c>
      <c r="D6" s="100">
        <v>475000</v>
      </c>
      <c r="E6" s="115">
        <f t="shared" ref="E6:E7" si="0">D6/$D$8</f>
        <v>0.30448717948717946</v>
      </c>
      <c r="F6" s="123">
        <f t="shared" ref="F6:F7" si="1">E6</f>
        <v>0.30448717948717946</v>
      </c>
      <c r="G6" s="148">
        <v>3520</v>
      </c>
      <c r="H6" s="150">
        <v>608</v>
      </c>
      <c r="I6" s="155">
        <v>500</v>
      </c>
      <c r="J6" s="120">
        <f>D6*((I6^2)/H6)*(D6-H6)/($D$8^2)</f>
        <v>38.073096441485866</v>
      </c>
      <c r="L6" s="188" t="s">
        <v>9</v>
      </c>
      <c r="M6" s="189">
        <f>M4*M5</f>
        <v>27.277669913710742</v>
      </c>
    </row>
    <row r="7" spans="3:17" ht="17.25" thickBot="1">
      <c r="C7" s="249" t="s">
        <v>48</v>
      </c>
      <c r="D7" s="152">
        <v>885000</v>
      </c>
      <c r="E7" s="153">
        <f t="shared" si="0"/>
        <v>0.56730769230769229</v>
      </c>
      <c r="F7" s="154">
        <f t="shared" si="1"/>
        <v>0.56730769230769229</v>
      </c>
      <c r="G7" s="149">
        <v>850</v>
      </c>
      <c r="H7" s="151">
        <v>1134</v>
      </c>
      <c r="I7" s="156">
        <v>200</v>
      </c>
      <c r="J7" s="120">
        <f>D7*((I7^2)/H7)*(D7-H7)/($D$8^2)</f>
        <v>11.3377646807134</v>
      </c>
      <c r="K7" s="193" t="s">
        <v>49</v>
      </c>
      <c r="L7" s="16"/>
      <c r="M7" s="16"/>
    </row>
    <row r="8" spans="3:17" ht="13.5" thickBot="1">
      <c r="C8" s="102" t="s">
        <v>34</v>
      </c>
      <c r="D8" s="107">
        <f>SUM(D5:D7)</f>
        <v>1560000</v>
      </c>
      <c r="E8" s="122">
        <f>SUM(E5:E7)</f>
        <v>1</v>
      </c>
      <c r="F8" s="124">
        <v>1</v>
      </c>
      <c r="G8" s="146">
        <f>G5*F5+F6*G6+F7*G7</f>
        <v>2605.2884615384614</v>
      </c>
      <c r="H8" s="183">
        <f>SUM(H5:H7)</f>
        <v>1998</v>
      </c>
      <c r="J8" s="161">
        <f>SUM(J5:J7)</f>
        <v>193.68785816361938</v>
      </c>
      <c r="K8" s="194">
        <f>SQRT(J8)</f>
        <v>13.91717852740344</v>
      </c>
      <c r="L8" s="16"/>
      <c r="M8" s="16"/>
    </row>
    <row r="9" spans="3:17">
      <c r="G9" s="18"/>
      <c r="J9" s="18"/>
      <c r="L9" s="17"/>
      <c r="M9" s="17"/>
    </row>
    <row r="10" spans="3:17">
      <c r="D10" s="4"/>
      <c r="E10" s="4"/>
      <c r="F10" s="4"/>
      <c r="G10" s="19"/>
      <c r="J10" s="19"/>
    </row>
    <row r="14" spans="3:17">
      <c r="H14" s="3"/>
    </row>
    <row r="15" spans="3:17">
      <c r="C15" s="112"/>
      <c r="D15" s="112"/>
      <c r="E15" s="112"/>
      <c r="F15" s="112"/>
      <c r="G15" s="112"/>
      <c r="H15" s="3"/>
      <c r="I15" s="3"/>
    </row>
    <row r="16" spans="3:17" s="132" customFormat="1">
      <c r="M16"/>
      <c r="N16"/>
      <c r="O16"/>
      <c r="P16"/>
      <c r="Q16"/>
    </row>
    <row r="17" spans="3:17" s="132" customFormat="1">
      <c r="C17" s="133"/>
      <c r="D17" s="133"/>
      <c r="E17" s="133"/>
      <c r="F17" s="133"/>
      <c r="G17" s="133"/>
      <c r="M17"/>
      <c r="N17"/>
      <c r="O17"/>
      <c r="P17"/>
      <c r="Q17"/>
    </row>
    <row r="18" spans="3:17" s="132" customFormat="1">
      <c r="C18" s="134"/>
      <c r="D18" s="135"/>
      <c r="E18" s="135"/>
      <c r="F18" s="135"/>
      <c r="G18" s="135"/>
      <c r="I18" s="133"/>
      <c r="J18" s="133"/>
      <c r="M18"/>
      <c r="N18"/>
      <c r="O18"/>
      <c r="P18"/>
      <c r="Q18"/>
    </row>
    <row r="19" spans="3:17" s="132" customFormat="1">
      <c r="C19" s="134"/>
      <c r="D19" s="136"/>
      <c r="E19" s="137"/>
      <c r="F19" s="137"/>
      <c r="G19" s="138"/>
      <c r="I19" s="139"/>
      <c r="J19" s="140"/>
      <c r="M19"/>
      <c r="N19"/>
      <c r="O19"/>
      <c r="P19"/>
      <c r="Q19"/>
    </row>
    <row r="20" spans="3:17" s="132" customFormat="1">
      <c r="C20" s="134"/>
      <c r="D20" s="136"/>
      <c r="E20" s="137"/>
      <c r="F20" s="137"/>
      <c r="G20" s="138"/>
      <c r="I20" s="139"/>
      <c r="J20" s="140"/>
    </row>
    <row r="21" spans="3:17" s="132" customFormat="1">
      <c r="C21" s="134"/>
      <c r="D21" s="136"/>
      <c r="E21" s="137"/>
      <c r="F21" s="137"/>
      <c r="G21" s="138"/>
      <c r="I21" s="139"/>
      <c r="J21" s="140"/>
    </row>
    <row r="22" spans="3:17" s="132" customFormat="1">
      <c r="C22" s="134"/>
      <c r="D22" s="136"/>
      <c r="E22" s="141"/>
      <c r="F22" s="141"/>
      <c r="G22" s="142"/>
      <c r="I22" s="143"/>
      <c r="J22" s="144"/>
      <c r="L22" s="145"/>
    </row>
    <row r="23" spans="3:17" s="132" customFormat="1">
      <c r="O23" s="133"/>
    </row>
    <row r="24" spans="3:17" s="132" customFormat="1"/>
    <row r="28" spans="3:17">
      <c r="J28" s="131"/>
    </row>
  </sheetData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14"/>
  <sheetViews>
    <sheetView showGridLines="0" zoomScaleNormal="100" workbookViewId="0">
      <selection activeCell="I17" sqref="I17"/>
    </sheetView>
  </sheetViews>
  <sheetFormatPr defaultRowHeight="12.75"/>
  <cols>
    <col min="1" max="1" width="5.28515625" customWidth="1"/>
    <col min="2" max="2" width="26.42578125" customWidth="1"/>
    <col min="3" max="3" width="12.42578125" customWidth="1"/>
    <col min="4" max="4" width="10.5703125" customWidth="1"/>
    <col min="5" max="5" width="13.28515625" customWidth="1"/>
    <col min="6" max="6" width="22.140625" customWidth="1"/>
    <col min="7" max="7" width="8" customWidth="1"/>
    <col min="8" max="8" width="12.42578125" bestFit="1" customWidth="1"/>
    <col min="9" max="9" width="20.42578125" customWidth="1"/>
    <col min="10" max="11" width="14.85546875" bestFit="1" customWidth="1"/>
    <col min="12" max="12" width="11.42578125" bestFit="1" customWidth="1"/>
    <col min="13" max="13" width="15.5703125" bestFit="1" customWidth="1"/>
    <col min="14" max="14" width="21.7109375" bestFit="1" customWidth="1"/>
    <col min="15" max="15" width="19" bestFit="1" customWidth="1"/>
    <col min="16" max="16" width="15.5703125" bestFit="1" customWidth="1"/>
    <col min="17" max="17" width="21.5703125" bestFit="1" customWidth="1"/>
    <col min="18" max="18" width="15.42578125" bestFit="1" customWidth="1"/>
    <col min="19" max="19" width="11.7109375" bestFit="1" customWidth="1"/>
    <col min="20" max="20" width="21.5703125" bestFit="1" customWidth="1"/>
    <col min="21" max="21" width="19" bestFit="1" customWidth="1"/>
    <col min="22" max="23" width="9.5703125" bestFit="1" customWidth="1"/>
  </cols>
  <sheetData>
    <row r="1" spans="2:20" ht="13.5" thickBot="1"/>
    <row r="2" spans="2:20" ht="13.5" thickBot="1">
      <c r="B2" s="40" t="s">
        <v>27</v>
      </c>
      <c r="C2" s="256" t="s">
        <v>52</v>
      </c>
      <c r="D2" s="257"/>
      <c r="F2" s="102" t="s">
        <v>28</v>
      </c>
      <c r="G2" s="104" t="s">
        <v>29</v>
      </c>
      <c r="H2" s="104" t="s">
        <v>31</v>
      </c>
      <c r="I2" s="104" t="s">
        <v>32</v>
      </c>
      <c r="J2" s="104" t="s">
        <v>53</v>
      </c>
      <c r="K2" s="106" t="s">
        <v>54</v>
      </c>
      <c r="M2" s="13"/>
      <c r="O2" s="13"/>
      <c r="P2" s="13"/>
      <c r="Q2" s="13"/>
      <c r="R2" s="15"/>
      <c r="S2" s="15"/>
      <c r="T2" s="15"/>
    </row>
    <row r="3" spans="2:20" ht="15">
      <c r="B3" s="204" t="s">
        <v>18</v>
      </c>
      <c r="C3" s="243" t="s">
        <v>4</v>
      </c>
      <c r="D3" s="206">
        <v>0.95</v>
      </c>
      <c r="F3" s="103"/>
      <c r="G3" s="212"/>
      <c r="H3" s="212"/>
      <c r="I3" s="212"/>
      <c r="J3" s="212"/>
      <c r="K3" s="213"/>
      <c r="M3" s="13"/>
      <c r="O3" s="13"/>
      <c r="P3" s="13"/>
      <c r="Q3" s="13"/>
      <c r="R3" s="15"/>
      <c r="S3" s="15"/>
      <c r="T3" s="15"/>
    </row>
    <row r="4" spans="2:20" ht="15">
      <c r="B4" s="201" t="s">
        <v>19</v>
      </c>
      <c r="C4" s="244" t="s">
        <v>5</v>
      </c>
      <c r="D4" s="207">
        <f>_xlfn.NORM.S.INV(D3+(1-D3)/2)</f>
        <v>1.9599639845400536</v>
      </c>
      <c r="F4" s="103">
        <v>1</v>
      </c>
      <c r="G4" s="100">
        <v>200</v>
      </c>
      <c r="H4" s="177">
        <f>G4/$G$7</f>
        <v>5.4054054054054057E-2</v>
      </c>
      <c r="I4" s="101">
        <v>300</v>
      </c>
      <c r="J4" s="218">
        <f>(G4/$G$7)*$D$7</f>
        <v>86.572504409721688</v>
      </c>
      <c r="K4" s="219">
        <f>J4/$J$7</f>
        <v>5.4054054054054057E-2</v>
      </c>
      <c r="M4" s="13"/>
      <c r="O4" s="13"/>
      <c r="P4" s="13"/>
      <c r="Q4" s="13"/>
      <c r="S4" s="16"/>
      <c r="T4" s="16"/>
    </row>
    <row r="5" spans="2:20">
      <c r="B5" s="42" t="s">
        <v>2</v>
      </c>
      <c r="C5" s="245" t="s">
        <v>9</v>
      </c>
      <c r="D5" s="99">
        <v>5</v>
      </c>
      <c r="F5" s="103">
        <v>2</v>
      </c>
      <c r="G5" s="100">
        <v>500</v>
      </c>
      <c r="H5" s="177">
        <f t="shared" ref="H5:H6" si="0">G5/$G$7</f>
        <v>0.13513513513513514</v>
      </c>
      <c r="I5" s="101">
        <v>200</v>
      </c>
      <c r="J5" s="218">
        <f t="shared" ref="J5:J6" si="1">(G5/$G$7)*$D$7</f>
        <v>216.43126102430423</v>
      </c>
      <c r="K5" s="219">
        <f t="shared" ref="K5:K6" si="2">J5/$J$7</f>
        <v>0.13513513513513514</v>
      </c>
      <c r="M5" s="13"/>
      <c r="O5" s="13"/>
      <c r="P5" s="13"/>
      <c r="Q5" s="13"/>
      <c r="S5" s="16"/>
      <c r="T5" s="16"/>
    </row>
    <row r="6" spans="2:20" ht="13.5" thickBot="1">
      <c r="B6" s="43" t="s">
        <v>26</v>
      </c>
      <c r="C6" s="224" t="s">
        <v>13</v>
      </c>
      <c r="D6" s="215">
        <v>3700</v>
      </c>
      <c r="F6" s="103">
        <v>3</v>
      </c>
      <c r="G6" s="100">
        <v>3000</v>
      </c>
      <c r="H6" s="177">
        <f t="shared" si="0"/>
        <v>0.81081081081081086</v>
      </c>
      <c r="I6" s="101">
        <v>100</v>
      </c>
      <c r="J6" s="218">
        <f t="shared" si="1"/>
        <v>1298.5875661458253</v>
      </c>
      <c r="K6" s="219">
        <f t="shared" si="2"/>
        <v>0.81081081081081086</v>
      </c>
      <c r="M6" s="13"/>
      <c r="O6" s="13"/>
      <c r="P6" s="13"/>
      <c r="Q6" s="13"/>
      <c r="S6" s="16"/>
      <c r="T6" s="16"/>
    </row>
    <row r="7" spans="2:20" ht="13.5" thickBot="1">
      <c r="B7" s="44" t="s">
        <v>16</v>
      </c>
      <c r="C7" s="5" t="s">
        <v>6</v>
      </c>
      <c r="D7" s="8">
        <f>(D6*((G4*(I4^2))+(G5*(I5^2))+(G6*(I6^2))))/(((D6^2)*((D5/D4)^2))+(((G4*(I4^2))+(G5*(I5^2))+(G6*(I6^2)))))</f>
        <v>1601.5913315798512</v>
      </c>
      <c r="F7" s="102" t="s">
        <v>34</v>
      </c>
      <c r="G7" s="107">
        <f>SUM(G4:G6)</f>
        <v>3700</v>
      </c>
      <c r="H7" s="107">
        <v>1</v>
      </c>
      <c r="I7" s="108"/>
      <c r="J7" s="110">
        <f>SUM(J4:J6)</f>
        <v>1601.5913315798512</v>
      </c>
      <c r="K7" s="111"/>
      <c r="M7" s="13"/>
      <c r="O7" s="14"/>
      <c r="P7" s="14"/>
      <c r="Q7" s="14"/>
      <c r="S7" s="16"/>
      <c r="T7" s="16"/>
    </row>
    <row r="8" spans="2:20">
      <c r="S8" s="17"/>
      <c r="T8" s="17"/>
    </row>
    <row r="9" spans="2:20">
      <c r="G9" s="4"/>
      <c r="H9" s="4"/>
      <c r="I9" s="4"/>
    </row>
    <row r="10" spans="2:20">
      <c r="B10" s="12" t="s">
        <v>12</v>
      </c>
    </row>
    <row r="11" spans="2:20">
      <c r="B11" s="11" t="s">
        <v>16</v>
      </c>
    </row>
    <row r="13" spans="2:20">
      <c r="O13" s="3"/>
    </row>
    <row r="14" spans="2:20">
      <c r="F14" s="112"/>
      <c r="G14" s="112"/>
      <c r="H14" s="112"/>
      <c r="I14" s="112"/>
      <c r="J14" s="112"/>
      <c r="K14" s="112"/>
      <c r="L14" s="112"/>
      <c r="O14" s="3"/>
    </row>
  </sheetData>
  <mergeCells count="1">
    <mergeCell ref="C2:D2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14"/>
  <sheetViews>
    <sheetView showGridLines="0" tabSelected="1" zoomScaleNormal="100" workbookViewId="0">
      <selection activeCell="F2" sqref="F2:K7"/>
    </sheetView>
  </sheetViews>
  <sheetFormatPr defaultRowHeight="12.75"/>
  <cols>
    <col min="1" max="1" width="5.28515625" customWidth="1"/>
    <col min="2" max="2" width="26.42578125" customWidth="1"/>
    <col min="3" max="3" width="12.42578125" customWidth="1"/>
    <col min="4" max="4" width="10.5703125" customWidth="1"/>
    <col min="5" max="5" width="13.28515625" customWidth="1"/>
    <col min="6" max="6" width="22.140625" customWidth="1"/>
    <col min="7" max="7" width="8" customWidth="1"/>
    <col min="8" max="8" width="12.42578125" bestFit="1" customWidth="1"/>
    <col min="9" max="9" width="20.42578125" customWidth="1"/>
    <col min="10" max="11" width="14.85546875" bestFit="1" customWidth="1"/>
    <col min="12" max="12" width="11.42578125" bestFit="1" customWidth="1"/>
    <col min="13" max="13" width="15.5703125" bestFit="1" customWidth="1"/>
    <col min="14" max="14" width="21.7109375" bestFit="1" customWidth="1"/>
    <col min="15" max="15" width="19" bestFit="1" customWidth="1"/>
    <col min="16" max="16" width="15.5703125" bestFit="1" customWidth="1"/>
    <col min="17" max="17" width="21.5703125" bestFit="1" customWidth="1"/>
    <col min="18" max="18" width="15.42578125" bestFit="1" customWidth="1"/>
    <col min="19" max="19" width="11.7109375" bestFit="1" customWidth="1"/>
    <col min="20" max="20" width="21.5703125" bestFit="1" customWidth="1"/>
    <col min="21" max="21" width="19" bestFit="1" customWidth="1"/>
    <col min="22" max="23" width="9.5703125" bestFit="1" customWidth="1"/>
  </cols>
  <sheetData>
    <row r="1" spans="2:20" ht="13.5" thickBot="1"/>
    <row r="2" spans="2:20" ht="13.5" thickBot="1">
      <c r="B2" s="40" t="s">
        <v>27</v>
      </c>
      <c r="C2" s="256" t="s">
        <v>55</v>
      </c>
      <c r="D2" s="257"/>
      <c r="F2" s="102" t="s">
        <v>28</v>
      </c>
      <c r="G2" s="104" t="s">
        <v>29</v>
      </c>
      <c r="H2" s="104" t="s">
        <v>31</v>
      </c>
      <c r="I2" s="104" t="s">
        <v>32</v>
      </c>
      <c r="J2" s="104" t="s">
        <v>56</v>
      </c>
      <c r="K2" s="106" t="s">
        <v>57</v>
      </c>
      <c r="M2" s="13"/>
      <c r="O2" s="13"/>
      <c r="P2" s="13"/>
      <c r="Q2" s="13"/>
      <c r="R2" s="15"/>
      <c r="S2" s="15"/>
      <c r="T2" s="15"/>
    </row>
    <row r="3" spans="2:20" ht="15">
      <c r="B3" s="204" t="s">
        <v>18</v>
      </c>
      <c r="C3" s="243" t="s">
        <v>4</v>
      </c>
      <c r="D3" s="206">
        <v>0.9</v>
      </c>
      <c r="F3" s="103"/>
      <c r="G3" s="212"/>
      <c r="H3" s="212"/>
      <c r="I3" s="212"/>
      <c r="J3" s="212"/>
      <c r="K3" s="213"/>
      <c r="M3" s="13"/>
      <c r="O3" s="13"/>
      <c r="P3" s="13"/>
      <c r="Q3" s="13"/>
      <c r="R3" s="15"/>
      <c r="S3" s="15"/>
      <c r="T3" s="15"/>
    </row>
    <row r="4" spans="2:20" ht="15">
      <c r="B4" s="201" t="s">
        <v>19</v>
      </c>
      <c r="C4" s="244" t="s">
        <v>5</v>
      </c>
      <c r="D4" s="207">
        <f>_xlfn.NORM.S.INV(D3+(1-D3)/2)</f>
        <v>1.6448536269514715</v>
      </c>
      <c r="F4" s="103">
        <v>1</v>
      </c>
      <c r="G4" s="100">
        <v>200</v>
      </c>
      <c r="H4" s="177">
        <f>G4/$G$7</f>
        <v>5.4054054054054057E-2</v>
      </c>
      <c r="I4" s="101">
        <v>300</v>
      </c>
      <c r="J4" s="218">
        <f>(G4*I4/($G$4*$I$4+$G$5*$I$5+$G$6*$I$6))*$D$7</f>
        <v>141.90264987523531</v>
      </c>
      <c r="K4" s="219">
        <f>J4/$J$7</f>
        <v>0.13043478260869565</v>
      </c>
      <c r="M4" s="13"/>
      <c r="O4" s="13"/>
      <c r="P4" s="13"/>
      <c r="Q4" s="13"/>
      <c r="S4" s="16"/>
      <c r="T4" s="16"/>
    </row>
    <row r="5" spans="2:20">
      <c r="B5" s="42" t="s">
        <v>2</v>
      </c>
      <c r="C5" s="245" t="s">
        <v>9</v>
      </c>
      <c r="D5" s="99">
        <v>5</v>
      </c>
      <c r="F5" s="103">
        <v>2</v>
      </c>
      <c r="G5" s="100">
        <v>500</v>
      </c>
      <c r="H5" s="177">
        <f t="shared" ref="H5:H6" si="0">G5/$G$7</f>
        <v>0.13513513513513514</v>
      </c>
      <c r="I5" s="101">
        <v>200</v>
      </c>
      <c r="J5" s="218">
        <f t="shared" ref="J5:J6" si="1">(G5*I5/($G$4*$I$4+$G$5*$I$5+$G$6*$I$6))*$D$7</f>
        <v>236.50441645872553</v>
      </c>
      <c r="K5" s="219">
        <f>J5/$J$7</f>
        <v>0.21739130434782608</v>
      </c>
      <c r="M5" s="13"/>
      <c r="O5" s="13"/>
      <c r="P5" s="13"/>
      <c r="Q5" s="13"/>
      <c r="S5" s="16"/>
      <c r="T5" s="16"/>
    </row>
    <row r="6" spans="2:20" ht="13.5" thickBot="1">
      <c r="B6" s="43" t="s">
        <v>26</v>
      </c>
      <c r="C6" s="224" t="s">
        <v>13</v>
      </c>
      <c r="D6" s="215">
        <f>G7</f>
        <v>3700</v>
      </c>
      <c r="F6" s="103">
        <v>3</v>
      </c>
      <c r="G6" s="100">
        <v>3000</v>
      </c>
      <c r="H6" s="177">
        <f t="shared" si="0"/>
        <v>0.81081081081081086</v>
      </c>
      <c r="I6" s="101">
        <v>100</v>
      </c>
      <c r="J6" s="218">
        <f t="shared" si="1"/>
        <v>709.51324937617653</v>
      </c>
      <c r="K6" s="219">
        <f t="shared" ref="K6" si="2">J6/$J$7</f>
        <v>0.65217391304347827</v>
      </c>
      <c r="M6" s="13"/>
      <c r="O6" s="13"/>
      <c r="P6" s="13"/>
      <c r="Q6" s="13"/>
      <c r="S6" s="16"/>
      <c r="T6" s="16"/>
    </row>
    <row r="7" spans="2:20" ht="13.5" thickBot="1">
      <c r="B7" s="44" t="s">
        <v>16</v>
      </c>
      <c r="C7" s="5" t="s">
        <v>6</v>
      </c>
      <c r="D7" s="8">
        <f>(((G4*(I4))+(G5*(I5))+(G6*(I6)))^2)/(((D6^2)*((D5/D4)^2))+(((G4*(I4^2))+(G5*(I5^2))+(G6*(I6^2)))))</f>
        <v>1087.9203157101374</v>
      </c>
      <c r="F7" s="102" t="s">
        <v>34</v>
      </c>
      <c r="G7" s="107">
        <f>SUM(G4:G6)</f>
        <v>3700</v>
      </c>
      <c r="H7" s="107">
        <v>1</v>
      </c>
      <c r="I7" s="108"/>
      <c r="J7" s="110">
        <f>SUM(J4:J6)</f>
        <v>1087.9203157101374</v>
      </c>
      <c r="K7" s="111"/>
      <c r="M7" s="13"/>
      <c r="O7" s="14"/>
      <c r="P7" s="14"/>
      <c r="Q7" s="14"/>
      <c r="S7" s="16"/>
      <c r="T7" s="16"/>
    </row>
    <row r="8" spans="2:20">
      <c r="S8" s="17"/>
      <c r="T8" s="17"/>
    </row>
    <row r="9" spans="2:20">
      <c r="G9" s="4"/>
      <c r="H9" s="4"/>
      <c r="I9" s="4"/>
    </row>
    <row r="10" spans="2:20">
      <c r="B10" s="12" t="s">
        <v>12</v>
      </c>
    </row>
    <row r="11" spans="2:20">
      <c r="B11" s="11" t="s">
        <v>16</v>
      </c>
    </row>
    <row r="13" spans="2:20">
      <c r="O13" s="3"/>
    </row>
    <row r="14" spans="2:20">
      <c r="F14" s="112"/>
      <c r="G14" s="112"/>
      <c r="H14" s="112"/>
      <c r="I14" s="112"/>
      <c r="J14" s="112"/>
      <c r="K14" s="112"/>
      <c r="L14" s="112"/>
      <c r="O14" s="3"/>
    </row>
  </sheetData>
  <mergeCells count="1">
    <mergeCell ref="C2:D2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61"/>
  <sheetViews>
    <sheetView showGridLines="0" zoomScaleNormal="100" workbookViewId="0">
      <selection activeCell="H4" sqref="H4"/>
    </sheetView>
  </sheetViews>
  <sheetFormatPr defaultRowHeight="12.75"/>
  <cols>
    <col min="1" max="1" width="5.28515625" customWidth="1"/>
    <col min="2" max="2" width="26.42578125" customWidth="1"/>
    <col min="3" max="3" width="12.42578125" customWidth="1"/>
    <col min="4" max="4" width="10.5703125" customWidth="1"/>
    <col min="5" max="5" width="13.28515625" customWidth="1"/>
    <col min="6" max="6" width="22.140625" customWidth="1"/>
    <col min="7" max="7" width="8" customWidth="1"/>
    <col min="8" max="8" width="12.42578125" bestFit="1" customWidth="1"/>
    <col min="9" max="9" width="20.42578125" customWidth="1"/>
    <col min="10" max="11" width="14.85546875" bestFit="1" customWidth="1"/>
    <col min="12" max="12" width="11.42578125" bestFit="1" customWidth="1"/>
    <col min="13" max="13" width="15.5703125" bestFit="1" customWidth="1"/>
    <col min="14" max="14" width="21.7109375" bestFit="1" customWidth="1"/>
    <col min="15" max="15" width="19" bestFit="1" customWidth="1"/>
    <col min="16" max="16" width="15.5703125" bestFit="1" customWidth="1"/>
    <col min="17" max="17" width="21.5703125" bestFit="1" customWidth="1"/>
    <col min="18" max="18" width="15.42578125" bestFit="1" customWidth="1"/>
    <col min="19" max="19" width="11.7109375" bestFit="1" customWidth="1"/>
    <col min="20" max="20" width="21.5703125" bestFit="1" customWidth="1"/>
    <col min="21" max="21" width="19" bestFit="1" customWidth="1"/>
    <col min="22" max="23" width="9.5703125" bestFit="1" customWidth="1"/>
  </cols>
  <sheetData>
    <row r="1" spans="2:20" ht="13.5" thickBot="1"/>
    <row r="2" spans="2:20" ht="13.5" thickBot="1">
      <c r="B2" s="40" t="s">
        <v>27</v>
      </c>
      <c r="C2" s="256" t="s">
        <v>52</v>
      </c>
      <c r="D2" s="257"/>
      <c r="F2" s="102" t="s">
        <v>28</v>
      </c>
      <c r="G2" s="104" t="s">
        <v>29</v>
      </c>
      <c r="H2" s="104" t="s">
        <v>31</v>
      </c>
      <c r="I2" s="104" t="s">
        <v>32</v>
      </c>
      <c r="J2" s="104" t="s">
        <v>53</v>
      </c>
      <c r="K2" s="106" t="s">
        <v>54</v>
      </c>
      <c r="M2" s="13"/>
      <c r="O2" s="13"/>
      <c r="P2" s="13"/>
      <c r="Q2" s="13"/>
      <c r="R2" s="15"/>
      <c r="S2" s="15"/>
      <c r="T2" s="15"/>
    </row>
    <row r="3" spans="2:20" ht="15">
      <c r="B3" s="204" t="s">
        <v>18</v>
      </c>
      <c r="C3" s="243" t="s">
        <v>4</v>
      </c>
      <c r="D3" s="206">
        <v>0.95</v>
      </c>
      <c r="F3" s="103"/>
      <c r="G3" s="212"/>
      <c r="H3" s="212"/>
      <c r="I3" s="212"/>
      <c r="J3" s="212"/>
      <c r="K3" s="213"/>
      <c r="M3" s="13"/>
      <c r="O3" s="13"/>
      <c r="P3" s="13"/>
      <c r="Q3" s="13"/>
      <c r="R3" s="15"/>
      <c r="S3" s="15"/>
      <c r="T3" s="15"/>
    </row>
    <row r="4" spans="2:20" ht="15">
      <c r="B4" s="201" t="s">
        <v>19</v>
      </c>
      <c r="C4" s="244" t="s">
        <v>5</v>
      </c>
      <c r="D4" s="226">
        <f>_xlfn.NORM.S.INV(D3+(1-D3)/2)</f>
        <v>1.9599639845400536</v>
      </c>
      <c r="F4" s="250">
        <v>1</v>
      </c>
      <c r="G4" s="100">
        <v>1000</v>
      </c>
      <c r="H4" s="177">
        <f>G4/$G$7</f>
        <v>0.16666666666666666</v>
      </c>
      <c r="I4" s="101">
        <v>100</v>
      </c>
      <c r="J4" s="218">
        <f>(G4/$G$7)*$D$7</f>
        <v>104.36338557003754</v>
      </c>
      <c r="K4" s="219">
        <f>J4/$J$7</f>
        <v>0.16666666666666666</v>
      </c>
      <c r="M4" s="13"/>
      <c r="O4" s="13"/>
      <c r="P4" s="13"/>
      <c r="Q4" s="13"/>
      <c r="S4" s="16"/>
      <c r="T4" s="16"/>
    </row>
    <row r="5" spans="2:20">
      <c r="B5" s="42" t="s">
        <v>2</v>
      </c>
      <c r="C5" s="245" t="s">
        <v>9</v>
      </c>
      <c r="D5" s="99">
        <v>5</v>
      </c>
      <c r="F5" s="250">
        <v>2</v>
      </c>
      <c r="G5" s="100">
        <v>2000</v>
      </c>
      <c r="H5" s="177">
        <f t="shared" ref="H5:H6" si="0">G5/$G$7</f>
        <v>0.33333333333333331</v>
      </c>
      <c r="I5" s="101">
        <v>70</v>
      </c>
      <c r="J5" s="218">
        <f t="shared" ref="J5:J6" si="1">(G5/$G$7)*$D$7</f>
        <v>208.72677114007507</v>
      </c>
      <c r="K5" s="219">
        <f t="shared" ref="K5:K6" si="2">J5/$J$7</f>
        <v>0.33333333333333331</v>
      </c>
      <c r="M5" s="13"/>
      <c r="O5" s="13"/>
      <c r="P5" s="13"/>
      <c r="Q5" s="13"/>
      <c r="S5" s="16"/>
      <c r="T5" s="16"/>
    </row>
    <row r="6" spans="2:20" ht="13.5" thickBot="1">
      <c r="B6" s="43" t="s">
        <v>26</v>
      </c>
      <c r="C6" s="224" t="s">
        <v>13</v>
      </c>
      <c r="D6" s="227">
        <f>G7</f>
        <v>6000</v>
      </c>
      <c r="F6" s="250">
        <v>3</v>
      </c>
      <c r="G6" s="100">
        <v>3000</v>
      </c>
      <c r="H6" s="177">
        <f t="shared" si="0"/>
        <v>0.5</v>
      </c>
      <c r="I6" s="101">
        <v>50</v>
      </c>
      <c r="J6" s="218">
        <f t="shared" si="1"/>
        <v>313.09015671011264</v>
      </c>
      <c r="K6" s="219">
        <f t="shared" si="2"/>
        <v>0.5</v>
      </c>
      <c r="M6" s="13"/>
      <c r="O6" s="13"/>
      <c r="P6" s="13"/>
      <c r="Q6" s="13"/>
      <c r="S6" s="16"/>
      <c r="T6" s="16"/>
    </row>
    <row r="7" spans="2:20" ht="13.5" thickBot="1">
      <c r="B7" s="44" t="s">
        <v>16</v>
      </c>
      <c r="C7" s="5" t="s">
        <v>6</v>
      </c>
      <c r="D7" s="8">
        <f>(D6*((G4*(I4^2))+(G5*(I5^2))+(G6*(I6^2))))/(((D6^2)*((D5/D4)^2))+(((G4*(I4^2))+(G5*(I5^2))+(G6*(I6^2)))))</f>
        <v>626.18031342022527</v>
      </c>
      <c r="F7" s="102" t="s">
        <v>34</v>
      </c>
      <c r="G7" s="107">
        <f>SUM(G4:G6)</f>
        <v>6000</v>
      </c>
      <c r="H7" s="107">
        <v>1</v>
      </c>
      <c r="I7" s="108"/>
      <c r="J7" s="110">
        <f>SUM(J4:J6)</f>
        <v>626.18031342022527</v>
      </c>
      <c r="K7" s="111"/>
      <c r="M7" s="13"/>
      <c r="O7" s="14"/>
      <c r="P7" s="14"/>
      <c r="Q7" s="14"/>
      <c r="S7" s="16"/>
      <c r="T7" s="16"/>
    </row>
    <row r="8" spans="2:20">
      <c r="S8" s="17"/>
      <c r="T8" s="17"/>
    </row>
    <row r="9" spans="2:20">
      <c r="G9" s="4"/>
      <c r="H9" s="4"/>
      <c r="I9" s="4"/>
    </row>
    <row r="10" spans="2:20">
      <c r="B10" s="12" t="s">
        <v>12</v>
      </c>
    </row>
    <row r="11" spans="2:20">
      <c r="B11" s="11" t="s">
        <v>16</v>
      </c>
    </row>
    <row r="13" spans="2:20">
      <c r="O13" s="3"/>
    </row>
    <row r="14" spans="2:20">
      <c r="F14" s="112"/>
      <c r="G14" s="112"/>
      <c r="H14" s="112"/>
      <c r="I14" s="112"/>
      <c r="J14" s="112"/>
      <c r="K14" s="112"/>
      <c r="L14" s="112"/>
      <c r="O14" s="3"/>
    </row>
    <row r="26" spans="1:14" ht="22.5">
      <c r="A26" s="258" t="s">
        <v>58</v>
      </c>
      <c r="B26" s="258"/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  <c r="N26" s="258"/>
    </row>
    <row r="28" spans="1:14">
      <c r="B28" s="179">
        <f>D7</f>
        <v>626.18031342022527</v>
      </c>
    </row>
    <row r="30" spans="1:14" ht="22.5">
      <c r="A30" s="258" t="s">
        <v>59</v>
      </c>
      <c r="B30" s="258"/>
      <c r="C30" s="258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</row>
    <row r="31" spans="1:14" ht="13.5" thickBot="1"/>
    <row r="32" spans="1:14" ht="13.5" thickBot="1">
      <c r="B32" s="102" t="s">
        <v>28</v>
      </c>
      <c r="C32" s="178" t="s">
        <v>60</v>
      </c>
    </row>
    <row r="33" spans="1:14" ht="16.5">
      <c r="B33" s="184" t="s">
        <v>46</v>
      </c>
      <c r="C33" s="195">
        <f>J4</f>
        <v>104.36338557003754</v>
      </c>
    </row>
    <row r="34" spans="1:14" ht="16.5">
      <c r="B34" s="186" t="s">
        <v>47</v>
      </c>
      <c r="C34" s="195">
        <f t="shared" ref="C34:C35" si="3">J5</f>
        <v>208.72677114007507</v>
      </c>
    </row>
    <row r="35" spans="1:14" ht="17.25" thickBot="1">
      <c r="B35" s="187" t="s">
        <v>48</v>
      </c>
      <c r="C35" s="195">
        <f t="shared" si="3"/>
        <v>313.09015671011264</v>
      </c>
    </row>
    <row r="36" spans="1:14" ht="13.5" thickBot="1">
      <c r="B36" s="102" t="s">
        <v>34</v>
      </c>
      <c r="C36" s="196">
        <f>J7</f>
        <v>626.18031342022527</v>
      </c>
    </row>
    <row r="37" spans="1:14">
      <c r="C37" s="190"/>
    </row>
    <row r="38" spans="1:14" ht="20.25" customHeight="1">
      <c r="A38" s="259" t="s">
        <v>61</v>
      </c>
      <c r="B38" s="259"/>
      <c r="C38" s="259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</row>
    <row r="39" spans="1:14">
      <c r="A39" s="259"/>
      <c r="B39" s="259"/>
      <c r="C39" s="259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</row>
    <row r="40" spans="1:14">
      <c r="A40" s="259"/>
      <c r="B40" s="259"/>
      <c r="C40" s="259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</row>
    <row r="41" spans="1:14" s="37" customFormat="1" ht="21" thickBot="1">
      <c r="A41" s="180"/>
      <c r="B41" s="180"/>
      <c r="C41" s="180"/>
      <c r="D41" s="180"/>
      <c r="E41" s="180"/>
      <c r="F41" s="180"/>
      <c r="G41"/>
      <c r="H41"/>
      <c r="I41"/>
      <c r="J41" s="180"/>
      <c r="K41" s="180"/>
      <c r="L41" s="180"/>
      <c r="M41" s="180"/>
      <c r="N41" s="180"/>
    </row>
    <row r="42" spans="1:14" s="37" customFormat="1" ht="21" thickBot="1">
      <c r="A42" s="180"/>
      <c r="B42" s="102" t="s">
        <v>28</v>
      </c>
      <c r="C42" s="104" t="s">
        <v>29</v>
      </c>
      <c r="D42" s="106" t="s">
        <v>31</v>
      </c>
      <c r="E42" s="147" t="s">
        <v>38</v>
      </c>
      <c r="F42" s="147" t="s">
        <v>37</v>
      </c>
      <c r="G42"/>
      <c r="H42"/>
      <c r="I42"/>
    </row>
    <row r="43" spans="1:14" s="37" customFormat="1" ht="20.25">
      <c r="A43" s="180"/>
      <c r="B43" s="184" t="s">
        <v>46</v>
      </c>
      <c r="C43" s="100">
        <f t="shared" ref="C43:D45" si="4">G4</f>
        <v>1000</v>
      </c>
      <c r="D43" s="181">
        <f t="shared" si="4"/>
        <v>0.16666666666666666</v>
      </c>
      <c r="E43" s="148">
        <v>5000</v>
      </c>
      <c r="F43" s="185">
        <f>J4</f>
        <v>104.36338557003754</v>
      </c>
      <c r="G43"/>
      <c r="H43"/>
      <c r="I43"/>
    </row>
    <row r="44" spans="1:14" s="37" customFormat="1" ht="20.25">
      <c r="A44" s="180"/>
      <c r="B44" s="186" t="s">
        <v>47</v>
      </c>
      <c r="C44" s="100">
        <f t="shared" si="4"/>
        <v>2000</v>
      </c>
      <c r="D44" s="181">
        <f t="shared" si="4"/>
        <v>0.33333333333333331</v>
      </c>
      <c r="E44" s="148">
        <v>1700</v>
      </c>
      <c r="F44" s="185">
        <f t="shared" ref="F44:F45" si="5">J5</f>
        <v>208.72677114007507</v>
      </c>
      <c r="G44"/>
      <c r="H44"/>
      <c r="I44"/>
    </row>
    <row r="45" spans="1:14" s="37" customFormat="1" ht="21" thickBot="1">
      <c r="A45" s="180"/>
      <c r="B45" s="187" t="s">
        <v>48</v>
      </c>
      <c r="C45" s="152">
        <f t="shared" si="4"/>
        <v>3000</v>
      </c>
      <c r="D45" s="182">
        <f t="shared" si="4"/>
        <v>0.5</v>
      </c>
      <c r="E45" s="149">
        <v>700</v>
      </c>
      <c r="F45" s="185">
        <f t="shared" si="5"/>
        <v>313.09015671011264</v>
      </c>
      <c r="G45"/>
      <c r="H45"/>
      <c r="I45"/>
      <c r="K45" s="16"/>
      <c r="L45" s="16"/>
      <c r="M45"/>
      <c r="N45"/>
    </row>
    <row r="46" spans="1:14" ht="13.5" thickBot="1">
      <c r="B46" s="102" t="s">
        <v>34</v>
      </c>
      <c r="C46" s="107">
        <f>SUM(C43:C45)</f>
        <v>6000</v>
      </c>
      <c r="D46" s="124">
        <v>1</v>
      </c>
      <c r="E46" s="146">
        <f>E43*D43+D44*E44+D45*E45</f>
        <v>1750</v>
      </c>
      <c r="F46" s="183">
        <f>SUM(F43:F45)</f>
        <v>626.18031342022527</v>
      </c>
      <c r="K46" s="16"/>
      <c r="L46" s="16"/>
    </row>
    <row r="52" spans="1:14" ht="22.5">
      <c r="A52" s="258" t="s">
        <v>62</v>
      </c>
      <c r="B52" s="258"/>
      <c r="C52" s="258"/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</row>
    <row r="56" spans="1:14" ht="13.5" thickBot="1"/>
    <row r="57" spans="1:14" ht="13.5" thickBot="1">
      <c r="B57" s="102" t="s">
        <v>28</v>
      </c>
      <c r="C57" s="104" t="s">
        <v>29</v>
      </c>
      <c r="D57" s="106" t="s">
        <v>31</v>
      </c>
      <c r="E57" s="147" t="s">
        <v>38</v>
      </c>
      <c r="F57" s="147" t="s">
        <v>37</v>
      </c>
      <c r="G57" s="147" t="s">
        <v>42</v>
      </c>
      <c r="H57" s="128" t="s">
        <v>43</v>
      </c>
      <c r="I57" s="15"/>
      <c r="J57" s="157" t="s">
        <v>44</v>
      </c>
      <c r="K57" s="157">
        <v>1.96</v>
      </c>
      <c r="L57" s="191" t="s">
        <v>51</v>
      </c>
      <c r="M57" s="192">
        <f>E61-(K57*K58)</f>
        <v>1744.3589234394567</v>
      </c>
    </row>
    <row r="58" spans="1:14" ht="16.5">
      <c r="B58" s="167" t="s">
        <v>46</v>
      </c>
      <c r="C58" s="150">
        <f>C43</f>
        <v>1000</v>
      </c>
      <c r="D58" s="181">
        <f>D43</f>
        <v>0.16666666666666666</v>
      </c>
      <c r="E58" s="148">
        <v>5000</v>
      </c>
      <c r="F58" s="150">
        <f>F43</f>
        <v>104.36338557003754</v>
      </c>
      <c r="G58" s="155">
        <v>120</v>
      </c>
      <c r="H58" s="129">
        <f>((D58)^2)*((G58^2)/F58)*((C58-F58)/(C58-1))</f>
        <v>3.4361980216744996</v>
      </c>
      <c r="J58" s="188" t="s">
        <v>40</v>
      </c>
      <c r="K58" s="188">
        <f>I61</f>
        <v>2.8781002859914406</v>
      </c>
      <c r="L58" s="112"/>
      <c r="M58" s="192">
        <f>E61+(K57*K58)</f>
        <v>1755.6410765605433</v>
      </c>
    </row>
    <row r="59" spans="1:14" ht="17.25" thickBot="1">
      <c r="B59" s="168" t="s">
        <v>47</v>
      </c>
      <c r="C59" s="150">
        <f t="shared" ref="C59:D59" si="6">C44</f>
        <v>2000</v>
      </c>
      <c r="D59" s="181">
        <f t="shared" si="6"/>
        <v>0.33333333333333331</v>
      </c>
      <c r="E59" s="148">
        <v>1700</v>
      </c>
      <c r="F59" s="150">
        <f t="shared" ref="F59:F60" si="7">F44</f>
        <v>208.72677114007507</v>
      </c>
      <c r="G59" s="155">
        <v>75</v>
      </c>
      <c r="H59" s="130">
        <f>((D59)^2)*((G59^2)/F59)*((C59-F59)/(C59-1))</f>
        <v>2.6831867681128259</v>
      </c>
      <c r="J59" s="188" t="s">
        <v>9</v>
      </c>
      <c r="K59" s="189">
        <f>K57*K58</f>
        <v>5.6410765605432234</v>
      </c>
      <c r="L59" s="16"/>
    </row>
    <row r="60" spans="1:14" ht="17.25" thickBot="1">
      <c r="B60" s="169" t="s">
        <v>48</v>
      </c>
      <c r="C60" s="150">
        <f t="shared" ref="C60:D60" si="8">C45</f>
        <v>3000</v>
      </c>
      <c r="D60" s="182">
        <f t="shared" si="8"/>
        <v>0.5</v>
      </c>
      <c r="E60" s="149">
        <v>700</v>
      </c>
      <c r="F60" s="150">
        <f t="shared" si="7"/>
        <v>313.09015671011264</v>
      </c>
      <c r="G60" s="156">
        <v>55</v>
      </c>
      <c r="H60" s="117">
        <f>((D60)^2)*((G60^2)/F60)*((C60-F60)/(C60-1))</f>
        <v>2.1640764664366858</v>
      </c>
      <c r="I60" s="193" t="s">
        <v>49</v>
      </c>
      <c r="J60" s="37"/>
      <c r="K60" s="16"/>
      <c r="L60" s="16"/>
    </row>
    <row r="61" spans="1:14" ht="13.5" thickBot="1">
      <c r="B61" s="102" t="s">
        <v>34</v>
      </c>
      <c r="C61" s="107">
        <f t="shared" ref="C61:D61" si="9">C46</f>
        <v>6000</v>
      </c>
      <c r="D61" s="124">
        <f t="shared" si="9"/>
        <v>1</v>
      </c>
      <c r="E61" s="146">
        <v>1750</v>
      </c>
      <c r="F61" s="183">
        <f>F46</f>
        <v>626.18031342022527</v>
      </c>
      <c r="H61" s="118">
        <f>SUM(H58:H60)</f>
        <v>8.2834612562240117</v>
      </c>
      <c r="I61" s="197">
        <f>SQRT(H61)</f>
        <v>2.8781002859914406</v>
      </c>
      <c r="K61" s="16"/>
      <c r="L61" s="16"/>
    </row>
  </sheetData>
  <mergeCells count="5">
    <mergeCell ref="A26:N26"/>
    <mergeCell ref="A30:N30"/>
    <mergeCell ref="A38:N40"/>
    <mergeCell ref="A52:N52"/>
    <mergeCell ref="C2:D2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61"/>
  <sheetViews>
    <sheetView showGridLines="0" zoomScaleNormal="100" workbookViewId="0">
      <selection activeCell="F4" sqref="F4:F6"/>
    </sheetView>
  </sheetViews>
  <sheetFormatPr defaultRowHeight="12.75"/>
  <cols>
    <col min="1" max="1" width="5.28515625" customWidth="1"/>
    <col min="2" max="2" width="26.42578125" customWidth="1"/>
    <col min="3" max="3" width="12.42578125" customWidth="1"/>
    <col min="4" max="4" width="10.5703125" customWidth="1"/>
    <col min="5" max="5" width="13.28515625" customWidth="1"/>
    <col min="6" max="6" width="22.140625" customWidth="1"/>
    <col min="7" max="7" width="8" customWidth="1"/>
    <col min="8" max="8" width="12.42578125" bestFit="1" customWidth="1"/>
    <col min="9" max="9" width="20.42578125" customWidth="1"/>
    <col min="10" max="11" width="14.85546875" bestFit="1" customWidth="1"/>
    <col min="12" max="12" width="11.42578125" bestFit="1" customWidth="1"/>
    <col min="13" max="13" width="15.5703125" bestFit="1" customWidth="1"/>
    <col min="14" max="14" width="21.7109375" bestFit="1" customWidth="1"/>
    <col min="15" max="15" width="19" bestFit="1" customWidth="1"/>
    <col min="16" max="16" width="15.5703125" bestFit="1" customWidth="1"/>
    <col min="17" max="17" width="21.5703125" bestFit="1" customWidth="1"/>
    <col min="18" max="18" width="15.42578125" bestFit="1" customWidth="1"/>
    <col min="19" max="19" width="11.7109375" bestFit="1" customWidth="1"/>
    <col min="20" max="20" width="21.5703125" bestFit="1" customWidth="1"/>
    <col min="21" max="21" width="19" bestFit="1" customWidth="1"/>
    <col min="22" max="23" width="9.5703125" bestFit="1" customWidth="1"/>
  </cols>
  <sheetData>
    <row r="1" spans="2:20" ht="13.5" thickBot="1"/>
    <row r="2" spans="2:20" ht="13.5" thickBot="1">
      <c r="B2" s="40" t="s">
        <v>27</v>
      </c>
      <c r="C2" s="256" t="s">
        <v>55</v>
      </c>
      <c r="D2" s="257"/>
      <c r="F2" s="102" t="s">
        <v>28</v>
      </c>
      <c r="G2" s="104" t="s">
        <v>29</v>
      </c>
      <c r="H2" s="104" t="s">
        <v>31</v>
      </c>
      <c r="I2" s="104" t="s">
        <v>32</v>
      </c>
      <c r="J2" s="104" t="s">
        <v>56</v>
      </c>
      <c r="K2" s="106" t="s">
        <v>57</v>
      </c>
      <c r="M2" s="13"/>
      <c r="O2" s="13"/>
      <c r="P2" s="13"/>
      <c r="Q2" s="13"/>
      <c r="R2" s="15"/>
      <c r="S2" s="15"/>
      <c r="T2" s="15"/>
    </row>
    <row r="3" spans="2:20" ht="15">
      <c r="B3" s="204" t="s">
        <v>18</v>
      </c>
      <c r="C3" s="243" t="s">
        <v>4</v>
      </c>
      <c r="D3" s="206">
        <v>0.95</v>
      </c>
      <c r="F3" s="103"/>
      <c r="G3" s="212"/>
      <c r="H3" s="212"/>
      <c r="I3" s="212"/>
      <c r="J3" s="212"/>
      <c r="K3" s="213"/>
      <c r="M3" s="13"/>
      <c r="O3" s="13"/>
      <c r="P3" s="13"/>
      <c r="Q3" s="13"/>
      <c r="R3" s="15"/>
      <c r="S3" s="15"/>
      <c r="T3" s="15"/>
    </row>
    <row r="4" spans="2:20" ht="15">
      <c r="B4" s="201" t="s">
        <v>19</v>
      </c>
      <c r="C4" s="244" t="s">
        <v>5</v>
      </c>
      <c r="D4" s="207">
        <f>_xlfn.NORM.S.INV(D3+(1-D3)/2)</f>
        <v>1.9599639845400536</v>
      </c>
      <c r="F4" s="250">
        <v>1</v>
      </c>
      <c r="G4" s="100">
        <v>1000</v>
      </c>
      <c r="H4" s="177">
        <f>G4/$G$7</f>
        <v>0.16666666666666666</v>
      </c>
      <c r="I4" s="101">
        <v>100</v>
      </c>
      <c r="J4" s="218">
        <f>(G4*I4/($G$4*$I$4+$G$5*$I$5+$G$6*$I$6))*$D$7</f>
        <v>149.09055081433934</v>
      </c>
      <c r="K4" s="219">
        <f>J4/$J$7</f>
        <v>0.25641025641025639</v>
      </c>
      <c r="M4" s="13"/>
      <c r="O4" s="13"/>
      <c r="P4" s="13"/>
      <c r="Q4" s="13"/>
      <c r="S4" s="16"/>
      <c r="T4" s="16"/>
    </row>
    <row r="5" spans="2:20">
      <c r="B5" s="42" t="s">
        <v>2</v>
      </c>
      <c r="C5" s="245" t="s">
        <v>9</v>
      </c>
      <c r="D5" s="99">
        <v>5</v>
      </c>
      <c r="F5" s="250">
        <v>2</v>
      </c>
      <c r="G5" s="100">
        <v>2000</v>
      </c>
      <c r="H5" s="177">
        <f t="shared" ref="H5:H6" si="0">G5/$G$7</f>
        <v>0.33333333333333331</v>
      </c>
      <c r="I5" s="101">
        <v>70</v>
      </c>
      <c r="J5" s="218">
        <f t="shared" ref="J5:J6" si="1">(G5*I5/($G$4*$I$4+$G$5*$I$5+$G$6*$I$6))*$D$7</f>
        <v>208.7267711400751</v>
      </c>
      <c r="K5" s="219">
        <f t="shared" ref="K5:K6" si="2">J5/$J$7</f>
        <v>0.35897435897435898</v>
      </c>
      <c r="M5" s="13"/>
      <c r="O5" s="13"/>
      <c r="P5" s="13"/>
      <c r="Q5" s="13"/>
      <c r="S5" s="16"/>
      <c r="T5" s="16"/>
    </row>
    <row r="6" spans="2:20" ht="13.5" thickBot="1">
      <c r="B6" s="43" t="s">
        <v>26</v>
      </c>
      <c r="C6" s="224" t="s">
        <v>13</v>
      </c>
      <c r="D6" s="215">
        <f>G7</f>
        <v>6000</v>
      </c>
      <c r="F6" s="250">
        <v>3</v>
      </c>
      <c r="G6" s="100">
        <v>3000</v>
      </c>
      <c r="H6" s="177">
        <f t="shared" si="0"/>
        <v>0.5</v>
      </c>
      <c r="I6" s="101">
        <v>50</v>
      </c>
      <c r="J6" s="218">
        <f t="shared" si="1"/>
        <v>223.63582622150906</v>
      </c>
      <c r="K6" s="219">
        <f t="shared" si="2"/>
        <v>0.38461538461538464</v>
      </c>
      <c r="M6" s="13"/>
      <c r="O6" s="13"/>
      <c r="P6" s="13"/>
      <c r="Q6" s="13"/>
      <c r="S6" s="16"/>
      <c r="T6" s="16"/>
    </row>
    <row r="7" spans="2:20" ht="13.5" thickBot="1">
      <c r="B7" s="44" t="s">
        <v>16</v>
      </c>
      <c r="C7" s="251" t="s">
        <v>6</v>
      </c>
      <c r="D7" s="8">
        <f>(((G4*(I4))+(G5*(I5))+(G6*(I6)))^2)/(((D6^2)*((D5/D4)^2))+(((G4*(I4^2))+(G5*(I5^2))+(G6*(I6^2)))))</f>
        <v>581.4531481759235</v>
      </c>
      <c r="F7" s="102" t="s">
        <v>34</v>
      </c>
      <c r="G7" s="107">
        <f>SUM(G4:G6)</f>
        <v>6000</v>
      </c>
      <c r="H7" s="107">
        <v>1</v>
      </c>
      <c r="I7" s="108"/>
      <c r="J7" s="110">
        <f>SUM(J4:J6)</f>
        <v>581.4531481759235</v>
      </c>
      <c r="K7" s="111"/>
      <c r="M7" s="13"/>
      <c r="O7" s="14"/>
      <c r="P7" s="14"/>
      <c r="Q7" s="14"/>
      <c r="S7" s="16"/>
      <c r="T7" s="16"/>
    </row>
    <row r="8" spans="2:20">
      <c r="S8" s="17"/>
      <c r="T8" s="17"/>
    </row>
    <row r="9" spans="2:20">
      <c r="G9" s="4"/>
      <c r="H9" s="4"/>
      <c r="I9" s="4"/>
    </row>
    <row r="10" spans="2:20">
      <c r="B10" s="12" t="s">
        <v>12</v>
      </c>
    </row>
    <row r="11" spans="2:20">
      <c r="B11" s="11" t="s">
        <v>16</v>
      </c>
    </row>
    <row r="13" spans="2:20">
      <c r="O13" s="3"/>
    </row>
    <row r="14" spans="2:20">
      <c r="F14" s="112"/>
      <c r="G14" s="112"/>
      <c r="H14" s="112"/>
      <c r="I14" s="112"/>
      <c r="J14" s="112"/>
      <c r="K14" s="112"/>
      <c r="L14" s="112"/>
      <c r="O14" s="3"/>
    </row>
    <row r="26" spans="1:14" ht="22.5">
      <c r="A26" s="258" t="s">
        <v>58</v>
      </c>
      <c r="B26" s="258"/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  <c r="N26" s="258"/>
    </row>
    <row r="28" spans="1:14">
      <c r="B28" s="179">
        <f>D7</f>
        <v>581.4531481759235</v>
      </c>
    </row>
    <row r="30" spans="1:14" ht="22.5">
      <c r="A30" s="258" t="s">
        <v>63</v>
      </c>
      <c r="B30" s="258"/>
      <c r="C30" s="258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</row>
    <row r="31" spans="1:14" ht="13.5" thickBot="1"/>
    <row r="32" spans="1:14" ht="13.5" thickBot="1">
      <c r="B32" s="102" t="s">
        <v>28</v>
      </c>
      <c r="C32" s="216" t="s">
        <v>64</v>
      </c>
    </row>
    <row r="33" spans="1:14" ht="16.5">
      <c r="B33" s="184" t="s">
        <v>46</v>
      </c>
      <c r="C33" s="217">
        <f>J4</f>
        <v>149.09055081433934</v>
      </c>
    </row>
    <row r="34" spans="1:14" ht="16.5">
      <c r="B34" s="186" t="s">
        <v>47</v>
      </c>
      <c r="C34" s="217">
        <f t="shared" ref="C34:C35" si="3">J5</f>
        <v>208.7267711400751</v>
      </c>
    </row>
    <row r="35" spans="1:14" ht="17.25" thickBot="1">
      <c r="B35" s="187" t="s">
        <v>48</v>
      </c>
      <c r="C35" s="217">
        <f t="shared" si="3"/>
        <v>223.63582622150906</v>
      </c>
    </row>
    <row r="36" spans="1:14" ht="13.5" thickBot="1">
      <c r="B36" s="102" t="s">
        <v>34</v>
      </c>
      <c r="C36" s="183">
        <f>J7</f>
        <v>581.4531481759235</v>
      </c>
    </row>
    <row r="37" spans="1:14">
      <c r="C37" s="190"/>
    </row>
    <row r="38" spans="1:14" ht="20.25" customHeight="1">
      <c r="A38" s="259" t="s">
        <v>61</v>
      </c>
      <c r="B38" s="259"/>
      <c r="C38" s="259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</row>
    <row r="39" spans="1:14">
      <c r="A39" s="259"/>
      <c r="B39" s="259"/>
      <c r="C39" s="259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</row>
    <row r="40" spans="1:14">
      <c r="A40" s="259"/>
      <c r="B40" s="259"/>
      <c r="C40" s="259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</row>
    <row r="41" spans="1:14" s="37" customFormat="1" ht="21" thickBot="1">
      <c r="A41" s="180"/>
      <c r="B41" s="180"/>
      <c r="C41" s="180"/>
      <c r="D41" s="180"/>
      <c r="E41" s="180"/>
      <c r="F41" s="180"/>
      <c r="G41"/>
      <c r="H41"/>
      <c r="I41"/>
      <c r="J41" s="180"/>
      <c r="K41" s="180"/>
      <c r="L41" s="180"/>
      <c r="M41" s="180"/>
      <c r="N41" s="180"/>
    </row>
    <row r="42" spans="1:14" s="37" customFormat="1" ht="21" thickBot="1">
      <c r="A42" s="180"/>
      <c r="B42" s="102" t="s">
        <v>28</v>
      </c>
      <c r="C42" s="104" t="s">
        <v>29</v>
      </c>
      <c r="D42" s="106" t="s">
        <v>31</v>
      </c>
      <c r="E42" s="147" t="s">
        <v>38</v>
      </c>
      <c r="F42" s="147" t="s">
        <v>37</v>
      </c>
      <c r="G42"/>
      <c r="H42"/>
      <c r="I42"/>
    </row>
    <row r="43" spans="1:14" s="37" customFormat="1" ht="20.25">
      <c r="A43" s="180"/>
      <c r="B43" s="184" t="s">
        <v>46</v>
      </c>
      <c r="C43" s="100">
        <f t="shared" ref="C43:D45" si="4">G4</f>
        <v>1000</v>
      </c>
      <c r="D43" s="181">
        <f t="shared" si="4"/>
        <v>0.16666666666666666</v>
      </c>
      <c r="E43" s="148">
        <v>5000</v>
      </c>
      <c r="F43" s="185">
        <f>J4</f>
        <v>149.09055081433934</v>
      </c>
      <c r="G43"/>
      <c r="H43"/>
      <c r="I43"/>
    </row>
    <row r="44" spans="1:14" s="37" customFormat="1" ht="20.25">
      <c r="A44" s="180"/>
      <c r="B44" s="186" t="s">
        <v>47</v>
      </c>
      <c r="C44" s="100">
        <f t="shared" si="4"/>
        <v>2000</v>
      </c>
      <c r="D44" s="181">
        <f t="shared" si="4"/>
        <v>0.33333333333333331</v>
      </c>
      <c r="E44" s="148">
        <v>1700</v>
      </c>
      <c r="F44" s="185">
        <f t="shared" ref="F44:F45" si="5">J5</f>
        <v>208.7267711400751</v>
      </c>
      <c r="G44"/>
      <c r="H44"/>
      <c r="I44"/>
    </row>
    <row r="45" spans="1:14" s="37" customFormat="1" ht="21" thickBot="1">
      <c r="A45" s="180"/>
      <c r="B45" s="187" t="s">
        <v>48</v>
      </c>
      <c r="C45" s="152">
        <f t="shared" si="4"/>
        <v>3000</v>
      </c>
      <c r="D45" s="182">
        <f t="shared" si="4"/>
        <v>0.5</v>
      </c>
      <c r="E45" s="149">
        <v>700</v>
      </c>
      <c r="F45" s="185">
        <f t="shared" si="5"/>
        <v>223.63582622150906</v>
      </c>
      <c r="G45"/>
      <c r="H45"/>
      <c r="I45"/>
      <c r="K45" s="16"/>
      <c r="L45" s="16"/>
      <c r="M45"/>
      <c r="N45"/>
    </row>
    <row r="46" spans="1:14" ht="13.5" thickBot="1">
      <c r="B46" s="102" t="s">
        <v>34</v>
      </c>
      <c r="C46" s="107">
        <f>SUM(C43:C45)</f>
        <v>6000</v>
      </c>
      <c r="D46" s="124">
        <v>1</v>
      </c>
      <c r="E46" s="146">
        <f>E43*D43+D44*E44+D45*E45</f>
        <v>1750</v>
      </c>
      <c r="F46" s="183">
        <f>SUM(F43:F45)</f>
        <v>581.4531481759235</v>
      </c>
      <c r="K46" s="16"/>
      <c r="L46" s="16"/>
    </row>
    <row r="52" spans="1:14" ht="22.5">
      <c r="A52" s="258" t="s">
        <v>62</v>
      </c>
      <c r="B52" s="258"/>
      <c r="C52" s="258"/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</row>
    <row r="56" spans="1:14" ht="13.5" thickBot="1"/>
    <row r="57" spans="1:14" ht="13.5" thickBot="1">
      <c r="B57" s="102" t="s">
        <v>28</v>
      </c>
      <c r="C57" s="104" t="s">
        <v>29</v>
      </c>
      <c r="D57" s="106" t="s">
        <v>31</v>
      </c>
      <c r="E57" s="147" t="s">
        <v>38</v>
      </c>
      <c r="F57" s="147" t="s">
        <v>37</v>
      </c>
      <c r="G57" s="147" t="s">
        <v>42</v>
      </c>
      <c r="H57" s="128" t="s">
        <v>43</v>
      </c>
      <c r="I57" s="15"/>
      <c r="J57" s="157" t="s">
        <v>44</v>
      </c>
      <c r="K57" s="157">
        <v>1.96</v>
      </c>
      <c r="L57" s="191" t="s">
        <v>51</v>
      </c>
      <c r="M57" s="192">
        <f>E61-(K57*K58)</f>
        <v>1744.4220936929119</v>
      </c>
    </row>
    <row r="58" spans="1:14" ht="16.5">
      <c r="B58" s="167" t="s">
        <v>46</v>
      </c>
      <c r="C58" s="150">
        <f>C43</f>
        <v>1000</v>
      </c>
      <c r="D58" s="181">
        <f>D43</f>
        <v>0.16666666666666666</v>
      </c>
      <c r="E58" s="148">
        <v>5000</v>
      </c>
      <c r="F58" s="150">
        <f>F43</f>
        <v>149.09055081433934</v>
      </c>
      <c r="G58" s="155">
        <v>120</v>
      </c>
      <c r="H58" s="129">
        <f>((D58)^2)*((G58^2)/F58)*((C58-F58)/(C58-1))</f>
        <v>2.2852184950520291</v>
      </c>
      <c r="J58" s="188" t="s">
        <v>40</v>
      </c>
      <c r="K58" s="188">
        <f>I61</f>
        <v>2.8458705648409413</v>
      </c>
      <c r="L58" s="112"/>
      <c r="M58" s="192">
        <f>E61+(K57*K58)</f>
        <v>1755.5779063070881</v>
      </c>
    </row>
    <row r="59" spans="1:14" ht="17.25" thickBot="1">
      <c r="B59" s="168" t="s">
        <v>47</v>
      </c>
      <c r="C59" s="150">
        <f t="shared" ref="C59:D61" si="6">C44</f>
        <v>2000</v>
      </c>
      <c r="D59" s="181">
        <f t="shared" si="6"/>
        <v>0.33333333333333331</v>
      </c>
      <c r="E59" s="148">
        <v>1700</v>
      </c>
      <c r="F59" s="150">
        <f t="shared" ref="F59:F60" si="7">F44</f>
        <v>208.7267711400751</v>
      </c>
      <c r="G59" s="155">
        <v>75</v>
      </c>
      <c r="H59" s="130">
        <f>((D59)^2)*((G59^2)/F59)*((C59-F59)/(C59-1))</f>
        <v>2.6831867681128254</v>
      </c>
      <c r="J59" s="188" t="s">
        <v>9</v>
      </c>
      <c r="K59" s="189">
        <f>K57*K58</f>
        <v>5.5779063070882451</v>
      </c>
      <c r="L59" s="16"/>
    </row>
    <row r="60" spans="1:14" ht="17.25" thickBot="1">
      <c r="B60" s="169" t="s">
        <v>48</v>
      </c>
      <c r="C60" s="150">
        <f t="shared" si="6"/>
        <v>3000</v>
      </c>
      <c r="D60" s="182">
        <f t="shared" si="6"/>
        <v>0.5</v>
      </c>
      <c r="E60" s="149">
        <v>700</v>
      </c>
      <c r="F60" s="150">
        <f t="shared" si="7"/>
        <v>223.63582622150906</v>
      </c>
      <c r="G60" s="156">
        <v>55</v>
      </c>
      <c r="H60" s="117">
        <f>((D60)^2)*((G60^2)/F60)*((C60-F60)/(C60-1))</f>
        <v>3.1305740086632441</v>
      </c>
      <c r="I60" s="193" t="s">
        <v>49</v>
      </c>
      <c r="J60" s="37"/>
      <c r="K60" s="16"/>
      <c r="L60" s="16"/>
    </row>
    <row r="61" spans="1:14" ht="13.5" thickBot="1">
      <c r="B61" s="102" t="s">
        <v>34</v>
      </c>
      <c r="C61" s="107">
        <f t="shared" si="6"/>
        <v>6000</v>
      </c>
      <c r="D61" s="124">
        <f t="shared" si="6"/>
        <v>1</v>
      </c>
      <c r="E61" s="146">
        <v>1750</v>
      </c>
      <c r="F61" s="183">
        <f>F46</f>
        <v>581.4531481759235</v>
      </c>
      <c r="H61" s="118">
        <f>SUM(H58:H60)</f>
        <v>8.0989792718280977</v>
      </c>
      <c r="I61" s="197">
        <f>SQRT(H61)</f>
        <v>2.8458705648409413</v>
      </c>
      <c r="K61" s="16"/>
      <c r="L61" s="16"/>
    </row>
  </sheetData>
  <mergeCells count="5">
    <mergeCell ref="C2:D2"/>
    <mergeCell ref="A26:N26"/>
    <mergeCell ref="A30:N30"/>
    <mergeCell ref="A38:N40"/>
    <mergeCell ref="A52:N52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Média</vt:lpstr>
      <vt:lpstr>Proporção</vt:lpstr>
      <vt:lpstr>IC Estratificado - GastoSaude</vt:lpstr>
      <vt:lpstr>IC Estratificado - Cartao Fin</vt:lpstr>
      <vt:lpstr>IC Estratificado - Cartao Inf</vt:lpstr>
      <vt:lpstr>AP-Estratificado - GastoSaude</vt:lpstr>
      <vt:lpstr>AN-Estratificado - GastoSaude</vt:lpstr>
      <vt:lpstr>AP-Estratificado - GastoMensal</vt:lpstr>
      <vt:lpstr>AN-Estratificado - GastoMensal</vt:lpstr>
      <vt:lpstr>AP-Estratificado -CestaBasica</vt:lpstr>
      <vt:lpstr>AN-Estratificado - CestaBasica</vt:lpstr>
    </vt:vector>
  </TitlesOfParts>
  <Manager/>
  <Company>Marketdata Solutions do Brasil Ltda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</dc:creator>
  <cp:keywords/>
  <dc:description/>
  <cp:lastModifiedBy>Marcio Fernandes Cruz</cp:lastModifiedBy>
  <cp:revision/>
  <dcterms:created xsi:type="dcterms:W3CDTF">2004-10-22T19:09:02Z</dcterms:created>
  <dcterms:modified xsi:type="dcterms:W3CDTF">2021-06-21T23:04:49Z</dcterms:modified>
  <cp:category/>
  <cp:contentStatus/>
</cp:coreProperties>
</file>