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/Dropbox/Bioinformatics Paper/"/>
    </mc:Choice>
  </mc:AlternateContent>
  <xr:revisionPtr revIDLastSave="0" documentId="13_ncr:1_{C9A507E5-23E1-D641-9106-7DAFE3CBC9D3}" xr6:coauthVersionLast="45" xr6:coauthVersionMax="45" xr10:uidLastSave="{00000000-0000-0000-0000-000000000000}"/>
  <bookViews>
    <workbookView xWindow="0" yWindow="460" windowWidth="28800" windowHeight="16260" xr2:uid="{1C95A39B-D101-FE43-834C-0919EC32BE1A}"/>
  </bookViews>
  <sheets>
    <sheet name="File Description" sheetId="8" r:id="rId1"/>
    <sheet name="Minimap" sheetId="9" r:id="rId2"/>
    <sheet name="DSK" sheetId="6" r:id="rId3"/>
    <sheet name="BCALM" sheetId="7" r:id="rId4"/>
    <sheet name="Kraken" sheetId="5" r:id="rId5"/>
    <sheet name="Diamond" sheetId="3" r:id="rId6"/>
    <sheet name="Tables" sheetId="4" r:id="rId7"/>
    <sheet name="Graphs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2" i="7" l="1"/>
  <c r="C51" i="7"/>
  <c r="C50" i="7"/>
  <c r="C49" i="7"/>
  <c r="C47" i="7"/>
  <c r="C46" i="7"/>
  <c r="C45" i="7"/>
  <c r="C44" i="7"/>
  <c r="C51" i="6"/>
  <c r="C50" i="6"/>
  <c r="C49" i="6"/>
  <c r="C52" i="6"/>
  <c r="C46" i="6"/>
  <c r="C47" i="6"/>
  <c r="D34" i="9" l="1"/>
  <c r="C34" i="9"/>
  <c r="D33" i="9"/>
  <c r="C33" i="9"/>
  <c r="D30" i="9"/>
  <c r="C30" i="9"/>
  <c r="D29" i="9"/>
  <c r="C29" i="9"/>
  <c r="D28" i="9"/>
  <c r="C28" i="9"/>
  <c r="D24" i="9"/>
  <c r="C24" i="9"/>
  <c r="C15" i="9"/>
  <c r="C6" i="9"/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2" i="8"/>
  <c r="D15" i="8"/>
  <c r="C33" i="6"/>
  <c r="C32" i="6"/>
  <c r="C31" i="6"/>
  <c r="C34" i="6"/>
  <c r="C28" i="6"/>
  <c r="C29" i="6"/>
  <c r="C33" i="7"/>
  <c r="C27" i="7"/>
  <c r="C26" i="7"/>
  <c r="C32" i="7"/>
  <c r="C34" i="7"/>
  <c r="C31" i="7"/>
  <c r="C29" i="7"/>
  <c r="C28" i="7"/>
  <c r="D5" i="3" l="1"/>
  <c r="C5" i="3"/>
  <c r="D4" i="3"/>
  <c r="C4" i="3"/>
  <c r="D3" i="3"/>
  <c r="C3" i="3"/>
  <c r="D12" i="7" l="1"/>
  <c r="C12" i="7"/>
  <c r="D15" i="7"/>
  <c r="C15" i="7"/>
  <c r="D9" i="7"/>
  <c r="C9" i="7"/>
  <c r="D8" i="7"/>
  <c r="C8" i="7"/>
  <c r="D14" i="7"/>
  <c r="C14" i="7"/>
  <c r="D5" i="7"/>
  <c r="C5" i="7"/>
  <c r="D13" i="7"/>
  <c r="C13" i="7"/>
  <c r="D7" i="7"/>
  <c r="C7" i="7"/>
  <c r="D16" i="7"/>
  <c r="C16" i="7"/>
  <c r="D10" i="7"/>
  <c r="C10" i="7"/>
  <c r="D11" i="7"/>
  <c r="C11" i="7"/>
  <c r="D6" i="7"/>
  <c r="C6" i="7"/>
  <c r="H12" i="6"/>
  <c r="D12" i="6"/>
  <c r="D15" i="6"/>
  <c r="C15" i="6"/>
  <c r="D9" i="6"/>
  <c r="C9" i="6"/>
  <c r="D8" i="6"/>
  <c r="C8" i="6"/>
  <c r="D14" i="6"/>
  <c r="C14" i="6"/>
  <c r="D5" i="6"/>
  <c r="C5" i="6"/>
  <c r="D13" i="6"/>
  <c r="C13" i="6"/>
  <c r="H7" i="6"/>
  <c r="D7" i="6"/>
  <c r="D16" i="6"/>
  <c r="C16" i="6"/>
  <c r="D10" i="6"/>
  <c r="C10" i="6"/>
  <c r="D11" i="6"/>
  <c r="C11" i="6"/>
  <c r="D6" i="6"/>
  <c r="D9" i="5"/>
  <c r="C9" i="5"/>
  <c r="D8" i="5"/>
  <c r="C8" i="5"/>
  <c r="D14" i="5"/>
  <c r="C14" i="5"/>
  <c r="D13" i="5"/>
  <c r="C13" i="5"/>
</calcChain>
</file>

<file path=xl/sharedStrings.xml><?xml version="1.0" encoding="utf-8"?>
<sst xmlns="http://schemas.openxmlformats.org/spreadsheetml/2006/main" count="440" uniqueCount="82">
  <si>
    <t>Mobile</t>
  </si>
  <si>
    <t>SRA_IDX</t>
  </si>
  <si>
    <t>Refernece Genome</t>
  </si>
  <si>
    <t>No</t>
  </si>
  <si>
    <t>ERR2900440</t>
  </si>
  <si>
    <t>ERR2900442</t>
  </si>
  <si>
    <t>ERR2900428</t>
  </si>
  <si>
    <t>Yes</t>
  </si>
  <si>
    <t>DRR164915</t>
  </si>
  <si>
    <t>ERR2625614</t>
  </si>
  <si>
    <t>SRR6037114</t>
  </si>
  <si>
    <t>SRR6037129</t>
  </si>
  <si>
    <t>ERR2571299</t>
  </si>
  <si>
    <t>ERR2564376</t>
  </si>
  <si>
    <t>SRR7765365</t>
  </si>
  <si>
    <t>ERR2662964</t>
  </si>
  <si>
    <t>SRR5889392</t>
  </si>
  <si>
    <t>SRR7762336</t>
  </si>
  <si>
    <t>ERR2612749</t>
  </si>
  <si>
    <t>BCALM_WALL_TIME(s)</t>
  </si>
  <si>
    <t xml:space="preserve">KRA_RAM_MAX(MB) </t>
  </si>
  <si>
    <t>KRA_RAM_AVG(MB)</t>
  </si>
  <si>
    <t>KRA_WALL_TIME(s)</t>
  </si>
  <si>
    <t>DMND_WALL_TIME(s)</t>
  </si>
  <si>
    <t xml:space="preserve">DMND_RAM_MAX(MB) </t>
  </si>
  <si>
    <t>DMND_RAM_AVG(MB)</t>
  </si>
  <si>
    <t xml:space="preserve">DMND_CPU_TIME(s) </t>
  </si>
  <si>
    <t xml:space="preserve">KRA_CPU_TIME(s) </t>
  </si>
  <si>
    <t>KRA_TEMPERATURE_MAX(C)</t>
  </si>
  <si>
    <t>KRA_TEMPERATURE_AVG(C)</t>
  </si>
  <si>
    <t>DMND_TEMPERATURE_AVG(C)</t>
  </si>
  <si>
    <t>DMND_TEMPERATURE_MAX(C)</t>
  </si>
  <si>
    <t>DSK_WALL_TIME(s)</t>
  </si>
  <si>
    <t xml:space="preserve">DSK_CPU_TIME(s) </t>
  </si>
  <si>
    <t xml:space="preserve">DSK_RAM_MAX(MB) </t>
  </si>
  <si>
    <t>DSK_RAM_AVG(MB)</t>
  </si>
  <si>
    <t>DSK_TEMPERATURE_MAX(C)</t>
  </si>
  <si>
    <t>DSK_TEMPERATURE_AVG(C)</t>
  </si>
  <si>
    <t xml:space="preserve">BCALM_CPU_TIME(s) </t>
  </si>
  <si>
    <t xml:space="preserve">BCALM_RAM_MAX(MB) </t>
  </si>
  <si>
    <t>BCALM_RAM_AVG(MB)</t>
  </si>
  <si>
    <t>BCALM_TEMPERATURE_MAX(C)</t>
  </si>
  <si>
    <t>BCALM_TEMPERATURE_AVG(C)</t>
  </si>
  <si>
    <t>File Size (B)</t>
  </si>
  <si>
    <t>File Size (MB)</t>
  </si>
  <si>
    <t>File Size (GB)</t>
  </si>
  <si>
    <t>Unique k-mers</t>
  </si>
  <si>
    <t>Total k-mers</t>
  </si>
  <si>
    <t>Unique/Total</t>
  </si>
  <si>
    <t>MMP_WALL_TIME(s)</t>
  </si>
  <si>
    <t xml:space="preserve">MMP_CPU_TIME(s) </t>
  </si>
  <si>
    <t xml:space="preserve">MMP_RAM_MAX(MB) </t>
  </si>
  <si>
    <t>MMP_RAM_AVG(MB)</t>
  </si>
  <si>
    <t>MMP_TEMPERATURE_MAX(C)</t>
  </si>
  <si>
    <t>MMP_TEMPERATURE_AVG(C)</t>
  </si>
  <si>
    <t>Mobile Reference Indexing</t>
  </si>
  <si>
    <t>Mobile Mapping</t>
  </si>
  <si>
    <t>MIDX_WALL_TIME(s)</t>
  </si>
  <si>
    <t xml:space="preserve">MIDX_CPU_TIME(s) </t>
  </si>
  <si>
    <t xml:space="preserve">MIDX_RAM_MAX(MB) </t>
  </si>
  <si>
    <t>MIDX_RAM_AVG(MB)</t>
  </si>
  <si>
    <t>MIDX_TEMPERATURE_MAX(C)</t>
  </si>
  <si>
    <t>MIDX_TEMPERATURE_AVG(C)</t>
  </si>
  <si>
    <t>File Description</t>
  </si>
  <si>
    <t>Genbanks SRA Identifier</t>
  </si>
  <si>
    <t xml:space="preserve">Organism and Description </t>
  </si>
  <si>
    <t>Total number of k -mers</t>
  </si>
  <si>
    <t>Proportion of unique k-mers</t>
  </si>
  <si>
    <t xml:space="preserve">Fermentation metagenome </t>
  </si>
  <si>
    <t xml:space="preserve">Leptotrichia trevisanii </t>
  </si>
  <si>
    <t xml:space="preserve">Acanthamoeba castellanii </t>
  </si>
  <si>
    <t xml:space="preserve">Marine Virome </t>
  </si>
  <si>
    <t>Food metagenome</t>
  </si>
  <si>
    <t xml:space="preserve">Brassica oleracea </t>
  </si>
  <si>
    <t>Musa schizocarpa</t>
  </si>
  <si>
    <t>Sludge metagenome</t>
  </si>
  <si>
    <t xml:space="preserve">Oryza coarctata </t>
  </si>
  <si>
    <t>Phaeodactylum tricornutum</t>
  </si>
  <si>
    <t xml:space="preserve">Magnaporthe oryzae </t>
  </si>
  <si>
    <t>Desktop (800MB  RAM limit)</t>
  </si>
  <si>
    <t>Desktop (No limit)</t>
  </si>
  <si>
    <t> 3652.81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</si>
</sst>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14">
    <font>
      <sz val="12"/>
      <color theme="1"/>
      <name val="Calibri"/>
      <family val="2"/>
      <scheme val="minor"/>
    </font>
    <font>
      <sz val="13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3"/>
      <color rgb="FF000000"/>
      <name val="Calibri"/>
      <family val="2"/>
      <scheme val="minor"/>
    </font>
    <font>
      <sz val="13"/>
      <color theme="1"/>
      <name val="Calibri"/>
      <family val="2"/>
    </font>
    <font>
      <sz val="13"/>
      <color theme="1"/>
      <name val="Calibri"/>
      <family val="2"/>
      <scheme val="minor"/>
    </font>
    <font>
      <sz val="13"/>
      <color rgb="FFFF0000"/>
      <name val="Calibri (Body)"/>
    </font>
    <font>
      <sz val="13"/>
      <color rgb="FF000000"/>
      <name val="Calibri (Body)"/>
    </font>
    <font>
      <sz val="13"/>
      <color theme="1"/>
      <name val="Calibri (Body)"/>
    </font>
    <font>
      <sz val="13"/>
      <color rgb="FF000000"/>
      <name val="Menlo"/>
      <family val="2"/>
    </font>
    <font>
      <sz val="13"/>
      <color rgb="FF569CD6"/>
      <name val="Menlo"/>
      <family val="2"/>
    </font>
    <font>
      <i/>
      <sz val="13"/>
      <color theme="1"/>
      <name val="Calibri"/>
      <family val="2"/>
      <scheme val="minor"/>
    </font>
    <font>
      <sz val="13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0" fontId="6" fillId="0" borderId="0" xfId="0" applyFont="1"/>
    <xf numFmtId="0" fontId="0" fillId="0" borderId="0" xfId="0" applyBorder="1"/>
    <xf numFmtId="0" fontId="5" fillId="0" borderId="0" xfId="0" applyFont="1" applyAlignment="1">
      <alignment horizontal="left"/>
    </xf>
    <xf numFmtId="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4" fontId="6" fillId="0" borderId="0" xfId="0" applyNumberFormat="1" applyFont="1"/>
    <xf numFmtId="4" fontId="5" fillId="0" borderId="0" xfId="0" applyNumberFormat="1" applyFont="1" applyAlignment="1">
      <alignment horizontal="right"/>
    </xf>
    <xf numFmtId="4" fontId="4" fillId="0" borderId="0" xfId="0" applyNumberFormat="1" applyFont="1"/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8" fillId="0" borderId="0" xfId="0" applyFont="1" applyAlignment="1">
      <alignment horizontal="left"/>
    </xf>
    <xf numFmtId="0" fontId="9" fillId="0" borderId="0" xfId="0" applyFont="1"/>
    <xf numFmtId="0" fontId="8" fillId="0" borderId="0" xfId="0" applyFont="1"/>
    <xf numFmtId="0" fontId="9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2" fontId="5" fillId="0" borderId="0" xfId="0" applyNumberFormat="1" applyFont="1" applyAlignment="1">
      <alignment horizontal="right"/>
    </xf>
    <xf numFmtId="0" fontId="10" fillId="0" borderId="0" xfId="0" applyFont="1"/>
    <xf numFmtId="2" fontId="6" fillId="0" borderId="0" xfId="0" applyNumberFormat="1" applyFont="1"/>
    <xf numFmtId="20" fontId="6" fillId="0" borderId="0" xfId="0" applyNumberFormat="1" applyFont="1"/>
    <xf numFmtId="0" fontId="11" fillId="0" borderId="0" xfId="0" applyFont="1"/>
    <xf numFmtId="0" fontId="12" fillId="0" borderId="0" xfId="0" applyFont="1" applyFill="1" applyBorder="1" applyAlignment="1">
      <alignment horizontal="centerContinuous"/>
    </xf>
    <xf numFmtId="0" fontId="6" fillId="0" borderId="0" xfId="0" applyFont="1" applyBorder="1"/>
    <xf numFmtId="0" fontId="6" fillId="0" borderId="0" xfId="0" applyFont="1" applyFill="1" applyBorder="1" applyAlignment="1"/>
    <xf numFmtId="0" fontId="12" fillId="0" borderId="0" xfId="0" applyFont="1" applyFill="1" applyBorder="1" applyAlignment="1">
      <alignment horizontal="center"/>
    </xf>
    <xf numFmtId="0" fontId="10" fillId="0" borderId="0" xfId="0" applyFont="1" applyBorder="1"/>
    <xf numFmtId="4" fontId="13" fillId="0" borderId="0" xfId="0" applyNumberFormat="1" applyFont="1"/>
    <xf numFmtId="0" fontId="13" fillId="0" borderId="0" xfId="0" applyFont="1"/>
    <xf numFmtId="0" fontId="13" fillId="0" borderId="0" xfId="0" applyFont="1" applyAlignment="1">
      <alignment horizontal="right"/>
    </xf>
    <xf numFmtId="2" fontId="9" fillId="0" borderId="0" xfId="0" applyNumberFormat="1" applyFont="1"/>
    <xf numFmtId="4" fontId="4" fillId="0" borderId="0" xfId="0" applyNumberFormat="1" applyFont="1" applyAlignment="1">
      <alignment horizontal="left"/>
    </xf>
    <xf numFmtId="4" fontId="6" fillId="0" borderId="0" xfId="0" applyNumberFormat="1" applyFont="1" applyAlignment="1">
      <alignment horizontal="left"/>
    </xf>
    <xf numFmtId="164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DSK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dk1">
                    <a:tint val="550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4536211278432027"/>
                  <c:y val="-0.225176873709184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DSK!$D$39:$D$52</c:f>
              <c:numCache>
                <c:formatCode>#,##0.00</c:formatCode>
                <c:ptCount val="14"/>
                <c:pt idx="0">
                  <c:v>1.41</c:v>
                </c:pt>
                <c:pt idx="1">
                  <c:v>2.59</c:v>
                </c:pt>
                <c:pt idx="2">
                  <c:v>12.88</c:v>
                </c:pt>
                <c:pt idx="3">
                  <c:v>21.11</c:v>
                </c:pt>
                <c:pt idx="4">
                  <c:v>45.51</c:v>
                </c:pt>
                <c:pt idx="5">
                  <c:v>98.49</c:v>
                </c:pt>
                <c:pt idx="6">
                  <c:v>120.97</c:v>
                </c:pt>
                <c:pt idx="7">
                  <c:v>497.42</c:v>
                </c:pt>
                <c:pt idx="8">
                  <c:v>317.32</c:v>
                </c:pt>
                <c:pt idx="9">
                  <c:v>55.68</c:v>
                </c:pt>
                <c:pt idx="10">
                  <c:v>1018.65</c:v>
                </c:pt>
                <c:pt idx="11">
                  <c:v>1043.3399999999999</c:v>
                </c:pt>
                <c:pt idx="12">
                  <c:v>1131.81</c:v>
                </c:pt>
                <c:pt idx="13">
                  <c:v>1200.02</c:v>
                </c:pt>
              </c:numCache>
            </c:numRef>
          </c:xVal>
          <c:yVal>
            <c:numRef>
              <c:f>DSK!$D$3:$D$16</c:f>
              <c:numCache>
                <c:formatCode>#,##0.00</c:formatCode>
                <c:ptCount val="14"/>
                <c:pt idx="0">
                  <c:v>5.78</c:v>
                </c:pt>
                <c:pt idx="1">
                  <c:v>10.65</c:v>
                </c:pt>
                <c:pt idx="2">
                  <c:v>50.12</c:v>
                </c:pt>
                <c:pt idx="3">
                  <c:v>74.47</c:v>
                </c:pt>
                <c:pt idx="4">
                  <c:v>179.63</c:v>
                </c:pt>
                <c:pt idx="5">
                  <c:v>416.14</c:v>
                </c:pt>
                <c:pt idx="6">
                  <c:v>544.69000000000005</c:v>
                </c:pt>
                <c:pt idx="7">
                  <c:v>2210.96</c:v>
                </c:pt>
                <c:pt idx="8">
                  <c:v>1324.53</c:v>
                </c:pt>
                <c:pt idx="9">
                  <c:v>234.91</c:v>
                </c:pt>
                <c:pt idx="10">
                  <c:v>770.62</c:v>
                </c:pt>
                <c:pt idx="11">
                  <c:v>5305.03</c:v>
                </c:pt>
                <c:pt idx="12">
                  <c:v>5945.78</c:v>
                </c:pt>
                <c:pt idx="13">
                  <c:v>6356.24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4B-9B40-BF82-4CA1A84B345E}"/>
            </c:ext>
          </c:extLst>
        </c:ser>
        <c:ser>
          <c:idx val="0"/>
          <c:order val="1"/>
          <c:tx>
            <c:v>Bcalm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8.7431952521138528E-2"/>
                  <c:y val="-0.156882072814788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BCALM!$D$21:$D$34</c:f>
              <c:numCache>
                <c:formatCode>General</c:formatCode>
                <c:ptCount val="14"/>
                <c:pt idx="0">
                  <c:v>5.47</c:v>
                </c:pt>
                <c:pt idx="1">
                  <c:v>11.83</c:v>
                </c:pt>
                <c:pt idx="2">
                  <c:v>69.739999999999995</c:v>
                </c:pt>
                <c:pt idx="3">
                  <c:v>70.72</c:v>
                </c:pt>
                <c:pt idx="4">
                  <c:v>133.63999999999999</c:v>
                </c:pt>
                <c:pt idx="5">
                  <c:v>856.45</c:v>
                </c:pt>
                <c:pt idx="6">
                  <c:v>1015.38</c:v>
                </c:pt>
                <c:pt idx="7">
                  <c:v>1258.2</c:v>
                </c:pt>
                <c:pt idx="8">
                  <c:v>820.57</c:v>
                </c:pt>
                <c:pt idx="9">
                  <c:v>64.540000000000006</c:v>
                </c:pt>
                <c:pt idx="10">
                  <c:v>1751.88</c:v>
                </c:pt>
                <c:pt idx="11">
                  <c:v>2025.03</c:v>
                </c:pt>
                <c:pt idx="12">
                  <c:v>3580.23</c:v>
                </c:pt>
                <c:pt idx="13">
                  <c:v>3912.95</c:v>
                </c:pt>
              </c:numCache>
            </c:numRef>
          </c:xVal>
          <c:yVal>
            <c:numRef>
              <c:f>BCALM!$D$3:$D$16</c:f>
              <c:numCache>
                <c:formatCode>#,##0.00</c:formatCode>
                <c:ptCount val="14"/>
                <c:pt idx="0">
                  <c:v>18.03</c:v>
                </c:pt>
                <c:pt idx="1">
                  <c:v>37.6</c:v>
                </c:pt>
                <c:pt idx="2">
                  <c:v>201.84</c:v>
                </c:pt>
                <c:pt idx="3">
                  <c:v>254.43</c:v>
                </c:pt>
                <c:pt idx="4">
                  <c:v>410.59000000000003</c:v>
                </c:pt>
                <c:pt idx="5">
                  <c:v>5888.7</c:v>
                </c:pt>
                <c:pt idx="6">
                  <c:v>6869.54</c:v>
                </c:pt>
                <c:pt idx="7">
                  <c:v>5157.1400000000003</c:v>
                </c:pt>
                <c:pt idx="8">
                  <c:v>3249.95</c:v>
                </c:pt>
                <c:pt idx="9">
                  <c:v>207.74</c:v>
                </c:pt>
                <c:pt idx="10">
                  <c:v>1441.28</c:v>
                </c:pt>
                <c:pt idx="11">
                  <c:v>8665.2900000000009</c:v>
                </c:pt>
                <c:pt idx="12">
                  <c:v>14873.55</c:v>
                </c:pt>
                <c:pt idx="13">
                  <c:v>16465.12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EF-8145-A538-50643682C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74848"/>
        <c:axId val="517477488"/>
      </c:scatterChart>
      <c:valAx>
        <c:axId val="5154748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 Desktop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77488"/>
        <c:crosses val="autoZero"/>
        <c:crossBetween val="midCat"/>
      </c:valAx>
      <c:valAx>
        <c:axId val="517477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 Mobile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7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"/>
          <c:y val="4.2209306956605842E-3"/>
          <c:w val="0.97693134160742945"/>
          <c:h val="7.5379175040606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Bcalm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'File Description'!$E$2:$E$15</c:f>
              <c:numCache>
                <c:formatCode>General</c:formatCode>
                <c:ptCount val="14"/>
                <c:pt idx="0">
                  <c:v>1.9135949999999999E-2</c:v>
                </c:pt>
                <c:pt idx="1">
                  <c:v>4.3647103999999999E-2</c:v>
                </c:pt>
                <c:pt idx="2">
                  <c:v>0.25131472599999999</c:v>
                </c:pt>
                <c:pt idx="3">
                  <c:v>0.283102774</c:v>
                </c:pt>
                <c:pt idx="4">
                  <c:v>0.72280911999999997</c:v>
                </c:pt>
                <c:pt idx="5">
                  <c:v>1.8490550800000001</c:v>
                </c:pt>
                <c:pt idx="6">
                  <c:v>2.6444788699999999</c:v>
                </c:pt>
                <c:pt idx="7">
                  <c:v>6.1087968119999996</c:v>
                </c:pt>
                <c:pt idx="8">
                  <c:v>4.0145138940000002</c:v>
                </c:pt>
                <c:pt idx="9">
                  <c:v>0.67885386599999997</c:v>
                </c:pt>
                <c:pt idx="10">
                  <c:v>13.234960392</c:v>
                </c:pt>
                <c:pt idx="11">
                  <c:v>13.507968086</c:v>
                </c:pt>
                <c:pt idx="12">
                  <c:v>15.103510783999999</c:v>
                </c:pt>
                <c:pt idx="13">
                  <c:v>16.374576338000001</c:v>
                </c:pt>
              </c:numCache>
            </c:numRef>
          </c:xVal>
          <c:yVal>
            <c:numRef>
              <c:f>BCALM!$D$3:$D$16</c:f>
              <c:numCache>
                <c:formatCode>#,##0.00</c:formatCode>
                <c:ptCount val="14"/>
                <c:pt idx="0">
                  <c:v>18.03</c:v>
                </c:pt>
                <c:pt idx="1">
                  <c:v>37.6</c:v>
                </c:pt>
                <c:pt idx="2">
                  <c:v>201.84</c:v>
                </c:pt>
                <c:pt idx="3">
                  <c:v>254.43</c:v>
                </c:pt>
                <c:pt idx="4">
                  <c:v>410.59000000000003</c:v>
                </c:pt>
                <c:pt idx="5">
                  <c:v>5888.7</c:v>
                </c:pt>
                <c:pt idx="6">
                  <c:v>6869.54</c:v>
                </c:pt>
                <c:pt idx="7">
                  <c:v>5157.1400000000003</c:v>
                </c:pt>
                <c:pt idx="8">
                  <c:v>3249.95</c:v>
                </c:pt>
                <c:pt idx="9">
                  <c:v>207.74</c:v>
                </c:pt>
                <c:pt idx="10">
                  <c:v>1441.28</c:v>
                </c:pt>
                <c:pt idx="11">
                  <c:v>8665.2900000000009</c:v>
                </c:pt>
                <c:pt idx="12">
                  <c:v>14873.55</c:v>
                </c:pt>
                <c:pt idx="13">
                  <c:v>16465.12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8A-C941-A413-D6045DFF360E}"/>
            </c:ext>
          </c:extLst>
        </c:ser>
        <c:ser>
          <c:idx val="0"/>
          <c:order val="1"/>
          <c:tx>
            <c:v>DSK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'File Description'!$E$2:$E$15</c:f>
              <c:numCache>
                <c:formatCode>General</c:formatCode>
                <c:ptCount val="14"/>
                <c:pt idx="0">
                  <c:v>1.9135949999999999E-2</c:v>
                </c:pt>
                <c:pt idx="1">
                  <c:v>4.3647103999999999E-2</c:v>
                </c:pt>
                <c:pt idx="2">
                  <c:v>0.25131472599999999</c:v>
                </c:pt>
                <c:pt idx="3">
                  <c:v>0.283102774</c:v>
                </c:pt>
                <c:pt idx="4">
                  <c:v>0.72280911999999997</c:v>
                </c:pt>
                <c:pt idx="5">
                  <c:v>1.8490550800000001</c:v>
                </c:pt>
                <c:pt idx="6">
                  <c:v>2.6444788699999999</c:v>
                </c:pt>
                <c:pt idx="7">
                  <c:v>6.1087968119999996</c:v>
                </c:pt>
                <c:pt idx="8">
                  <c:v>4.0145138940000002</c:v>
                </c:pt>
                <c:pt idx="9">
                  <c:v>0.67885386599999997</c:v>
                </c:pt>
                <c:pt idx="10">
                  <c:v>13.234960392</c:v>
                </c:pt>
                <c:pt idx="11">
                  <c:v>13.507968086</c:v>
                </c:pt>
                <c:pt idx="12">
                  <c:v>15.103510783999999</c:v>
                </c:pt>
                <c:pt idx="13">
                  <c:v>16.374576338000001</c:v>
                </c:pt>
              </c:numCache>
            </c:numRef>
          </c:xVal>
          <c:yVal>
            <c:numRef>
              <c:f>DSK!$D$3:$D$16</c:f>
              <c:numCache>
                <c:formatCode>#,##0.00</c:formatCode>
                <c:ptCount val="14"/>
                <c:pt idx="0">
                  <c:v>5.78</c:v>
                </c:pt>
                <c:pt idx="1">
                  <c:v>10.65</c:v>
                </c:pt>
                <c:pt idx="2">
                  <c:v>50.12</c:v>
                </c:pt>
                <c:pt idx="3">
                  <c:v>74.47</c:v>
                </c:pt>
                <c:pt idx="4">
                  <c:v>179.63</c:v>
                </c:pt>
                <c:pt idx="5">
                  <c:v>416.14</c:v>
                </c:pt>
                <c:pt idx="6">
                  <c:v>544.69000000000005</c:v>
                </c:pt>
                <c:pt idx="7">
                  <c:v>2210.96</c:v>
                </c:pt>
                <c:pt idx="8">
                  <c:v>1324.53</c:v>
                </c:pt>
                <c:pt idx="9">
                  <c:v>234.91</c:v>
                </c:pt>
                <c:pt idx="10">
                  <c:v>770.62</c:v>
                </c:pt>
                <c:pt idx="11">
                  <c:v>5305.03</c:v>
                </c:pt>
                <c:pt idx="12">
                  <c:v>5945.78</c:v>
                </c:pt>
                <c:pt idx="13">
                  <c:v>6356.24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8A-C941-A413-D6045DFF360E}"/>
            </c:ext>
          </c:extLst>
        </c:ser>
        <c:ser>
          <c:idx val="2"/>
          <c:order val="2"/>
          <c:tx>
            <c:v>Kraken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'File Description'!$E$2:$E$15</c:f>
              <c:numCache>
                <c:formatCode>General</c:formatCode>
                <c:ptCount val="14"/>
                <c:pt idx="0">
                  <c:v>1.9135949999999999E-2</c:v>
                </c:pt>
                <c:pt idx="1">
                  <c:v>4.3647103999999999E-2</c:v>
                </c:pt>
                <c:pt idx="2">
                  <c:v>0.25131472599999999</c:v>
                </c:pt>
                <c:pt idx="3">
                  <c:v>0.283102774</c:v>
                </c:pt>
                <c:pt idx="4">
                  <c:v>0.72280911999999997</c:v>
                </c:pt>
                <c:pt idx="5">
                  <c:v>1.8490550800000001</c:v>
                </c:pt>
                <c:pt idx="6">
                  <c:v>2.6444788699999999</c:v>
                </c:pt>
                <c:pt idx="7">
                  <c:v>6.1087968119999996</c:v>
                </c:pt>
                <c:pt idx="8">
                  <c:v>4.0145138940000002</c:v>
                </c:pt>
                <c:pt idx="9">
                  <c:v>0.67885386599999997</c:v>
                </c:pt>
                <c:pt idx="10">
                  <c:v>13.234960392</c:v>
                </c:pt>
                <c:pt idx="11">
                  <c:v>13.507968086</c:v>
                </c:pt>
                <c:pt idx="12">
                  <c:v>15.103510783999999</c:v>
                </c:pt>
                <c:pt idx="13">
                  <c:v>16.374576338000001</c:v>
                </c:pt>
              </c:numCache>
            </c:numRef>
          </c:xVal>
          <c:yVal>
            <c:numRef>
              <c:f>Kraken!$D$3:$D$16</c:f>
              <c:numCache>
                <c:formatCode>#,##0.00</c:formatCode>
                <c:ptCount val="14"/>
                <c:pt idx="0">
                  <c:v>1.59</c:v>
                </c:pt>
                <c:pt idx="1">
                  <c:v>1.98</c:v>
                </c:pt>
                <c:pt idx="2">
                  <c:v>9.14</c:v>
                </c:pt>
                <c:pt idx="4">
                  <c:v>26.37</c:v>
                </c:pt>
                <c:pt idx="5">
                  <c:v>66.11</c:v>
                </c:pt>
                <c:pt idx="6">
                  <c:v>98.759999999999991</c:v>
                </c:pt>
                <c:pt idx="10">
                  <c:v>96.25</c:v>
                </c:pt>
                <c:pt idx="11">
                  <c:v>521.53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8A-C941-A413-D6045DFF3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07552"/>
        <c:axId val="518784640"/>
      </c:scatterChart>
      <c:valAx>
        <c:axId val="51900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Size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84640"/>
        <c:crosses val="autoZero"/>
        <c:crossBetween val="midCat"/>
      </c:valAx>
      <c:valAx>
        <c:axId val="5187846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0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Bcalm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'File Description'!$E$2:$E$15</c:f>
              <c:numCache>
                <c:formatCode>General</c:formatCode>
                <c:ptCount val="14"/>
                <c:pt idx="0">
                  <c:v>1.9135949999999999E-2</c:v>
                </c:pt>
                <c:pt idx="1">
                  <c:v>4.3647103999999999E-2</c:v>
                </c:pt>
                <c:pt idx="2">
                  <c:v>0.25131472599999999</c:v>
                </c:pt>
                <c:pt idx="3">
                  <c:v>0.283102774</c:v>
                </c:pt>
                <c:pt idx="4">
                  <c:v>0.72280911999999997</c:v>
                </c:pt>
                <c:pt idx="5">
                  <c:v>1.8490550800000001</c:v>
                </c:pt>
                <c:pt idx="6">
                  <c:v>2.6444788699999999</c:v>
                </c:pt>
                <c:pt idx="7">
                  <c:v>6.1087968119999996</c:v>
                </c:pt>
                <c:pt idx="8">
                  <c:v>4.0145138940000002</c:v>
                </c:pt>
                <c:pt idx="9">
                  <c:v>0.67885386599999997</c:v>
                </c:pt>
                <c:pt idx="10">
                  <c:v>13.234960392</c:v>
                </c:pt>
                <c:pt idx="11">
                  <c:v>13.507968086</c:v>
                </c:pt>
                <c:pt idx="12">
                  <c:v>15.103510783999999</c:v>
                </c:pt>
                <c:pt idx="13">
                  <c:v>16.374576338000001</c:v>
                </c:pt>
              </c:numCache>
            </c:numRef>
          </c:xVal>
          <c:yVal>
            <c:numRef>
              <c:f>BCALM!$F$3:$F$16</c:f>
              <c:numCache>
                <c:formatCode>#,##0.00</c:formatCode>
                <c:ptCount val="14"/>
                <c:pt idx="0">
                  <c:v>23.071614583333332</c:v>
                </c:pt>
                <c:pt idx="1">
                  <c:v>22.563802083333332</c:v>
                </c:pt>
                <c:pt idx="2">
                  <c:v>31.235107421875</c:v>
                </c:pt>
                <c:pt idx="3">
                  <c:v>22.642020089285715</c:v>
                </c:pt>
                <c:pt idx="4">
                  <c:v>25.547770182291668</c:v>
                </c:pt>
                <c:pt idx="5">
                  <c:v>219.61687499999999</c:v>
                </c:pt>
                <c:pt idx="6">
                  <c:v>232.9793648097826</c:v>
                </c:pt>
                <c:pt idx="7">
                  <c:v>251.66796875</c:v>
                </c:pt>
                <c:pt idx="8">
                  <c:v>250.35204303075398</c:v>
                </c:pt>
                <c:pt idx="9">
                  <c:v>123.888671875</c:v>
                </c:pt>
                <c:pt idx="10">
                  <c:v>44.19268588362069</c:v>
                </c:pt>
                <c:pt idx="11">
                  <c:v>418.4443359375</c:v>
                </c:pt>
                <c:pt idx="12">
                  <c:v>481.10311429794518</c:v>
                </c:pt>
                <c:pt idx="13">
                  <c:v>497.94419642857144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9B-8D44-A19B-15007163C435}"/>
            </c:ext>
          </c:extLst>
        </c:ser>
        <c:ser>
          <c:idx val="1"/>
          <c:order val="1"/>
          <c:tx>
            <c:v>DSK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5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'File Description'!$E$2:$E$15</c:f>
              <c:numCache>
                <c:formatCode>General</c:formatCode>
                <c:ptCount val="14"/>
                <c:pt idx="0">
                  <c:v>1.9135949999999999E-2</c:v>
                </c:pt>
                <c:pt idx="1">
                  <c:v>4.3647103999999999E-2</c:v>
                </c:pt>
                <c:pt idx="2">
                  <c:v>0.25131472599999999</c:v>
                </c:pt>
                <c:pt idx="3">
                  <c:v>0.283102774</c:v>
                </c:pt>
                <c:pt idx="4">
                  <c:v>0.72280911999999997</c:v>
                </c:pt>
                <c:pt idx="5">
                  <c:v>1.8490550800000001</c:v>
                </c:pt>
                <c:pt idx="6">
                  <c:v>2.6444788699999999</c:v>
                </c:pt>
                <c:pt idx="7">
                  <c:v>6.1087968119999996</c:v>
                </c:pt>
                <c:pt idx="8">
                  <c:v>4.0145138940000002</c:v>
                </c:pt>
                <c:pt idx="9">
                  <c:v>0.67885386599999997</c:v>
                </c:pt>
                <c:pt idx="10">
                  <c:v>13.234960392</c:v>
                </c:pt>
                <c:pt idx="11">
                  <c:v>13.507968086</c:v>
                </c:pt>
                <c:pt idx="12">
                  <c:v>15.103510783999999</c:v>
                </c:pt>
                <c:pt idx="13">
                  <c:v>16.374576338000001</c:v>
                </c:pt>
              </c:numCache>
            </c:numRef>
          </c:xVal>
          <c:yVal>
            <c:numRef>
              <c:f>DSK!$F$3:$F$16</c:f>
              <c:numCache>
                <c:formatCode>#,##0.00</c:formatCode>
                <c:ptCount val="14"/>
                <c:pt idx="0">
                  <c:v>33.515625</c:v>
                </c:pt>
                <c:pt idx="1">
                  <c:v>0.41796875</c:v>
                </c:pt>
                <c:pt idx="2">
                  <c:v>0.39453125</c:v>
                </c:pt>
                <c:pt idx="3">
                  <c:v>1.22265625</c:v>
                </c:pt>
                <c:pt idx="4">
                  <c:v>183.373046875</c:v>
                </c:pt>
                <c:pt idx="5">
                  <c:v>492.24832589285717</c:v>
                </c:pt>
                <c:pt idx="6">
                  <c:v>495.87890625</c:v>
                </c:pt>
                <c:pt idx="7">
                  <c:v>725.11221590909088</c:v>
                </c:pt>
                <c:pt idx="8">
                  <c:v>640.47907366071433</c:v>
                </c:pt>
                <c:pt idx="9">
                  <c:v>226.638671875</c:v>
                </c:pt>
                <c:pt idx="10">
                  <c:v>537.5869140625</c:v>
                </c:pt>
                <c:pt idx="11">
                  <c:v>752.0610795454545</c:v>
                </c:pt>
                <c:pt idx="12">
                  <c:v>796.51861213235293</c:v>
                </c:pt>
                <c:pt idx="13">
                  <c:v>691.79333043981478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9B-8D44-A19B-15007163C435}"/>
            </c:ext>
          </c:extLst>
        </c:ser>
        <c:ser>
          <c:idx val="2"/>
          <c:order val="2"/>
          <c:tx>
            <c:v>Kraken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'File Description'!$E$2:$E$15</c:f>
              <c:numCache>
                <c:formatCode>General</c:formatCode>
                <c:ptCount val="14"/>
                <c:pt idx="0">
                  <c:v>1.9135949999999999E-2</c:v>
                </c:pt>
                <c:pt idx="1">
                  <c:v>4.3647103999999999E-2</c:v>
                </c:pt>
                <c:pt idx="2">
                  <c:v>0.25131472599999999</c:v>
                </c:pt>
                <c:pt idx="3">
                  <c:v>0.283102774</c:v>
                </c:pt>
                <c:pt idx="4">
                  <c:v>0.72280911999999997</c:v>
                </c:pt>
                <c:pt idx="5">
                  <c:v>1.8490550800000001</c:v>
                </c:pt>
                <c:pt idx="6">
                  <c:v>2.6444788699999999</c:v>
                </c:pt>
                <c:pt idx="7">
                  <c:v>6.1087968119999996</c:v>
                </c:pt>
                <c:pt idx="8">
                  <c:v>4.0145138940000002</c:v>
                </c:pt>
                <c:pt idx="9">
                  <c:v>0.67885386599999997</c:v>
                </c:pt>
                <c:pt idx="10">
                  <c:v>13.234960392</c:v>
                </c:pt>
                <c:pt idx="11">
                  <c:v>13.507968086</c:v>
                </c:pt>
                <c:pt idx="12">
                  <c:v>15.103510783999999</c:v>
                </c:pt>
                <c:pt idx="13">
                  <c:v>16.374576338000001</c:v>
                </c:pt>
              </c:numCache>
            </c:numRef>
          </c:xVal>
          <c:yVal>
            <c:numRef>
              <c:f>Kraken!$F$3:$F$16</c:f>
              <c:numCache>
                <c:formatCode>#,##0.00</c:formatCode>
                <c:ptCount val="14"/>
                <c:pt idx="0">
                  <c:v>19.078125</c:v>
                </c:pt>
                <c:pt idx="1">
                  <c:v>158.828125</c:v>
                </c:pt>
                <c:pt idx="2">
                  <c:v>204.8125</c:v>
                </c:pt>
                <c:pt idx="4">
                  <c:v>308.779296875</c:v>
                </c:pt>
                <c:pt idx="5">
                  <c:v>345.669921875</c:v>
                </c:pt>
                <c:pt idx="6">
                  <c:v>384.5673828125</c:v>
                </c:pt>
                <c:pt idx="10">
                  <c:v>346.93136160714261</c:v>
                </c:pt>
                <c:pt idx="11">
                  <c:v>399.54947916666697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9B-8D44-A19B-15007163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86191"/>
        <c:axId val="239387823"/>
      </c:scatterChart>
      <c:valAx>
        <c:axId val="23938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Size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87823"/>
        <c:crosses val="autoZero"/>
        <c:crossBetween val="midCat"/>
      </c:valAx>
      <c:valAx>
        <c:axId val="2393878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RAM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86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Bcalm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'File Description'!$E$2:$E$15</c:f>
              <c:numCache>
                <c:formatCode>General</c:formatCode>
                <c:ptCount val="14"/>
                <c:pt idx="0">
                  <c:v>1.9135949999999999E-2</c:v>
                </c:pt>
                <c:pt idx="1">
                  <c:v>4.3647103999999999E-2</c:v>
                </c:pt>
                <c:pt idx="2">
                  <c:v>0.25131472599999999</c:v>
                </c:pt>
                <c:pt idx="3">
                  <c:v>0.283102774</c:v>
                </c:pt>
                <c:pt idx="4">
                  <c:v>0.72280911999999997</c:v>
                </c:pt>
                <c:pt idx="5">
                  <c:v>1.8490550800000001</c:v>
                </c:pt>
                <c:pt idx="6">
                  <c:v>2.6444788699999999</c:v>
                </c:pt>
                <c:pt idx="7">
                  <c:v>6.1087968119999996</c:v>
                </c:pt>
                <c:pt idx="8">
                  <c:v>4.0145138940000002</c:v>
                </c:pt>
                <c:pt idx="9">
                  <c:v>0.67885386599999997</c:v>
                </c:pt>
                <c:pt idx="10">
                  <c:v>13.234960392</c:v>
                </c:pt>
                <c:pt idx="11">
                  <c:v>13.507968086</c:v>
                </c:pt>
                <c:pt idx="12">
                  <c:v>15.103510783999999</c:v>
                </c:pt>
                <c:pt idx="13">
                  <c:v>16.374576338000001</c:v>
                </c:pt>
              </c:numCache>
            </c:numRef>
          </c:xVal>
          <c:yVal>
            <c:numRef>
              <c:f>BCALM!$H$3:$H$16</c:f>
              <c:numCache>
                <c:formatCode>#,##0.00</c:formatCode>
                <c:ptCount val="14"/>
                <c:pt idx="0">
                  <c:v>50.466666666666661</c:v>
                </c:pt>
                <c:pt idx="1">
                  <c:v>59.4</c:v>
                </c:pt>
                <c:pt idx="2">
                  <c:v>56.65</c:v>
                </c:pt>
                <c:pt idx="3">
                  <c:v>58.357142857142854</c:v>
                </c:pt>
                <c:pt idx="4">
                  <c:v>57.208333333333343</c:v>
                </c:pt>
                <c:pt idx="5">
                  <c:v>57.065333333333342</c:v>
                </c:pt>
                <c:pt idx="6">
                  <c:v>56.609782608695603</c:v>
                </c:pt>
                <c:pt idx="7">
                  <c:v>57.170212765957437</c:v>
                </c:pt>
                <c:pt idx="8">
                  <c:v>57.584126984127003</c:v>
                </c:pt>
                <c:pt idx="9">
                  <c:v>63.400000000000006</c:v>
                </c:pt>
                <c:pt idx="10">
                  <c:v>59.355172413793099</c:v>
                </c:pt>
                <c:pt idx="11">
                  <c:v>57.793548387096784</c:v>
                </c:pt>
                <c:pt idx="12">
                  <c:v>56.809931506849402</c:v>
                </c:pt>
                <c:pt idx="13">
                  <c:v>56.806349206349253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B-DF4C-84C4-F4C9CDF94A78}"/>
            </c:ext>
          </c:extLst>
        </c:ser>
        <c:ser>
          <c:idx val="1"/>
          <c:order val="1"/>
          <c:tx>
            <c:v>DSK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'File Description'!$E$2:$E$15</c:f>
              <c:numCache>
                <c:formatCode>General</c:formatCode>
                <c:ptCount val="14"/>
                <c:pt idx="0">
                  <c:v>1.9135949999999999E-2</c:v>
                </c:pt>
                <c:pt idx="1">
                  <c:v>4.3647103999999999E-2</c:v>
                </c:pt>
                <c:pt idx="2">
                  <c:v>0.25131472599999999</c:v>
                </c:pt>
                <c:pt idx="3">
                  <c:v>0.283102774</c:v>
                </c:pt>
                <c:pt idx="4">
                  <c:v>0.72280911999999997</c:v>
                </c:pt>
                <c:pt idx="5">
                  <c:v>1.8490550800000001</c:v>
                </c:pt>
                <c:pt idx="6">
                  <c:v>2.6444788699999999</c:v>
                </c:pt>
                <c:pt idx="7">
                  <c:v>6.1087968119999996</c:v>
                </c:pt>
                <c:pt idx="8">
                  <c:v>4.0145138940000002</c:v>
                </c:pt>
                <c:pt idx="9">
                  <c:v>0.67885386599999997</c:v>
                </c:pt>
                <c:pt idx="10">
                  <c:v>13.234960392</c:v>
                </c:pt>
                <c:pt idx="11">
                  <c:v>13.507968086</c:v>
                </c:pt>
                <c:pt idx="12">
                  <c:v>15.103510783999999</c:v>
                </c:pt>
                <c:pt idx="13">
                  <c:v>16.374576338000001</c:v>
                </c:pt>
              </c:numCache>
            </c:numRef>
          </c:xVal>
          <c:yVal>
            <c:numRef>
              <c:f>DSK!$H$3:$H$16</c:f>
              <c:numCache>
                <c:formatCode>#,##0.00</c:formatCode>
                <c:ptCount val="14"/>
                <c:pt idx="0">
                  <c:v>49.9</c:v>
                </c:pt>
                <c:pt idx="1">
                  <c:v>54.9</c:v>
                </c:pt>
                <c:pt idx="2">
                  <c:v>52.6</c:v>
                </c:pt>
                <c:pt idx="3">
                  <c:v>46.9</c:v>
                </c:pt>
                <c:pt idx="4">
                  <c:v>51.4</c:v>
                </c:pt>
                <c:pt idx="5">
                  <c:v>59.471428571428575</c:v>
                </c:pt>
                <c:pt idx="6">
                  <c:v>61.088888888888881</c:v>
                </c:pt>
                <c:pt idx="7">
                  <c:v>61.918181818181829</c:v>
                </c:pt>
                <c:pt idx="8">
                  <c:v>67.035714285714278</c:v>
                </c:pt>
                <c:pt idx="9">
                  <c:v>57.35</c:v>
                </c:pt>
                <c:pt idx="10">
                  <c:v>72.024999999999991</c:v>
                </c:pt>
                <c:pt idx="11">
                  <c:v>61.411363636363625</c:v>
                </c:pt>
                <c:pt idx="12">
                  <c:v>61.284313725490193</c:v>
                </c:pt>
                <c:pt idx="13">
                  <c:v>60.601851851851833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EB-DF4C-84C4-F4C9CDF94A78}"/>
            </c:ext>
          </c:extLst>
        </c:ser>
        <c:ser>
          <c:idx val="2"/>
          <c:order val="2"/>
          <c:tx>
            <c:v>Kraken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'File Description'!$E$2:$E$15</c:f>
              <c:numCache>
                <c:formatCode>General</c:formatCode>
                <c:ptCount val="14"/>
                <c:pt idx="0">
                  <c:v>1.9135949999999999E-2</c:v>
                </c:pt>
                <c:pt idx="1">
                  <c:v>4.3647103999999999E-2</c:v>
                </c:pt>
                <c:pt idx="2">
                  <c:v>0.25131472599999999</c:v>
                </c:pt>
                <c:pt idx="3">
                  <c:v>0.283102774</c:v>
                </c:pt>
                <c:pt idx="4">
                  <c:v>0.72280911999999997</c:v>
                </c:pt>
                <c:pt idx="5">
                  <c:v>1.8490550800000001</c:v>
                </c:pt>
                <c:pt idx="6">
                  <c:v>2.6444788699999999</c:v>
                </c:pt>
                <c:pt idx="7">
                  <c:v>6.1087968119999996</c:v>
                </c:pt>
                <c:pt idx="8">
                  <c:v>4.0145138940000002</c:v>
                </c:pt>
                <c:pt idx="9">
                  <c:v>0.67885386599999997</c:v>
                </c:pt>
                <c:pt idx="10">
                  <c:v>13.234960392</c:v>
                </c:pt>
                <c:pt idx="11">
                  <c:v>13.507968086</c:v>
                </c:pt>
                <c:pt idx="12">
                  <c:v>15.103510783999999</c:v>
                </c:pt>
                <c:pt idx="13">
                  <c:v>16.374576338000001</c:v>
                </c:pt>
              </c:numCache>
            </c:numRef>
          </c:xVal>
          <c:yVal>
            <c:numRef>
              <c:f>Kraken!$H$3:$H$16</c:f>
              <c:numCache>
                <c:formatCode>#,##0.00</c:formatCode>
                <c:ptCount val="14"/>
                <c:pt idx="0">
                  <c:v>43.6</c:v>
                </c:pt>
                <c:pt idx="1">
                  <c:v>44.6</c:v>
                </c:pt>
                <c:pt idx="2">
                  <c:v>51.6</c:v>
                </c:pt>
                <c:pt idx="4">
                  <c:v>60.650002000000001</c:v>
                </c:pt>
                <c:pt idx="5">
                  <c:v>65.224999999999994</c:v>
                </c:pt>
                <c:pt idx="6">
                  <c:v>58.924999999999997</c:v>
                </c:pt>
                <c:pt idx="10">
                  <c:v>58.857142857142897</c:v>
                </c:pt>
                <c:pt idx="11">
                  <c:v>57.789743589743601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EB-DF4C-84C4-F4C9CDF94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120415"/>
        <c:axId val="198605247"/>
      </c:scatterChart>
      <c:valAx>
        <c:axId val="25212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Size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05247"/>
        <c:crosses val="autoZero"/>
        <c:crossBetween val="midCat"/>
      </c:valAx>
      <c:valAx>
        <c:axId val="19860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CPU 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120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Bcalm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'File Description'!$E$2:$E$15</c:f>
              <c:numCache>
                <c:formatCode>General</c:formatCode>
                <c:ptCount val="14"/>
                <c:pt idx="0">
                  <c:v>1.9135949999999999E-2</c:v>
                </c:pt>
                <c:pt idx="1">
                  <c:v>4.3647103999999999E-2</c:v>
                </c:pt>
                <c:pt idx="2">
                  <c:v>0.25131472599999999</c:v>
                </c:pt>
                <c:pt idx="3">
                  <c:v>0.283102774</c:v>
                </c:pt>
                <c:pt idx="4">
                  <c:v>0.72280911999999997</c:v>
                </c:pt>
                <c:pt idx="5">
                  <c:v>1.8490550800000001</c:v>
                </c:pt>
                <c:pt idx="6">
                  <c:v>2.6444788699999999</c:v>
                </c:pt>
                <c:pt idx="7">
                  <c:v>6.1087968119999996</c:v>
                </c:pt>
                <c:pt idx="8">
                  <c:v>4.0145138940000002</c:v>
                </c:pt>
                <c:pt idx="9">
                  <c:v>0.67885386599999997</c:v>
                </c:pt>
                <c:pt idx="10">
                  <c:v>13.234960392</c:v>
                </c:pt>
                <c:pt idx="11">
                  <c:v>13.507968086</c:v>
                </c:pt>
                <c:pt idx="12">
                  <c:v>15.103510783999999</c:v>
                </c:pt>
                <c:pt idx="13">
                  <c:v>16.374576338000001</c:v>
                </c:pt>
              </c:numCache>
            </c:numRef>
          </c:xVal>
          <c:yVal>
            <c:numRef>
              <c:f>BCALM!$D$3:$D$16</c:f>
              <c:numCache>
                <c:formatCode>#,##0.00</c:formatCode>
                <c:ptCount val="14"/>
                <c:pt idx="0">
                  <c:v>18.03</c:v>
                </c:pt>
                <c:pt idx="1">
                  <c:v>37.6</c:v>
                </c:pt>
                <c:pt idx="2">
                  <c:v>201.84</c:v>
                </c:pt>
                <c:pt idx="3">
                  <c:v>254.43</c:v>
                </c:pt>
                <c:pt idx="4">
                  <c:v>410.59000000000003</c:v>
                </c:pt>
                <c:pt idx="5">
                  <c:v>5888.7</c:v>
                </c:pt>
                <c:pt idx="6">
                  <c:v>6869.54</c:v>
                </c:pt>
                <c:pt idx="7">
                  <c:v>5157.1400000000003</c:v>
                </c:pt>
                <c:pt idx="8">
                  <c:v>3249.95</c:v>
                </c:pt>
                <c:pt idx="9">
                  <c:v>207.74</c:v>
                </c:pt>
                <c:pt idx="10">
                  <c:v>1441.28</c:v>
                </c:pt>
                <c:pt idx="11">
                  <c:v>8665.2900000000009</c:v>
                </c:pt>
                <c:pt idx="12">
                  <c:v>14873.55</c:v>
                </c:pt>
                <c:pt idx="13">
                  <c:v>16465.12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F9-0141-A55A-8D2ED75714CD}"/>
            </c:ext>
          </c:extLst>
        </c:ser>
        <c:ser>
          <c:idx val="1"/>
          <c:order val="1"/>
          <c:tx>
            <c:v>DSK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550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'File Description'!$E$2:$E$15</c:f>
              <c:numCache>
                <c:formatCode>General</c:formatCode>
                <c:ptCount val="14"/>
                <c:pt idx="0">
                  <c:v>1.9135949999999999E-2</c:v>
                </c:pt>
                <c:pt idx="1">
                  <c:v>4.3647103999999999E-2</c:v>
                </c:pt>
                <c:pt idx="2">
                  <c:v>0.25131472599999999</c:v>
                </c:pt>
                <c:pt idx="3">
                  <c:v>0.283102774</c:v>
                </c:pt>
                <c:pt idx="4">
                  <c:v>0.72280911999999997</c:v>
                </c:pt>
                <c:pt idx="5">
                  <c:v>1.8490550800000001</c:v>
                </c:pt>
                <c:pt idx="6">
                  <c:v>2.6444788699999999</c:v>
                </c:pt>
                <c:pt idx="7">
                  <c:v>6.1087968119999996</c:v>
                </c:pt>
                <c:pt idx="8">
                  <c:v>4.0145138940000002</c:v>
                </c:pt>
                <c:pt idx="9">
                  <c:v>0.67885386599999997</c:v>
                </c:pt>
                <c:pt idx="10">
                  <c:v>13.234960392</c:v>
                </c:pt>
                <c:pt idx="11">
                  <c:v>13.507968086</c:v>
                </c:pt>
                <c:pt idx="12">
                  <c:v>15.103510783999999</c:v>
                </c:pt>
                <c:pt idx="13">
                  <c:v>16.374576338000001</c:v>
                </c:pt>
              </c:numCache>
            </c:numRef>
          </c:xVal>
          <c:yVal>
            <c:numRef>
              <c:f>DSK!$D$3:$D$16</c:f>
              <c:numCache>
                <c:formatCode>#,##0.00</c:formatCode>
                <c:ptCount val="14"/>
                <c:pt idx="0">
                  <c:v>5.78</c:v>
                </c:pt>
                <c:pt idx="1">
                  <c:v>10.65</c:v>
                </c:pt>
                <c:pt idx="2">
                  <c:v>50.12</c:v>
                </c:pt>
                <c:pt idx="3">
                  <c:v>74.47</c:v>
                </c:pt>
                <c:pt idx="4">
                  <c:v>179.63</c:v>
                </c:pt>
                <c:pt idx="5">
                  <c:v>416.14</c:v>
                </c:pt>
                <c:pt idx="6">
                  <c:v>544.69000000000005</c:v>
                </c:pt>
                <c:pt idx="7">
                  <c:v>2210.96</c:v>
                </c:pt>
                <c:pt idx="8">
                  <c:v>1324.53</c:v>
                </c:pt>
                <c:pt idx="9">
                  <c:v>234.91</c:v>
                </c:pt>
                <c:pt idx="10">
                  <c:v>770.62</c:v>
                </c:pt>
                <c:pt idx="11">
                  <c:v>5305.03</c:v>
                </c:pt>
                <c:pt idx="12">
                  <c:v>5945.78</c:v>
                </c:pt>
                <c:pt idx="13">
                  <c:v>6356.24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F9-0141-A55A-8D2ED75714CD}"/>
            </c:ext>
          </c:extLst>
        </c:ser>
        <c:ser>
          <c:idx val="2"/>
          <c:order val="2"/>
          <c:tx>
            <c:v>Kraken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750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'File Description'!$E$2:$E$15</c:f>
              <c:numCache>
                <c:formatCode>General</c:formatCode>
                <c:ptCount val="14"/>
                <c:pt idx="0">
                  <c:v>1.9135949999999999E-2</c:v>
                </c:pt>
                <c:pt idx="1">
                  <c:v>4.3647103999999999E-2</c:v>
                </c:pt>
                <c:pt idx="2">
                  <c:v>0.25131472599999999</c:v>
                </c:pt>
                <c:pt idx="3">
                  <c:v>0.283102774</c:v>
                </c:pt>
                <c:pt idx="4">
                  <c:v>0.72280911999999997</c:v>
                </c:pt>
                <c:pt idx="5">
                  <c:v>1.8490550800000001</c:v>
                </c:pt>
                <c:pt idx="6">
                  <c:v>2.6444788699999999</c:v>
                </c:pt>
                <c:pt idx="7">
                  <c:v>6.1087968119999996</c:v>
                </c:pt>
                <c:pt idx="8">
                  <c:v>4.0145138940000002</c:v>
                </c:pt>
                <c:pt idx="9">
                  <c:v>0.67885386599999997</c:v>
                </c:pt>
                <c:pt idx="10">
                  <c:v>13.234960392</c:v>
                </c:pt>
                <c:pt idx="11">
                  <c:v>13.507968086</c:v>
                </c:pt>
                <c:pt idx="12">
                  <c:v>15.103510783999999</c:v>
                </c:pt>
                <c:pt idx="13">
                  <c:v>16.374576338000001</c:v>
                </c:pt>
              </c:numCache>
            </c:numRef>
          </c:xVal>
          <c:yVal>
            <c:numRef>
              <c:f>Kraken!$D$3:$D$16</c:f>
              <c:numCache>
                <c:formatCode>#,##0.00</c:formatCode>
                <c:ptCount val="14"/>
                <c:pt idx="0">
                  <c:v>1.59</c:v>
                </c:pt>
                <c:pt idx="1">
                  <c:v>1.98</c:v>
                </c:pt>
                <c:pt idx="2">
                  <c:v>9.14</c:v>
                </c:pt>
                <c:pt idx="4">
                  <c:v>26.37</c:v>
                </c:pt>
                <c:pt idx="5">
                  <c:v>66.11</c:v>
                </c:pt>
                <c:pt idx="6">
                  <c:v>98.759999999999991</c:v>
                </c:pt>
                <c:pt idx="10">
                  <c:v>96.25</c:v>
                </c:pt>
                <c:pt idx="11">
                  <c:v>521.53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F9-0141-A55A-8D2ED7571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330272"/>
        <c:axId val="706520624"/>
      </c:scatterChart>
      <c:valAx>
        <c:axId val="70633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Size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520624"/>
        <c:crosses val="autoZero"/>
        <c:crossBetween val="midCat"/>
      </c:valAx>
      <c:valAx>
        <c:axId val="706520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3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5646</xdr:colOff>
      <xdr:row>1</xdr:row>
      <xdr:rowOff>2115</xdr:rowOff>
    </xdr:from>
    <xdr:to>
      <xdr:col>5</xdr:col>
      <xdr:colOff>369184</xdr:colOff>
      <xdr:row>14</xdr:row>
      <xdr:rowOff>165628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A3AC7B-402F-314F-9319-06897FFF1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710439</xdr:colOff>
      <xdr:row>36</xdr:row>
      <xdr:rowOff>103745</xdr:rowOff>
    </xdr:from>
    <xdr:to>
      <xdr:col>5</xdr:col>
      <xdr:colOff>250401</xdr:colOff>
      <xdr:row>50</xdr:row>
      <xdr:rowOff>67137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090C65-8879-B441-AC04-5B625EC60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436679</xdr:colOff>
      <xdr:row>15</xdr:row>
      <xdr:rowOff>2579</xdr:rowOff>
    </xdr:from>
    <xdr:to>
      <xdr:col>9</xdr:col>
      <xdr:colOff>798467</xdr:colOff>
      <xdr:row>28</xdr:row>
      <xdr:rowOff>166092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F38E67-7057-0E40-96EA-9966C109E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41189</xdr:colOff>
      <xdr:row>15</xdr:row>
      <xdr:rowOff>2275</xdr:rowOff>
    </xdr:from>
    <xdr:to>
      <xdr:col>14</xdr:col>
      <xdr:colOff>404727</xdr:colOff>
      <xdr:row>28</xdr:row>
      <xdr:rowOff>164936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68D53F-B358-604F-8F3D-164431943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800485</xdr:colOff>
      <xdr:row>15</xdr:row>
      <xdr:rowOff>5234</xdr:rowOff>
    </xdr:from>
    <xdr:to>
      <xdr:col>5</xdr:col>
      <xdr:colOff>339166</xdr:colOff>
      <xdr:row>28</xdr:row>
      <xdr:rowOff>166679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EF660D-1CA2-CF45-B3C6-71F93E833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0.07445</cdr:x>
      <cdr:y>0.10097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95A931C-EC43-114D-8837-321654D8C5C6}"/>
            </a:ext>
          </a:extLst>
        </cdr:cNvPr>
        <cdr:cNvSpPr txBox="1"/>
      </cdr:nvSpPr>
      <cdr:spPr>
        <a:xfrm xmlns:a="http://schemas.openxmlformats.org/drawingml/2006/main">
          <a:off x="0" y="0"/>
          <a:ext cx="273249" cy="2838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/>
            <a:t>A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0.07448</cdr:x>
      <cdr:y>0.10097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949C8F3-C946-814C-A712-EF4405EB136A}"/>
            </a:ext>
          </a:extLst>
        </cdr:cNvPr>
        <cdr:cNvSpPr txBox="1"/>
      </cdr:nvSpPr>
      <cdr:spPr>
        <a:xfrm xmlns:a="http://schemas.openxmlformats.org/drawingml/2006/main">
          <a:off x="0" y="0"/>
          <a:ext cx="273249" cy="2838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/>
            <a:t>B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0.07445</cdr:x>
      <cdr:y>0.101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949C8F3-C946-814C-A712-EF4405EB136A}"/>
            </a:ext>
          </a:extLst>
        </cdr:cNvPr>
        <cdr:cNvSpPr txBox="1"/>
      </cdr:nvSpPr>
      <cdr:spPr>
        <a:xfrm xmlns:a="http://schemas.openxmlformats.org/drawingml/2006/main">
          <a:off x="0" y="0"/>
          <a:ext cx="273249" cy="2838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/>
            <a:t>C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0.07448</cdr:x>
      <cdr:y>0.10116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6B9D1B1-84C4-E64C-B85C-CF1E5192FA74}"/>
            </a:ext>
          </a:extLst>
        </cdr:cNvPr>
        <cdr:cNvSpPr txBox="1"/>
      </cdr:nvSpPr>
      <cdr:spPr>
        <a:xfrm xmlns:a="http://schemas.openxmlformats.org/drawingml/2006/main">
          <a:off x="0" y="0"/>
          <a:ext cx="273043" cy="2835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/>
            <a:t>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F79B1-1C26-0F42-85CA-095B60769431}">
  <dimension ref="A1:H20"/>
  <sheetViews>
    <sheetView tabSelected="1" workbookViewId="0">
      <pane xSplit="1" topLeftCell="B1" activePane="topRight" state="frozen"/>
      <selection pane="topRight" activeCell="G11" sqref="G11"/>
    </sheetView>
  </sheetViews>
  <sheetFormatPr baseColWidth="10" defaultRowHeight="17"/>
  <cols>
    <col min="1" max="1" width="12.6640625" style="22" bestFit="1" customWidth="1"/>
    <col min="2" max="2" width="17.83203125" style="22" bestFit="1" customWidth="1"/>
    <col min="3" max="3" width="14" style="22" bestFit="1" customWidth="1"/>
    <col min="4" max="4" width="13" style="22" bestFit="1" customWidth="1"/>
    <col min="5" max="5" width="12.5" style="22" bestFit="1" customWidth="1"/>
    <col min="6" max="6" width="12.83203125" style="22" bestFit="1" customWidth="1"/>
    <col min="7" max="7" width="14.1640625" style="22" bestFit="1" customWidth="1"/>
    <col min="8" max="8" width="12.83203125" style="22" bestFit="1" customWidth="1"/>
  </cols>
  <sheetData>
    <row r="1" spans="1:8">
      <c r="A1" s="21" t="s">
        <v>1</v>
      </c>
      <c r="B1" s="22" t="s">
        <v>2</v>
      </c>
      <c r="C1" s="22" t="s">
        <v>43</v>
      </c>
      <c r="D1" s="22" t="s">
        <v>44</v>
      </c>
      <c r="E1" s="22" t="s">
        <v>45</v>
      </c>
      <c r="F1" s="22" t="s">
        <v>47</v>
      </c>
      <c r="G1" s="22" t="s">
        <v>46</v>
      </c>
      <c r="H1" s="22" t="s">
        <v>48</v>
      </c>
    </row>
    <row r="2" spans="1:8">
      <c r="A2" s="23" t="s">
        <v>4</v>
      </c>
      <c r="B2" s="24" t="s">
        <v>3</v>
      </c>
      <c r="C2" s="22">
        <v>19135950</v>
      </c>
      <c r="D2" s="22">
        <f>C2/1000000</f>
        <v>19.135950000000001</v>
      </c>
      <c r="E2" s="22">
        <f>C2/1000000000</f>
        <v>1.9135949999999999E-2</v>
      </c>
      <c r="F2" s="22">
        <v>8976703</v>
      </c>
      <c r="G2" s="22">
        <v>4757363</v>
      </c>
      <c r="H2" s="22">
        <f>G2/F2</f>
        <v>0.52996773982608092</v>
      </c>
    </row>
    <row r="3" spans="1:8">
      <c r="A3" s="23" t="s">
        <v>5</v>
      </c>
      <c r="B3" s="24" t="s">
        <v>3</v>
      </c>
      <c r="C3" s="22">
        <v>43647104</v>
      </c>
      <c r="D3" s="22">
        <f t="shared" ref="D3:D14" si="0">C3/1000000</f>
        <v>43.647103999999999</v>
      </c>
      <c r="E3" s="22">
        <f t="shared" ref="E3:E15" si="1">C3/1000000000</f>
        <v>4.3647103999999999E-2</v>
      </c>
      <c r="F3" s="22">
        <v>20481866</v>
      </c>
      <c r="G3" s="22">
        <v>9937061</v>
      </c>
      <c r="H3" s="22">
        <f t="shared" ref="H3:H15" si="2">G3/F3</f>
        <v>0.48516385177014631</v>
      </c>
    </row>
    <row r="4" spans="1:8">
      <c r="A4" s="23" t="s">
        <v>6</v>
      </c>
      <c r="B4" s="24" t="s">
        <v>3</v>
      </c>
      <c r="C4" s="22">
        <v>251314726</v>
      </c>
      <c r="D4" s="22">
        <f t="shared" si="0"/>
        <v>251.31472600000001</v>
      </c>
      <c r="E4" s="22">
        <f t="shared" si="1"/>
        <v>0.25131472599999999</v>
      </c>
      <c r="F4" s="22">
        <v>117826901</v>
      </c>
      <c r="G4" s="22">
        <v>41400243</v>
      </c>
      <c r="H4" s="22">
        <f t="shared" si="2"/>
        <v>0.35136494848489652</v>
      </c>
    </row>
    <row r="5" spans="1:8">
      <c r="A5" s="23" t="s">
        <v>8</v>
      </c>
      <c r="B5" s="24" t="s">
        <v>7</v>
      </c>
      <c r="C5" s="22">
        <v>283102774</v>
      </c>
      <c r="D5" s="22">
        <f t="shared" si="0"/>
        <v>283.10277400000001</v>
      </c>
      <c r="E5" s="22">
        <f t="shared" si="1"/>
        <v>0.283102774</v>
      </c>
      <c r="F5" s="22">
        <v>138314339</v>
      </c>
      <c r="G5" s="22">
        <v>114890056</v>
      </c>
      <c r="H5" s="22">
        <f t="shared" si="2"/>
        <v>0.83064457980744855</v>
      </c>
    </row>
    <row r="6" spans="1:8">
      <c r="A6" s="22" t="s">
        <v>9</v>
      </c>
      <c r="B6" s="24" t="s">
        <v>3</v>
      </c>
      <c r="C6" s="22">
        <v>722809120</v>
      </c>
      <c r="D6" s="22">
        <f t="shared" si="0"/>
        <v>722.80912000000001</v>
      </c>
      <c r="E6" s="22">
        <f t="shared" si="1"/>
        <v>0.72280911999999997</v>
      </c>
      <c r="F6" s="22">
        <v>354527271</v>
      </c>
      <c r="G6" s="22">
        <v>200351410</v>
      </c>
      <c r="H6" s="22">
        <f t="shared" si="2"/>
        <v>0.56512270391746533</v>
      </c>
    </row>
    <row r="7" spans="1:8">
      <c r="A7" s="22" t="s">
        <v>10</v>
      </c>
      <c r="B7" s="24" t="s">
        <v>3</v>
      </c>
      <c r="C7" s="22">
        <v>1849055080</v>
      </c>
      <c r="D7" s="22">
        <f t="shared" si="0"/>
        <v>1849.0550800000001</v>
      </c>
      <c r="E7" s="22">
        <f t="shared" si="1"/>
        <v>1.8490550800000001</v>
      </c>
      <c r="F7" s="22">
        <v>786401242</v>
      </c>
      <c r="G7" s="22">
        <v>328051714</v>
      </c>
      <c r="H7" s="22">
        <f t="shared" si="2"/>
        <v>0.41715564075876677</v>
      </c>
    </row>
    <row r="8" spans="1:8">
      <c r="A8" s="22" t="s">
        <v>11</v>
      </c>
      <c r="B8" s="24" t="s">
        <v>3</v>
      </c>
      <c r="C8" s="22">
        <v>2644478870</v>
      </c>
      <c r="D8" s="22">
        <f t="shared" si="0"/>
        <v>2644.4788699999999</v>
      </c>
      <c r="E8" s="22">
        <f t="shared" si="1"/>
        <v>2.6444788699999999</v>
      </c>
      <c r="F8" s="22">
        <v>1089255288</v>
      </c>
      <c r="G8" s="22">
        <v>337198137</v>
      </c>
      <c r="H8" s="22">
        <f t="shared" si="2"/>
        <v>0.30956759238611103</v>
      </c>
    </row>
    <row r="9" spans="1:8">
      <c r="A9" s="22" t="s">
        <v>12</v>
      </c>
      <c r="B9" s="24" t="s">
        <v>7</v>
      </c>
      <c r="C9" s="22">
        <v>6108796812</v>
      </c>
      <c r="D9" s="22">
        <f t="shared" si="0"/>
        <v>6108.7968119999996</v>
      </c>
      <c r="E9" s="22">
        <f t="shared" si="1"/>
        <v>6.1087968119999996</v>
      </c>
      <c r="F9" s="22">
        <v>3038713704</v>
      </c>
      <c r="G9" s="22">
        <v>2768940048</v>
      </c>
      <c r="H9" s="22">
        <f t="shared" si="2"/>
        <v>0.91122110133479028</v>
      </c>
    </row>
    <row r="10" spans="1:8">
      <c r="A10" s="22" t="s">
        <v>13</v>
      </c>
      <c r="B10" s="24" t="s">
        <v>7</v>
      </c>
      <c r="C10" s="22">
        <v>4014513894</v>
      </c>
      <c r="D10" s="22">
        <f t="shared" si="0"/>
        <v>4014.5138940000002</v>
      </c>
      <c r="E10" s="22">
        <f t="shared" si="1"/>
        <v>4.0145138940000002</v>
      </c>
      <c r="F10" s="22">
        <v>1999086852</v>
      </c>
      <c r="G10" s="22">
        <v>1817027703</v>
      </c>
      <c r="H10" s="22">
        <f t="shared" si="2"/>
        <v>0.90892884477837588</v>
      </c>
    </row>
    <row r="11" spans="1:8">
      <c r="A11" s="22" t="s">
        <v>14</v>
      </c>
      <c r="B11" s="24" t="s">
        <v>7</v>
      </c>
      <c r="C11" s="22">
        <v>678853866</v>
      </c>
      <c r="D11" s="22">
        <f t="shared" si="0"/>
        <v>678.85386600000004</v>
      </c>
      <c r="E11" s="22">
        <f t="shared" si="1"/>
        <v>0.67885386599999997</v>
      </c>
      <c r="F11" s="22">
        <v>331856697</v>
      </c>
      <c r="G11" s="22">
        <v>331625061</v>
      </c>
      <c r="H11" s="22">
        <f t="shared" si="2"/>
        <v>0.9993019999231777</v>
      </c>
    </row>
    <row r="12" spans="1:8">
      <c r="A12" s="22" t="s">
        <v>15</v>
      </c>
      <c r="B12" s="24" t="s">
        <v>3</v>
      </c>
      <c r="C12" s="22">
        <v>13234960392</v>
      </c>
      <c r="D12" s="22">
        <f t="shared" si="0"/>
        <v>13234.960392000001</v>
      </c>
      <c r="E12" s="22">
        <f t="shared" si="1"/>
        <v>13.234960392</v>
      </c>
      <c r="F12" s="22">
        <v>6458844838</v>
      </c>
      <c r="G12" s="22">
        <v>6092278327</v>
      </c>
      <c r="H12" s="22">
        <f t="shared" si="2"/>
        <v>0.9432458093987115</v>
      </c>
    </row>
    <row r="13" spans="1:8">
      <c r="A13" s="22" t="s">
        <v>16</v>
      </c>
      <c r="B13" s="24" t="s">
        <v>3</v>
      </c>
      <c r="C13" s="22">
        <v>13507968086</v>
      </c>
      <c r="D13" s="22">
        <f t="shared" si="0"/>
        <v>13507.968086000001</v>
      </c>
      <c r="E13" s="22">
        <f t="shared" si="1"/>
        <v>13.507968086</v>
      </c>
      <c r="F13" s="22">
        <v>6634751431</v>
      </c>
      <c r="G13" s="22">
        <v>6411218461</v>
      </c>
      <c r="H13" s="22">
        <f t="shared" si="2"/>
        <v>0.96630876494399298</v>
      </c>
    </row>
    <row r="14" spans="1:8">
      <c r="A14" s="22" t="s">
        <v>17</v>
      </c>
      <c r="B14" s="24" t="s">
        <v>7</v>
      </c>
      <c r="C14" s="22">
        <v>15103510784</v>
      </c>
      <c r="D14" s="22">
        <f t="shared" si="0"/>
        <v>15103.510784</v>
      </c>
      <c r="E14" s="22">
        <f t="shared" si="1"/>
        <v>15.103510783999999</v>
      </c>
      <c r="F14" s="22">
        <v>7495202853</v>
      </c>
      <c r="G14" s="22">
        <v>6395452226</v>
      </c>
      <c r="H14" s="22">
        <f t="shared" si="2"/>
        <v>0.85327273343111476</v>
      </c>
    </row>
    <row r="15" spans="1:8">
      <c r="A15" s="22" t="s">
        <v>18</v>
      </c>
      <c r="B15" s="24" t="s">
        <v>7</v>
      </c>
      <c r="C15" s="22">
        <v>16374576338</v>
      </c>
      <c r="D15" s="22">
        <f t="shared" ref="D15" si="3">C15/1000</f>
        <v>16374576.338</v>
      </c>
      <c r="E15" s="22">
        <f t="shared" si="1"/>
        <v>16.374576338000001</v>
      </c>
      <c r="F15" s="22">
        <v>8064606004</v>
      </c>
      <c r="G15" s="22">
        <v>6507646662</v>
      </c>
      <c r="H15" s="22">
        <f t="shared" si="2"/>
        <v>0.8069391931573896</v>
      </c>
    </row>
    <row r="18" spans="2:2">
      <c r="B18" s="24"/>
    </row>
    <row r="19" spans="2:2">
      <c r="B19" s="24"/>
    </row>
    <row r="20" spans="2:2">
      <c r="B20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9A7B7-9985-E74A-9A87-B7A60C312FC4}">
  <dimension ref="A1:J48"/>
  <sheetViews>
    <sheetView zoomScaleNormal="100" workbookViewId="0">
      <selection activeCell="F6" sqref="F6:F16"/>
    </sheetView>
  </sheetViews>
  <sheetFormatPr baseColWidth="10" defaultRowHeight="17"/>
  <cols>
    <col min="1" max="1" width="24.83203125" style="15" bestFit="1" customWidth="1"/>
    <col min="2" max="2" width="17.83203125" style="15" bestFit="1" customWidth="1"/>
    <col min="3" max="3" width="19.6640625" style="15" bestFit="1" customWidth="1"/>
    <col min="4" max="4" width="18.83203125" style="15" bestFit="1" customWidth="1"/>
    <col min="5" max="5" width="21.83203125" style="15" bestFit="1" customWidth="1"/>
    <col min="6" max="6" width="20.6640625" style="15" bestFit="1" customWidth="1"/>
    <col min="7" max="7" width="28.33203125" style="15" bestFit="1" customWidth="1"/>
    <col min="8" max="8" width="27.83203125" style="15" bestFit="1" customWidth="1"/>
    <col min="9" max="10" width="10.83203125" style="9"/>
  </cols>
  <sheetData>
    <row r="1" spans="1:8">
      <c r="A1" s="40" t="s">
        <v>55</v>
      </c>
      <c r="B1" s="41"/>
      <c r="C1" s="41"/>
      <c r="E1" s="41"/>
      <c r="F1" s="41"/>
      <c r="G1" s="41"/>
    </row>
    <row r="2" spans="1:8">
      <c r="A2" s="40" t="s">
        <v>1</v>
      </c>
      <c r="B2" s="15" t="s">
        <v>2</v>
      </c>
      <c r="C2" s="41" t="s">
        <v>57</v>
      </c>
      <c r="D2" s="41" t="s">
        <v>58</v>
      </c>
      <c r="E2" s="41" t="s">
        <v>59</v>
      </c>
      <c r="F2" s="41" t="s">
        <v>60</v>
      </c>
      <c r="G2" s="40" t="s">
        <v>61</v>
      </c>
      <c r="H2" s="40" t="s">
        <v>62</v>
      </c>
    </row>
    <row r="3" spans="1:8">
      <c r="A3" s="17" t="s">
        <v>4</v>
      </c>
      <c r="B3" s="14" t="s">
        <v>3</v>
      </c>
      <c r="C3" s="14"/>
      <c r="D3" s="14"/>
      <c r="E3" s="14"/>
      <c r="F3" s="14"/>
      <c r="G3" s="14"/>
      <c r="H3" s="14"/>
    </row>
    <row r="4" spans="1:8">
      <c r="A4" s="17" t="s">
        <v>5</v>
      </c>
      <c r="B4" s="14" t="s">
        <v>3</v>
      </c>
      <c r="C4" s="14"/>
      <c r="D4" s="14"/>
      <c r="G4" s="14"/>
      <c r="H4" s="14"/>
    </row>
    <row r="5" spans="1:8">
      <c r="A5" s="17" t="s">
        <v>6</v>
      </c>
      <c r="B5" s="14" t="s">
        <v>3</v>
      </c>
      <c r="C5" s="14"/>
      <c r="D5" s="14"/>
      <c r="E5" s="14"/>
      <c r="F5" s="14"/>
      <c r="G5" s="14"/>
      <c r="H5" s="14"/>
    </row>
    <row r="6" spans="1:8">
      <c r="A6" s="17" t="s">
        <v>8</v>
      </c>
      <c r="B6" s="14" t="s">
        <v>7</v>
      </c>
      <c r="C6" s="14">
        <f>5.69</f>
        <v>5.69</v>
      </c>
      <c r="D6" s="14">
        <v>4.6100000000000003</v>
      </c>
      <c r="E6" s="14">
        <v>27.703125</v>
      </c>
      <c r="F6" s="14">
        <v>27.703125</v>
      </c>
      <c r="G6" s="15">
        <v>44.3</v>
      </c>
      <c r="H6" s="15">
        <v>44.3</v>
      </c>
    </row>
    <row r="7" spans="1:8">
      <c r="A7" s="15" t="s">
        <v>9</v>
      </c>
      <c r="B7" s="14" t="s">
        <v>3</v>
      </c>
      <c r="C7" s="14"/>
      <c r="D7" s="14"/>
      <c r="G7" s="14"/>
      <c r="H7" s="14"/>
    </row>
    <row r="8" spans="1:8">
      <c r="A8" s="15" t="s">
        <v>10</v>
      </c>
      <c r="B8" s="14" t="s">
        <v>3</v>
      </c>
      <c r="C8" s="14"/>
      <c r="D8" s="14"/>
      <c r="E8" s="17"/>
      <c r="F8" s="17"/>
      <c r="G8" s="14"/>
      <c r="H8" s="14"/>
    </row>
    <row r="9" spans="1:8">
      <c r="A9" s="15" t="s">
        <v>11</v>
      </c>
      <c r="B9" s="14" t="s">
        <v>3</v>
      </c>
      <c r="C9" s="14"/>
      <c r="D9" s="14"/>
      <c r="E9" s="14"/>
      <c r="F9" s="14"/>
      <c r="G9" s="14"/>
      <c r="H9" s="14"/>
    </row>
    <row r="10" spans="1:8">
      <c r="A10" s="15" t="s">
        <v>12</v>
      </c>
      <c r="B10" s="14" t="s">
        <v>7</v>
      </c>
      <c r="C10" s="14">
        <v>5.7</v>
      </c>
      <c r="D10" s="14">
        <v>4.62</v>
      </c>
      <c r="E10" s="15">
        <v>31.4609375</v>
      </c>
      <c r="F10" s="15">
        <v>31.4609375</v>
      </c>
      <c r="G10" s="14">
        <v>44.9</v>
      </c>
      <c r="H10" s="14">
        <v>44.9</v>
      </c>
    </row>
    <row r="11" spans="1:8">
      <c r="A11" s="15" t="s">
        <v>13</v>
      </c>
      <c r="B11" s="14" t="s">
        <v>7</v>
      </c>
      <c r="C11" s="14">
        <v>5.49</v>
      </c>
      <c r="D11" s="14">
        <v>4.51</v>
      </c>
      <c r="E11" s="14">
        <v>27.28515625</v>
      </c>
      <c r="F11" s="14">
        <v>27.28515625</v>
      </c>
      <c r="G11" s="14">
        <v>50.600002000000003</v>
      </c>
      <c r="H11" s="14">
        <v>50.600002000000003</v>
      </c>
    </row>
    <row r="12" spans="1:8">
      <c r="A12" s="15" t="s">
        <v>14</v>
      </c>
      <c r="B12" s="14" t="s">
        <v>7</v>
      </c>
      <c r="C12" s="14">
        <v>5.78</v>
      </c>
      <c r="D12" s="14">
        <v>4.74</v>
      </c>
      <c r="E12" s="15">
        <v>25.34765625</v>
      </c>
      <c r="F12" s="15">
        <v>25.34765625</v>
      </c>
      <c r="G12" s="14">
        <v>46.9</v>
      </c>
      <c r="H12" s="14">
        <v>46.9</v>
      </c>
    </row>
    <row r="13" spans="1:8">
      <c r="A13" s="15" t="s">
        <v>15</v>
      </c>
      <c r="B13" s="14" t="s">
        <v>3</v>
      </c>
      <c r="C13" s="14"/>
      <c r="D13" s="14"/>
      <c r="G13" s="14"/>
      <c r="H13" s="14"/>
    </row>
    <row r="14" spans="1:8">
      <c r="A14" s="15" t="s">
        <v>16</v>
      </c>
      <c r="B14" s="14" t="s">
        <v>3</v>
      </c>
      <c r="C14" s="14"/>
      <c r="D14" s="14"/>
      <c r="E14" s="14"/>
      <c r="F14" s="14"/>
      <c r="G14" s="14"/>
      <c r="H14" s="14"/>
    </row>
    <row r="15" spans="1:8">
      <c r="A15" s="15" t="s">
        <v>17</v>
      </c>
      <c r="B15" s="14" t="s">
        <v>7</v>
      </c>
      <c r="C15" s="14">
        <f>5.67</f>
        <v>5.67</v>
      </c>
      <c r="D15" s="14">
        <v>4.76</v>
      </c>
      <c r="E15" s="14">
        <v>7.2998046875E-2</v>
      </c>
      <c r="F15" s="14">
        <v>7.2998046875E-2</v>
      </c>
      <c r="G15" s="14">
        <v>45.3</v>
      </c>
      <c r="H15" s="14">
        <v>45.3</v>
      </c>
    </row>
    <row r="16" spans="1:8">
      <c r="A16" s="15" t="s">
        <v>18</v>
      </c>
      <c r="B16" s="14" t="s">
        <v>7</v>
      </c>
      <c r="C16" s="14">
        <v>5.7</v>
      </c>
      <c r="D16" s="14">
        <v>4.6399999999999997</v>
      </c>
      <c r="E16" s="14">
        <v>29.921875</v>
      </c>
      <c r="F16" s="14">
        <v>29.921875</v>
      </c>
      <c r="G16" s="14">
        <v>53.2</v>
      </c>
      <c r="H16" s="14">
        <v>53.2</v>
      </c>
    </row>
    <row r="19" spans="1:8">
      <c r="A19" s="15" t="s">
        <v>56</v>
      </c>
    </row>
    <row r="20" spans="1:8">
      <c r="A20" s="40" t="s">
        <v>1</v>
      </c>
      <c r="B20" s="15" t="s">
        <v>2</v>
      </c>
      <c r="C20" s="41" t="s">
        <v>49</v>
      </c>
      <c r="D20" s="41" t="s">
        <v>50</v>
      </c>
      <c r="E20" s="41" t="s">
        <v>51</v>
      </c>
      <c r="F20" s="41" t="s">
        <v>52</v>
      </c>
      <c r="G20" s="40" t="s">
        <v>53</v>
      </c>
      <c r="H20" s="40" t="s">
        <v>54</v>
      </c>
    </row>
    <row r="21" spans="1:8">
      <c r="A21" s="17" t="s">
        <v>4</v>
      </c>
      <c r="B21" s="14" t="s">
        <v>3</v>
      </c>
      <c r="C21" s="14"/>
      <c r="D21" s="14"/>
      <c r="E21" s="14"/>
      <c r="F21" s="14"/>
      <c r="G21" s="14"/>
      <c r="H21" s="14"/>
    </row>
    <row r="22" spans="1:8">
      <c r="A22" s="17" t="s">
        <v>5</v>
      </c>
      <c r="B22" s="14" t="s">
        <v>3</v>
      </c>
      <c r="C22" s="14"/>
      <c r="D22" s="14"/>
      <c r="G22" s="14"/>
      <c r="H22" s="14"/>
    </row>
    <row r="23" spans="1:8">
      <c r="A23" s="17" t="s">
        <v>6</v>
      </c>
      <c r="B23" s="14" t="s">
        <v>3</v>
      </c>
      <c r="C23" s="14"/>
      <c r="D23" s="14"/>
      <c r="E23" s="14"/>
      <c r="F23" s="14"/>
      <c r="G23" s="14"/>
      <c r="H23" s="14"/>
    </row>
    <row r="24" spans="1:8">
      <c r="A24" s="17" t="s">
        <v>8</v>
      </c>
      <c r="B24" s="14" t="s">
        <v>7</v>
      </c>
      <c r="C24" s="14">
        <f>41.48</f>
        <v>41.48</v>
      </c>
      <c r="D24" s="14">
        <f>60+41.48</f>
        <v>101.47999999999999</v>
      </c>
      <c r="E24" s="14">
        <v>353.48046875</v>
      </c>
      <c r="F24" s="14">
        <v>337.064453125</v>
      </c>
      <c r="G24" s="14">
        <v>69.400000000000006</v>
      </c>
      <c r="H24" s="14">
        <v>67.250003000000007</v>
      </c>
    </row>
    <row r="25" spans="1:8">
      <c r="A25" s="15" t="s">
        <v>9</v>
      </c>
      <c r="B25" s="14" t="s">
        <v>3</v>
      </c>
      <c r="C25" s="14"/>
      <c r="D25" s="14"/>
      <c r="F25" s="14"/>
      <c r="G25" s="14"/>
      <c r="H25" s="14"/>
    </row>
    <row r="26" spans="1:8">
      <c r="A26" s="15" t="s">
        <v>10</v>
      </c>
      <c r="B26" s="14" t="s">
        <v>3</v>
      </c>
      <c r="C26" s="14"/>
      <c r="D26" s="14"/>
      <c r="E26" s="17"/>
      <c r="F26" s="14"/>
      <c r="G26" s="14"/>
      <c r="H26" s="14"/>
    </row>
    <row r="27" spans="1:8">
      <c r="A27" s="15" t="s">
        <v>11</v>
      </c>
      <c r="B27" s="14" t="s">
        <v>3</v>
      </c>
      <c r="C27" s="14"/>
      <c r="D27" s="14"/>
      <c r="E27" s="14"/>
      <c r="F27" s="14"/>
      <c r="G27" s="14"/>
      <c r="H27" s="14"/>
    </row>
    <row r="28" spans="1:8">
      <c r="A28" s="15" t="s">
        <v>12</v>
      </c>
      <c r="B28" s="14" t="s">
        <v>7</v>
      </c>
      <c r="C28" s="14">
        <f>(18*60)+56.65</f>
        <v>1136.6500000000001</v>
      </c>
      <c r="D28" s="14">
        <f>(52*60)+46.03</f>
        <v>3166.03</v>
      </c>
      <c r="E28" s="14">
        <v>2288.0625</v>
      </c>
      <c r="F28" s="14">
        <v>1557.2642543857421</v>
      </c>
      <c r="G28" s="14">
        <v>71.700005000000004</v>
      </c>
      <c r="H28" s="14">
        <v>58.845616999999997</v>
      </c>
    </row>
    <row r="29" spans="1:8">
      <c r="A29" s="15" t="s">
        <v>13</v>
      </c>
      <c r="B29" s="14" t="s">
        <v>7</v>
      </c>
      <c r="C29" s="14">
        <f>(12*60)+41.46</f>
        <v>761.46</v>
      </c>
      <c r="D29" s="14">
        <f>(33*60)+7.95</f>
        <v>1987.95</v>
      </c>
      <c r="E29" s="14">
        <v>2256.37890625</v>
      </c>
      <c r="F29" s="14">
        <v>1417.4017578124999</v>
      </c>
      <c r="G29" s="14">
        <v>74.400000000000006</v>
      </c>
      <c r="H29" s="14">
        <v>58.535001999999999</v>
      </c>
    </row>
    <row r="30" spans="1:8">
      <c r="A30" s="15" t="s">
        <v>14</v>
      </c>
      <c r="B30" s="14" t="s">
        <v>7</v>
      </c>
      <c r="C30" s="14">
        <f>60+36.13</f>
        <v>96.13</v>
      </c>
      <c r="D30" s="14">
        <f>(3*60)+56.86</f>
        <v>236.86</v>
      </c>
      <c r="E30" s="14">
        <v>784.8515625</v>
      </c>
      <c r="F30" s="14">
        <v>645.46419270800777</v>
      </c>
      <c r="G30" s="14">
        <v>69.400000000000006</v>
      </c>
      <c r="H30" s="14">
        <v>65.400002999999998</v>
      </c>
    </row>
    <row r="31" spans="1:8">
      <c r="A31" s="15" t="s">
        <v>15</v>
      </c>
      <c r="B31" s="14" t="s">
        <v>3</v>
      </c>
      <c r="C31" s="14"/>
      <c r="D31" s="14"/>
      <c r="F31" s="14"/>
      <c r="G31" s="14"/>
      <c r="H31" s="14"/>
    </row>
    <row r="32" spans="1:8">
      <c r="A32" s="15" t="s">
        <v>16</v>
      </c>
      <c r="B32" s="14" t="s">
        <v>3</v>
      </c>
      <c r="C32" s="14"/>
      <c r="D32" s="14"/>
      <c r="E32" s="14"/>
      <c r="G32" s="14"/>
      <c r="H32" s="14"/>
    </row>
    <row r="33" spans="1:8">
      <c r="A33" s="15" t="s">
        <v>17</v>
      </c>
      <c r="B33" s="14" t="s">
        <v>7</v>
      </c>
      <c r="C33" s="14">
        <f>(45*60)+9.83</f>
        <v>2709.83</v>
      </c>
      <c r="D33" s="14">
        <f>(113*60)+17.32</f>
        <v>6797.32</v>
      </c>
      <c r="E33" s="14">
        <v>2314.0234375</v>
      </c>
      <c r="F33" s="14">
        <v>1708.6773549912109</v>
      </c>
      <c r="G33" s="14">
        <v>73.100005999999993</v>
      </c>
      <c r="H33" s="14">
        <v>58.609355999999998</v>
      </c>
    </row>
    <row r="34" spans="1:8">
      <c r="A34" s="15" t="s">
        <v>18</v>
      </c>
      <c r="B34" s="14" t="s">
        <v>7</v>
      </c>
      <c r="C34" s="14">
        <f>(612*60)+12.8</f>
        <v>36732.800000000003</v>
      </c>
      <c r="D34" s="14">
        <f>(1812*60)+17.47</f>
        <v>108737.47</v>
      </c>
      <c r="E34" s="14">
        <v>3452.31640625</v>
      </c>
      <c r="F34" s="14">
        <v>2566.4319684599609</v>
      </c>
      <c r="G34" s="14">
        <v>76.400000000000006</v>
      </c>
      <c r="H34" s="14">
        <v>58.329473</v>
      </c>
    </row>
    <row r="38" spans="1:8">
      <c r="D38" s="14"/>
    </row>
    <row r="39" spans="1:8">
      <c r="D39" s="14"/>
    </row>
    <row r="40" spans="1:8">
      <c r="D40" s="14"/>
    </row>
    <row r="41" spans="1:8">
      <c r="D41" s="14"/>
    </row>
    <row r="42" spans="1:8">
      <c r="D42" s="14"/>
    </row>
    <row r="43" spans="1:8">
      <c r="D43" s="14"/>
    </row>
    <row r="44" spans="1:8">
      <c r="D44" s="14"/>
    </row>
    <row r="45" spans="1:8">
      <c r="D45" s="14"/>
    </row>
    <row r="46" spans="1:8">
      <c r="D46" s="14"/>
    </row>
    <row r="47" spans="1:8">
      <c r="D47" s="14"/>
    </row>
    <row r="48" spans="1:8">
      <c r="D48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ABFA-D1F4-0F4D-93D1-0EED1841D24B}">
  <dimension ref="A1:I55"/>
  <sheetViews>
    <sheetView workbookViewId="0">
      <pane xSplit="1" topLeftCell="B1" activePane="topRight" state="frozen"/>
      <selection pane="topRight" activeCell="D21" sqref="D21:D35"/>
    </sheetView>
  </sheetViews>
  <sheetFormatPr baseColWidth="10" defaultRowHeight="17"/>
  <cols>
    <col min="1" max="1" width="12.6640625" style="9" bestFit="1" customWidth="1"/>
    <col min="2" max="2" width="17.83203125" style="9" bestFit="1" customWidth="1"/>
    <col min="3" max="3" width="18.33203125" style="9" bestFit="1" customWidth="1"/>
    <col min="4" max="4" width="17.5" style="9" bestFit="1" customWidth="1"/>
    <col min="5" max="5" width="20.33203125" style="9" bestFit="1" customWidth="1"/>
    <col min="6" max="6" width="19.33203125" style="9" bestFit="1" customWidth="1"/>
    <col min="7" max="7" width="27" style="9" bestFit="1" customWidth="1"/>
    <col min="8" max="8" width="26.33203125" style="9" bestFit="1" customWidth="1"/>
    <col min="9" max="9" width="10.83203125" style="9"/>
  </cols>
  <sheetData>
    <row r="1" spans="1:9">
      <c r="A1" s="18" t="s">
        <v>0</v>
      </c>
      <c r="B1" s="19"/>
      <c r="C1" s="19"/>
      <c r="E1" s="19"/>
      <c r="F1" s="19"/>
      <c r="G1" s="19"/>
    </row>
    <row r="2" spans="1:9">
      <c r="A2" s="18" t="s">
        <v>1</v>
      </c>
      <c r="B2" s="9" t="s">
        <v>2</v>
      </c>
      <c r="C2" s="19" t="s">
        <v>32</v>
      </c>
      <c r="D2" s="19" t="s">
        <v>33</v>
      </c>
      <c r="E2" s="19" t="s">
        <v>34</v>
      </c>
      <c r="F2" s="19" t="s">
        <v>35</v>
      </c>
      <c r="G2" s="18" t="s">
        <v>36</v>
      </c>
      <c r="H2" s="18" t="s">
        <v>37</v>
      </c>
      <c r="I2" s="19"/>
    </row>
    <row r="3" spans="1:9">
      <c r="A3" s="4" t="s">
        <v>4</v>
      </c>
      <c r="B3" s="13" t="s">
        <v>3</v>
      </c>
      <c r="C3" s="14">
        <v>2.93</v>
      </c>
      <c r="D3" s="14">
        <v>5.78</v>
      </c>
      <c r="E3" s="14">
        <v>33.515625</v>
      </c>
      <c r="F3" s="14">
        <v>33.515625</v>
      </c>
      <c r="G3" s="14">
        <v>49.9</v>
      </c>
      <c r="H3" s="14">
        <v>49.9</v>
      </c>
      <c r="I3" s="13"/>
    </row>
    <row r="4" spans="1:9">
      <c r="A4" s="4" t="s">
        <v>5</v>
      </c>
      <c r="B4" s="13" t="s">
        <v>3</v>
      </c>
      <c r="C4" s="14">
        <v>4.29</v>
      </c>
      <c r="D4" s="15">
        <v>10.65</v>
      </c>
      <c r="E4" s="14">
        <v>0.41796875</v>
      </c>
      <c r="F4" s="14">
        <v>0.41796875</v>
      </c>
      <c r="G4" s="14">
        <v>54.9</v>
      </c>
      <c r="H4" s="14">
        <v>54.9</v>
      </c>
      <c r="I4" s="13"/>
    </row>
    <row r="5" spans="1:9">
      <c r="A5" s="4" t="s">
        <v>6</v>
      </c>
      <c r="B5" s="13" t="s">
        <v>3</v>
      </c>
      <c r="C5" s="14">
        <f>13.34</f>
        <v>13.34</v>
      </c>
      <c r="D5" s="14">
        <f>50.12</f>
        <v>50.12</v>
      </c>
      <c r="E5" s="14">
        <v>0.39453125</v>
      </c>
      <c r="F5" s="14">
        <v>0.39453125</v>
      </c>
      <c r="G5" s="14">
        <v>52.6</v>
      </c>
      <c r="H5" s="14">
        <v>52.6</v>
      </c>
      <c r="I5" s="13"/>
    </row>
    <row r="6" spans="1:9">
      <c r="A6" s="4" t="s">
        <v>8</v>
      </c>
      <c r="B6" s="13" t="s">
        <v>7</v>
      </c>
      <c r="C6" s="14">
        <v>17.309999999999999</v>
      </c>
      <c r="D6" s="14">
        <f>14.47+(60)</f>
        <v>74.47</v>
      </c>
      <c r="E6" s="14">
        <v>1.22265625</v>
      </c>
      <c r="F6" s="14">
        <v>1.22265625</v>
      </c>
      <c r="G6" s="14">
        <v>46.9</v>
      </c>
      <c r="H6" s="14">
        <v>46.9</v>
      </c>
      <c r="I6" s="13"/>
    </row>
    <row r="7" spans="1:9">
      <c r="A7" s="9" t="s">
        <v>9</v>
      </c>
      <c r="B7" s="13" t="s">
        <v>3</v>
      </c>
      <c r="C7" s="14">
        <v>34.9</v>
      </c>
      <c r="D7" s="14">
        <f>59.63+(2*60)</f>
        <v>179.63</v>
      </c>
      <c r="E7" s="17">
        <v>366.109375</v>
      </c>
      <c r="F7" s="17">
        <v>183.373046875</v>
      </c>
      <c r="G7" s="14">
        <v>61.8</v>
      </c>
      <c r="H7" s="14">
        <f>AVERAGE(41,61.8)</f>
        <v>51.4</v>
      </c>
      <c r="I7" s="13"/>
    </row>
    <row r="8" spans="1:9">
      <c r="A8" s="9" t="s">
        <v>10</v>
      </c>
      <c r="B8" s="13" t="s">
        <v>3</v>
      </c>
      <c r="C8" s="14">
        <f>57.5+(60)</f>
        <v>117.5</v>
      </c>
      <c r="D8" s="17">
        <f>56.14+(6*60)</f>
        <v>416.14</v>
      </c>
      <c r="E8" s="14">
        <v>725.03125</v>
      </c>
      <c r="F8" s="15">
        <v>492.24832589285717</v>
      </c>
      <c r="G8" s="14">
        <v>70.400000000000006</v>
      </c>
      <c r="H8" s="14">
        <v>59.471428571428575</v>
      </c>
      <c r="I8" s="13"/>
    </row>
    <row r="9" spans="1:9">
      <c r="A9" s="9" t="s">
        <v>11</v>
      </c>
      <c r="B9" s="13" t="s">
        <v>3</v>
      </c>
      <c r="C9" s="14">
        <f>38.53+(2*60)</f>
        <v>158.53</v>
      </c>
      <c r="D9" s="14">
        <f>4.69+(9*60)</f>
        <v>544.69000000000005</v>
      </c>
      <c r="E9" s="14">
        <v>705.9609375</v>
      </c>
      <c r="F9" s="14">
        <v>495.87890625</v>
      </c>
      <c r="G9" s="14">
        <v>71.099999999999994</v>
      </c>
      <c r="H9" s="14">
        <v>61.088888888888881</v>
      </c>
      <c r="I9" s="13"/>
    </row>
    <row r="10" spans="1:9">
      <c r="A10" s="9" t="s">
        <v>12</v>
      </c>
      <c r="B10" s="13" t="s">
        <v>7</v>
      </c>
      <c r="C10" s="14">
        <f>21.6+(7*60)</f>
        <v>441.6</v>
      </c>
      <c r="D10" s="14">
        <f>50.96+(36*60)</f>
        <v>2210.96</v>
      </c>
      <c r="E10" s="14">
        <v>1021.3203125</v>
      </c>
      <c r="F10" s="15">
        <v>725.11221590909088</v>
      </c>
      <c r="G10" s="14">
        <v>73.7</v>
      </c>
      <c r="H10" s="14">
        <v>61.918181818181829</v>
      </c>
      <c r="I10" s="13"/>
    </row>
    <row r="11" spans="1:9">
      <c r="A11" s="9" t="s">
        <v>13</v>
      </c>
      <c r="B11" s="13" t="s">
        <v>7</v>
      </c>
      <c r="C11" s="14">
        <f>40.76+(60*4)</f>
        <v>280.76</v>
      </c>
      <c r="D11" s="14">
        <f>4.53+(60*22)</f>
        <v>1324.53</v>
      </c>
      <c r="E11" s="14">
        <v>1042.01953125</v>
      </c>
      <c r="F11" s="14">
        <v>640.47907366071433</v>
      </c>
      <c r="G11" s="14">
        <v>75.7</v>
      </c>
      <c r="H11" s="14">
        <v>67.035714285714278</v>
      </c>
      <c r="I11" s="13"/>
    </row>
    <row r="12" spans="1:9">
      <c r="A12" s="9" t="s">
        <v>14</v>
      </c>
      <c r="B12" s="13" t="s">
        <v>7</v>
      </c>
      <c r="C12" s="14">
        <v>47.43</v>
      </c>
      <c r="D12" s="14">
        <f>54.91+(3*60)</f>
        <v>234.91</v>
      </c>
      <c r="E12" s="14">
        <v>452.25</v>
      </c>
      <c r="F12" s="14">
        <v>226.638671875</v>
      </c>
      <c r="G12" s="14">
        <v>62.5</v>
      </c>
      <c r="H12" s="14">
        <f>AVERAGE(52.2,62.5)</f>
        <v>57.35</v>
      </c>
      <c r="I12" s="13"/>
    </row>
    <row r="13" spans="1:9">
      <c r="A13" s="9" t="s">
        <v>15</v>
      </c>
      <c r="B13" s="13" t="s">
        <v>3</v>
      </c>
      <c r="C13" s="14">
        <f>30.66+(2*60)</f>
        <v>150.66</v>
      </c>
      <c r="D13" s="14">
        <f>50.62+(12*60)</f>
        <v>770.62</v>
      </c>
      <c r="E13" s="14">
        <v>811.7265625</v>
      </c>
      <c r="F13" s="14">
        <v>537.5869140625</v>
      </c>
      <c r="G13" s="14">
        <v>77.7</v>
      </c>
      <c r="H13" s="14">
        <v>72.024999999999991</v>
      </c>
      <c r="I13" s="13"/>
    </row>
    <row r="14" spans="1:9">
      <c r="A14" s="9" t="s">
        <v>16</v>
      </c>
      <c r="B14" s="13" t="s">
        <v>3</v>
      </c>
      <c r="C14" s="14">
        <f>59.17+(15*60)</f>
        <v>959.17</v>
      </c>
      <c r="D14" s="14">
        <f>25.03+(88*60)</f>
        <v>5305.03</v>
      </c>
      <c r="E14" s="14">
        <v>878.18359375</v>
      </c>
      <c r="F14" s="14">
        <v>752.0610795454545</v>
      </c>
      <c r="G14" s="14">
        <v>74.7</v>
      </c>
      <c r="H14" s="14">
        <v>61.411363636363625</v>
      </c>
      <c r="I14" s="13"/>
    </row>
    <row r="15" spans="1:9">
      <c r="A15" s="9" t="s">
        <v>17</v>
      </c>
      <c r="B15" s="13" t="s">
        <v>7</v>
      </c>
      <c r="C15" s="14">
        <f>6.42+(18*60)</f>
        <v>1086.42</v>
      </c>
      <c r="D15" s="14">
        <f>5.78+(99*60)</f>
        <v>5945.78</v>
      </c>
      <c r="E15" s="14">
        <v>968.796875</v>
      </c>
      <c r="F15" s="14">
        <v>796.51861213235293</v>
      </c>
      <c r="G15" s="14">
        <v>74.099999999999994</v>
      </c>
      <c r="H15" s="14">
        <v>61.284313725490193</v>
      </c>
      <c r="I15" s="13"/>
    </row>
    <row r="16" spans="1:9">
      <c r="A16" s="9" t="s">
        <v>18</v>
      </c>
      <c r="B16" s="13" t="s">
        <v>7</v>
      </c>
      <c r="C16" s="14">
        <f>24.47+(19*60)</f>
        <v>1164.47</v>
      </c>
      <c r="D16" s="14">
        <f>56.24+(105*60)</f>
        <v>6356.24</v>
      </c>
      <c r="E16" s="14">
        <v>836.9140625</v>
      </c>
      <c r="F16" s="14">
        <v>691.79333043981478</v>
      </c>
      <c r="G16" s="15">
        <v>74.099999999999994</v>
      </c>
      <c r="H16" s="14">
        <v>60.601851851851833</v>
      </c>
      <c r="I16" s="13"/>
    </row>
    <row r="19" spans="1:8">
      <c r="A19" s="9" t="s">
        <v>79</v>
      </c>
    </row>
    <row r="20" spans="1:8">
      <c r="A20" s="18" t="s">
        <v>1</v>
      </c>
      <c r="B20" s="9" t="s">
        <v>2</v>
      </c>
      <c r="C20" s="19" t="s">
        <v>32</v>
      </c>
      <c r="D20" s="19" t="s">
        <v>33</v>
      </c>
      <c r="E20" s="19"/>
      <c r="F20" s="19"/>
      <c r="G20" s="18"/>
      <c r="H20" s="18"/>
    </row>
    <row r="21" spans="1:8">
      <c r="A21" s="4" t="s">
        <v>4</v>
      </c>
      <c r="B21" s="13" t="s">
        <v>3</v>
      </c>
      <c r="C21" s="13">
        <v>0.54</v>
      </c>
      <c r="D21" s="13">
        <v>1.32</v>
      </c>
      <c r="E21" s="13"/>
      <c r="F21" s="13"/>
      <c r="G21" s="13"/>
      <c r="H21" s="13"/>
    </row>
    <row r="22" spans="1:8">
      <c r="A22" s="4" t="s">
        <v>5</v>
      </c>
      <c r="B22" s="13" t="s">
        <v>3</v>
      </c>
      <c r="C22" s="13">
        <v>1.04</v>
      </c>
      <c r="D22" s="13">
        <v>2.67</v>
      </c>
      <c r="F22" s="13"/>
      <c r="G22" s="13"/>
      <c r="H22" s="13"/>
    </row>
    <row r="23" spans="1:8">
      <c r="A23" s="4" t="s">
        <v>6</v>
      </c>
      <c r="B23" s="13" t="s">
        <v>3</v>
      </c>
      <c r="C23" s="13">
        <v>4.16</v>
      </c>
      <c r="D23" s="13">
        <v>12.7</v>
      </c>
      <c r="E23" s="13"/>
      <c r="F23" s="13"/>
      <c r="G23" s="13"/>
      <c r="H23" s="13"/>
    </row>
    <row r="24" spans="1:8">
      <c r="A24" s="4" t="s">
        <v>8</v>
      </c>
      <c r="B24" s="13" t="s">
        <v>7</v>
      </c>
      <c r="C24" s="13">
        <v>5.62</v>
      </c>
      <c r="D24" s="13">
        <v>21.89</v>
      </c>
      <c r="E24" s="13"/>
      <c r="F24" s="20"/>
      <c r="G24" s="13"/>
      <c r="H24" s="13"/>
    </row>
    <row r="25" spans="1:8">
      <c r="A25" s="9" t="s">
        <v>9</v>
      </c>
      <c r="B25" s="13" t="s">
        <v>3</v>
      </c>
      <c r="C25" s="13">
        <v>12.89</v>
      </c>
      <c r="D25" s="13">
        <v>45.56</v>
      </c>
      <c r="F25" s="20"/>
      <c r="G25" s="13"/>
      <c r="H25" s="13"/>
    </row>
    <row r="26" spans="1:8">
      <c r="A26" s="9" t="s">
        <v>10</v>
      </c>
      <c r="B26" s="13" t="s">
        <v>3</v>
      </c>
      <c r="C26" s="13">
        <v>30.63</v>
      </c>
      <c r="D26" s="13">
        <v>94.49</v>
      </c>
      <c r="E26" s="4"/>
      <c r="F26" s="20"/>
      <c r="G26" s="13"/>
      <c r="H26" s="13"/>
    </row>
    <row r="27" spans="1:8">
      <c r="A27" s="9" t="s">
        <v>11</v>
      </c>
      <c r="B27" s="13" t="s">
        <v>3</v>
      </c>
      <c r="C27" s="13">
        <v>43.24</v>
      </c>
      <c r="D27" s="13">
        <v>117.44</v>
      </c>
      <c r="E27" s="13"/>
      <c r="F27" s="20"/>
      <c r="G27" s="13"/>
      <c r="H27" s="13"/>
    </row>
    <row r="28" spans="1:8">
      <c r="A28" s="9" t="s">
        <v>12</v>
      </c>
      <c r="B28" s="13" t="s">
        <v>7</v>
      </c>
      <c r="C28" s="13">
        <f>(2*60)+15.76</f>
        <v>135.76</v>
      </c>
      <c r="D28" s="13">
        <v>483.77</v>
      </c>
      <c r="E28" s="13"/>
      <c r="F28" s="20"/>
      <c r="G28" s="13"/>
      <c r="H28" s="13"/>
    </row>
    <row r="29" spans="1:8">
      <c r="A29" s="9" t="s">
        <v>13</v>
      </c>
      <c r="B29" s="13" t="s">
        <v>7</v>
      </c>
      <c r="C29" s="13">
        <f>60+24.41</f>
        <v>84.41</v>
      </c>
      <c r="D29" s="13">
        <v>321.83999999999997</v>
      </c>
      <c r="E29" s="13"/>
      <c r="F29" s="20"/>
      <c r="G29" s="13"/>
      <c r="H29" s="13"/>
    </row>
    <row r="30" spans="1:8">
      <c r="A30" s="9" t="s">
        <v>14</v>
      </c>
      <c r="B30" s="13" t="s">
        <v>7</v>
      </c>
      <c r="C30" s="13">
        <v>8.9499999999999993</v>
      </c>
      <c r="D30" s="13">
        <v>52.6</v>
      </c>
      <c r="E30" s="13"/>
      <c r="F30" s="20"/>
      <c r="G30" s="13"/>
      <c r="H30" s="13"/>
    </row>
    <row r="31" spans="1:8">
      <c r="A31" s="9" t="s">
        <v>15</v>
      </c>
      <c r="B31" s="13" t="s">
        <v>3</v>
      </c>
      <c r="C31" s="13">
        <f>(13*60)+5.33</f>
        <v>785.33</v>
      </c>
      <c r="D31" s="13">
        <v>929.37</v>
      </c>
      <c r="E31" s="13"/>
      <c r="F31" s="20"/>
      <c r="G31" s="13"/>
      <c r="H31" s="13"/>
    </row>
    <row r="32" spans="1:8">
      <c r="A32" s="9" t="s">
        <v>16</v>
      </c>
      <c r="B32" s="13" t="s">
        <v>3</v>
      </c>
      <c r="C32" s="13">
        <f>(12*60)+50.31</f>
        <v>770.31</v>
      </c>
      <c r="D32" s="13">
        <v>1016.32</v>
      </c>
      <c r="E32" s="13"/>
      <c r="F32" s="20"/>
      <c r="G32" s="13"/>
      <c r="H32" s="13"/>
    </row>
    <row r="33" spans="1:8">
      <c r="A33" s="9" t="s">
        <v>17</v>
      </c>
      <c r="B33" s="13" t="s">
        <v>7</v>
      </c>
      <c r="C33" s="13">
        <f>(15*60)+50.29</f>
        <v>950.29</v>
      </c>
      <c r="D33" s="13">
        <v>1079.0899999999999</v>
      </c>
      <c r="E33" s="13"/>
      <c r="F33" s="20"/>
      <c r="G33" s="13"/>
      <c r="H33" s="13"/>
    </row>
    <row r="34" spans="1:8">
      <c r="A34" s="9" t="s">
        <v>18</v>
      </c>
      <c r="B34" s="13" t="s">
        <v>7</v>
      </c>
      <c r="C34" s="13">
        <f>(17*60)+40.48</f>
        <v>1060.48</v>
      </c>
      <c r="D34" s="13">
        <v>1152.71</v>
      </c>
      <c r="E34" s="13"/>
      <c r="F34" s="20"/>
      <c r="G34" s="13"/>
      <c r="H34" s="13"/>
    </row>
    <row r="37" spans="1:8">
      <c r="A37" s="9" t="s">
        <v>80</v>
      </c>
      <c r="B37"/>
      <c r="C37"/>
      <c r="D37"/>
      <c r="E37"/>
    </row>
    <row r="38" spans="1:8">
      <c r="A38" s="18" t="s">
        <v>1</v>
      </c>
      <c r="B38" s="9" t="s">
        <v>2</v>
      </c>
      <c r="C38" s="19" t="s">
        <v>32</v>
      </c>
      <c r="D38" s="19" t="s">
        <v>33</v>
      </c>
      <c r="E38" s="2"/>
    </row>
    <row r="39" spans="1:8">
      <c r="A39" s="4" t="s">
        <v>4</v>
      </c>
      <c r="B39" s="13" t="s">
        <v>3</v>
      </c>
      <c r="C39" s="9">
        <v>1.28</v>
      </c>
      <c r="D39" s="14">
        <v>1.41</v>
      </c>
      <c r="E39"/>
    </row>
    <row r="40" spans="1:8">
      <c r="A40" s="4" t="s">
        <v>5</v>
      </c>
      <c r="B40" s="13" t="s">
        <v>3</v>
      </c>
      <c r="C40" s="14">
        <v>0.89</v>
      </c>
      <c r="D40" s="14">
        <v>2.59</v>
      </c>
      <c r="E40"/>
    </row>
    <row r="41" spans="1:8">
      <c r="A41" s="4" t="s">
        <v>6</v>
      </c>
      <c r="B41" s="13" t="s">
        <v>3</v>
      </c>
      <c r="C41" s="14">
        <v>2.9</v>
      </c>
      <c r="D41" s="14">
        <v>12.88</v>
      </c>
      <c r="E41"/>
    </row>
    <row r="42" spans="1:8">
      <c r="A42" s="4" t="s">
        <v>8</v>
      </c>
      <c r="B42" s="13" t="s">
        <v>7</v>
      </c>
      <c r="C42" s="14">
        <v>3.88</v>
      </c>
      <c r="D42" s="14">
        <v>21.11</v>
      </c>
      <c r="E42"/>
    </row>
    <row r="43" spans="1:8">
      <c r="A43" s="9" t="s">
        <v>9</v>
      </c>
      <c r="B43" s="13" t="s">
        <v>3</v>
      </c>
      <c r="C43" s="14">
        <v>13.84</v>
      </c>
      <c r="D43" s="14">
        <v>45.51</v>
      </c>
      <c r="E43"/>
    </row>
    <row r="44" spans="1:8">
      <c r="A44" s="9" t="s">
        <v>10</v>
      </c>
      <c r="B44" s="13" t="s">
        <v>3</v>
      </c>
      <c r="C44" s="14">
        <v>30.06</v>
      </c>
      <c r="D44" s="14">
        <v>98.49</v>
      </c>
      <c r="E44"/>
    </row>
    <row r="45" spans="1:8">
      <c r="A45" s="9" t="s">
        <v>11</v>
      </c>
      <c r="B45" s="13" t="s">
        <v>3</v>
      </c>
      <c r="C45" s="14">
        <v>45.65</v>
      </c>
      <c r="D45" s="14">
        <v>120.97</v>
      </c>
      <c r="E45"/>
    </row>
    <row r="46" spans="1:8">
      <c r="A46" s="9" t="s">
        <v>12</v>
      </c>
      <c r="B46" s="13" t="s">
        <v>7</v>
      </c>
      <c r="C46" s="14">
        <f>2*60+35.7</f>
        <v>155.69999999999999</v>
      </c>
      <c r="D46" s="14">
        <v>497.42</v>
      </c>
      <c r="E46"/>
    </row>
    <row r="47" spans="1:8">
      <c r="A47" s="9" t="s">
        <v>13</v>
      </c>
      <c r="B47" s="13" t="s">
        <v>7</v>
      </c>
      <c r="C47" s="17">
        <f>2*60+55.41</f>
        <v>175.41</v>
      </c>
      <c r="D47" s="14">
        <v>317.32</v>
      </c>
      <c r="E47"/>
    </row>
    <row r="48" spans="1:8">
      <c r="A48" s="9" t="s">
        <v>14</v>
      </c>
      <c r="B48" s="13" t="s">
        <v>7</v>
      </c>
      <c r="C48" s="14">
        <v>16.45</v>
      </c>
      <c r="D48" s="14">
        <v>55.68</v>
      </c>
      <c r="E48"/>
    </row>
    <row r="49" spans="1:5">
      <c r="A49" s="9" t="s">
        <v>15</v>
      </c>
      <c r="B49" s="13" t="s">
        <v>3</v>
      </c>
      <c r="C49" s="14">
        <f>16*60+3.88</f>
        <v>963.88</v>
      </c>
      <c r="D49" s="14">
        <v>1018.65</v>
      </c>
      <c r="E49"/>
    </row>
    <row r="50" spans="1:5">
      <c r="A50" s="9" t="s">
        <v>16</v>
      </c>
      <c r="B50" s="13" t="s">
        <v>3</v>
      </c>
      <c r="C50" s="14">
        <f>15*60+15.93</f>
        <v>915.93</v>
      </c>
      <c r="D50" s="14">
        <v>1043.3399999999999</v>
      </c>
      <c r="E50"/>
    </row>
    <row r="51" spans="1:5">
      <c r="A51" s="9" t="s">
        <v>17</v>
      </c>
      <c r="B51" s="13" t="s">
        <v>7</v>
      </c>
      <c r="C51" s="14">
        <f>19*60+58.83</f>
        <v>1198.83</v>
      </c>
      <c r="D51" s="14">
        <v>1131.81</v>
      </c>
      <c r="E51"/>
    </row>
    <row r="52" spans="1:5">
      <c r="A52" s="9" t="s">
        <v>18</v>
      </c>
      <c r="B52" s="13" t="s">
        <v>7</v>
      </c>
      <c r="C52" s="14">
        <f>20*60+17.24</f>
        <v>1217.24</v>
      </c>
      <c r="D52" s="14">
        <v>1200.02</v>
      </c>
      <c r="E52"/>
    </row>
    <row r="53" spans="1:5">
      <c r="B53" s="13"/>
      <c r="C53" s="13"/>
      <c r="D53" s="13"/>
    </row>
    <row r="54" spans="1:5">
      <c r="B54" s="13"/>
      <c r="C54" s="13"/>
      <c r="D54" s="13"/>
    </row>
    <row r="55" spans="1:5">
      <c r="B55" s="13"/>
      <c r="C55" s="13"/>
      <c r="D55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0AA9-A9F2-C041-A7D8-CD7D6A2DB191}">
  <dimension ref="A1:I52"/>
  <sheetViews>
    <sheetView workbookViewId="0">
      <pane xSplit="1" topLeftCell="B1" activePane="topRight" state="frozen"/>
      <selection pane="topRight" activeCell="D31" sqref="D31"/>
    </sheetView>
  </sheetViews>
  <sheetFormatPr baseColWidth="10" defaultRowHeight="17"/>
  <cols>
    <col min="1" max="1" width="12.6640625" style="9" bestFit="1" customWidth="1"/>
    <col min="2" max="2" width="17.1640625" style="9" bestFit="1" customWidth="1"/>
    <col min="3" max="3" width="20.1640625" style="9" bestFit="1" customWidth="1"/>
    <col min="4" max="4" width="19.33203125" style="9" bestFit="1" customWidth="1"/>
    <col min="5" max="5" width="21.83203125" style="9" bestFit="1" customWidth="1"/>
    <col min="6" max="6" width="21" style="9" bestFit="1" customWidth="1"/>
    <col min="7" max="7" width="28.1640625" style="9" bestFit="1" customWidth="1"/>
    <col min="8" max="8" width="28" style="9" bestFit="1" customWidth="1"/>
    <col min="9" max="9" width="10.83203125" style="9"/>
  </cols>
  <sheetData>
    <row r="1" spans="1:8">
      <c r="A1" s="1" t="s">
        <v>0</v>
      </c>
      <c r="B1" s="11"/>
      <c r="C1" s="11"/>
      <c r="E1" s="11"/>
      <c r="F1" s="11"/>
      <c r="G1" s="11"/>
    </row>
    <row r="2" spans="1:8">
      <c r="A2" s="1" t="s">
        <v>1</v>
      </c>
      <c r="B2" s="9" t="s">
        <v>2</v>
      </c>
      <c r="C2" s="11" t="s">
        <v>19</v>
      </c>
      <c r="D2" s="11" t="s">
        <v>38</v>
      </c>
      <c r="E2" s="11" t="s">
        <v>39</v>
      </c>
      <c r="F2" s="11" t="s">
        <v>40</v>
      </c>
      <c r="G2" s="1" t="s">
        <v>41</v>
      </c>
      <c r="H2" s="1" t="s">
        <v>42</v>
      </c>
    </row>
    <row r="3" spans="1:8">
      <c r="A3" s="4" t="s">
        <v>4</v>
      </c>
      <c r="B3" s="13" t="s">
        <v>3</v>
      </c>
      <c r="C3" s="14">
        <v>37.04</v>
      </c>
      <c r="D3" s="14">
        <v>18.03</v>
      </c>
      <c r="E3" s="14">
        <v>32.3515625</v>
      </c>
      <c r="F3" s="14">
        <v>23.071614583333332</v>
      </c>
      <c r="G3" s="14">
        <v>57.2</v>
      </c>
      <c r="H3" s="14">
        <v>50.466666666666661</v>
      </c>
    </row>
    <row r="4" spans="1:8">
      <c r="A4" s="4" t="s">
        <v>5</v>
      </c>
      <c r="B4" s="13" t="s">
        <v>3</v>
      </c>
      <c r="C4" s="14">
        <v>46.82</v>
      </c>
      <c r="D4" s="14">
        <v>37.6</v>
      </c>
      <c r="E4" s="15">
        <v>29.0859375</v>
      </c>
      <c r="F4" s="16">
        <v>22.563802083333332</v>
      </c>
      <c r="G4" s="16">
        <v>60.8</v>
      </c>
      <c r="H4" s="16">
        <v>59.4</v>
      </c>
    </row>
    <row r="5" spans="1:8">
      <c r="A5" s="4" t="s">
        <v>6</v>
      </c>
      <c r="B5" s="13" t="s">
        <v>3</v>
      </c>
      <c r="C5" s="14">
        <f>21.99+(2*60)</f>
        <v>141.99</v>
      </c>
      <c r="D5" s="14">
        <f>21.84+(3*60)</f>
        <v>201.84</v>
      </c>
      <c r="E5" s="15">
        <v>93.7578125</v>
      </c>
      <c r="F5" s="15">
        <v>31.235107421875</v>
      </c>
      <c r="G5" s="14">
        <v>74.099999999999994</v>
      </c>
      <c r="H5" s="16">
        <v>56.65</v>
      </c>
    </row>
    <row r="6" spans="1:8">
      <c r="A6" s="4" t="s">
        <v>8</v>
      </c>
      <c r="B6" s="13" t="s">
        <v>7</v>
      </c>
      <c r="C6" s="14">
        <f>56.7+60</f>
        <v>116.7</v>
      </c>
      <c r="D6" s="14">
        <f>14.43+(4*60)</f>
        <v>254.43</v>
      </c>
      <c r="E6" s="14">
        <v>77.7421875</v>
      </c>
      <c r="F6" s="16">
        <v>22.642020089285715</v>
      </c>
      <c r="G6" s="14">
        <v>66.5</v>
      </c>
      <c r="H6" s="14">
        <v>58.357142857142854</v>
      </c>
    </row>
    <row r="7" spans="1:8">
      <c r="A7" s="9" t="s">
        <v>9</v>
      </c>
      <c r="B7" s="13" t="s">
        <v>3</v>
      </c>
      <c r="C7" s="15">
        <f>28.84+(3*60)</f>
        <v>208.84</v>
      </c>
      <c r="D7" s="14">
        <f>50.59+(6*60)</f>
        <v>410.59000000000003</v>
      </c>
      <c r="E7" s="15">
        <v>55.36328125</v>
      </c>
      <c r="F7" s="14">
        <v>25.547770182291668</v>
      </c>
      <c r="G7" s="15">
        <v>70.099999999999994</v>
      </c>
      <c r="H7" s="14">
        <v>57.208333333333343</v>
      </c>
    </row>
    <row r="8" spans="1:8">
      <c r="A8" s="9" t="s">
        <v>10</v>
      </c>
      <c r="B8" s="13" t="s">
        <v>3</v>
      </c>
      <c r="C8" s="14">
        <f>40.61+(24*60)</f>
        <v>1480.61</v>
      </c>
      <c r="D8" s="14">
        <f>8.7+(98*60)</f>
        <v>5888.7</v>
      </c>
      <c r="E8" s="17">
        <v>727.7578125</v>
      </c>
      <c r="F8" s="14">
        <v>219.61687499999999</v>
      </c>
      <c r="G8" s="14">
        <v>76.7</v>
      </c>
      <c r="H8" s="14">
        <v>57.065333333333342</v>
      </c>
    </row>
    <row r="9" spans="1:8">
      <c r="A9" s="9" t="s">
        <v>11</v>
      </c>
      <c r="B9" s="13" t="s">
        <v>3</v>
      </c>
      <c r="C9" s="14">
        <f>52.81+(29*60)</f>
        <v>1792.81</v>
      </c>
      <c r="D9" s="14">
        <f>29.54+(114*60)</f>
        <v>6869.54</v>
      </c>
      <c r="E9" s="14">
        <v>711.23046875</v>
      </c>
      <c r="F9" s="14">
        <v>232.9793648097826</v>
      </c>
      <c r="G9" s="14">
        <v>75.400000000000006</v>
      </c>
      <c r="H9" s="14">
        <v>56.609782608695603</v>
      </c>
    </row>
    <row r="10" spans="1:8">
      <c r="A10" s="9" t="s">
        <v>12</v>
      </c>
      <c r="B10" s="13" t="s">
        <v>7</v>
      </c>
      <c r="C10" s="14">
        <f>43.69+(30*60)</f>
        <v>1843.69</v>
      </c>
      <c r="D10" s="14">
        <f>57.14+(85*60)</f>
        <v>5157.1400000000003</v>
      </c>
      <c r="E10" s="14">
        <v>955.91015625</v>
      </c>
      <c r="F10" s="14">
        <v>251.66796875</v>
      </c>
      <c r="G10" s="14">
        <v>74.7</v>
      </c>
      <c r="H10" s="14">
        <v>57.170212765957437</v>
      </c>
    </row>
    <row r="11" spans="1:8">
      <c r="A11" s="9" t="s">
        <v>13</v>
      </c>
      <c r="B11" s="13" t="s">
        <v>7</v>
      </c>
      <c r="C11" s="14">
        <f>41.4+(20*60)</f>
        <v>1241.4000000000001</v>
      </c>
      <c r="D11" s="14">
        <f>9.95+(54*60)</f>
        <v>3249.95</v>
      </c>
      <c r="E11" s="14">
        <v>968.13671875</v>
      </c>
      <c r="F11" s="14">
        <v>250.35204303075398</v>
      </c>
      <c r="G11" s="15">
        <v>75.400000000000006</v>
      </c>
      <c r="H11" s="15">
        <v>57.584126984127003</v>
      </c>
    </row>
    <row r="12" spans="1:8">
      <c r="A12" s="9" t="s">
        <v>14</v>
      </c>
      <c r="B12" s="13" t="s">
        <v>7</v>
      </c>
      <c r="C12" s="14">
        <f>7.43+60</f>
        <v>67.430000000000007</v>
      </c>
      <c r="D12" s="14">
        <f>27.74+(3*60)</f>
        <v>207.74</v>
      </c>
      <c r="E12" s="14">
        <v>455.07421875</v>
      </c>
      <c r="F12" s="14">
        <v>123.888671875</v>
      </c>
      <c r="G12" s="14">
        <v>76.400000000000006</v>
      </c>
      <c r="H12" s="14">
        <v>63.400000000000006</v>
      </c>
    </row>
    <row r="13" spans="1:8">
      <c r="A13" s="9" t="s">
        <v>15</v>
      </c>
      <c r="B13" s="13" t="s">
        <v>3</v>
      </c>
      <c r="C13" s="14">
        <f>22.65+(9*60)</f>
        <v>562.65</v>
      </c>
      <c r="D13" s="14">
        <f>1.28+(24*60)</f>
        <v>1441.28</v>
      </c>
      <c r="E13" s="14">
        <v>93.04296875</v>
      </c>
      <c r="F13" s="14">
        <v>44.19268588362069</v>
      </c>
      <c r="G13" s="14">
        <v>79</v>
      </c>
      <c r="H13" s="14">
        <v>59.355172413793099</v>
      </c>
    </row>
    <row r="14" spans="1:8">
      <c r="A14" s="9" t="s">
        <v>16</v>
      </c>
      <c r="B14" s="13" t="s">
        <v>3</v>
      </c>
      <c r="C14" s="14">
        <f>3.22+(41*60)</f>
        <v>2463.2199999999998</v>
      </c>
      <c r="D14" s="14">
        <f>25.29+(144*60)</f>
        <v>8665.2900000000009</v>
      </c>
      <c r="E14" s="14">
        <v>880.3515625</v>
      </c>
      <c r="F14" s="14">
        <v>418.4443359375</v>
      </c>
      <c r="G14" s="14">
        <v>74.7</v>
      </c>
      <c r="H14" s="14">
        <v>57.793548387096784</v>
      </c>
    </row>
    <row r="15" spans="1:8">
      <c r="A15" s="9" t="s">
        <v>17</v>
      </c>
      <c r="B15" s="13" t="s">
        <v>7</v>
      </c>
      <c r="C15" s="14">
        <f>20.34+(93*60)</f>
        <v>5600.34</v>
      </c>
      <c r="D15" s="14">
        <f>53.55+(247*60)</f>
        <v>14873.55</v>
      </c>
      <c r="E15" s="14">
        <v>1367.5390625</v>
      </c>
      <c r="F15" s="14">
        <v>481.10311429794518</v>
      </c>
      <c r="G15" s="14">
        <v>73.7</v>
      </c>
      <c r="H15" s="14">
        <v>56.809931506849402</v>
      </c>
    </row>
    <row r="16" spans="1:8">
      <c r="A16" s="9" t="s">
        <v>18</v>
      </c>
      <c r="B16" s="13" t="s">
        <v>7</v>
      </c>
      <c r="C16" s="14">
        <f>59.27+(101*60)</f>
        <v>6119.27</v>
      </c>
      <c r="D16" s="14">
        <f>25.12+(274*60)</f>
        <v>16465.12</v>
      </c>
      <c r="E16" s="14">
        <v>1532.0703125</v>
      </c>
      <c r="F16" s="14">
        <v>497.94419642857144</v>
      </c>
      <c r="G16" s="14">
        <v>71.400000000000006</v>
      </c>
      <c r="H16" s="14">
        <v>56.806349206349253</v>
      </c>
    </row>
    <row r="19" spans="1:8">
      <c r="A19" s="9" t="s">
        <v>79</v>
      </c>
    </row>
    <row r="20" spans="1:8">
      <c r="A20" s="1" t="s">
        <v>1</v>
      </c>
      <c r="B20" s="9" t="s">
        <v>2</v>
      </c>
      <c r="C20" s="11" t="s">
        <v>19</v>
      </c>
      <c r="D20" s="11" t="s">
        <v>38</v>
      </c>
      <c r="E20" s="11"/>
      <c r="F20" s="11"/>
      <c r="G20" s="1"/>
      <c r="H20" s="1"/>
    </row>
    <row r="21" spans="1:8">
      <c r="A21" s="4" t="s">
        <v>4</v>
      </c>
      <c r="B21" s="13" t="s">
        <v>3</v>
      </c>
      <c r="C21" s="13">
        <v>2.27</v>
      </c>
      <c r="D21" s="13">
        <v>5.47</v>
      </c>
      <c r="E21" s="13"/>
      <c r="F21" s="13"/>
      <c r="G21" s="13"/>
      <c r="H21" s="13"/>
    </row>
    <row r="22" spans="1:8">
      <c r="A22" s="4" t="s">
        <v>5</v>
      </c>
      <c r="B22" s="13" t="s">
        <v>3</v>
      </c>
      <c r="C22" s="13">
        <v>4.3499999999999996</v>
      </c>
      <c r="D22" s="13">
        <v>11.83</v>
      </c>
      <c r="F22" s="25"/>
      <c r="G22" s="25"/>
      <c r="H22" s="25"/>
    </row>
    <row r="23" spans="1:8">
      <c r="A23" s="4" t="s">
        <v>6</v>
      </c>
      <c r="B23" s="13" t="s">
        <v>3</v>
      </c>
      <c r="C23" s="13">
        <v>26.65</v>
      </c>
      <c r="D23" s="13">
        <v>69.739999999999995</v>
      </c>
      <c r="E23" s="13"/>
      <c r="F23" s="13"/>
      <c r="G23" s="13"/>
      <c r="H23" s="25"/>
    </row>
    <row r="24" spans="1:8">
      <c r="A24" s="4" t="s">
        <v>8</v>
      </c>
      <c r="B24" s="13" t="s">
        <v>7</v>
      </c>
      <c r="C24" s="13">
        <v>26.49</v>
      </c>
      <c r="D24" s="13">
        <v>70.72</v>
      </c>
      <c r="E24" s="13"/>
      <c r="F24" s="26"/>
      <c r="G24" s="13"/>
      <c r="H24" s="13"/>
    </row>
    <row r="25" spans="1:8">
      <c r="A25" s="9" t="s">
        <v>9</v>
      </c>
      <c r="B25" s="13" t="s">
        <v>3</v>
      </c>
      <c r="C25" s="13">
        <v>50.26</v>
      </c>
      <c r="D25" s="13">
        <v>133.63999999999999</v>
      </c>
      <c r="F25" s="20"/>
      <c r="G25" s="13"/>
      <c r="H25" s="13"/>
    </row>
    <row r="26" spans="1:8">
      <c r="A26" s="9" t="s">
        <v>10</v>
      </c>
      <c r="B26" s="13" t="s">
        <v>3</v>
      </c>
      <c r="C26" s="13">
        <f>(2*60)+44.65</f>
        <v>164.65</v>
      </c>
      <c r="D26" s="13">
        <v>856.45</v>
      </c>
      <c r="E26" s="4"/>
      <c r="F26" s="20"/>
      <c r="G26" s="13"/>
      <c r="H26" s="13"/>
    </row>
    <row r="27" spans="1:8">
      <c r="A27" s="9" t="s">
        <v>11</v>
      </c>
      <c r="B27" s="13" t="s">
        <v>3</v>
      </c>
      <c r="C27" s="13">
        <f>(3*60)+27.92</f>
        <v>207.92000000000002</v>
      </c>
      <c r="D27" s="13">
        <v>1015.38</v>
      </c>
      <c r="E27" s="13"/>
      <c r="F27" s="20"/>
      <c r="G27" s="13"/>
      <c r="H27" s="13"/>
    </row>
    <row r="28" spans="1:8">
      <c r="A28" s="9" t="s">
        <v>12</v>
      </c>
      <c r="B28" s="13" t="s">
        <v>7</v>
      </c>
      <c r="C28" s="13">
        <f>(6*60)+20.85</f>
        <v>380.85</v>
      </c>
      <c r="D28" s="13">
        <v>1258.2</v>
      </c>
      <c r="E28" s="13"/>
      <c r="F28" s="20"/>
      <c r="G28" s="13"/>
      <c r="H28" s="13"/>
    </row>
    <row r="29" spans="1:8">
      <c r="A29" s="9" t="s">
        <v>13</v>
      </c>
      <c r="B29" s="13" t="s">
        <v>7</v>
      </c>
      <c r="C29" s="13">
        <f>(4*60)+53.48</f>
        <v>293.48</v>
      </c>
      <c r="D29" s="13">
        <v>820.57</v>
      </c>
      <c r="E29" s="13"/>
      <c r="F29" s="20"/>
      <c r="G29" s="13"/>
      <c r="H29" s="13"/>
    </row>
    <row r="30" spans="1:8">
      <c r="A30" s="9" t="s">
        <v>14</v>
      </c>
      <c r="B30" s="13" t="s">
        <v>7</v>
      </c>
      <c r="C30" s="13">
        <v>15.86</v>
      </c>
      <c r="D30" s="13">
        <v>64.540000000000006</v>
      </c>
      <c r="E30" s="13"/>
      <c r="F30" s="20"/>
      <c r="G30" s="13"/>
      <c r="H30" s="13"/>
    </row>
    <row r="31" spans="1:8">
      <c r="A31" s="9" t="s">
        <v>15</v>
      </c>
      <c r="B31" s="13" t="s">
        <v>3</v>
      </c>
      <c r="C31" s="13">
        <f>(11*60)+46.26</f>
        <v>706.26</v>
      </c>
      <c r="D31" s="13">
        <v>1751.88</v>
      </c>
      <c r="E31" s="13"/>
      <c r="F31" s="20"/>
      <c r="G31" s="13"/>
      <c r="H31" s="13"/>
    </row>
    <row r="32" spans="1:8">
      <c r="A32" s="9" t="s">
        <v>16</v>
      </c>
      <c r="B32" s="13" t="s">
        <v>3</v>
      </c>
      <c r="C32" s="13">
        <f>(11*60)+58.01</f>
        <v>718.01</v>
      </c>
      <c r="D32" s="13">
        <v>2025.03</v>
      </c>
      <c r="E32" s="13"/>
      <c r="F32" s="20"/>
      <c r="G32" s="13"/>
      <c r="H32" s="13"/>
    </row>
    <row r="33" spans="1:8">
      <c r="A33" s="9" t="s">
        <v>17</v>
      </c>
      <c r="B33" s="13" t="s">
        <v>7</v>
      </c>
      <c r="C33" s="13">
        <f>(24*60)+18.81</f>
        <v>1458.81</v>
      </c>
      <c r="D33" s="13">
        <v>3580.23</v>
      </c>
      <c r="E33" s="13"/>
      <c r="F33" s="20"/>
      <c r="G33" s="13"/>
      <c r="H33" s="13"/>
    </row>
    <row r="34" spans="1:8">
      <c r="A34" s="9" t="s">
        <v>18</v>
      </c>
      <c r="B34" s="13" t="s">
        <v>7</v>
      </c>
      <c r="C34" s="13">
        <f>(28*60)+59.73</f>
        <v>1739.73</v>
      </c>
      <c r="D34" s="13">
        <v>3912.95</v>
      </c>
      <c r="E34" s="13"/>
      <c r="F34" s="20"/>
      <c r="G34" s="13"/>
      <c r="H34" s="13"/>
    </row>
    <row r="37" spans="1:8">
      <c r="A37" s="9" t="s">
        <v>80</v>
      </c>
    </row>
    <row r="38" spans="1:8">
      <c r="A38" s="1" t="s">
        <v>1</v>
      </c>
      <c r="B38" s="9" t="s">
        <v>2</v>
      </c>
      <c r="C38" s="11" t="s">
        <v>19</v>
      </c>
      <c r="D38" s="11" t="s">
        <v>38</v>
      </c>
    </row>
    <row r="39" spans="1:8">
      <c r="A39" s="4" t="s">
        <v>4</v>
      </c>
      <c r="B39" s="13" t="s">
        <v>3</v>
      </c>
      <c r="C39" s="14">
        <v>4.2</v>
      </c>
      <c r="D39" s="14">
        <v>5.56</v>
      </c>
    </row>
    <row r="40" spans="1:8">
      <c r="A40" s="4" t="s">
        <v>5</v>
      </c>
      <c r="B40" s="13" t="s">
        <v>3</v>
      </c>
      <c r="C40" s="14">
        <v>4.83</v>
      </c>
      <c r="D40" s="14">
        <v>11.95</v>
      </c>
    </row>
    <row r="41" spans="1:8">
      <c r="A41" s="4" t="s">
        <v>6</v>
      </c>
      <c r="B41" s="13" t="s">
        <v>3</v>
      </c>
      <c r="C41" s="14">
        <v>25.55</v>
      </c>
      <c r="D41" s="14">
        <v>67.14</v>
      </c>
    </row>
    <row r="42" spans="1:8">
      <c r="A42" s="4" t="s">
        <v>8</v>
      </c>
      <c r="B42" s="13" t="s">
        <v>7</v>
      </c>
      <c r="C42" s="14">
        <v>23.49</v>
      </c>
      <c r="D42" s="14">
        <v>70.17</v>
      </c>
    </row>
    <row r="43" spans="1:8">
      <c r="A43" s="9" t="s">
        <v>9</v>
      </c>
      <c r="B43" s="13" t="s">
        <v>3</v>
      </c>
      <c r="C43" s="14">
        <v>47.65</v>
      </c>
      <c r="D43" s="14">
        <v>127.29</v>
      </c>
    </row>
    <row r="44" spans="1:8">
      <c r="A44" s="9" t="s">
        <v>10</v>
      </c>
      <c r="B44" s="13" t="s">
        <v>3</v>
      </c>
      <c r="C44" s="14">
        <f>2*60+51.18</f>
        <v>171.18</v>
      </c>
      <c r="D44" s="14">
        <v>863.11</v>
      </c>
    </row>
    <row r="45" spans="1:8">
      <c r="A45" s="9" t="s">
        <v>11</v>
      </c>
      <c r="B45" s="13" t="s">
        <v>3</v>
      </c>
      <c r="C45" s="14">
        <f>3*60+54.11</f>
        <v>234.11</v>
      </c>
      <c r="D45" s="14">
        <v>1021.03</v>
      </c>
    </row>
    <row r="46" spans="1:8">
      <c r="A46" s="9" t="s">
        <v>12</v>
      </c>
      <c r="B46" s="13" t="s">
        <v>7</v>
      </c>
      <c r="C46" s="14">
        <f>6*60+35.17</f>
        <v>395.17</v>
      </c>
      <c r="D46" s="14">
        <v>1243.46</v>
      </c>
    </row>
    <row r="47" spans="1:8">
      <c r="A47" s="9" t="s">
        <v>13</v>
      </c>
      <c r="B47" s="13" t="s">
        <v>7</v>
      </c>
      <c r="C47" s="14">
        <f>4*60+44.45</f>
        <v>284.45</v>
      </c>
      <c r="D47" s="14">
        <v>825.41</v>
      </c>
    </row>
    <row r="48" spans="1:8">
      <c r="A48" s="9" t="s">
        <v>14</v>
      </c>
      <c r="B48" s="13" t="s">
        <v>7</v>
      </c>
      <c r="C48" s="14">
        <v>17.71</v>
      </c>
      <c r="D48" s="14">
        <v>64.650000000000006</v>
      </c>
    </row>
    <row r="49" spans="1:4">
      <c r="A49" s="9" t="s">
        <v>15</v>
      </c>
      <c r="B49" s="13" t="s">
        <v>3</v>
      </c>
      <c r="C49" s="14">
        <f>12*60+34.26</f>
        <v>754.26</v>
      </c>
      <c r="D49" s="14">
        <v>1729.51</v>
      </c>
    </row>
    <row r="50" spans="1:4">
      <c r="A50" s="9" t="s">
        <v>16</v>
      </c>
      <c r="B50" s="13" t="s">
        <v>3</v>
      </c>
      <c r="C50" s="14">
        <f>12*60+20.49</f>
        <v>740.49</v>
      </c>
      <c r="D50" s="14">
        <v>2026.2</v>
      </c>
    </row>
    <row r="51" spans="1:4">
      <c r="A51" s="9" t="s">
        <v>17</v>
      </c>
      <c r="B51" s="13" t="s">
        <v>7</v>
      </c>
      <c r="C51" s="14">
        <f>25*60+18.8</f>
        <v>1518.8</v>
      </c>
      <c r="D51" s="14" t="s">
        <v>81</v>
      </c>
    </row>
    <row r="52" spans="1:4">
      <c r="A52" s="9" t="s">
        <v>18</v>
      </c>
      <c r="B52" s="13" t="s">
        <v>7</v>
      </c>
      <c r="C52" s="14">
        <f>30*60+18.63</f>
        <v>1818.63</v>
      </c>
      <c r="D52" s="14">
        <v>4090.18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81942-4EED-ED4A-ACA3-4AADBF1ECE74}">
  <dimension ref="A1:N63"/>
  <sheetViews>
    <sheetView workbookViewId="0">
      <pane xSplit="1" topLeftCell="B1" activePane="topRight" state="frozen"/>
      <selection pane="topRight" activeCell="E18" sqref="E18"/>
    </sheetView>
  </sheetViews>
  <sheetFormatPr baseColWidth="10" defaultRowHeight="17"/>
  <cols>
    <col min="1" max="1" width="17.83203125" style="9" bestFit="1" customWidth="1"/>
    <col min="2" max="2" width="17.1640625" style="9" bestFit="1" customWidth="1"/>
    <col min="3" max="3" width="17.6640625" style="9" bestFit="1" customWidth="1"/>
    <col min="4" max="4" width="16.83203125" style="9" bestFit="1" customWidth="1"/>
    <col min="5" max="5" width="19.1640625" style="9" bestFit="1" customWidth="1"/>
    <col min="6" max="6" width="18.5" style="9" bestFit="1" customWidth="1"/>
    <col min="7" max="7" width="25.5" style="9" bestFit="1" customWidth="1"/>
    <col min="8" max="8" width="25.33203125" style="9" bestFit="1" customWidth="1"/>
    <col min="9" max="9" width="15.33203125" style="9" customWidth="1"/>
    <col min="10" max="13" width="15.33203125" customWidth="1"/>
  </cols>
  <sheetData>
    <row r="1" spans="1:14">
      <c r="A1" s="1" t="s">
        <v>0</v>
      </c>
      <c r="B1" s="11"/>
      <c r="C1" s="11"/>
      <c r="E1" s="11"/>
      <c r="F1" s="11"/>
      <c r="G1" s="11"/>
    </row>
    <row r="2" spans="1:14">
      <c r="A2" s="1" t="s">
        <v>1</v>
      </c>
      <c r="B2" s="9" t="s">
        <v>2</v>
      </c>
      <c r="C2" s="11" t="s">
        <v>22</v>
      </c>
      <c r="D2" s="11" t="s">
        <v>27</v>
      </c>
      <c r="E2" s="11" t="s">
        <v>20</v>
      </c>
      <c r="F2" s="11" t="s">
        <v>21</v>
      </c>
      <c r="G2" s="1" t="s">
        <v>28</v>
      </c>
      <c r="H2" s="1" t="s">
        <v>29</v>
      </c>
      <c r="I2" s="11"/>
      <c r="J2" s="2"/>
      <c r="K2" s="2"/>
      <c r="L2" s="2"/>
      <c r="M2" s="3"/>
      <c r="N2" s="3"/>
    </row>
    <row r="3" spans="1:14">
      <c r="A3" s="4" t="s">
        <v>4</v>
      </c>
      <c r="B3" s="13" t="s">
        <v>3</v>
      </c>
      <c r="C3" s="14">
        <v>6.11</v>
      </c>
      <c r="D3" s="14">
        <v>1.59</v>
      </c>
      <c r="E3" s="14">
        <v>19.078125</v>
      </c>
      <c r="F3" s="14">
        <v>19.078125</v>
      </c>
      <c r="G3" s="14">
        <v>43.6</v>
      </c>
      <c r="H3" s="14">
        <v>43.6</v>
      </c>
      <c r="I3" s="13"/>
      <c r="J3" s="5"/>
      <c r="K3" s="5"/>
      <c r="L3" s="5"/>
      <c r="M3" s="5"/>
      <c r="N3" s="5"/>
    </row>
    <row r="4" spans="1:14">
      <c r="A4" s="4" t="s">
        <v>5</v>
      </c>
      <c r="B4" s="13" t="s">
        <v>3</v>
      </c>
      <c r="C4" s="14">
        <v>2.46</v>
      </c>
      <c r="D4" s="14">
        <v>1.98</v>
      </c>
      <c r="E4" s="15">
        <v>158.828125</v>
      </c>
      <c r="F4" s="15">
        <v>158.828125</v>
      </c>
      <c r="G4" s="16">
        <v>44.6</v>
      </c>
      <c r="H4" s="16">
        <v>44.6</v>
      </c>
      <c r="I4" s="25"/>
      <c r="J4" s="6"/>
      <c r="K4" s="6"/>
      <c r="L4" s="6"/>
      <c r="M4" s="7"/>
      <c r="N4" s="6"/>
    </row>
    <row r="5" spans="1:14">
      <c r="A5" s="4" t="s">
        <v>6</v>
      </c>
      <c r="B5" s="13" t="s">
        <v>3</v>
      </c>
      <c r="C5" s="14">
        <v>9.7899999999999991</v>
      </c>
      <c r="D5" s="14">
        <v>9.14</v>
      </c>
      <c r="E5" s="14">
        <v>204.8125</v>
      </c>
      <c r="F5" s="14">
        <v>204.8125</v>
      </c>
      <c r="G5" s="14">
        <v>51.6</v>
      </c>
      <c r="H5" s="16">
        <v>51.6</v>
      </c>
      <c r="I5" s="13"/>
      <c r="J5" s="5"/>
      <c r="K5" s="5"/>
      <c r="L5" s="5"/>
      <c r="M5" s="5"/>
      <c r="N5" s="5"/>
    </row>
    <row r="6" spans="1:14">
      <c r="A6" s="4" t="s">
        <v>8</v>
      </c>
      <c r="B6" s="13" t="s">
        <v>7</v>
      </c>
      <c r="C6" s="14"/>
      <c r="D6" s="14"/>
      <c r="E6" s="14"/>
      <c r="F6" s="16"/>
      <c r="G6" s="14"/>
      <c r="H6" s="14"/>
      <c r="I6" s="13"/>
      <c r="J6" s="5"/>
      <c r="K6" s="5"/>
      <c r="L6" s="8"/>
      <c r="M6" s="5"/>
      <c r="N6" s="5"/>
    </row>
    <row r="7" spans="1:14">
      <c r="A7" s="9" t="s">
        <v>9</v>
      </c>
      <c r="B7" s="13" t="s">
        <v>3</v>
      </c>
      <c r="C7" s="14">
        <v>27.78</v>
      </c>
      <c r="D7" s="14">
        <v>26.37</v>
      </c>
      <c r="E7" s="15">
        <v>404.22265625</v>
      </c>
      <c r="F7" s="14">
        <v>308.779296875</v>
      </c>
      <c r="G7" s="14">
        <v>67.8</v>
      </c>
      <c r="H7" s="14">
        <v>60.650002000000001</v>
      </c>
      <c r="I7" s="13"/>
      <c r="J7" s="5"/>
      <c r="K7" s="5"/>
      <c r="L7" s="8"/>
      <c r="M7" s="5"/>
      <c r="N7" s="5"/>
    </row>
    <row r="8" spans="1:14">
      <c r="A8" s="9" t="s">
        <v>10</v>
      </c>
      <c r="B8" s="13" t="s">
        <v>3</v>
      </c>
      <c r="C8" s="14">
        <f>9.67+60</f>
        <v>69.67</v>
      </c>
      <c r="D8" s="14">
        <f>6.11+60</f>
        <v>66.11</v>
      </c>
      <c r="E8" s="17">
        <v>406.5546875</v>
      </c>
      <c r="F8" s="14">
        <v>345.669921875</v>
      </c>
      <c r="G8" s="14">
        <v>68.099999999999994</v>
      </c>
      <c r="H8" s="14">
        <v>65.224999999999994</v>
      </c>
      <c r="I8" s="13"/>
      <c r="J8" s="5"/>
      <c r="K8" s="5"/>
      <c r="L8" s="8"/>
      <c r="M8" s="5"/>
      <c r="N8" s="5"/>
    </row>
    <row r="9" spans="1:14">
      <c r="A9" s="9" t="s">
        <v>11</v>
      </c>
      <c r="B9" s="13" t="s">
        <v>3</v>
      </c>
      <c r="C9" s="14">
        <f>8.48+(2*60)</f>
        <v>128.47999999999999</v>
      </c>
      <c r="D9" s="14">
        <f>38.76+60</f>
        <v>98.759999999999991</v>
      </c>
      <c r="E9" s="14">
        <v>413.05078125</v>
      </c>
      <c r="F9" s="14">
        <v>384.5673828125</v>
      </c>
      <c r="G9" s="14">
        <v>65.5</v>
      </c>
      <c r="H9" s="14">
        <v>58.924999999999997</v>
      </c>
      <c r="I9" s="13"/>
      <c r="J9" s="5"/>
      <c r="K9" s="5"/>
      <c r="L9" s="8"/>
      <c r="M9" s="5"/>
      <c r="N9" s="5"/>
    </row>
    <row r="10" spans="1:14">
      <c r="A10" s="9" t="s">
        <v>12</v>
      </c>
      <c r="B10" s="13" t="s">
        <v>7</v>
      </c>
      <c r="C10" s="14"/>
      <c r="D10" s="14"/>
      <c r="E10" s="14"/>
      <c r="F10" s="14"/>
      <c r="G10" s="14"/>
      <c r="H10" s="14"/>
      <c r="I10" s="13"/>
      <c r="J10" s="5"/>
      <c r="K10" s="5"/>
      <c r="L10" s="8"/>
      <c r="M10" s="5"/>
      <c r="N10" s="8"/>
    </row>
    <row r="11" spans="1:14">
      <c r="A11" s="9" t="s">
        <v>13</v>
      </c>
      <c r="B11" s="13" t="s">
        <v>7</v>
      </c>
      <c r="C11" s="14"/>
      <c r="D11" s="14"/>
      <c r="E11" s="14"/>
      <c r="F11" s="14"/>
      <c r="G11" s="14"/>
      <c r="H11" s="14"/>
      <c r="I11" s="13"/>
      <c r="J11" s="5"/>
      <c r="K11" s="5"/>
      <c r="L11" s="8"/>
      <c r="M11" s="5"/>
      <c r="N11" s="8"/>
    </row>
    <row r="12" spans="1:14">
      <c r="A12" s="9" t="s">
        <v>14</v>
      </c>
      <c r="B12" s="13" t="s">
        <v>7</v>
      </c>
      <c r="C12" s="14"/>
      <c r="D12" s="14"/>
      <c r="E12" s="14"/>
      <c r="F12" s="14"/>
      <c r="G12" s="14"/>
      <c r="H12" s="14"/>
      <c r="I12" s="13"/>
      <c r="J12" s="5"/>
      <c r="K12" s="5"/>
      <c r="L12" s="8"/>
      <c r="M12" s="5"/>
      <c r="N12" s="8"/>
    </row>
    <row r="13" spans="1:14">
      <c r="A13" s="9" t="s">
        <v>15</v>
      </c>
      <c r="B13" s="13" t="s">
        <v>3</v>
      </c>
      <c r="C13" s="14">
        <f>56.17+60</f>
        <v>116.17</v>
      </c>
      <c r="D13" s="14">
        <f>36.25+60</f>
        <v>96.25</v>
      </c>
      <c r="E13" s="15">
        <v>404.91796875</v>
      </c>
      <c r="F13" s="14">
        <v>346.93136160714261</v>
      </c>
      <c r="G13" s="14">
        <v>68.099999999999994</v>
      </c>
      <c r="H13" s="14">
        <v>58.857142857142897</v>
      </c>
      <c r="I13" s="13"/>
      <c r="J13" s="5"/>
      <c r="K13" s="5"/>
      <c r="L13" s="8"/>
      <c r="M13" s="5"/>
      <c r="N13" s="8"/>
    </row>
    <row r="14" spans="1:14">
      <c r="A14" s="9" t="s">
        <v>16</v>
      </c>
      <c r="B14" s="13" t="s">
        <v>3</v>
      </c>
      <c r="C14" s="14">
        <f>16.83+(11*60)</f>
        <v>676.83</v>
      </c>
      <c r="D14" s="14">
        <f>41.53+(8*60)</f>
        <v>521.53</v>
      </c>
      <c r="E14" s="14">
        <v>414.578125</v>
      </c>
      <c r="F14" s="15">
        <v>399.54947916666697</v>
      </c>
      <c r="G14" s="14">
        <v>66.099999999999994</v>
      </c>
      <c r="H14" s="14">
        <v>57.789743589743601</v>
      </c>
      <c r="I14" s="13"/>
      <c r="J14" s="5"/>
      <c r="K14" s="5"/>
      <c r="L14" s="8"/>
      <c r="M14" s="5"/>
      <c r="N14" s="8"/>
    </row>
    <row r="15" spans="1:14">
      <c r="A15" s="9" t="s">
        <v>17</v>
      </c>
      <c r="B15" s="13" t="s">
        <v>7</v>
      </c>
      <c r="C15" s="14"/>
      <c r="D15" s="14"/>
      <c r="E15" s="14"/>
      <c r="F15" s="14"/>
      <c r="G15" s="14"/>
      <c r="H15" s="14"/>
      <c r="I15" s="13"/>
      <c r="J15" s="5"/>
      <c r="K15" s="5"/>
      <c r="L15" s="8"/>
      <c r="M15" s="5"/>
      <c r="N15" s="8"/>
    </row>
    <row r="16" spans="1:14">
      <c r="A16" s="9" t="s">
        <v>18</v>
      </c>
      <c r="B16" s="13" t="s">
        <v>7</v>
      </c>
      <c r="C16" s="14"/>
      <c r="D16" s="14"/>
      <c r="E16" s="14"/>
      <c r="F16" s="14"/>
      <c r="G16" s="14"/>
      <c r="H16" s="14"/>
      <c r="I16" s="13"/>
      <c r="J16" s="5"/>
      <c r="K16" s="5"/>
      <c r="L16" s="8"/>
      <c r="M16" s="5"/>
      <c r="N16" s="8"/>
    </row>
    <row r="17" spans="1:13">
      <c r="D17" s="13"/>
      <c r="E17" s="13"/>
      <c r="F17" s="13"/>
      <c r="H17" s="13"/>
      <c r="I17" s="13"/>
      <c r="J17" s="5"/>
      <c r="K17" s="5"/>
      <c r="L17" s="5"/>
      <c r="M17" s="5"/>
    </row>
    <row r="18" spans="1:13">
      <c r="B18" s="27"/>
    </row>
    <row r="20" spans="1:13">
      <c r="A20" s="28"/>
      <c r="D20" s="29"/>
    </row>
    <row r="21" spans="1:13">
      <c r="A21" s="28"/>
      <c r="B21" s="30"/>
      <c r="D21" s="14"/>
    </row>
    <row r="22" spans="1:13">
      <c r="A22" s="28"/>
      <c r="B22" s="30"/>
      <c r="D22" s="14"/>
    </row>
    <row r="23" spans="1:13">
      <c r="A23" s="28"/>
      <c r="B23" s="13"/>
      <c r="D23" s="14"/>
    </row>
    <row r="24" spans="1:13">
      <c r="A24" s="28"/>
      <c r="B24" s="13"/>
      <c r="D24" s="14"/>
    </row>
    <row r="25" spans="1:13">
      <c r="A25" s="28"/>
      <c r="D25" s="14"/>
    </row>
    <row r="26" spans="1:13">
      <c r="D26" s="14"/>
    </row>
    <row r="27" spans="1:13">
      <c r="D27" s="14"/>
    </row>
    <row r="28" spans="1:13">
      <c r="D28" s="14"/>
    </row>
    <row r="29" spans="1:13">
      <c r="D29" s="14"/>
    </row>
    <row r="30" spans="1:13">
      <c r="D30" s="14"/>
    </row>
    <row r="31" spans="1:13">
      <c r="D31" s="14"/>
    </row>
    <row r="32" spans="1:13">
      <c r="D32" s="14"/>
    </row>
    <row r="33" spans="1:11">
      <c r="A33" s="31"/>
      <c r="B33" s="32"/>
      <c r="C33" s="32"/>
      <c r="D33" s="32"/>
    </row>
    <row r="34" spans="1:11">
      <c r="A34" s="33"/>
      <c r="B34" s="32"/>
      <c r="C34" s="32"/>
      <c r="D34" s="32"/>
    </row>
    <row r="35" spans="1:11">
      <c r="A35" s="33"/>
      <c r="B35" s="32"/>
      <c r="C35" s="32"/>
      <c r="D35" s="32"/>
    </row>
    <row r="36" spans="1:11">
      <c r="A36" s="33"/>
      <c r="B36" s="32"/>
      <c r="C36" s="32"/>
      <c r="D36" s="32"/>
    </row>
    <row r="37" spans="1:11">
      <c r="A37" s="33"/>
      <c r="B37" s="32"/>
      <c r="C37" s="32"/>
      <c r="D37" s="32"/>
    </row>
    <row r="38" spans="1:11">
      <c r="A38" s="33"/>
      <c r="B38" s="32"/>
      <c r="C38" s="32"/>
      <c r="D38" s="32"/>
    </row>
    <row r="39" spans="1:11">
      <c r="A39" s="32"/>
      <c r="B39" s="32"/>
      <c r="C39" s="32"/>
      <c r="D39" s="32"/>
    </row>
    <row r="40" spans="1:11">
      <c r="A40" s="32"/>
      <c r="B40" s="32"/>
      <c r="C40" s="32"/>
      <c r="D40" s="32"/>
    </row>
    <row r="41" spans="1:11">
      <c r="A41" s="34"/>
      <c r="B41" s="34"/>
      <c r="C41" s="34"/>
      <c r="D41" s="34"/>
    </row>
    <row r="42" spans="1:11">
      <c r="A42" s="33"/>
      <c r="B42" s="33"/>
      <c r="C42" s="33"/>
      <c r="D42" s="33"/>
    </row>
    <row r="43" spans="1:11">
      <c r="A43" s="33"/>
      <c r="B43" s="33"/>
      <c r="C43" s="33"/>
      <c r="D43" s="33"/>
      <c r="E43" s="32"/>
      <c r="F43" s="32"/>
      <c r="G43" s="32"/>
      <c r="H43" s="32"/>
      <c r="I43" s="32"/>
      <c r="J43" s="10"/>
      <c r="K43" s="10"/>
    </row>
    <row r="44" spans="1:11">
      <c r="A44" s="33"/>
      <c r="B44" s="33"/>
      <c r="C44" s="33"/>
      <c r="D44" s="33"/>
      <c r="E44" s="32"/>
      <c r="F44" s="32"/>
      <c r="G44" s="32"/>
      <c r="H44" s="32"/>
      <c r="I44" s="32"/>
      <c r="J44" s="10"/>
      <c r="K44" s="10"/>
    </row>
    <row r="45" spans="1:11">
      <c r="A45" s="32"/>
      <c r="B45" s="32"/>
      <c r="C45" s="32"/>
      <c r="D45" s="32"/>
      <c r="E45" s="32"/>
      <c r="F45" s="32"/>
      <c r="G45" s="32"/>
      <c r="H45" s="32"/>
      <c r="I45" s="32"/>
      <c r="J45" s="10"/>
      <c r="K45" s="10"/>
    </row>
    <row r="46" spans="1:11">
      <c r="A46" s="34"/>
      <c r="B46" s="34"/>
      <c r="C46" s="34"/>
      <c r="D46" s="34"/>
      <c r="E46" s="34"/>
      <c r="F46" s="34"/>
      <c r="G46" s="34"/>
      <c r="H46" s="32"/>
      <c r="I46" s="32"/>
      <c r="J46" s="10"/>
      <c r="K46" s="10"/>
    </row>
    <row r="47" spans="1:11">
      <c r="A47" s="33"/>
      <c r="B47" s="33"/>
      <c r="C47" s="33"/>
      <c r="D47" s="33"/>
      <c r="E47" s="33"/>
      <c r="F47" s="33"/>
      <c r="G47" s="33"/>
      <c r="H47" s="32"/>
      <c r="I47" s="32"/>
      <c r="J47" s="10"/>
      <c r="K47" s="10"/>
    </row>
    <row r="48" spans="1:11">
      <c r="A48" s="33"/>
      <c r="B48" s="33"/>
      <c r="C48" s="33"/>
      <c r="D48" s="33"/>
      <c r="E48" s="33"/>
      <c r="F48" s="33"/>
      <c r="G48" s="33"/>
      <c r="H48" s="32"/>
      <c r="I48" s="32"/>
      <c r="J48" s="10"/>
      <c r="K48" s="10"/>
    </row>
    <row r="49" spans="1:11">
      <c r="A49" s="32"/>
      <c r="B49" s="32"/>
      <c r="C49" s="32"/>
      <c r="D49" s="32"/>
      <c r="E49" s="32"/>
      <c r="F49" s="32"/>
      <c r="G49" s="32"/>
      <c r="H49" s="32"/>
      <c r="I49" s="32"/>
      <c r="J49" s="10"/>
      <c r="K49" s="10"/>
    </row>
    <row r="50" spans="1:11">
      <c r="A50" s="32"/>
      <c r="B50" s="32"/>
      <c r="C50" s="32"/>
      <c r="D50" s="32"/>
      <c r="E50" s="32"/>
      <c r="F50" s="32"/>
      <c r="G50" s="32"/>
      <c r="H50" s="32"/>
      <c r="I50" s="32"/>
      <c r="J50" s="10"/>
      <c r="K50" s="10"/>
    </row>
    <row r="51" spans="1:11">
      <c r="A51" s="35"/>
      <c r="B51" s="32"/>
      <c r="C51" s="32"/>
      <c r="D51" s="32"/>
      <c r="E51" s="32"/>
      <c r="F51" s="32"/>
      <c r="G51" s="32"/>
      <c r="H51" s="32"/>
      <c r="I51" s="32"/>
      <c r="J51" s="10"/>
      <c r="K51" s="10"/>
    </row>
    <row r="52" spans="1:11">
      <c r="A52" s="35"/>
      <c r="B52" s="32"/>
      <c r="C52" s="32"/>
      <c r="D52" s="32"/>
      <c r="E52" s="32"/>
      <c r="F52" s="32"/>
      <c r="G52" s="32"/>
      <c r="H52" s="32"/>
      <c r="I52" s="32"/>
      <c r="J52" s="10"/>
      <c r="K52" s="10"/>
    </row>
    <row r="53" spans="1:11">
      <c r="A53" s="35"/>
      <c r="B53" s="32"/>
      <c r="C53" s="32"/>
      <c r="D53" s="32"/>
      <c r="E53" s="32"/>
      <c r="F53" s="32"/>
      <c r="G53" s="32"/>
      <c r="H53" s="32"/>
      <c r="I53" s="32"/>
      <c r="J53" s="10"/>
      <c r="K53" s="10"/>
    </row>
    <row r="54" spans="1:11">
      <c r="A54" s="35"/>
      <c r="B54" s="32"/>
      <c r="C54" s="32"/>
      <c r="D54" s="32"/>
      <c r="E54" s="32"/>
      <c r="F54" s="32"/>
      <c r="G54" s="32"/>
      <c r="H54" s="32"/>
      <c r="I54" s="32"/>
      <c r="J54" s="10"/>
      <c r="K54" s="10"/>
    </row>
    <row r="55" spans="1:11">
      <c r="A55" s="35"/>
      <c r="B55" s="32"/>
      <c r="C55" s="32"/>
      <c r="D55" s="32"/>
      <c r="E55" s="32"/>
      <c r="F55" s="32"/>
      <c r="G55" s="32"/>
      <c r="H55" s="32"/>
      <c r="I55" s="32"/>
      <c r="J55" s="10"/>
      <c r="K55" s="10"/>
    </row>
    <row r="56" spans="1:11">
      <c r="A56" s="35"/>
      <c r="B56" s="32"/>
      <c r="C56" s="32"/>
      <c r="D56" s="32"/>
      <c r="E56" s="32"/>
      <c r="F56" s="32"/>
      <c r="G56" s="32"/>
      <c r="H56" s="32"/>
      <c r="I56" s="32"/>
      <c r="J56" s="10"/>
      <c r="K56" s="10"/>
    </row>
    <row r="57" spans="1:11">
      <c r="A57" s="35"/>
      <c r="B57" s="32"/>
      <c r="C57" s="32"/>
      <c r="D57" s="32"/>
      <c r="E57" s="32"/>
      <c r="F57" s="32"/>
      <c r="G57" s="32"/>
      <c r="H57" s="32"/>
      <c r="I57" s="32"/>
      <c r="J57" s="10"/>
      <c r="K57" s="10"/>
    </row>
    <row r="58" spans="1:11">
      <c r="A58" s="32"/>
      <c r="B58" s="32"/>
      <c r="C58" s="32"/>
      <c r="D58" s="32"/>
      <c r="E58" s="32"/>
      <c r="F58" s="32"/>
      <c r="G58" s="32"/>
      <c r="H58" s="32"/>
      <c r="I58" s="32"/>
      <c r="J58" s="10"/>
      <c r="K58" s="10"/>
    </row>
    <row r="59" spans="1:11">
      <c r="A59" s="32"/>
      <c r="B59" s="32"/>
      <c r="C59" s="32"/>
      <c r="D59" s="32"/>
      <c r="E59" s="32"/>
      <c r="F59" s="32"/>
      <c r="G59" s="32"/>
      <c r="H59" s="32"/>
      <c r="I59" s="32"/>
      <c r="J59" s="10"/>
      <c r="K59" s="10"/>
    </row>
    <row r="60" spans="1:11">
      <c r="A60" s="32"/>
      <c r="B60" s="32"/>
      <c r="C60" s="32"/>
      <c r="D60" s="32"/>
      <c r="E60" s="32"/>
      <c r="F60" s="32"/>
      <c r="G60" s="32"/>
      <c r="H60" s="32"/>
      <c r="I60" s="32"/>
      <c r="J60" s="10"/>
      <c r="K60" s="10"/>
    </row>
    <row r="61" spans="1:11">
      <c r="A61" s="32"/>
      <c r="B61" s="32"/>
      <c r="C61" s="32"/>
      <c r="D61" s="32"/>
      <c r="E61" s="32"/>
      <c r="F61" s="32"/>
      <c r="G61" s="32"/>
      <c r="H61" s="32"/>
      <c r="I61" s="32"/>
      <c r="J61" s="10"/>
      <c r="K61" s="10"/>
    </row>
    <row r="62" spans="1:11">
      <c r="A62" s="32"/>
      <c r="B62" s="32"/>
      <c r="C62" s="32"/>
      <c r="D62" s="32"/>
      <c r="E62" s="32"/>
      <c r="F62" s="32"/>
      <c r="G62" s="32"/>
      <c r="H62" s="32"/>
      <c r="I62" s="32"/>
      <c r="J62" s="10"/>
      <c r="K62" s="10"/>
    </row>
    <row r="63" spans="1:11">
      <c r="A63" s="32"/>
      <c r="B63" s="32"/>
      <c r="C63" s="32"/>
      <c r="D63" s="32"/>
      <c r="E63" s="32"/>
      <c r="F63" s="32"/>
      <c r="G63" s="32"/>
      <c r="H63" s="32"/>
      <c r="I63" s="32"/>
      <c r="J63" s="10"/>
      <c r="K63" s="10"/>
    </row>
  </sheetData>
  <sortState xmlns:xlrd2="http://schemas.microsoft.com/office/spreadsheetml/2017/richdata2" ref="B20:B35">
    <sortCondition ref="B2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3912D-890B-764B-ABA5-176C2DC124BA}">
  <dimension ref="A1:K62"/>
  <sheetViews>
    <sheetView zoomScale="91" workbookViewId="0">
      <pane xSplit="1" topLeftCell="B1" activePane="topRight" state="frozen"/>
      <selection pane="topRight" activeCell="F11" sqref="F11"/>
    </sheetView>
  </sheetViews>
  <sheetFormatPr baseColWidth="10" defaultRowHeight="17"/>
  <cols>
    <col min="1" max="1" width="12.6640625" style="9" bestFit="1" customWidth="1"/>
    <col min="2" max="2" width="18.83203125" style="9" bestFit="1" customWidth="1"/>
    <col min="3" max="3" width="21.6640625" style="9" bestFit="1" customWidth="1"/>
    <col min="4" max="4" width="20.6640625" style="9" bestFit="1" customWidth="1"/>
    <col min="5" max="5" width="23.1640625" style="9" bestFit="1" customWidth="1"/>
    <col min="6" max="6" width="22.5" style="9" bestFit="1" customWidth="1"/>
    <col min="7" max="7" width="30.33203125" style="9" bestFit="1" customWidth="1"/>
    <col min="8" max="8" width="30.1640625" style="9" bestFit="1" customWidth="1"/>
    <col min="9" max="11" width="10.83203125" style="9"/>
  </cols>
  <sheetData>
    <row r="1" spans="1:8">
      <c r="A1" s="1" t="s">
        <v>0</v>
      </c>
      <c r="C1" s="11"/>
      <c r="D1" s="11"/>
      <c r="F1" s="11"/>
      <c r="G1" s="11"/>
      <c r="H1" s="11"/>
    </row>
    <row r="2" spans="1:8">
      <c r="A2" s="1" t="s">
        <v>1</v>
      </c>
      <c r="B2" s="9" t="s">
        <v>2</v>
      </c>
      <c r="C2" s="11" t="s">
        <v>23</v>
      </c>
      <c r="D2" s="11" t="s">
        <v>26</v>
      </c>
      <c r="E2" s="11" t="s">
        <v>24</v>
      </c>
      <c r="F2" s="11" t="s">
        <v>25</v>
      </c>
      <c r="G2" s="1" t="s">
        <v>31</v>
      </c>
      <c r="H2" s="1" t="s">
        <v>30</v>
      </c>
    </row>
    <row r="3" spans="1:8">
      <c r="A3" s="4" t="s">
        <v>4</v>
      </c>
      <c r="B3" s="13" t="s">
        <v>3</v>
      </c>
      <c r="C3" s="14">
        <f>47*60+4.87</f>
        <v>2824.87</v>
      </c>
      <c r="D3" s="14">
        <f>275*60+20.28</f>
        <v>16520.28</v>
      </c>
      <c r="E3" s="14">
        <v>1109.0625</v>
      </c>
      <c r="F3" s="14">
        <v>731.59500794491521</v>
      </c>
      <c r="G3" s="14">
        <v>75.400000000000006</v>
      </c>
      <c r="H3" s="14">
        <v>59.283053228813564</v>
      </c>
    </row>
    <row r="4" spans="1:8">
      <c r="A4" s="4" t="s">
        <v>5</v>
      </c>
      <c r="B4" s="13" t="s">
        <v>3</v>
      </c>
      <c r="C4" s="14">
        <f>53*60+3.99</f>
        <v>3183.99</v>
      </c>
      <c r="D4" s="14">
        <f>310*60+35.54</f>
        <v>18635.54</v>
      </c>
      <c r="E4" s="15">
        <v>1179.19140625</v>
      </c>
      <c r="F4" s="16">
        <v>794.64610541044772</v>
      </c>
      <c r="G4" s="16">
        <v>76.400000000000006</v>
      </c>
      <c r="H4" s="16">
        <v>58.276868052238768</v>
      </c>
    </row>
    <row r="5" spans="1:8">
      <c r="A5" s="4" t="s">
        <v>6</v>
      </c>
      <c r="B5" s="13" t="s">
        <v>3</v>
      </c>
      <c r="C5" s="14">
        <f>80*60+3.09</f>
        <v>4803.09</v>
      </c>
      <c r="D5" s="14">
        <f>479*60+10.06</f>
        <v>28750.06</v>
      </c>
      <c r="E5" s="14">
        <v>1738.33203125</v>
      </c>
      <c r="F5" s="14">
        <v>1415.0815950190356</v>
      </c>
      <c r="G5" s="14">
        <v>76.700005000000004</v>
      </c>
      <c r="H5" s="16">
        <v>59.144165274111714</v>
      </c>
    </row>
    <row r="6" spans="1:8">
      <c r="A6" s="4" t="s">
        <v>8</v>
      </c>
      <c r="B6" s="13" t="s">
        <v>7</v>
      </c>
      <c r="C6" s="12"/>
      <c r="D6" s="14"/>
      <c r="E6" s="14"/>
      <c r="F6" s="16"/>
      <c r="G6" s="14"/>
      <c r="H6" s="14"/>
    </row>
    <row r="7" spans="1:8">
      <c r="A7" s="9" t="s">
        <v>9</v>
      </c>
      <c r="B7" s="13" t="s">
        <v>3</v>
      </c>
      <c r="C7" s="14"/>
      <c r="D7" s="14"/>
      <c r="E7" s="15"/>
      <c r="F7" s="14"/>
      <c r="G7" s="14"/>
      <c r="H7" s="14"/>
    </row>
    <row r="8" spans="1:8" ht="20">
      <c r="A8" s="9" t="s">
        <v>10</v>
      </c>
      <c r="B8" s="13" t="s">
        <v>3</v>
      </c>
      <c r="C8" s="14"/>
      <c r="D8" s="14"/>
      <c r="E8" s="17"/>
      <c r="F8" s="14"/>
      <c r="G8" s="36"/>
      <c r="H8" s="36"/>
    </row>
    <row r="9" spans="1:8" ht="20">
      <c r="A9" s="9" t="s">
        <v>11</v>
      </c>
      <c r="B9" s="13" t="s">
        <v>3</v>
      </c>
      <c r="C9" s="14"/>
      <c r="D9" s="14"/>
      <c r="E9" s="14"/>
      <c r="F9" s="14"/>
      <c r="G9" s="36"/>
      <c r="H9" s="36"/>
    </row>
    <row r="10" spans="1:8" ht="20">
      <c r="A10" s="9" t="s">
        <v>12</v>
      </c>
      <c r="B10" s="13" t="s">
        <v>7</v>
      </c>
      <c r="C10" s="14"/>
      <c r="D10" s="14"/>
      <c r="E10" s="14"/>
      <c r="F10" s="14"/>
      <c r="G10" s="36"/>
      <c r="H10" s="36"/>
    </row>
    <row r="11" spans="1:8" ht="20">
      <c r="A11" s="9" t="s">
        <v>13</v>
      </c>
      <c r="B11" s="13" t="s">
        <v>7</v>
      </c>
      <c r="C11" s="14"/>
      <c r="D11" s="14"/>
      <c r="E11" s="14"/>
      <c r="F11" s="14"/>
      <c r="G11" s="36"/>
      <c r="H11" s="36"/>
    </row>
    <row r="12" spans="1:8" ht="20">
      <c r="A12" s="9" t="s">
        <v>14</v>
      </c>
      <c r="B12" s="13" t="s">
        <v>7</v>
      </c>
      <c r="C12" s="14"/>
      <c r="D12" s="14"/>
      <c r="E12" s="14"/>
      <c r="F12" s="14"/>
      <c r="G12" s="36"/>
      <c r="H12" s="36"/>
    </row>
    <row r="13" spans="1:8" ht="20">
      <c r="A13" s="9" t="s">
        <v>15</v>
      </c>
      <c r="B13" s="13" t="s">
        <v>3</v>
      </c>
      <c r="C13" s="14"/>
      <c r="D13" s="14"/>
      <c r="E13" s="14"/>
      <c r="F13" s="14"/>
      <c r="G13" s="36"/>
      <c r="H13" s="36"/>
    </row>
    <row r="14" spans="1:8" ht="20">
      <c r="A14" s="9" t="s">
        <v>16</v>
      </c>
      <c r="B14" s="13" t="s">
        <v>3</v>
      </c>
      <c r="C14" s="14"/>
      <c r="D14" s="14"/>
      <c r="E14" s="14"/>
      <c r="F14" s="14"/>
      <c r="G14" s="36"/>
      <c r="H14" s="36"/>
    </row>
    <row r="15" spans="1:8" ht="20">
      <c r="A15" s="9" t="s">
        <v>17</v>
      </c>
      <c r="B15" s="13" t="s">
        <v>7</v>
      </c>
      <c r="C15" s="14"/>
      <c r="D15" s="14"/>
      <c r="E15" s="14"/>
      <c r="F15" s="14"/>
      <c r="G15" s="36"/>
      <c r="H15" s="36"/>
    </row>
    <row r="16" spans="1:8" ht="20">
      <c r="A16" s="9" t="s">
        <v>18</v>
      </c>
      <c r="B16" s="13" t="s">
        <v>7</v>
      </c>
      <c r="C16" s="14"/>
      <c r="D16" s="14"/>
      <c r="E16" s="14"/>
      <c r="F16" s="14"/>
      <c r="G16" s="36"/>
      <c r="H16" s="36"/>
    </row>
    <row r="17" spans="2:8" ht="20">
      <c r="G17" s="37"/>
      <c r="H17" s="37"/>
    </row>
    <row r="18" spans="2:8" ht="20">
      <c r="G18" s="37"/>
      <c r="H18" s="37"/>
    </row>
    <row r="19" spans="2:8" ht="20">
      <c r="B19" s="27"/>
      <c r="G19" s="37"/>
      <c r="H19" s="37"/>
    </row>
    <row r="20" spans="2:8" ht="20">
      <c r="B20" s="27"/>
      <c r="G20" s="37"/>
      <c r="H20" s="37"/>
    </row>
    <row r="21" spans="2:8" ht="20">
      <c r="G21" s="37"/>
      <c r="H21" s="37"/>
    </row>
    <row r="22" spans="2:8" ht="20">
      <c r="B22" s="27"/>
      <c r="G22" s="37"/>
      <c r="H22" s="37"/>
    </row>
    <row r="23" spans="2:8" ht="20">
      <c r="B23" s="27"/>
      <c r="G23" s="37"/>
      <c r="H23" s="37"/>
    </row>
    <row r="24" spans="2:8" ht="20">
      <c r="G24" s="37"/>
      <c r="H24" s="37"/>
    </row>
    <row r="25" spans="2:8" ht="20">
      <c r="B25" s="27"/>
      <c r="G25" s="38"/>
      <c r="H25" s="37"/>
    </row>
    <row r="26" spans="2:8" ht="20">
      <c r="B26" s="27"/>
      <c r="G26" s="38"/>
      <c r="H26" s="37"/>
    </row>
    <row r="27" spans="2:8" ht="20">
      <c r="B27" s="27"/>
      <c r="G27" s="37"/>
      <c r="H27" s="37"/>
    </row>
    <row r="28" spans="2:8" ht="20">
      <c r="G28" s="37"/>
      <c r="H28" s="37"/>
    </row>
    <row r="29" spans="2:8" ht="20">
      <c r="B29" s="27"/>
      <c r="G29" s="37"/>
      <c r="H29" s="37"/>
    </row>
    <row r="30" spans="2:8" ht="20">
      <c r="B30" s="27"/>
      <c r="G30" s="37"/>
      <c r="H30" s="37"/>
    </row>
    <row r="31" spans="2:8" ht="20">
      <c r="G31" s="37"/>
      <c r="H31" s="37"/>
    </row>
    <row r="32" spans="2:8" ht="20">
      <c r="B32" s="27"/>
      <c r="G32" s="37"/>
      <c r="H32" s="37"/>
    </row>
    <row r="33" spans="2:8" ht="20">
      <c r="B33" s="27"/>
      <c r="G33" s="37"/>
      <c r="H33" s="37"/>
    </row>
    <row r="34" spans="2:8" ht="20">
      <c r="G34" s="37"/>
      <c r="H34" s="37"/>
    </row>
    <row r="35" spans="2:8" ht="20">
      <c r="G35" s="37"/>
      <c r="H35" s="37"/>
    </row>
    <row r="36" spans="2:8" ht="20">
      <c r="G36" s="37"/>
      <c r="H36" s="37"/>
    </row>
    <row r="37" spans="2:8" ht="20">
      <c r="G37" s="37"/>
      <c r="H37" s="37"/>
    </row>
    <row r="38" spans="2:8" ht="20">
      <c r="G38" s="37"/>
      <c r="H38" s="37"/>
    </row>
    <row r="39" spans="2:8" ht="20">
      <c r="G39" s="37"/>
      <c r="H39" s="37"/>
    </row>
    <row r="40" spans="2:8" ht="20">
      <c r="G40" s="37"/>
    </row>
    <row r="41" spans="2:8" ht="20">
      <c r="H41" s="37"/>
    </row>
    <row r="42" spans="2:8" ht="20">
      <c r="G42" s="37"/>
      <c r="H42" s="37"/>
    </row>
    <row r="43" spans="2:8" ht="20">
      <c r="G43" s="37"/>
    </row>
    <row r="46" spans="2:8" ht="20">
      <c r="G46" s="37"/>
      <c r="H46" s="37"/>
    </row>
    <row r="47" spans="2:8" ht="20">
      <c r="G47" s="37"/>
      <c r="H47" s="37"/>
    </row>
    <row r="48" spans="2:8" ht="20">
      <c r="G48" s="37"/>
      <c r="H48" s="37"/>
    </row>
    <row r="49" spans="7:8" ht="20">
      <c r="G49" s="37"/>
      <c r="H49" s="37"/>
    </row>
    <row r="50" spans="7:8" ht="20">
      <c r="G50" s="37"/>
      <c r="H50" s="37"/>
    </row>
    <row r="51" spans="7:8" ht="20">
      <c r="G51" s="37"/>
      <c r="H51" s="37"/>
    </row>
    <row r="52" spans="7:8" ht="20">
      <c r="G52" s="37"/>
      <c r="H52" s="37"/>
    </row>
    <row r="53" spans="7:8" ht="20">
      <c r="G53" s="37"/>
      <c r="H53" s="37"/>
    </row>
    <row r="54" spans="7:8" ht="20">
      <c r="G54" s="37"/>
      <c r="H54" s="37"/>
    </row>
    <row r="55" spans="7:8" ht="20">
      <c r="G55" s="37"/>
      <c r="H55" s="37"/>
    </row>
    <row r="56" spans="7:8" ht="20">
      <c r="G56" s="37"/>
      <c r="H56" s="37"/>
    </row>
    <row r="57" spans="7:8" ht="20">
      <c r="G57" s="37"/>
      <c r="H57" s="37"/>
    </row>
    <row r="58" spans="7:8" ht="20">
      <c r="G58" s="37"/>
    </row>
    <row r="59" spans="7:8" ht="20">
      <c r="G59" s="37"/>
      <c r="H59" s="37"/>
    </row>
    <row r="60" spans="7:8" ht="20">
      <c r="H60" s="37"/>
    </row>
    <row r="61" spans="7:8" ht="20">
      <c r="G61" s="37"/>
    </row>
    <row r="62" spans="7:8" ht="20">
      <c r="G62" s="3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A7C4D-FEC9-0942-BE52-EF38D30D417E}">
  <dimension ref="A1:P36"/>
  <sheetViews>
    <sheetView zoomScaleNormal="100" workbookViewId="0">
      <selection activeCell="D16" sqref="D16"/>
    </sheetView>
  </sheetViews>
  <sheetFormatPr baseColWidth="10" defaultRowHeight="17"/>
  <cols>
    <col min="1" max="1" width="22.6640625" style="22" bestFit="1" customWidth="1"/>
    <col min="2" max="2" width="26.1640625" style="22" bestFit="1" customWidth="1"/>
    <col min="3" max="3" width="15.6640625" style="22" bestFit="1" customWidth="1"/>
    <col min="4" max="4" width="25.33203125" style="22" bestFit="1" customWidth="1"/>
    <col min="5" max="5" width="27" style="22" bestFit="1" customWidth="1"/>
    <col min="6" max="6" width="17.83203125" style="22" bestFit="1" customWidth="1"/>
    <col min="7" max="7" width="18.6640625" style="22" bestFit="1" customWidth="1"/>
    <col min="8" max="8" width="20.33203125" style="22" bestFit="1" customWidth="1"/>
    <col min="9" max="9" width="10.83203125" style="22"/>
    <col min="10" max="10" width="18.6640625" style="22" bestFit="1" customWidth="1"/>
    <col min="11" max="16" width="10.83203125" style="22"/>
  </cols>
  <sheetData>
    <row r="1" spans="1:6">
      <c r="A1" s="22" t="s">
        <v>63</v>
      </c>
    </row>
    <row r="2" spans="1:6">
      <c r="A2" s="21" t="s">
        <v>64</v>
      </c>
      <c r="B2" s="22" t="s">
        <v>65</v>
      </c>
      <c r="C2" s="22" t="s">
        <v>45</v>
      </c>
      <c r="D2" s="22" t="s">
        <v>66</v>
      </c>
      <c r="E2" s="22" t="s">
        <v>67</v>
      </c>
      <c r="F2" s="22" t="s">
        <v>2</v>
      </c>
    </row>
    <row r="3" spans="1:6">
      <c r="A3" s="23" t="s">
        <v>4</v>
      </c>
      <c r="B3" s="39" t="s">
        <v>68</v>
      </c>
      <c r="C3" s="39">
        <v>1.9135949999999999E-2</v>
      </c>
      <c r="D3" s="42">
        <v>8976703</v>
      </c>
      <c r="E3" s="39">
        <v>0.52996773982608092</v>
      </c>
      <c r="F3" s="24" t="s">
        <v>3</v>
      </c>
    </row>
    <row r="4" spans="1:6">
      <c r="A4" s="23" t="s">
        <v>5</v>
      </c>
      <c r="B4" s="39" t="s">
        <v>68</v>
      </c>
      <c r="C4" s="39">
        <v>4.3647103999999999E-2</v>
      </c>
      <c r="D4" s="42">
        <v>20481866</v>
      </c>
      <c r="E4" s="39">
        <v>0.48516385177014631</v>
      </c>
      <c r="F4" s="24" t="s">
        <v>3</v>
      </c>
    </row>
    <row r="5" spans="1:6">
      <c r="A5" s="23" t="s">
        <v>6</v>
      </c>
      <c r="B5" s="39" t="s">
        <v>68</v>
      </c>
      <c r="C5" s="39">
        <v>0.25131472599999999</v>
      </c>
      <c r="D5" s="42">
        <v>117826901</v>
      </c>
      <c r="E5" s="39">
        <v>0.35136494848489652</v>
      </c>
      <c r="F5" s="24" t="s">
        <v>3</v>
      </c>
    </row>
    <row r="6" spans="1:6">
      <c r="A6" s="23" t="s">
        <v>8</v>
      </c>
      <c r="B6" s="39" t="s">
        <v>69</v>
      </c>
      <c r="C6" s="39">
        <v>0.283102774</v>
      </c>
      <c r="D6" s="42">
        <v>138314339</v>
      </c>
      <c r="E6" s="39">
        <v>0.83064457980744855</v>
      </c>
      <c r="F6" s="24" t="s">
        <v>7</v>
      </c>
    </row>
    <row r="7" spans="1:6">
      <c r="A7" s="22" t="s">
        <v>14</v>
      </c>
      <c r="B7" s="39" t="s">
        <v>70</v>
      </c>
      <c r="C7" s="39">
        <v>0.67885386599999997</v>
      </c>
      <c r="D7" s="42">
        <v>331856697</v>
      </c>
      <c r="E7" s="39">
        <v>0.9993019999231777</v>
      </c>
      <c r="F7" s="24" t="s">
        <v>7</v>
      </c>
    </row>
    <row r="8" spans="1:6">
      <c r="A8" s="22" t="s">
        <v>9</v>
      </c>
      <c r="B8" s="39" t="s">
        <v>71</v>
      </c>
      <c r="C8" s="39">
        <v>0.72280911999999997</v>
      </c>
      <c r="D8" s="42">
        <v>354527271</v>
      </c>
      <c r="E8" s="39">
        <v>0.56512270391746533</v>
      </c>
      <c r="F8" s="24" t="s">
        <v>3</v>
      </c>
    </row>
    <row r="9" spans="1:6">
      <c r="A9" s="22" t="s">
        <v>10</v>
      </c>
      <c r="B9" s="39" t="s">
        <v>72</v>
      </c>
      <c r="C9" s="39">
        <v>1.8490550800000001</v>
      </c>
      <c r="D9" s="42">
        <v>786401242</v>
      </c>
      <c r="E9" s="39">
        <v>0.41715564075876677</v>
      </c>
      <c r="F9" s="24" t="s">
        <v>3</v>
      </c>
    </row>
    <row r="10" spans="1:6">
      <c r="A10" s="22" t="s">
        <v>11</v>
      </c>
      <c r="B10" s="39" t="s">
        <v>72</v>
      </c>
      <c r="C10" s="39">
        <v>2.6444788699999999</v>
      </c>
      <c r="D10" s="42">
        <v>1089255288</v>
      </c>
      <c r="E10" s="39">
        <v>0.30956759238611103</v>
      </c>
      <c r="F10" s="24" t="s">
        <v>3</v>
      </c>
    </row>
    <row r="11" spans="1:6">
      <c r="A11" s="22" t="s">
        <v>13</v>
      </c>
      <c r="B11" s="22" t="s">
        <v>73</v>
      </c>
      <c r="C11" s="39">
        <v>4.0145138940000002</v>
      </c>
      <c r="D11" s="42">
        <v>1999086852</v>
      </c>
      <c r="E11" s="39">
        <v>0.90892884477837588</v>
      </c>
      <c r="F11" s="24" t="s">
        <v>7</v>
      </c>
    </row>
    <row r="12" spans="1:6">
      <c r="A12" s="22" t="s">
        <v>12</v>
      </c>
      <c r="B12" s="39" t="s">
        <v>74</v>
      </c>
      <c r="C12" s="39">
        <v>6.1087968119999996</v>
      </c>
      <c r="D12" s="42">
        <v>3038713704</v>
      </c>
      <c r="E12" s="39">
        <v>0.91122110133479028</v>
      </c>
      <c r="F12" s="24" t="s">
        <v>7</v>
      </c>
    </row>
    <row r="13" spans="1:6">
      <c r="A13" s="22" t="s">
        <v>15</v>
      </c>
      <c r="B13" s="39" t="s">
        <v>75</v>
      </c>
      <c r="C13" s="39">
        <v>13.234960392</v>
      </c>
      <c r="D13" s="42">
        <v>6458844838</v>
      </c>
      <c r="E13" s="39">
        <v>0.9432458093987115</v>
      </c>
      <c r="F13" s="24" t="s">
        <v>3</v>
      </c>
    </row>
    <row r="14" spans="1:6">
      <c r="A14" s="22" t="s">
        <v>16</v>
      </c>
      <c r="B14" s="39" t="s">
        <v>76</v>
      </c>
      <c r="C14" s="39">
        <v>13.507968086</v>
      </c>
      <c r="D14" s="42">
        <v>6634751431</v>
      </c>
      <c r="E14" s="39">
        <v>0.96630876494399298</v>
      </c>
      <c r="F14" s="24" t="s">
        <v>3</v>
      </c>
    </row>
    <row r="15" spans="1:6">
      <c r="A15" s="22" t="s">
        <v>17</v>
      </c>
      <c r="B15" s="39" t="s">
        <v>77</v>
      </c>
      <c r="C15" s="39">
        <v>15.103510783999999</v>
      </c>
      <c r="D15" s="42">
        <v>7495202853</v>
      </c>
      <c r="E15" s="39">
        <v>0.85327273343111476</v>
      </c>
      <c r="F15" s="24" t="s">
        <v>7</v>
      </c>
    </row>
    <row r="16" spans="1:6">
      <c r="A16" s="22" t="s">
        <v>18</v>
      </c>
      <c r="B16" s="39" t="s">
        <v>78</v>
      </c>
      <c r="C16" s="39">
        <v>16.374576338000001</v>
      </c>
      <c r="D16" s="42">
        <v>8064606004</v>
      </c>
      <c r="E16" s="39">
        <v>0.8069391931573896</v>
      </c>
      <c r="F16" s="24" t="s">
        <v>7</v>
      </c>
    </row>
    <row r="21" spans="1:5">
      <c r="A21" s="18"/>
    </row>
    <row r="22" spans="1:5">
      <c r="A22" s="18"/>
      <c r="B22" s="9"/>
      <c r="C22" s="9"/>
      <c r="D22" s="9"/>
      <c r="E22" s="9"/>
    </row>
    <row r="23" spans="1:5">
      <c r="A23" s="9"/>
      <c r="B23" s="9"/>
      <c r="C23" s="9"/>
      <c r="D23" s="9"/>
      <c r="E23" s="9"/>
    </row>
    <row r="24" spans="1:5">
      <c r="A24" s="9"/>
      <c r="B24" s="9"/>
      <c r="C24" s="9"/>
      <c r="D24" s="9"/>
      <c r="E24" s="9"/>
    </row>
    <row r="25" spans="1:5">
      <c r="A25" s="9"/>
      <c r="B25" s="9"/>
      <c r="C25" s="9"/>
      <c r="D25" s="9"/>
      <c r="E25" s="9"/>
    </row>
    <row r="26" spans="1:5">
      <c r="A26" s="9"/>
      <c r="B26" s="9"/>
      <c r="C26" s="9"/>
      <c r="D26" s="9"/>
      <c r="E26" s="9"/>
    </row>
    <row r="27" spans="1:5">
      <c r="A27" s="9"/>
      <c r="B27" s="9"/>
      <c r="C27" s="9"/>
      <c r="D27" s="9"/>
      <c r="E27" s="9"/>
    </row>
    <row r="28" spans="1:5">
      <c r="A28" s="9"/>
      <c r="B28" s="9"/>
      <c r="C28" s="9"/>
      <c r="D28" s="9"/>
      <c r="E28" s="9"/>
    </row>
    <row r="29" spans="1:5">
      <c r="A29" s="9"/>
      <c r="B29" s="9"/>
      <c r="C29" s="9"/>
      <c r="D29" s="9"/>
      <c r="E29" s="9"/>
    </row>
    <row r="30" spans="1:5">
      <c r="A30" s="9"/>
      <c r="B30" s="9"/>
      <c r="C30" s="9"/>
      <c r="D30" s="9"/>
      <c r="E30" s="9"/>
    </row>
    <row r="31" spans="1:5">
      <c r="A31" s="9"/>
      <c r="B31" s="9"/>
      <c r="C31" s="9"/>
      <c r="D31" s="9"/>
      <c r="E31" s="9"/>
    </row>
    <row r="32" spans="1:5">
      <c r="A32" s="9"/>
      <c r="B32" s="9"/>
      <c r="C32" s="9"/>
      <c r="D32" s="9"/>
      <c r="E32" s="9"/>
    </row>
    <row r="33" spans="1:5">
      <c r="A33" s="9"/>
      <c r="B33" s="9"/>
      <c r="C33" s="9"/>
      <c r="D33" s="9"/>
      <c r="E33" s="9"/>
    </row>
    <row r="34" spans="1:5">
      <c r="A34" s="9"/>
      <c r="B34" s="9"/>
      <c r="C34" s="9"/>
      <c r="D34" s="9"/>
      <c r="E34" s="9"/>
    </row>
    <row r="35" spans="1:5">
      <c r="A35" s="9"/>
      <c r="B35" s="9"/>
      <c r="C35" s="9"/>
      <c r="D35" s="9"/>
      <c r="E35" s="9"/>
    </row>
    <row r="36" spans="1:5">
      <c r="A36" s="9"/>
      <c r="B36" s="9"/>
      <c r="C36" s="9"/>
      <c r="D36" s="9"/>
      <c r="E36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6EE59-1025-044B-A823-BBC3F7DC0FB6}">
  <dimension ref="A1"/>
  <sheetViews>
    <sheetView zoomScale="112" zoomScaleNormal="179" workbookViewId="0">
      <selection activeCell="M12" sqref="M12"/>
    </sheetView>
  </sheetViews>
  <sheetFormatPr baseColWidth="10" defaultRowHeight="16"/>
  <sheetData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File Description</vt:lpstr>
      <vt:lpstr>Minimap</vt:lpstr>
      <vt:lpstr>DSK</vt:lpstr>
      <vt:lpstr>BCALM</vt:lpstr>
      <vt:lpstr>Kraken</vt:lpstr>
      <vt:lpstr>Diamond</vt:lpstr>
      <vt:lpstr>Tables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OLIVA</dc:creator>
  <cp:lastModifiedBy>MARCO OLIVA</cp:lastModifiedBy>
  <dcterms:created xsi:type="dcterms:W3CDTF">2020-01-07T09:29:20Z</dcterms:created>
  <dcterms:modified xsi:type="dcterms:W3CDTF">2020-02-04T20:04:18Z</dcterms:modified>
</cp:coreProperties>
</file>