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"/>
    </mc:Choice>
  </mc:AlternateContent>
  <xr:revisionPtr revIDLastSave="0" documentId="13_ncr:1_{88814511-AE12-274F-BB6F-9ED2962FB578}" xr6:coauthVersionLast="47" xr6:coauthVersionMax="47" xr10:uidLastSave="{00000000-0000-0000-0000-000000000000}"/>
  <bookViews>
    <workbookView xWindow="0" yWindow="520" windowWidth="28780" windowHeight="16260" xr2:uid="{3622F549-1052-1749-A932-E6EDE03E3C9A}"/>
  </bookViews>
  <sheets>
    <sheet name="DCF" sheetId="6" r:id="rId1"/>
    <sheet name="DD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7" l="1"/>
  <c r="F9" i="7"/>
  <c r="H8" i="7" l="1"/>
  <c r="F39" i="6"/>
  <c r="F40" i="6"/>
  <c r="F37" i="6"/>
  <c r="F33" i="6"/>
  <c r="I5" i="6"/>
  <c r="J5" i="6"/>
  <c r="K5" i="6"/>
  <c r="L5" i="6"/>
  <c r="H5" i="6"/>
  <c r="F4" i="7"/>
  <c r="G9" i="7"/>
  <c r="H9" i="7" s="1"/>
  <c r="H11" i="7" s="1"/>
  <c r="H13" i="7" s="1"/>
  <c r="G6" i="7"/>
  <c r="G7" i="7"/>
  <c r="G8" i="7"/>
  <c r="G5" i="7"/>
  <c r="C10" i="7"/>
  <c r="C12" i="7" s="1"/>
  <c r="H4" i="7" l="1"/>
  <c r="F5" i="7"/>
  <c r="F6" i="7" s="1"/>
  <c r="F7" i="7" s="1"/>
  <c r="H7" i="7" l="1"/>
  <c r="H6" i="7"/>
  <c r="H5" i="7"/>
  <c r="C19" i="6"/>
  <c r="F10" i="6"/>
  <c r="G10" i="6"/>
  <c r="H4" i="6"/>
  <c r="I4" i="6" l="1"/>
  <c r="I12" i="6" s="1"/>
  <c r="H19" i="6"/>
  <c r="H15" i="6"/>
  <c r="G21" i="6"/>
  <c r="F21" i="6"/>
  <c r="I15" i="6"/>
  <c r="H12" i="6"/>
  <c r="J4" i="6"/>
  <c r="H6" i="6"/>
  <c r="C14" i="6"/>
  <c r="C7" i="6"/>
  <c r="C9" i="6" s="1"/>
  <c r="I6" i="6" l="1"/>
  <c r="I10" i="6" s="1"/>
  <c r="C27" i="6"/>
  <c r="J12" i="6"/>
  <c r="J15" i="6"/>
  <c r="K4" i="6"/>
  <c r="J6" i="6"/>
  <c r="J10" i="6" s="1"/>
  <c r="F16" i="6"/>
  <c r="H10" i="6"/>
  <c r="H21" i="6" s="1"/>
  <c r="G19" i="6"/>
  <c r="F19" i="6"/>
  <c r="H22" i="6" l="1"/>
  <c r="K12" i="6"/>
  <c r="K15" i="6"/>
  <c r="L4" i="6"/>
  <c r="K6" i="6"/>
  <c r="K10" i="6" s="1"/>
  <c r="G16" i="6"/>
  <c r="G13" i="6"/>
  <c r="I19" i="6"/>
  <c r="F13" i="6"/>
  <c r="J21" i="6"/>
  <c r="J22" i="6" s="1"/>
  <c r="J19" i="6"/>
  <c r="K19" i="6"/>
  <c r="I21" i="6"/>
  <c r="I22" i="6" s="1"/>
  <c r="K21" i="6" l="1"/>
  <c r="K22" i="6" s="1"/>
  <c r="L12" i="6"/>
  <c r="L15" i="6"/>
  <c r="L19" i="6"/>
  <c r="L6" i="6"/>
  <c r="F32" i="6" l="1"/>
  <c r="F34" i="6" s="1"/>
  <c r="C32" i="6"/>
  <c r="C33" i="6" s="1"/>
  <c r="C34" i="6" s="1"/>
  <c r="L10" i="6"/>
  <c r="L21" i="6" s="1"/>
  <c r="C38" i="6" l="1"/>
  <c r="C39" i="6" s="1"/>
  <c r="L22" i="6"/>
  <c r="C37" i="6" l="1"/>
  <c r="F42" i="6" l="1"/>
  <c r="C40" i="6"/>
  <c r="C41" i="6" s="1"/>
  <c r="C42" i="6" s="1"/>
  <c r="F38" i="6"/>
</calcChain>
</file>

<file path=xl/sharedStrings.xml><?xml version="1.0" encoding="utf-8"?>
<sst xmlns="http://schemas.openxmlformats.org/spreadsheetml/2006/main" count="88" uniqueCount="76">
  <si>
    <t>EBIT</t>
  </si>
  <si>
    <t>Fully diluted shares</t>
  </si>
  <si>
    <t>Discount rate assumptions</t>
  </si>
  <si>
    <t>Explicit forecast period</t>
  </si>
  <si>
    <t>Normalization period</t>
  </si>
  <si>
    <t>Assumptions</t>
  </si>
  <si>
    <t>2027e</t>
  </si>
  <si>
    <t>2028e</t>
  </si>
  <si>
    <t>2029e</t>
  </si>
  <si>
    <t>Cost of equity</t>
  </si>
  <si>
    <t>Revenue</t>
  </si>
  <si>
    <t>Risk free rate</t>
  </si>
  <si>
    <t>growth</t>
  </si>
  <si>
    <t>Equity risk premium</t>
  </si>
  <si>
    <t>margin</t>
  </si>
  <si>
    <t>5y beta</t>
  </si>
  <si>
    <t>(-) Taxes</t>
  </si>
  <si>
    <t>NOPAT</t>
  </si>
  <si>
    <t>Cost of debt</t>
  </si>
  <si>
    <t>Pre-tax cost of debt</t>
  </si>
  <si>
    <t>(+) D&amp;A</t>
  </si>
  <si>
    <t>Tax rate</t>
  </si>
  <si>
    <t>% Revenue</t>
  </si>
  <si>
    <t>Post-tax cost of debt</t>
  </si>
  <si>
    <t>(-) CapEx</t>
  </si>
  <si>
    <t>Capital structure</t>
  </si>
  <si>
    <t>Current share price</t>
  </si>
  <si>
    <t>(+/-) Change in NWC and NCI</t>
  </si>
  <si>
    <t>Market cap</t>
  </si>
  <si>
    <t>Equity share</t>
  </si>
  <si>
    <t>WACC</t>
  </si>
  <si>
    <t>Terminal Growth</t>
  </si>
  <si>
    <t>DCF output</t>
  </si>
  <si>
    <t>Sum PV FCF</t>
  </si>
  <si>
    <t>Terminal value GG</t>
  </si>
  <si>
    <t>Implied EV</t>
  </si>
  <si>
    <t>Implied equity value</t>
  </si>
  <si>
    <t>Implied share price</t>
  </si>
  <si>
    <t>Market return</t>
  </si>
  <si>
    <t>TV by EBIT multiple</t>
  </si>
  <si>
    <t>Terminal EBIT multiple</t>
  </si>
  <si>
    <t>FCF</t>
  </si>
  <si>
    <t>PV FCF</t>
  </si>
  <si>
    <t>Dividend</t>
  </si>
  <si>
    <t>PV</t>
  </si>
  <si>
    <t>Dividend policy</t>
  </si>
  <si>
    <t>TV</t>
  </si>
  <si>
    <t>Equity value per share</t>
  </si>
  <si>
    <t>Current price</t>
  </si>
  <si>
    <t>D growth</t>
  </si>
  <si>
    <t>Return</t>
  </si>
  <si>
    <t>Same as ROCE growth</t>
  </si>
  <si>
    <t>Terminal growth</t>
  </si>
  <si>
    <t>Inflation</t>
  </si>
  <si>
    <t>0.25$ per quarter</t>
  </si>
  <si>
    <t>PV of TV GG</t>
  </si>
  <si>
    <t>PV of TV by EBIT</t>
  </si>
  <si>
    <t>Exit EBIT multiple</t>
  </si>
  <si>
    <t>Inverse DCF</t>
  </si>
  <si>
    <t>Non-controlling interest</t>
  </si>
  <si>
    <t>Debt</t>
  </si>
  <si>
    <t>Cash</t>
  </si>
  <si>
    <t>PV of TV</t>
  </si>
  <si>
    <t>Terminal year EBIT</t>
  </si>
  <si>
    <t>Implied Terminal Multiple</t>
  </si>
  <si>
    <t>Market Implied exit EBIT multiple</t>
  </si>
  <si>
    <t>Implied Terminal Growth</t>
  </si>
  <si>
    <t>Current Market EV</t>
  </si>
  <si>
    <t>TV by current market EV</t>
  </si>
  <si>
    <t>Implied 5y Revenue growth</t>
  </si>
  <si>
    <t>Implied EV (goal seek current)</t>
  </si>
  <si>
    <t>TV by DCF (goal seek current)</t>
  </si>
  <si>
    <t>5y Revenue growth</t>
  </si>
  <si>
    <t>4y Div Growth</t>
  </si>
  <si>
    <t>2025e</t>
  </si>
  <si>
    <t>2026e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</si>
</sst>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4"/>
    <xf numFmtId="0" fontId="6" fillId="0" borderId="0" xfId="4" applyFont="1"/>
    <xf numFmtId="0" fontId="7" fillId="0" borderId="2" xfId="4" applyFont="1" applyBorder="1"/>
    <xf numFmtId="0" fontId="8" fillId="0" borderId="2" xfId="4" applyFont="1" applyBorder="1" applyAlignment="1">
      <alignment horizontal="center"/>
    </xf>
    <xf numFmtId="0" fontId="6" fillId="0" borderId="0" xfId="4" applyFont="1" applyAlignment="1">
      <alignment horizontal="left"/>
    </xf>
    <xf numFmtId="0" fontId="1" fillId="0" borderId="0" xfId="4" applyAlignment="1">
      <alignment horizontal="left"/>
    </xf>
    <xf numFmtId="0" fontId="6" fillId="0" borderId="0" xfId="4" applyFont="1" applyAlignment="1">
      <alignment horizontal="center"/>
    </xf>
    <xf numFmtId="0" fontId="6" fillId="0" borderId="3" xfId="4" applyFont="1" applyBorder="1" applyAlignment="1">
      <alignment horizontal="center"/>
    </xf>
    <xf numFmtId="0" fontId="8" fillId="2" borderId="4" xfId="4" applyFont="1" applyFill="1" applyBorder="1" applyAlignment="1">
      <alignment horizontal="center" vertical="center"/>
    </xf>
    <xf numFmtId="0" fontId="8" fillId="0" borderId="2" xfId="4" applyFont="1" applyBorder="1"/>
    <xf numFmtId="1" fontId="7" fillId="0" borderId="2" xfId="4" applyNumberFormat="1" applyFont="1" applyBorder="1" applyAlignment="1">
      <alignment horizontal="center"/>
    </xf>
    <xf numFmtId="1" fontId="7" fillId="0" borderId="5" xfId="4" applyNumberFormat="1" applyFont="1" applyBorder="1" applyAlignment="1">
      <alignment horizontal="center"/>
    </xf>
    <xf numFmtId="0" fontId="9" fillId="0" borderId="0" xfId="4" applyFont="1" applyAlignment="1">
      <alignment horizontal="left"/>
    </xf>
    <xf numFmtId="1" fontId="8" fillId="0" borderId="0" xfId="4" applyNumberFormat="1" applyFont="1" applyAlignment="1">
      <alignment horizontal="center"/>
    </xf>
    <xf numFmtId="1" fontId="8" fillId="0" borderId="3" xfId="4" applyNumberFormat="1" applyFont="1" applyBorder="1" applyAlignment="1">
      <alignment horizontal="center"/>
    </xf>
    <xf numFmtId="0" fontId="8" fillId="0" borderId="0" xfId="4" applyFont="1" applyAlignment="1">
      <alignment horizontal="left"/>
    </xf>
    <xf numFmtId="165" fontId="8" fillId="2" borderId="4" xfId="4" applyNumberFormat="1" applyFont="1" applyFill="1" applyBorder="1" applyAlignment="1">
      <alignment horizontal="center"/>
    </xf>
    <xf numFmtId="0" fontId="10" fillId="0" borderId="0" xfId="4" applyFont="1"/>
    <xf numFmtId="9" fontId="10" fillId="0" borderId="0" xfId="4" applyNumberFormat="1" applyFont="1" applyAlignment="1">
      <alignment horizontal="center"/>
    </xf>
    <xf numFmtId="9" fontId="10" fillId="0" borderId="3" xfId="4" applyNumberFormat="1" applyFont="1" applyBorder="1" applyAlignment="1">
      <alignment horizontal="center"/>
    </xf>
    <xf numFmtId="165" fontId="8" fillId="0" borderId="0" xfId="4" applyNumberFormat="1" applyFont="1"/>
    <xf numFmtId="0" fontId="7" fillId="0" borderId="0" xfId="4" applyFont="1"/>
    <xf numFmtId="1" fontId="7" fillId="0" borderId="0" xfId="4" applyNumberFormat="1" applyFont="1" applyAlignment="1">
      <alignment horizontal="center"/>
    </xf>
    <xf numFmtId="1" fontId="7" fillId="0" borderId="3" xfId="4" applyNumberFormat="1" applyFont="1" applyBorder="1" applyAlignment="1">
      <alignment horizontal="center"/>
    </xf>
    <xf numFmtId="10" fontId="8" fillId="0" borderId="0" xfId="4" applyNumberFormat="1" applyFont="1" applyAlignment="1">
      <alignment horizontal="center"/>
    </xf>
    <xf numFmtId="9" fontId="8" fillId="0" borderId="0" xfId="4" applyNumberFormat="1" applyFont="1" applyAlignment="1">
      <alignment horizontal="center"/>
    </xf>
    <xf numFmtId="9" fontId="8" fillId="0" borderId="3" xfId="4" applyNumberFormat="1" applyFont="1" applyBorder="1" applyAlignment="1">
      <alignment horizontal="center"/>
    </xf>
    <xf numFmtId="2" fontId="8" fillId="0" borderId="0" xfId="4" applyNumberFormat="1" applyFont="1" applyAlignment="1">
      <alignment horizontal="center"/>
    </xf>
    <xf numFmtId="9" fontId="8" fillId="0" borderId="0" xfId="4" applyNumberFormat="1" applyFont="1"/>
    <xf numFmtId="10" fontId="10" fillId="0" borderId="0" xfId="4" applyNumberFormat="1" applyFont="1" applyAlignment="1">
      <alignment horizontal="center"/>
    </xf>
    <xf numFmtId="10" fontId="10" fillId="0" borderId="3" xfId="4" applyNumberFormat="1" applyFont="1" applyBorder="1" applyAlignment="1">
      <alignment horizontal="center"/>
    </xf>
    <xf numFmtId="0" fontId="9" fillId="0" borderId="0" xfId="4" applyFont="1"/>
    <xf numFmtId="0" fontId="1" fillId="0" borderId="0" xfId="4" applyAlignment="1">
      <alignment horizontal="center"/>
    </xf>
    <xf numFmtId="1" fontId="1" fillId="0" borderId="0" xfId="4" applyNumberFormat="1" applyAlignment="1">
      <alignment horizontal="center"/>
    </xf>
    <xf numFmtId="165" fontId="4" fillId="0" borderId="0" xfId="3" applyNumberFormat="1" applyFont="1" applyAlignment="1">
      <alignment horizontal="center"/>
    </xf>
    <xf numFmtId="0" fontId="4" fillId="0" borderId="0" xfId="4" applyFont="1"/>
    <xf numFmtId="1" fontId="8" fillId="0" borderId="0" xfId="4" applyNumberFormat="1" applyFont="1"/>
    <xf numFmtId="0" fontId="7" fillId="0" borderId="2" xfId="4" applyFont="1" applyBorder="1" applyAlignment="1">
      <alignment horizontal="center"/>
    </xf>
    <xf numFmtId="1" fontId="7" fillId="0" borderId="0" xfId="1" applyNumberFormat="1" applyFont="1" applyAlignment="1">
      <alignment horizontal="center"/>
    </xf>
    <xf numFmtId="9" fontId="8" fillId="2" borderId="4" xfId="4" applyNumberFormat="1" applyFont="1" applyFill="1" applyBorder="1" applyAlignment="1">
      <alignment horizontal="center"/>
    </xf>
    <xf numFmtId="0" fontId="8" fillId="2" borderId="4" xfId="1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165" fontId="0" fillId="0" borderId="0" xfId="3" applyNumberFormat="1" applyFont="1"/>
    <xf numFmtId="0" fontId="5" fillId="0" borderId="0" xfId="0" applyFont="1" applyAlignment="1">
      <alignment horizontal="right"/>
    </xf>
    <xf numFmtId="0" fontId="0" fillId="0" borderId="7" xfId="0" applyBorder="1"/>
    <xf numFmtId="0" fontId="0" fillId="0" borderId="12" xfId="0" applyBorder="1"/>
    <xf numFmtId="0" fontId="5" fillId="0" borderId="6" xfId="0" applyFont="1" applyBorder="1"/>
    <xf numFmtId="0" fontId="5" fillId="0" borderId="9" xfId="0" applyFont="1" applyBorder="1"/>
    <xf numFmtId="0" fontId="5" fillId="0" borderId="11" xfId="0" applyFont="1" applyBorder="1"/>
    <xf numFmtId="2" fontId="2" fillId="0" borderId="8" xfId="0" applyNumberFormat="1" applyFont="1" applyBorder="1"/>
    <xf numFmtId="0" fontId="2" fillId="0" borderId="10" xfId="0" applyFont="1" applyBorder="1"/>
    <xf numFmtId="9" fontId="2" fillId="0" borderId="13" xfId="3" applyFont="1" applyBorder="1"/>
    <xf numFmtId="0" fontId="2" fillId="0" borderId="1" xfId="0" applyFont="1" applyBorder="1"/>
    <xf numFmtId="165" fontId="5" fillId="0" borderId="0" xfId="3" applyNumberFormat="1" applyFont="1"/>
    <xf numFmtId="0" fontId="8" fillId="0" borderId="0" xfId="4" applyFont="1"/>
    <xf numFmtId="1" fontId="8" fillId="0" borderId="0" xfId="1" applyNumberFormat="1" applyFont="1" applyAlignment="1">
      <alignment horizontal="center"/>
    </xf>
    <xf numFmtId="0" fontId="7" fillId="0" borderId="14" xfId="4" applyFont="1" applyBorder="1"/>
    <xf numFmtId="164" fontId="7" fillId="0" borderId="15" xfId="4" applyNumberFormat="1" applyFont="1" applyBorder="1" applyAlignment="1">
      <alignment horizontal="center"/>
    </xf>
    <xf numFmtId="1" fontId="8" fillId="0" borderId="0" xfId="4" applyNumberFormat="1" applyFont="1" applyAlignment="1">
      <alignment horizontal="left"/>
    </xf>
    <xf numFmtId="1" fontId="8" fillId="0" borderId="16" xfId="4" applyNumberFormat="1" applyFont="1" applyBorder="1" applyAlignment="1">
      <alignment horizontal="center"/>
    </xf>
    <xf numFmtId="2" fontId="0" fillId="3" borderId="0" xfId="0" applyNumberFormat="1" applyFill="1"/>
    <xf numFmtId="165" fontId="7" fillId="0" borderId="15" xfId="3" applyNumberFormat="1" applyFont="1" applyBorder="1" applyAlignment="1">
      <alignment horizontal="center"/>
    </xf>
    <xf numFmtId="0" fontId="7" fillId="0" borderId="0" xfId="4" applyFont="1" applyAlignment="1">
      <alignment horizontal="center"/>
    </xf>
    <xf numFmtId="1" fontId="8" fillId="0" borderId="0" xfId="1" applyNumberFormat="1" applyFont="1" applyBorder="1" applyAlignment="1">
      <alignment horizontal="center"/>
    </xf>
    <xf numFmtId="165" fontId="7" fillId="0" borderId="0" xfId="3" applyNumberFormat="1" applyFont="1" applyBorder="1" applyAlignment="1">
      <alignment horizontal="center"/>
    </xf>
    <xf numFmtId="0" fontId="0" fillId="0" borderId="17" xfId="0" applyBorder="1"/>
    <xf numFmtId="2" fontId="0" fillId="0" borderId="17" xfId="1" applyNumberFormat="1" applyFont="1" applyBorder="1" applyAlignment="1">
      <alignment horizontal="right"/>
    </xf>
    <xf numFmtId="9" fontId="0" fillId="0" borderId="17" xfId="0" applyNumberFormat="1" applyBorder="1"/>
    <xf numFmtId="2" fontId="0" fillId="0" borderId="17" xfId="0" applyNumberFormat="1" applyBorder="1"/>
    <xf numFmtId="165" fontId="0" fillId="3" borderId="0" xfId="0" applyNumberFormat="1" applyFill="1"/>
  </cellXfs>
  <cellStyles count="5">
    <cellStyle name="Comma" xfId="1" builtinId="3"/>
    <cellStyle name="Normal" xfId="0" builtinId="0"/>
    <cellStyle name="Normal 2" xfId="2" xr:uid="{194F9726-3C9C-5C4C-B0CC-4AFA35A7AE0C}"/>
    <cellStyle name="Normal 3" xfId="4" xr:uid="{020E0BC1-0EC8-594A-8B75-EA5A6E24A3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91EF-0408-8A4B-A390-90FFA12E3ACF}">
  <sheetPr>
    <pageSetUpPr fitToPage="1"/>
  </sheetPr>
  <dimension ref="B1:M1003"/>
  <sheetViews>
    <sheetView showGridLines="0" tabSelected="1" zoomScale="85" zoomScaleNormal="110" workbookViewId="0">
      <selection activeCell="M18" sqref="M18"/>
    </sheetView>
  </sheetViews>
  <sheetFormatPr baseColWidth="10" defaultColWidth="11.83203125" defaultRowHeight="15" customHeight="1" x14ac:dyDescent="0.2"/>
  <cols>
    <col min="1" max="1" width="3.33203125" style="3" customWidth="1"/>
    <col min="2" max="2" width="29" style="3" customWidth="1"/>
    <col min="3" max="3" width="12.83203125" style="3" customWidth="1"/>
    <col min="4" max="4" width="12.1640625" style="3" customWidth="1"/>
    <col min="5" max="5" width="28.5" style="3" customWidth="1"/>
    <col min="6" max="6" width="9.5" style="3" customWidth="1"/>
    <col min="7" max="7" width="10.5" style="3" customWidth="1"/>
    <col min="8" max="12" width="12.1640625" style="3" customWidth="1"/>
    <col min="13" max="13" width="20.83203125" style="3" customWidth="1"/>
    <col min="14" max="23" width="12.1640625" style="3" customWidth="1"/>
    <col min="24" max="16384" width="11.83203125" style="3"/>
  </cols>
  <sheetData>
    <row r="1" spans="2:13" ht="27" customHeight="1" thickBot="1" x14ac:dyDescent="0.3">
      <c r="B1" s="5" t="s">
        <v>2</v>
      </c>
      <c r="C1" s="6"/>
      <c r="H1" s="4" t="s">
        <v>3</v>
      </c>
      <c r="I1" s="4"/>
      <c r="J1" s="4"/>
      <c r="L1" s="7" t="s">
        <v>4</v>
      </c>
      <c r="M1" s="8"/>
    </row>
    <row r="2" spans="2:13" ht="8" customHeight="1" x14ac:dyDescent="0.25">
      <c r="E2" s="9"/>
      <c r="F2" s="9"/>
      <c r="G2" s="10"/>
      <c r="H2" s="9"/>
      <c r="I2" s="9"/>
      <c r="J2" s="9"/>
      <c r="K2" s="10"/>
      <c r="L2" s="9"/>
    </row>
    <row r="3" spans="2:13" ht="15.75" customHeight="1" thickBot="1" x14ac:dyDescent="0.25">
      <c r="C3" s="11" t="s">
        <v>5</v>
      </c>
      <c r="E3" s="12"/>
      <c r="F3" s="13">
        <v>2023</v>
      </c>
      <c r="G3" s="14">
        <v>2024</v>
      </c>
      <c r="H3" s="13" t="s">
        <v>74</v>
      </c>
      <c r="I3" s="13" t="s">
        <v>75</v>
      </c>
      <c r="J3" s="13" t="s">
        <v>6</v>
      </c>
      <c r="K3" s="14" t="s">
        <v>7</v>
      </c>
      <c r="L3" s="13" t="s">
        <v>8</v>
      </c>
    </row>
    <row r="4" spans="2:13" ht="15.75" customHeight="1" x14ac:dyDescent="0.2">
      <c r="B4" s="15" t="s">
        <v>9</v>
      </c>
      <c r="E4" s="3" t="s">
        <v>10</v>
      </c>
      <c r="F4" s="16">
        <v>2698</v>
      </c>
      <c r="G4" s="16">
        <v>2599</v>
      </c>
      <c r="H4" s="16">
        <f>G4*(1+H5)</f>
        <v>2702.96</v>
      </c>
      <c r="I4" s="16">
        <f t="shared" ref="I4:L4" si="0">H4*(1+I5)</f>
        <v>2811.0784000000003</v>
      </c>
      <c r="J4" s="16">
        <f t="shared" si="0"/>
        <v>2923.5215360000007</v>
      </c>
      <c r="K4" s="63">
        <f t="shared" si="0"/>
        <v>3040.4623974400006</v>
      </c>
      <c r="L4" s="16">
        <f t="shared" si="0"/>
        <v>3162.0808933376006</v>
      </c>
    </row>
    <row r="5" spans="2:13" ht="15.75" customHeight="1" x14ac:dyDescent="0.2">
      <c r="B5" s="18" t="s">
        <v>11</v>
      </c>
      <c r="C5" s="19">
        <v>4.4999999999999998E-2</v>
      </c>
      <c r="E5" s="20" t="s">
        <v>12</v>
      </c>
      <c r="F5" s="21">
        <v>7.8768492602958817E-2</v>
      </c>
      <c r="G5" s="21">
        <v>-3.6693847294292037E-2</v>
      </c>
      <c r="H5" s="21">
        <f>$C$25</f>
        <v>0.04</v>
      </c>
      <c r="I5" s="21">
        <f t="shared" ref="I5:L5" si="1">$C$25</f>
        <v>0.04</v>
      </c>
      <c r="J5" s="21">
        <f t="shared" si="1"/>
        <v>0.04</v>
      </c>
      <c r="K5" s="22">
        <f t="shared" si="1"/>
        <v>0.04</v>
      </c>
      <c r="L5" s="21">
        <f t="shared" si="1"/>
        <v>0.04</v>
      </c>
      <c r="M5" s="23"/>
    </row>
    <row r="6" spans="2:13" ht="15.75" customHeight="1" x14ac:dyDescent="0.2">
      <c r="B6" s="18" t="s">
        <v>38</v>
      </c>
      <c r="C6" s="19">
        <v>0.08</v>
      </c>
      <c r="E6" s="24" t="s">
        <v>0</v>
      </c>
      <c r="F6" s="25">
        <v>343</v>
      </c>
      <c r="G6" s="25">
        <v>391</v>
      </c>
      <c r="H6" s="25">
        <f>H4*H7</f>
        <v>405.44400000000002</v>
      </c>
      <c r="I6" s="25">
        <f t="shared" ref="I6:K6" si="2">I4*I7</f>
        <v>421.66176000000002</v>
      </c>
      <c r="J6" s="25">
        <f t="shared" si="2"/>
        <v>438.5282304000001</v>
      </c>
      <c r="K6" s="26">
        <f t="shared" si="2"/>
        <v>456.0693596160001</v>
      </c>
      <c r="L6" s="25">
        <f>L4*L7</f>
        <v>474.31213400064007</v>
      </c>
    </row>
    <row r="7" spans="2:13" ht="15.75" customHeight="1" x14ac:dyDescent="0.2">
      <c r="B7" s="18" t="s">
        <v>13</v>
      </c>
      <c r="C7" s="27">
        <f>C6-C5</f>
        <v>3.5000000000000003E-2</v>
      </c>
      <c r="E7" s="20" t="s">
        <v>14</v>
      </c>
      <c r="F7" s="21">
        <v>0.12713120830244626</v>
      </c>
      <c r="G7" s="21">
        <v>0.15044247787610621</v>
      </c>
      <c r="H7" s="21">
        <v>0.15</v>
      </c>
      <c r="I7" s="21">
        <v>0.15</v>
      </c>
      <c r="J7" s="21">
        <v>0.15</v>
      </c>
      <c r="K7" s="22">
        <v>0.15</v>
      </c>
      <c r="L7" s="21">
        <v>0.15</v>
      </c>
    </row>
    <row r="8" spans="2:13" ht="15.75" customHeight="1" x14ac:dyDescent="0.2">
      <c r="B8" s="18" t="s">
        <v>15</v>
      </c>
      <c r="C8" s="30">
        <v>1.74</v>
      </c>
      <c r="E8" s="20"/>
      <c r="F8" s="28"/>
      <c r="G8" s="28"/>
      <c r="H8" s="28"/>
      <c r="I8" s="28"/>
      <c r="J8" s="28"/>
      <c r="K8" s="29"/>
      <c r="L8" s="28"/>
    </row>
    <row r="9" spans="2:13" ht="15.75" customHeight="1" x14ac:dyDescent="0.2">
      <c r="B9" s="18" t="s">
        <v>9</v>
      </c>
      <c r="C9" s="27">
        <f>C5+C8*C7</f>
        <v>0.10589999999999999</v>
      </c>
      <c r="E9" s="3" t="s">
        <v>16</v>
      </c>
      <c r="F9" s="16">
        <v>-38</v>
      </c>
      <c r="G9" s="16">
        <v>61</v>
      </c>
      <c r="H9" s="16">
        <v>0</v>
      </c>
      <c r="I9" s="16">
        <v>0</v>
      </c>
      <c r="J9" s="16">
        <v>0</v>
      </c>
      <c r="K9" s="17">
        <v>0</v>
      </c>
      <c r="L9" s="16">
        <v>0</v>
      </c>
    </row>
    <row r="10" spans="2:13" ht="15.75" customHeight="1" x14ac:dyDescent="0.2">
      <c r="E10" s="58" t="s">
        <v>17</v>
      </c>
      <c r="F10" s="16">
        <f>F9+F6</f>
        <v>305</v>
      </c>
      <c r="G10" s="16">
        <f>G9+G6</f>
        <v>452</v>
      </c>
      <c r="H10" s="16">
        <f t="shared" ref="H10:K10" si="3">H9+H6</f>
        <v>405.44400000000002</v>
      </c>
      <c r="I10" s="16">
        <f t="shared" si="3"/>
        <v>421.66176000000002</v>
      </c>
      <c r="J10" s="16">
        <f t="shared" si="3"/>
        <v>438.5282304000001</v>
      </c>
      <c r="K10" s="17">
        <f t="shared" si="3"/>
        <v>456.0693596160001</v>
      </c>
      <c r="L10" s="16">
        <f>L9+L6</f>
        <v>474.31213400064007</v>
      </c>
    </row>
    <row r="11" spans="2:13" ht="15.75" customHeight="1" x14ac:dyDescent="0.2">
      <c r="B11" s="15" t="s">
        <v>18</v>
      </c>
      <c r="D11" s="31"/>
      <c r="F11" s="16"/>
      <c r="G11" s="16"/>
      <c r="H11" s="16"/>
      <c r="I11" s="16"/>
      <c r="J11" s="16"/>
      <c r="K11" s="17"/>
      <c r="L11" s="16"/>
    </row>
    <row r="12" spans="2:13" ht="15.75" customHeight="1" x14ac:dyDescent="0.2">
      <c r="B12" s="18" t="s">
        <v>19</v>
      </c>
      <c r="C12" s="27">
        <v>5.1999999999999998E-2</v>
      </c>
      <c r="D12" s="31"/>
      <c r="E12" s="3" t="s">
        <v>20</v>
      </c>
      <c r="F12" s="16">
        <v>287</v>
      </c>
      <c r="G12" s="16">
        <v>257</v>
      </c>
      <c r="H12" s="16">
        <f>H4*H13</f>
        <v>270.29599999999999</v>
      </c>
      <c r="I12" s="16">
        <f t="shared" ref="I12:L12" si="4">I4*I13</f>
        <v>281.10784000000007</v>
      </c>
      <c r="J12" s="16">
        <f t="shared" si="4"/>
        <v>292.35215360000007</v>
      </c>
      <c r="K12" s="17">
        <f t="shared" si="4"/>
        <v>304.04623974400005</v>
      </c>
      <c r="L12" s="16">
        <f t="shared" si="4"/>
        <v>316.20808933376009</v>
      </c>
    </row>
    <row r="13" spans="2:13" ht="15.75" customHeight="1" x14ac:dyDescent="0.2">
      <c r="B13" s="18" t="s">
        <v>21</v>
      </c>
      <c r="C13" s="28">
        <v>0</v>
      </c>
      <c r="D13" s="31"/>
      <c r="E13" s="20" t="s">
        <v>22</v>
      </c>
      <c r="F13" s="32">
        <f t="shared" ref="F13:G13" si="5">F12/F4</f>
        <v>0.10637509266123055</v>
      </c>
      <c r="G13" s="32">
        <f t="shared" si="5"/>
        <v>9.8884186225471335E-2</v>
      </c>
      <c r="H13" s="32">
        <v>0.1</v>
      </c>
      <c r="I13" s="32">
        <v>0.1</v>
      </c>
      <c r="J13" s="32">
        <v>0.1</v>
      </c>
      <c r="K13" s="33">
        <v>0.1</v>
      </c>
      <c r="L13" s="32">
        <v>0.1</v>
      </c>
    </row>
    <row r="14" spans="2:13" ht="15.75" customHeight="1" x14ac:dyDescent="0.2">
      <c r="B14" s="18" t="s">
        <v>23</v>
      </c>
      <c r="C14" s="27">
        <f>C12*(1-C13)</f>
        <v>5.1999999999999998E-2</v>
      </c>
      <c r="D14" s="24"/>
      <c r="F14" s="16"/>
      <c r="G14" s="16"/>
      <c r="H14" s="16"/>
      <c r="I14" s="16"/>
      <c r="J14" s="16"/>
      <c r="K14" s="17"/>
      <c r="L14" s="16"/>
    </row>
    <row r="15" spans="2:13" ht="15.75" customHeight="1" x14ac:dyDescent="0.2">
      <c r="E15" s="3" t="s">
        <v>24</v>
      </c>
      <c r="F15" s="16">
        <v>-285</v>
      </c>
      <c r="G15" s="16">
        <v>-227</v>
      </c>
      <c r="H15" s="16">
        <f>-H4*H16</f>
        <v>-270.29599999999999</v>
      </c>
      <c r="I15" s="16">
        <f t="shared" ref="I15:L15" si="6">-I4*I16</f>
        <v>-281.10784000000007</v>
      </c>
      <c r="J15" s="16">
        <f t="shared" si="6"/>
        <v>-292.35215360000007</v>
      </c>
      <c r="K15" s="17">
        <f t="shared" si="6"/>
        <v>-304.04623974400005</v>
      </c>
      <c r="L15" s="16">
        <f t="shared" si="6"/>
        <v>-316.20808933376009</v>
      </c>
    </row>
    <row r="16" spans="2:13" ht="15.75" customHeight="1" x14ac:dyDescent="0.2">
      <c r="B16" s="34" t="s">
        <v>25</v>
      </c>
      <c r="C16" s="35"/>
      <c r="D16" s="24"/>
      <c r="E16" s="20" t="s">
        <v>22</v>
      </c>
      <c r="F16" s="21">
        <f>-F15/F4</f>
        <v>0.10563380281690141</v>
      </c>
      <c r="G16" s="21">
        <f t="shared" ref="G16" si="7">-G15/G4</f>
        <v>8.7341285109657565E-2</v>
      </c>
      <c r="H16" s="21">
        <v>0.1</v>
      </c>
      <c r="I16" s="21">
        <v>0.1</v>
      </c>
      <c r="J16" s="21">
        <v>0.1</v>
      </c>
      <c r="K16" s="22">
        <v>0.1</v>
      </c>
      <c r="L16" s="21">
        <v>0.1</v>
      </c>
    </row>
    <row r="17" spans="2:13" ht="15.75" customHeight="1" x14ac:dyDescent="0.2">
      <c r="B17" s="18" t="s">
        <v>26</v>
      </c>
      <c r="C17" s="35">
        <v>9.5399999999999991</v>
      </c>
      <c r="F17" s="16"/>
      <c r="G17" s="16"/>
      <c r="H17" s="16"/>
      <c r="I17" s="16"/>
      <c r="J17" s="16"/>
      <c r="K17" s="17"/>
      <c r="L17" s="16"/>
    </row>
    <row r="18" spans="2:13" ht="15.75" customHeight="1" x14ac:dyDescent="0.2">
      <c r="B18" s="18" t="s">
        <v>1</v>
      </c>
      <c r="C18" s="35">
        <v>209</v>
      </c>
      <c r="E18" s="3" t="s">
        <v>27</v>
      </c>
      <c r="F18" s="16"/>
      <c r="G18" s="16"/>
      <c r="H18" s="16">
        <v>0</v>
      </c>
      <c r="I18" s="16">
        <v>0</v>
      </c>
      <c r="J18" s="16">
        <v>0</v>
      </c>
      <c r="K18" s="17">
        <v>0</v>
      </c>
      <c r="L18" s="16">
        <v>0</v>
      </c>
      <c r="M18" s="62"/>
    </row>
    <row r="19" spans="2:13" ht="15.75" customHeight="1" x14ac:dyDescent="0.2">
      <c r="B19" s="18" t="s">
        <v>28</v>
      </c>
      <c r="C19" s="36">
        <f>C18*C17</f>
        <v>1993.86</v>
      </c>
      <c r="E19" s="20" t="s">
        <v>22</v>
      </c>
      <c r="F19" s="21">
        <f>-F18/F4</f>
        <v>0</v>
      </c>
      <c r="G19" s="21">
        <f t="shared" ref="G19:L19" si="8">-G18/G4</f>
        <v>0</v>
      </c>
      <c r="H19" s="21">
        <f>-H18/H4</f>
        <v>0</v>
      </c>
      <c r="I19" s="21">
        <f t="shared" si="8"/>
        <v>0</v>
      </c>
      <c r="J19" s="21">
        <f t="shared" si="8"/>
        <v>0</v>
      </c>
      <c r="K19" s="22">
        <f t="shared" si="8"/>
        <v>0</v>
      </c>
      <c r="L19" s="21">
        <f t="shared" si="8"/>
        <v>0</v>
      </c>
    </row>
    <row r="20" spans="2:13" ht="15.75" customHeight="1" x14ac:dyDescent="0.2">
      <c r="B20" s="18" t="s">
        <v>60</v>
      </c>
      <c r="C20" s="35">
        <v>4566</v>
      </c>
      <c r="F20" s="16"/>
      <c r="G20" s="16"/>
      <c r="H20" s="16"/>
      <c r="I20" s="16"/>
      <c r="J20" s="16"/>
      <c r="K20" s="17"/>
      <c r="L20" s="16"/>
    </row>
    <row r="21" spans="2:13" ht="15.75" customHeight="1" x14ac:dyDescent="0.2">
      <c r="B21" s="18" t="s">
        <v>61</v>
      </c>
      <c r="C21" s="35">
        <v>402</v>
      </c>
      <c r="D21" s="24"/>
      <c r="E21" s="24" t="s">
        <v>41</v>
      </c>
      <c r="F21" s="25">
        <f>F18+F15+F12+F10</f>
        <v>307</v>
      </c>
      <c r="G21" s="25">
        <f>G18+G15+G12+G10</f>
        <v>482</v>
      </c>
      <c r="H21" s="25">
        <f>H18+H15+H12+H10</f>
        <v>405.44400000000002</v>
      </c>
      <c r="I21" s="25">
        <f t="shared" ref="I21:K21" si="9">I18+I15+I12+I10</f>
        <v>421.66176000000002</v>
      </c>
      <c r="J21" s="25">
        <f t="shared" si="9"/>
        <v>438.5282304000001</v>
      </c>
      <c r="K21" s="26">
        <f t="shared" si="9"/>
        <v>456.0693596160001</v>
      </c>
      <c r="L21" s="25">
        <f>L18+L15+L12+L10</f>
        <v>474.31213400064007</v>
      </c>
    </row>
    <row r="22" spans="2:13" ht="15.75" customHeight="1" x14ac:dyDescent="0.2">
      <c r="B22" s="18" t="s">
        <v>59</v>
      </c>
      <c r="C22" s="35">
        <v>-51</v>
      </c>
      <c r="E22" s="24" t="s">
        <v>42</v>
      </c>
      <c r="F22" s="25"/>
      <c r="G22" s="25"/>
      <c r="H22" s="25">
        <f>H21/(1+$C$27)^1</f>
        <v>372.98155073203719</v>
      </c>
      <c r="I22" s="25">
        <f>I21/(1+$C$27)^2</f>
        <v>356.84298367699171</v>
      </c>
      <c r="J22" s="25">
        <f>J21/(1+$C$27)^3</f>
        <v>341.40271750594178</v>
      </c>
      <c r="K22" s="26">
        <f>K21/(1+$C$27)^4</f>
        <v>326.63053738488594</v>
      </c>
      <c r="L22" s="25">
        <f>L21/(1+$C$27)^5</f>
        <v>312.49753584777068</v>
      </c>
    </row>
    <row r="23" spans="2:13" ht="15.75" customHeight="1" x14ac:dyDescent="0.2">
      <c r="B23" s="18" t="s">
        <v>29</v>
      </c>
      <c r="C23" s="42">
        <v>0.65</v>
      </c>
    </row>
    <row r="24" spans="2:13" ht="15.75" customHeight="1" x14ac:dyDescent="0.2">
      <c r="H24" s="30"/>
      <c r="I24" s="30"/>
      <c r="J24" s="30"/>
      <c r="K24" s="30"/>
      <c r="L24" s="30"/>
    </row>
    <row r="25" spans="2:13" ht="15.75" customHeight="1" x14ac:dyDescent="0.2">
      <c r="B25" s="34" t="s">
        <v>72</v>
      </c>
      <c r="C25" s="19">
        <v>0.04</v>
      </c>
      <c r="H25" s="30"/>
      <c r="I25" s="30"/>
      <c r="J25" s="30"/>
      <c r="K25" s="30"/>
      <c r="L25" s="30"/>
    </row>
    <row r="26" spans="2:13" ht="15.75" customHeight="1" x14ac:dyDescent="0.2">
      <c r="H26" s="30"/>
      <c r="I26" s="30"/>
      <c r="J26" s="30"/>
      <c r="K26" s="30"/>
      <c r="L26" s="30"/>
    </row>
    <row r="27" spans="2:13" ht="15.75" customHeight="1" x14ac:dyDescent="0.2">
      <c r="B27" s="24" t="s">
        <v>30</v>
      </c>
      <c r="C27" s="37">
        <f>C23*C9+(1-C23)*C14</f>
        <v>8.7034999999999987E-2</v>
      </c>
    </row>
    <row r="28" spans="2:13" ht="15.75" customHeight="1" x14ac:dyDescent="0.2">
      <c r="B28" s="38" t="s">
        <v>40</v>
      </c>
      <c r="C28" s="43">
        <v>10</v>
      </c>
      <c r="H28" s="39"/>
      <c r="L28" s="39"/>
    </row>
    <row r="29" spans="2:13" ht="15.75" customHeight="1" x14ac:dyDescent="0.2">
      <c r="B29" s="38" t="s">
        <v>31</v>
      </c>
      <c r="C29" s="19">
        <v>0.03</v>
      </c>
      <c r="I29" s="39"/>
      <c r="J29" s="39"/>
    </row>
    <row r="30" spans="2:13" ht="15.75" customHeight="1" x14ac:dyDescent="0.2">
      <c r="B30" s="38"/>
      <c r="C30" s="28"/>
      <c r="I30" s="39"/>
      <c r="J30" s="39"/>
    </row>
    <row r="31" spans="2:13" ht="15.75" customHeight="1" thickBot="1" x14ac:dyDescent="0.25">
      <c r="B31" s="5" t="s">
        <v>57</v>
      </c>
      <c r="C31" s="40"/>
      <c r="E31" s="5" t="s">
        <v>65</v>
      </c>
      <c r="F31" s="5"/>
      <c r="I31" s="31"/>
      <c r="J31" s="31"/>
    </row>
    <row r="32" spans="2:13" ht="15.75" customHeight="1" x14ac:dyDescent="0.2">
      <c r="B32" s="58" t="s">
        <v>39</v>
      </c>
      <c r="C32" s="59">
        <f>(L6)*C28</f>
        <v>4743.1213400064007</v>
      </c>
      <c r="E32" s="58" t="s">
        <v>63</v>
      </c>
      <c r="F32" s="59">
        <f>L6</f>
        <v>474.31213400064007</v>
      </c>
      <c r="H32" s="31"/>
    </row>
    <row r="33" spans="2:11" ht="15.75" customHeight="1" x14ac:dyDescent="0.2">
      <c r="B33" s="58" t="s">
        <v>56</v>
      </c>
      <c r="C33" s="59">
        <f>C32/(1+C27)^5</f>
        <v>3124.9753584777068</v>
      </c>
      <c r="E33" s="58" t="s">
        <v>26</v>
      </c>
      <c r="F33" s="59">
        <f>C17</f>
        <v>9.5399999999999991</v>
      </c>
      <c r="I33" s="24"/>
    </row>
    <row r="34" spans="2:11" ht="15.75" customHeight="1" x14ac:dyDescent="0.2">
      <c r="B34" s="60" t="s">
        <v>37</v>
      </c>
      <c r="C34" s="61">
        <f>C33/C18</f>
        <v>14.952035208027306</v>
      </c>
      <c r="E34" s="60" t="s">
        <v>64</v>
      </c>
      <c r="F34" s="61">
        <f>((F33*C18)*(1+C27)^5)/F32</f>
        <v>6.3804023113042536</v>
      </c>
      <c r="I34" s="24"/>
    </row>
    <row r="35" spans="2:11" ht="15.75" customHeight="1" x14ac:dyDescent="0.2">
      <c r="B35" s="24"/>
      <c r="C35" s="41"/>
      <c r="I35" s="24"/>
    </row>
    <row r="36" spans="2:11" ht="15.75" customHeight="1" thickBot="1" x14ac:dyDescent="0.25">
      <c r="B36" s="5" t="s">
        <v>32</v>
      </c>
      <c r="C36" s="40"/>
      <c r="E36" s="5" t="s">
        <v>58</v>
      </c>
      <c r="F36" s="40"/>
      <c r="H36" s="24"/>
      <c r="I36" s="66"/>
      <c r="K36" s="38"/>
    </row>
    <row r="37" spans="2:11" ht="15.75" customHeight="1" x14ac:dyDescent="0.2">
      <c r="B37" s="58" t="s">
        <v>33</v>
      </c>
      <c r="C37" s="59">
        <f>SUM(H22:L22)</f>
        <v>1710.3553251476274</v>
      </c>
      <c r="E37" s="58" t="s">
        <v>67</v>
      </c>
      <c r="F37" s="59">
        <f>C19+C20-C21-C22</f>
        <v>6208.86</v>
      </c>
      <c r="H37" s="58"/>
      <c r="I37" s="67"/>
      <c r="K37" s="38"/>
    </row>
    <row r="38" spans="2:11" ht="15.75" customHeight="1" x14ac:dyDescent="0.2">
      <c r="B38" s="58" t="s">
        <v>34</v>
      </c>
      <c r="C38" s="59">
        <f>L21/(C27-C29)</f>
        <v>8316.1590953035884</v>
      </c>
      <c r="E38" s="58" t="s">
        <v>62</v>
      </c>
      <c r="F38" s="59">
        <f>F37-C37</f>
        <v>4498.5046748523728</v>
      </c>
      <c r="H38" s="58"/>
      <c r="I38" s="67"/>
    </row>
    <row r="39" spans="2:11" ht="15.75" customHeight="1" x14ac:dyDescent="0.2">
      <c r="B39" s="58" t="s">
        <v>55</v>
      </c>
      <c r="C39" s="59">
        <f>C38/(1+C27)^5</f>
        <v>5479.0485815336324</v>
      </c>
      <c r="E39" s="58" t="s">
        <v>68</v>
      </c>
      <c r="F39" s="59">
        <f>F38*(1+C27)^5</f>
        <v>6827.8789666376379</v>
      </c>
      <c r="H39" s="58"/>
      <c r="I39" s="67"/>
    </row>
    <row r="40" spans="2:11" ht="15.75" customHeight="1" x14ac:dyDescent="0.2">
      <c r="B40" s="58" t="s">
        <v>35</v>
      </c>
      <c r="C40" s="16">
        <f>C37+C39</f>
        <v>7189.4039066812602</v>
      </c>
      <c r="E40" s="58" t="s">
        <v>71</v>
      </c>
      <c r="F40" s="16">
        <f>L21/(C27-F41)</f>
        <v>6828.0000002580846</v>
      </c>
      <c r="H40" s="58"/>
      <c r="I40" s="16"/>
    </row>
    <row r="41" spans="2:11" ht="15.75" customHeight="1" x14ac:dyDescent="0.2">
      <c r="B41" s="58" t="s">
        <v>36</v>
      </c>
      <c r="C41" s="16">
        <f>C40-C20+C21-C22</f>
        <v>3076.4039066812602</v>
      </c>
      <c r="E41" s="60" t="s">
        <v>66</v>
      </c>
      <c r="F41" s="65">
        <v>1.7569251027722301E-2</v>
      </c>
      <c r="H41" s="58"/>
      <c r="I41" s="16"/>
    </row>
    <row r="42" spans="2:11" ht="15.75" customHeight="1" x14ac:dyDescent="0.2">
      <c r="B42" s="60" t="s">
        <v>37</v>
      </c>
      <c r="C42" s="61">
        <f>C41/C18</f>
        <v>14.719635917135216</v>
      </c>
      <c r="E42" s="58" t="s">
        <v>70</v>
      </c>
      <c r="F42" s="59">
        <f>C37+C39</f>
        <v>7189.4039066812602</v>
      </c>
      <c r="H42" s="24"/>
      <c r="I42" s="68"/>
    </row>
    <row r="43" spans="2:11" ht="15.75" customHeight="1" x14ac:dyDescent="0.2">
      <c r="E43" s="60" t="s">
        <v>69</v>
      </c>
      <c r="F43" s="65">
        <v>3.3939242237877497E-2</v>
      </c>
    </row>
    <row r="44" spans="2:11" ht="15.75" customHeight="1" x14ac:dyDescent="0.2"/>
    <row r="45" spans="2:11" ht="15.75" customHeight="1" x14ac:dyDescent="0.2"/>
    <row r="46" spans="2:11" ht="15.75" customHeight="1" x14ac:dyDescent="0.2"/>
    <row r="47" spans="2:11" ht="15.75" customHeight="1" x14ac:dyDescent="0.2"/>
    <row r="48" spans="2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5C68-40C4-5C4A-8639-D39E25B54587}">
  <dimension ref="B1:H13"/>
  <sheetViews>
    <sheetView showGridLines="0" zoomScale="125" workbookViewId="0">
      <selection activeCell="H18" sqref="H18"/>
    </sheetView>
  </sheetViews>
  <sheetFormatPr baseColWidth="10" defaultRowHeight="16" x14ac:dyDescent="0.2"/>
  <cols>
    <col min="1" max="1" width="3.5" customWidth="1"/>
    <col min="2" max="2" width="19.33203125" customWidth="1"/>
    <col min="4" max="4" width="23.83203125" customWidth="1"/>
    <col min="5" max="5" width="8.33203125" customWidth="1"/>
    <col min="6" max="8" width="9.33203125" customWidth="1"/>
    <col min="9" max="9" width="6.6640625" customWidth="1"/>
  </cols>
  <sheetData>
    <row r="1" spans="2:8" x14ac:dyDescent="0.2">
      <c r="B1" s="56" t="s">
        <v>5</v>
      </c>
      <c r="C1" s="56"/>
    </row>
    <row r="2" spans="2:8" ht="7" customHeight="1" x14ac:dyDescent="0.2"/>
    <row r="3" spans="2:8" x14ac:dyDescent="0.2">
      <c r="B3" s="2" t="s">
        <v>45</v>
      </c>
      <c r="C3" s="64">
        <v>1</v>
      </c>
      <c r="D3" t="s">
        <v>54</v>
      </c>
      <c r="F3" s="47" t="s">
        <v>43</v>
      </c>
      <c r="G3" s="47" t="s">
        <v>49</v>
      </c>
      <c r="H3" s="47" t="s">
        <v>44</v>
      </c>
    </row>
    <row r="4" spans="2:8" x14ac:dyDescent="0.2">
      <c r="B4" s="2" t="s">
        <v>73</v>
      </c>
      <c r="C4" s="73">
        <v>0.04</v>
      </c>
      <c r="D4" t="s">
        <v>51</v>
      </c>
      <c r="E4" s="45">
        <v>2025</v>
      </c>
      <c r="F4" s="1">
        <f>C3</f>
        <v>1</v>
      </c>
      <c r="H4" s="1">
        <f>F4/(1+$C$12)^1</f>
        <v>0.90424088977303541</v>
      </c>
    </row>
    <row r="5" spans="2:8" x14ac:dyDescent="0.2">
      <c r="B5" s="2" t="s">
        <v>52</v>
      </c>
      <c r="C5" s="73">
        <v>0.03</v>
      </c>
      <c r="D5" t="s">
        <v>53</v>
      </c>
      <c r="E5" s="45">
        <v>2026</v>
      </c>
      <c r="F5" s="1">
        <f>F4*(1+G5)</f>
        <v>1.04</v>
      </c>
      <c r="G5" s="44">
        <f>$C$4</f>
        <v>0.04</v>
      </c>
      <c r="H5" s="1">
        <f>F5/(1+$C$12)^2</f>
        <v>0.85035765020703213</v>
      </c>
    </row>
    <row r="6" spans="2:8" x14ac:dyDescent="0.2">
      <c r="E6" s="45">
        <v>2027</v>
      </c>
      <c r="F6" s="1">
        <f>F5*(1+G6)</f>
        <v>1.0816000000000001</v>
      </c>
      <c r="G6" s="44">
        <f t="shared" ref="G6:G8" si="0">$C$4</f>
        <v>0.04</v>
      </c>
      <c r="H6" s="1">
        <f>F6/(1+$C$12)^3</f>
        <v>0.79968528457845489</v>
      </c>
    </row>
    <row r="7" spans="2:8" x14ac:dyDescent="0.2">
      <c r="B7" s="2" t="s">
        <v>9</v>
      </c>
      <c r="C7" s="3"/>
      <c r="E7" s="45">
        <v>2028</v>
      </c>
      <c r="F7" s="1">
        <f>F6*(1+G7)</f>
        <v>1.1248640000000001</v>
      </c>
      <c r="G7" s="44">
        <f t="shared" si="0"/>
        <v>0.04</v>
      </c>
      <c r="H7" s="1">
        <f>F7/(1+$C$12)^4</f>
        <v>0.75203245859625012</v>
      </c>
    </row>
    <row r="8" spans="2:8" x14ac:dyDescent="0.2">
      <c r="B8" t="s">
        <v>11</v>
      </c>
      <c r="C8" s="46">
        <v>4.4999999999999998E-2</v>
      </c>
      <c r="E8" s="45">
        <v>2029</v>
      </c>
      <c r="F8" s="1">
        <f>F7*(1+G8)</f>
        <v>1.1698585600000002</v>
      </c>
      <c r="G8" s="44">
        <f t="shared" si="0"/>
        <v>0.04</v>
      </c>
      <c r="H8" s="1">
        <f>F8/(1+$C$12)^5</f>
        <v>0.70721923947924781</v>
      </c>
    </row>
    <row r="9" spans="2:8" x14ac:dyDescent="0.2">
      <c r="B9" t="s">
        <v>38</v>
      </c>
      <c r="C9" s="46">
        <v>0.08</v>
      </c>
      <c r="E9" s="69" t="s">
        <v>46</v>
      </c>
      <c r="F9" s="70">
        <f>(F8*(1+G9))/C12-G9</f>
        <v>11.348227731822478</v>
      </c>
      <c r="G9" s="71">
        <f>C5</f>
        <v>0.03</v>
      </c>
      <c r="H9" s="72">
        <f>F9/((1+C12)^5)</f>
        <v>6.8603891618631234</v>
      </c>
    </row>
    <row r="10" spans="2:8" ht="17" thickBot="1" x14ac:dyDescent="0.25">
      <c r="B10" t="s">
        <v>13</v>
      </c>
      <c r="C10" s="46">
        <f>C9-C8</f>
        <v>3.5000000000000003E-2</v>
      </c>
    </row>
    <row r="11" spans="2:8" x14ac:dyDescent="0.2">
      <c r="B11" t="s">
        <v>15</v>
      </c>
      <c r="C11">
        <v>1.74</v>
      </c>
      <c r="E11" s="50" t="s">
        <v>47</v>
      </c>
      <c r="F11" s="48"/>
      <c r="G11" s="48"/>
      <c r="H11" s="53">
        <f>SUM(H4:H9)</f>
        <v>10.873924684497144</v>
      </c>
    </row>
    <row r="12" spans="2:8" x14ac:dyDescent="0.2">
      <c r="B12" t="s">
        <v>9</v>
      </c>
      <c r="C12" s="57">
        <f>C8+C11*C10</f>
        <v>0.10589999999999999</v>
      </c>
      <c r="E12" s="51" t="s">
        <v>48</v>
      </c>
      <c r="H12" s="54">
        <v>9.5399999999999991</v>
      </c>
    </row>
    <row r="13" spans="2:8" ht="17" thickBot="1" x14ac:dyDescent="0.25">
      <c r="E13" s="52" t="s">
        <v>50</v>
      </c>
      <c r="F13" s="49"/>
      <c r="G13" s="49"/>
      <c r="H13" s="55">
        <f>H11/H12-1</f>
        <v>0.13982439040850569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MALLARINO</dc:creator>
  <cp:lastModifiedBy>MARCO MALLARINO</cp:lastModifiedBy>
  <dcterms:created xsi:type="dcterms:W3CDTF">2025-04-06T19:12:28Z</dcterms:created>
  <dcterms:modified xsi:type="dcterms:W3CDTF">2025-04-14T09:05:31Z</dcterms:modified>
</cp:coreProperties>
</file>