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arco/Desktop/4336 - Special Situation Investing/case 2/"/>
    </mc:Choice>
  </mc:AlternateContent>
  <xr:revisionPtr revIDLastSave="0" documentId="13_ncr:1_{C734BBB9-63C6-E849-A748-CC6F6FB0A4AE}" xr6:coauthVersionLast="47" xr6:coauthVersionMax="47" xr10:uidLastSave="{00000000-0000-0000-0000-000000000000}"/>
  <bookViews>
    <workbookView xWindow="0" yWindow="500" windowWidth="28800" windowHeight="16260" activeTab="2" xr2:uid="{3622F549-1052-1749-A932-E6EDE03E3C9A}"/>
  </bookViews>
  <sheets>
    <sheet name="Overview" sheetId="1" r:id="rId1"/>
    <sheet name="Fin Statements" sheetId="2" r:id="rId2"/>
    <sheet name="Valu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7" i="3" l="1"/>
  <c r="C6" i="1"/>
  <c r="G25" i="3" s="1"/>
  <c r="D2" i="1" a="1"/>
  <c r="D2" i="1" s="1"/>
  <c r="D3" i="3"/>
  <c r="D4" i="3"/>
  <c r="D5" i="3"/>
  <c r="D6" i="3"/>
  <c r="D2" i="3"/>
  <c r="F5" i="3"/>
  <c r="E5" i="3"/>
  <c r="E56" i="2"/>
  <c r="D56" i="2"/>
  <c r="F4" i="3"/>
  <c r="E4" i="3"/>
  <c r="E15" i="3" l="1"/>
  <c r="E17" i="3"/>
  <c r="E11" i="3"/>
  <c r="E13" i="3"/>
  <c r="E42" i="2"/>
  <c r="D42" i="2"/>
  <c r="E47" i="2"/>
  <c r="F6" i="3" s="1"/>
  <c r="D47" i="2"/>
  <c r="E6" i="3" s="1"/>
  <c r="E45" i="2"/>
  <c r="D45" i="2"/>
  <c r="E38" i="2"/>
  <c r="E40" i="2" s="1"/>
  <c r="F3" i="3" s="1"/>
  <c r="F14" i="3" s="1"/>
  <c r="D38" i="2"/>
  <c r="D40" i="2" s="1"/>
  <c r="E3" i="3" s="1"/>
  <c r="F13" i="3" s="1"/>
  <c r="D27" i="2"/>
  <c r="D29" i="2" s="1"/>
  <c r="D35" i="2" s="1"/>
  <c r="D34" i="2" s="1"/>
  <c r="E27" i="2"/>
  <c r="E29" i="2" s="1"/>
  <c r="E35" i="2" s="1"/>
  <c r="E34" i="2" s="1"/>
  <c r="D20" i="2"/>
  <c r="E8" i="3" s="1"/>
  <c r="E20" i="2"/>
  <c r="F8" i="3" s="1"/>
  <c r="C20" i="2"/>
  <c r="D17" i="2"/>
  <c r="E17" i="2"/>
  <c r="C17" i="2"/>
  <c r="D12" i="2"/>
  <c r="D14" i="2" s="1"/>
  <c r="E12" i="2"/>
  <c r="E14" i="2" s="1"/>
  <c r="C12" i="2"/>
  <c r="C14" i="2" s="1"/>
  <c r="F11" i="1"/>
  <c r="G5" i="1"/>
  <c r="H5" i="1"/>
  <c r="I5" i="1"/>
  <c r="F5" i="1"/>
  <c r="J6" i="1"/>
  <c r="J4" i="1"/>
  <c r="J5" i="1" l="1"/>
  <c r="F20" i="3"/>
  <c r="F19" i="3"/>
  <c r="F7" i="3"/>
  <c r="J28" i="3" s="1"/>
  <c r="J26" i="3"/>
  <c r="J25" i="3"/>
  <c r="E23" i="3"/>
  <c r="E7" i="3"/>
  <c r="F23" i="3"/>
  <c r="F21" i="3"/>
  <c r="E18" i="3"/>
  <c r="F17" i="3"/>
  <c r="E14" i="3"/>
  <c r="F18" i="3"/>
  <c r="E44" i="2"/>
  <c r="D44" i="2"/>
  <c r="E2" i="3"/>
  <c r="F2" i="3"/>
  <c r="F22" i="3" l="1"/>
  <c r="C9" i="1"/>
  <c r="E9" i="3"/>
  <c r="E26" i="3" s="1"/>
  <c r="F9" i="3"/>
  <c r="E28" i="3"/>
  <c r="F28" i="3"/>
  <c r="F27" i="3"/>
  <c r="E27" i="3"/>
  <c r="E25" i="3"/>
  <c r="F25" i="3"/>
  <c r="F16" i="3"/>
  <c r="F12" i="3"/>
  <c r="F15" i="3"/>
  <c r="E16" i="3"/>
  <c r="E12" i="3"/>
  <c r="F11" i="3"/>
  <c r="F26" i="3" l="1"/>
  <c r="G26"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<sst xmlns="http://schemas.openxmlformats.org/spreadsheetml/2006/main" count="190" uniqueCount="174">
  <si>
    <t>Share price</t>
  </si>
  <si>
    <t>Share outstanding</t>
  </si>
  <si>
    <t>MC</t>
  </si>
  <si>
    <t>Cash</t>
  </si>
  <si>
    <t>Debt</t>
  </si>
  <si>
    <t>EV</t>
  </si>
  <si>
    <t>(in millions)</t>
  </si>
  <si>
    <t>David B. Burritt</t>
  </si>
  <si>
    <t>CEO</t>
  </si>
  <si>
    <t>CFO</t>
  </si>
  <si>
    <t>Product</t>
  </si>
  <si>
    <t>Customers</t>
  </si>
  <si>
    <t>Industry</t>
  </si>
  <si>
    <t>Form</t>
  </si>
  <si>
    <t>Geography</t>
  </si>
  <si>
    <t>Status</t>
  </si>
  <si>
    <t>Flat-rolled</t>
  </si>
  <si>
    <t>Mini mill</t>
  </si>
  <si>
    <t>USSE</t>
  </si>
  <si>
    <t>Tubular</t>
  </si>
  <si>
    <t>2024 (tousands of tons)</t>
  </si>
  <si>
    <t>Transportation</t>
  </si>
  <si>
    <t>Other</t>
  </si>
  <si>
    <t>TOTAL</t>
  </si>
  <si>
    <t>North America</t>
  </si>
  <si>
    <t>Slovakia</t>
  </si>
  <si>
    <t>employees</t>
  </si>
  <si>
    <t>HQ Pennsylvania, capacity 20 tons in US and 5 tons in Slovakia</t>
  </si>
  <si>
    <t>Revenue</t>
  </si>
  <si>
    <t>COGS</t>
  </si>
  <si>
    <t>Flat-Rolled</t>
  </si>
  <si>
    <t>Mini Mill</t>
  </si>
  <si>
    <t>Expenses</t>
  </si>
  <si>
    <t>EBITDA</t>
  </si>
  <si>
    <t>D&amp;A</t>
  </si>
  <si>
    <t>EBIT</t>
  </si>
  <si>
    <t>Other income</t>
  </si>
  <si>
    <t>Interest Expense</t>
  </si>
  <si>
    <t>EBT</t>
  </si>
  <si>
    <t>Other expenses</t>
  </si>
  <si>
    <t>tax</t>
  </si>
  <si>
    <t>Net earnings</t>
  </si>
  <si>
    <t>Diluted EPS</t>
  </si>
  <si>
    <t>Inventories</t>
  </si>
  <si>
    <t>Receivables</t>
  </si>
  <si>
    <t>Other current</t>
  </si>
  <si>
    <t>Operating lease assets</t>
  </si>
  <si>
    <t>Current Assets</t>
  </si>
  <si>
    <t>PP&amp;E</t>
  </si>
  <si>
    <t>Intangibles</t>
  </si>
  <si>
    <t>Goodwill</t>
  </si>
  <si>
    <t>Long term assets</t>
  </si>
  <si>
    <t>TOTAL ASSETS</t>
  </si>
  <si>
    <t>Current int Bearing</t>
  </si>
  <si>
    <t>Current non-int</t>
  </si>
  <si>
    <t>Capital Employed</t>
  </si>
  <si>
    <t>Current Liabilities</t>
  </si>
  <si>
    <t>Long term liabilities</t>
  </si>
  <si>
    <t>TOTAL LIABILITIES</t>
  </si>
  <si>
    <t xml:space="preserve"> LT int. Bearing</t>
  </si>
  <si>
    <t xml:space="preserve"> of which o.leases</t>
  </si>
  <si>
    <t>LT non-int</t>
  </si>
  <si>
    <t>EQUITY</t>
  </si>
  <si>
    <t>Operating Income</t>
  </si>
  <si>
    <t>exchange rate</t>
  </si>
  <si>
    <t>Net change in cash</t>
  </si>
  <si>
    <t>FCF</t>
  </si>
  <si>
    <t>CapEx</t>
  </si>
  <si>
    <t>CFI</t>
  </si>
  <si>
    <t>CFF</t>
  </si>
  <si>
    <t>sold 22% of his holding on 20 Dec 2023: 0.88 mil shares at 50$</t>
  </si>
  <si>
    <t>President Biden issued an order prohibiting the acquisition of United States Steel Corporation (U.S. Steel) by Nippon Steel Corporation</t>
  </si>
  <si>
    <t>(b)  CFIUS’s review shall be conducted de novo, confidentially, and consistent with the procedures set forth for national security reviews under section 721, including, but not limited to, identifying potential national security risks associated with the proposed transaction and providing adequate opportunity to the parties to respond to such concerns.</t>
  </si>
  <si>
    <t>Consistent with the procedures set forth in section 721, within 45 days of the date of this memorandum, CFIUS shall submit a recommendation to me describing whether any measures proposed by the parties are sufficient to mitigate any national security risks identified by CFIUS.  This recommendation shall include a statement describing each member agency’s position, including the reasons for such position.</t>
  </si>
  <si>
    <t>Trump ordered the Committee on Foreign Investment in the United States to conduct a new review of the U.S. Steel deal, to assist in determining whether further action in this matter may be appropriate.</t>
  </si>
  <si>
    <t>Following the block, the two companies sued CFIUS, which scrutinizes foreign investments for national security risks, alleging that Biden prejudiced the committee's decision and violated the companies' right to a fair review.</t>
  </si>
  <si>
    <t>They claimed that the then-President did so to win the favor of the United Steelworkers (USW) union in the swing state of Pennsylvania, where U.S. Steel is headquartered, to improve his chances of re-election.</t>
  </si>
  <si>
    <t>Assets - cash - goodwill - non-interest bearing liabilities</t>
  </si>
  <si>
    <t>CFO - maintenance CapEx</t>
  </si>
  <si>
    <t>non-controlling interest</t>
  </si>
  <si>
    <t>Book Value</t>
  </si>
  <si>
    <t>Equity - noncontrolling interest</t>
  </si>
  <si>
    <t>Capital Employed with cash</t>
  </si>
  <si>
    <t>Assets - goodwill - non-interest bearing liabilities</t>
  </si>
  <si>
    <t>ROCE begin</t>
  </si>
  <si>
    <t>ROCE end</t>
  </si>
  <si>
    <t>ROCE begin with cash</t>
  </si>
  <si>
    <t>ROCE end with cash</t>
  </si>
  <si>
    <t>In a growing business, FCFROCE will often be lower than ROCE</t>
  </si>
  <si>
    <t>FCFROCE begin</t>
  </si>
  <si>
    <t>FCFROCE end</t>
  </si>
  <si>
    <t>FCFROCE begin with cash</t>
  </si>
  <si>
    <t>FCFROCE end with cash</t>
  </si>
  <si>
    <t>change in OI/FDS</t>
  </si>
  <si>
    <t>change in FCF/FDS</t>
  </si>
  <si>
    <t>change in BV/FDS</t>
  </si>
  <si>
    <t>change in TBV/FDS</t>
  </si>
  <si>
    <t>L/E</t>
  </si>
  <si>
    <t>Forces analysis</t>
  </si>
  <si>
    <t>Breadth Analysis</t>
  </si>
  <si>
    <t>Market Growth Assessment</t>
  </si>
  <si>
    <t>Bargaining power of customers</t>
  </si>
  <si>
    <t>Bargaining power of suppliers</t>
  </si>
  <si>
    <t>Threat of substitutes</t>
  </si>
  <si>
    <t>Threat of new entrants</t>
  </si>
  <si>
    <t>Moat</t>
  </si>
  <si>
    <t>Government</t>
  </si>
  <si>
    <t>Cost</t>
  </si>
  <si>
    <t>Brand</t>
  </si>
  <si>
    <t>Network</t>
  </si>
  <si>
    <t>Switching costs</t>
  </si>
  <si>
    <t>Ingrainedness</t>
  </si>
  <si>
    <t>MC/FCF</t>
  </si>
  <si>
    <t>EV/OI</t>
  </si>
  <si>
    <t>MC/BV</t>
  </si>
  <si>
    <t>MC/TBV</t>
  </si>
  <si>
    <t>Basic EPS</t>
  </si>
  <si>
    <t>FDS</t>
  </si>
  <si>
    <t>TBV</t>
  </si>
  <si>
    <t>WANT</t>
  </si>
  <si>
    <t>&lt;2</t>
  </si>
  <si>
    <t>MC + non-controlling interest + debt - cash</t>
  </si>
  <si>
    <t>BV - intangibles - goodwill</t>
  </si>
  <si>
    <t>net earnings / diluted EPS</t>
  </si>
  <si>
    <t>PROSPECTS</t>
  </si>
  <si>
    <t>Steel is a commodity with relatively low switching costs.</t>
  </si>
  <si>
    <t>strong</t>
  </si>
  <si>
    <t>weak</t>
  </si>
  <si>
    <t>U.S. Steel owns its own mines and facilities</t>
  </si>
  <si>
    <t>steel remains indispensable in infrastructure, pipelines, and construction</t>
  </si>
  <si>
    <t>Massive capital intensity, environmental permits, and scale economies deter new steel entrants</t>
  </si>
  <si>
    <t>tariff protection</t>
  </si>
  <si>
    <t>shifted to more efficient mini-mill operations (e.g., Big River Steel), but still lags Nucor in cost leadership</t>
  </si>
  <si>
    <t>Steel is a commodity</t>
  </si>
  <si>
    <t>Very low; buyers can source steel globally</t>
  </si>
  <si>
    <t>No platform or user network effects</t>
  </si>
  <si>
    <t>Some value chain ingrainedness (long-term customers, infrastructure projects)</t>
  </si>
  <si>
    <t>The global steel market is mature</t>
  </si>
  <si>
    <t>Infrastructure investments (especially green energy, electric vehicles)</t>
  </si>
  <si>
    <t>U.S. infrastructure and reshoring trends</t>
  </si>
  <si>
    <t>normalized</t>
  </si>
  <si>
    <t>Fair price</t>
  </si>
  <si>
    <t>B2B: automotive, construction, oil gas, industrial equipment</t>
  </si>
  <si>
    <t>1901, 3rd largest US producer (24th worldwide)</t>
  </si>
  <si>
    <t>Big River</t>
  </si>
  <si>
    <t>Steel mostly commodity: Flat-rolled, Mini mill, USSE, Tubular products</t>
  </si>
  <si>
    <t>Steel manufacturing and mining (iron ore), cyclical</t>
  </si>
  <si>
    <t>Corporation Dalaware, Vertically integrated: mining, mills, products</t>
  </si>
  <si>
    <t>Maintenance CapEx</t>
  </si>
  <si>
    <t>2020-2024</t>
  </si>
  <si>
    <t>use from 2020 to 2024 geo</t>
  </si>
  <si>
    <t>very negative</t>
  </si>
  <si>
    <t>no single customer accounting for &gt;10% of revenue, but yes in 2024</t>
  </si>
  <si>
    <t>vertical integration, but electricity and labor</t>
  </si>
  <si>
    <t>20 mil comp</t>
  </si>
  <si>
    <t>Director</t>
  </si>
  <si>
    <t>0.45 mil comp</t>
  </si>
  <si>
    <t>related party transactions</t>
  </si>
  <si>
    <t>N/A</t>
  </si>
  <si>
    <t>repurchases</t>
  </si>
  <si>
    <t>dividends</t>
  </si>
  <si>
    <t>2021-2023, 4 not great</t>
  </si>
  <si>
    <t>0.2$ a year (quarterly)</t>
  </si>
  <si>
    <t>director approval and sh approval is there</t>
  </si>
  <si>
    <t>money? Agreement with banks + 2 bil usd in Nippon</t>
  </si>
  <si>
    <t>break</t>
  </si>
  <si>
    <t>completion</t>
  </si>
  <si>
    <t>0.5 bil breakup fee by nippon</t>
  </si>
  <si>
    <t>ancora press release</t>
  </si>
  <si>
    <t>pre announcement market price, 17th dec 2023 39$</t>
  </si>
  <si>
    <t>max</t>
  </si>
  <si>
    <t>Business</t>
  </si>
  <si>
    <t>Shareholder friendliness</t>
  </si>
  <si>
    <t>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</si>
</sst>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409]* #,##0.00_);_([$$-409]* \(#,##0.00\);_([$$-409]* &quot;-&quot;??_);_(@_)"/>
    <numFmt numFmtId="165" formatCode="0.0"/>
    <numFmt numFmtId="166" formatCode="_(* #,##0_);_(* \(#,##0\);_(* &quot;-&quot;??_);_(@_)"/>
  </numFmts>
  <fonts count="8" x14ac:knownFonts="1">
    <font>
      <sz val="12"/>
      <color theme="1"/>
      <name val="Aptos Narrow"/>
      <family val="2"/>
      <scheme val="minor"/>
    </font>
    <font>
      <sz val="12"/>
      <color theme="1"/>
      <name val="Aptos Narrow"/>
      <family val="2"/>
      <scheme val="minor"/>
    </font>
    <font>
      <sz val="9"/>
      <color rgb="FF000000"/>
      <name val="Helvetica"/>
      <family val="2"/>
    </font>
    <font>
      <b/>
      <sz val="12"/>
      <color theme="1"/>
      <name val="Aptos Narrow"/>
      <scheme val="minor"/>
    </font>
    <font>
      <i/>
      <sz val="11"/>
      <color theme="1"/>
      <name val="Aptos Narrow"/>
      <scheme val="minor"/>
    </font>
    <font>
      <b/>
      <i/>
      <sz val="11"/>
      <color theme="1"/>
      <name val="Aptos Narrow"/>
      <scheme val="minor"/>
    </font>
    <font>
      <sz val="12"/>
      <color theme="1"/>
      <name val="Aptos Narrow"/>
      <scheme val="minor"/>
    </font>
    <font>
      <sz val="11"/>
      <color rgb="FF000000"/>
      <name val="Helvetica"/>
      <family val="2"/>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164" fontId="0" fillId="0" borderId="0" xfId="0" applyNumberFormat="1"/>
    <xf numFmtId="3" fontId="0" fillId="0" borderId="0" xfId="0" applyNumberFormat="1"/>
    <xf numFmtId="0" fontId="2" fillId="0" borderId="0" xfId="0" applyFont="1"/>
    <xf numFmtId="2" fontId="0" fillId="0" borderId="0" xfId="0" applyNumberFormat="1"/>
    <xf numFmtId="165" fontId="0" fillId="0" borderId="0" xfId="0" applyNumberFormat="1"/>
    <xf numFmtId="1" fontId="0" fillId="0" borderId="0" xfId="0" applyNumberFormat="1"/>
    <xf numFmtId="166" fontId="0" fillId="0" borderId="0" xfId="1" applyNumberFormat="1" applyFont="1"/>
    <xf numFmtId="166" fontId="0" fillId="0" borderId="0" xfId="0" applyNumberFormat="1"/>
    <xf numFmtId="43" fontId="0" fillId="0" borderId="0" xfId="1" applyFont="1" applyAlignment="1">
      <alignment horizontal="left"/>
    </xf>
    <xf numFmtId="166" fontId="0" fillId="0" borderId="0" xfId="1" applyNumberFormat="1" applyFont="1" applyAlignment="1">
      <alignment horizontal="left"/>
    </xf>
    <xf numFmtId="166" fontId="0" fillId="0" borderId="0" xfId="0" applyNumberFormat="1" applyAlignment="1">
      <alignment horizontal="left"/>
    </xf>
    <xf numFmtId="0" fontId="3" fillId="0" borderId="0" xfId="0" applyFont="1"/>
    <xf numFmtId="0" fontId="4" fillId="0" borderId="0" xfId="0" applyFont="1"/>
    <xf numFmtId="0" fontId="5" fillId="0" borderId="0" xfId="0" applyFont="1"/>
    <xf numFmtId="0" fontId="6" fillId="0" borderId="0" xfId="0" applyFont="1"/>
    <xf numFmtId="166" fontId="3" fillId="0" borderId="0" xfId="1" applyNumberFormat="1" applyFont="1"/>
    <xf numFmtId="166" fontId="3" fillId="0" borderId="0" xfId="0" applyNumberFormat="1" applyFont="1"/>
    <xf numFmtId="10" fontId="0" fillId="0" borderId="0" xfId="0" applyNumberFormat="1"/>
    <xf numFmtId="16" fontId="0" fillId="0" borderId="0" xfId="0" applyNumberFormat="1"/>
    <xf numFmtId="15" fontId="0" fillId="0" borderId="0" xfId="0" applyNumberFormat="1"/>
    <xf numFmtId="9" fontId="0" fillId="0" borderId="0" xfId="2" applyFont="1"/>
    <xf numFmtId="0" fontId="7" fillId="0" borderId="0" xfId="0" applyFont="1"/>
    <xf numFmtId="0" fontId="0" fillId="0" borderId="0" xfId="2" applyNumberFormat="1" applyFont="1"/>
    <xf numFmtId="4" fontId="0" fillId="0" borderId="0" xfId="0" applyNumberFormat="1"/>
    <xf numFmtId="9" fontId="0" fillId="0" borderId="0" xfId="0" applyNumberForma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https://www.bing.com/financeapi/forcetrigger?t=a265bh&amp;q=XNYS%3aX&amp;form=skydnc</v>
    <v>Learn more on Bing</v>
  </rv>
  <rv s="1">
    <v>0</v>
    <v>UNITED STATES STEEL CORPORATION (XNYS:X)</v>
    <v>2</v>
    <v>3</v>
    <v>Finance</v>
    <v>4</v>
    <v>en-US</v>
    <v>a265bh</v>
    <v>268435456</v>
    <v>1</v>
    <v>Powered by Refinitiv</v>
    <v>46.18</v>
    <v>26.914999999999999</v>
    <v>1.7926</v>
    <v>-3.72</v>
    <v>-8.2409999999999997E-2</v>
    <v>USD</v>
    <v>United States Steel Corporation is a steel producer. The Company operates through four segments: North American Flat-Rolled (Flat-Rolled), Mini Mill, U. S. Steel Europe (USSE) and Tubular Products (Tubular). The Flat-Rolled segment is involved in the production of slabs, strip mill plates, sheets and tin mill products, as well as all iron ore, direct reduced grade pellets, pig iron, and coke production facilities in the United States. The Mini Mill segment produces hot-rolled, cold-rolled, coated sheets and electrical steels. The USSE segment produces and sells slabs, strip mill plate, sheet, tin mill products and spiral welded pipe. The Tubular segment produces and sells rounds, seamless and electric resistance welded (ERW) steel casing and tubing (OCTG), and standard and line pipe and mechanical tubing. It serves the automotive, construction, appliance, energy, container, and packaging industries with high value-added steel products such as its XG3 advanced high-strength steel.</v>
    <v>22053</v>
    <v>New York Stock Exchange</v>
    <v>XNYS</v>
    <v>XNYS</v>
    <v>ROOM 1500, 600 GRANT ST, PITTSBURGH, PA, 15219-2800 US</v>
    <v>43.225000000000001</v>
    <v>Metals &amp; Mining</v>
    <v>Stock</v>
    <v>45757.806852418747</v>
    <v>0</v>
    <v>40.46</v>
    <v>9377711668</v>
    <v>UNITED STATES STEEL CORPORATION</v>
    <v>UNITED STATES STEEL CORPORATION</v>
    <v>40.47</v>
    <v>28.121400000000001</v>
    <v>45.14</v>
    <v>41.42</v>
    <v>226405400</v>
    <v>X</v>
    <v>UNITED STATES STEEL CORPORATION (XNYS:X)</v>
    <v>12140120</v>
    <v>7908146</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CF8D9-A49C-AC47-B536-19D273717279}">
  <dimension ref="A2:J40"/>
  <sheetViews>
    <sheetView zoomScale="125" workbookViewId="0">
      <selection activeCell="E39" sqref="E39"/>
    </sheetView>
  </sheetViews>
  <sheetFormatPr baseColWidth="10" defaultRowHeight="16" x14ac:dyDescent="0.2"/>
  <cols>
    <col min="2" max="2" width="20.6640625" customWidth="1"/>
    <col min="3" max="3" width="55" customWidth="1"/>
    <col min="4" max="4" width="12.1640625" customWidth="1"/>
    <col min="5" max="5" width="12.6640625" customWidth="1"/>
    <col min="6" max="10" width="10.83203125" customWidth="1"/>
  </cols>
  <sheetData>
    <row r="2" spans="1:10" x14ac:dyDescent="0.2">
      <c r="C2" t="e" vm="1">
        <v>#VALUE!</v>
      </c>
      <c r="D2" s="1" cm="1">
        <f t="array" aca="1" ref="D2" ca="1">_FV(C2,"Price")</f>
        <v>41.42</v>
      </c>
      <c r="E2" s="13" t="s">
        <v>20</v>
      </c>
    </row>
    <row r="3" spans="1:10" x14ac:dyDescent="0.2">
      <c r="F3" t="s">
        <v>16</v>
      </c>
      <c r="G3" t="s">
        <v>17</v>
      </c>
      <c r="H3" t="s">
        <v>18</v>
      </c>
      <c r="I3" t="s">
        <v>19</v>
      </c>
      <c r="J3" t="s">
        <v>23</v>
      </c>
    </row>
    <row r="4" spans="1:10" x14ac:dyDescent="0.2">
      <c r="B4" t="s">
        <v>0</v>
      </c>
      <c r="C4" s="9">
        <v>44.5</v>
      </c>
      <c r="E4" t="s">
        <v>21</v>
      </c>
      <c r="F4" s="7">
        <v>3389</v>
      </c>
      <c r="G4" s="7">
        <v>14</v>
      </c>
      <c r="H4" s="7">
        <v>559</v>
      </c>
      <c r="I4" s="7">
        <v>0</v>
      </c>
      <c r="J4" s="7">
        <f>SUM(F4:I4)</f>
        <v>3962</v>
      </c>
    </row>
    <row r="5" spans="1:10" x14ac:dyDescent="0.2">
      <c r="A5" s="13" t="s">
        <v>6</v>
      </c>
      <c r="B5" t="s">
        <v>1</v>
      </c>
      <c r="C5" s="10">
        <v>225.21652399999999</v>
      </c>
      <c r="E5" t="s">
        <v>22</v>
      </c>
      <c r="F5" s="7">
        <f>F6-F4</f>
        <v>4456</v>
      </c>
      <c r="G5" s="7">
        <f t="shared" ref="G5:I5" si="0">G6-G4</f>
        <v>2293</v>
      </c>
      <c r="H5" s="7">
        <f t="shared" si="0"/>
        <v>3019</v>
      </c>
      <c r="I5" s="7">
        <f t="shared" si="0"/>
        <v>476</v>
      </c>
      <c r="J5" s="7">
        <f t="shared" ref="J5:J6" si="1">SUM(F5:I5)</f>
        <v>10244</v>
      </c>
    </row>
    <row r="6" spans="1:10" x14ac:dyDescent="0.2">
      <c r="B6" t="s">
        <v>2</v>
      </c>
      <c r="C6" s="10">
        <f>C5*C4</f>
        <v>10022.135318000001</v>
      </c>
      <c r="E6" t="s">
        <v>23</v>
      </c>
      <c r="F6" s="7">
        <v>7845</v>
      </c>
      <c r="G6" s="7">
        <v>2307</v>
      </c>
      <c r="H6" s="7">
        <v>3578</v>
      </c>
      <c r="I6" s="7">
        <v>476</v>
      </c>
      <c r="J6" s="7">
        <f t="shared" si="1"/>
        <v>14206</v>
      </c>
    </row>
    <row r="7" spans="1:10" x14ac:dyDescent="0.2">
      <c r="B7" t="s">
        <v>3</v>
      </c>
      <c r="C7" s="10">
        <v>1367</v>
      </c>
    </row>
    <row r="8" spans="1:10" x14ac:dyDescent="0.2">
      <c r="B8" t="s">
        <v>4</v>
      </c>
      <c r="C8" s="10">
        <v>8795</v>
      </c>
      <c r="E8" s="13" t="s">
        <v>26</v>
      </c>
    </row>
    <row r="9" spans="1:10" x14ac:dyDescent="0.2">
      <c r="B9" t="s">
        <v>5</v>
      </c>
      <c r="C9" s="11">
        <f>C6-C7+C8</f>
        <v>17450.135318000001</v>
      </c>
      <c r="E9" t="s">
        <v>24</v>
      </c>
      <c r="F9" s="2">
        <v>14341</v>
      </c>
    </row>
    <row r="10" spans="1:10" x14ac:dyDescent="0.2">
      <c r="E10" t="s">
        <v>25</v>
      </c>
      <c r="F10" s="2">
        <v>7712</v>
      </c>
    </row>
    <row r="11" spans="1:10" x14ac:dyDescent="0.2">
      <c r="B11" s="12" t="s">
        <v>171</v>
      </c>
      <c r="E11" t="s">
        <v>23</v>
      </c>
      <c r="F11" s="2">
        <f>SUM(F9:F10)</f>
        <v>22053</v>
      </c>
    </row>
    <row r="12" spans="1:10" x14ac:dyDescent="0.2">
      <c r="B12" t="s">
        <v>10</v>
      </c>
      <c r="C12" t="s">
        <v>145</v>
      </c>
    </row>
    <row r="13" spans="1:10" x14ac:dyDescent="0.2">
      <c r="B13" t="s">
        <v>11</v>
      </c>
      <c r="C13" t="s">
        <v>142</v>
      </c>
    </row>
    <row r="14" spans="1:10" x14ac:dyDescent="0.2">
      <c r="B14" t="s">
        <v>12</v>
      </c>
      <c r="C14" t="s">
        <v>146</v>
      </c>
    </row>
    <row r="15" spans="1:10" x14ac:dyDescent="0.2">
      <c r="B15" t="s">
        <v>13</v>
      </c>
      <c r="C15" t="s">
        <v>147</v>
      </c>
    </row>
    <row r="16" spans="1:10" x14ac:dyDescent="0.2">
      <c r="B16" t="s">
        <v>14</v>
      </c>
      <c r="C16" t="s">
        <v>27</v>
      </c>
    </row>
    <row r="17" spans="2:6" x14ac:dyDescent="0.2">
      <c r="B17" t="s">
        <v>15</v>
      </c>
      <c r="C17" t="s">
        <v>143</v>
      </c>
    </row>
    <row r="18" spans="2:6" x14ac:dyDescent="0.2">
      <c r="F18" s="7"/>
    </row>
    <row r="19" spans="2:6" x14ac:dyDescent="0.2">
      <c r="B19" s="12" t="s">
        <v>172</v>
      </c>
    </row>
    <row r="20" spans="2:6" x14ac:dyDescent="0.2">
      <c r="B20" t="s">
        <v>8</v>
      </c>
      <c r="C20" t="s">
        <v>7</v>
      </c>
      <c r="D20" t="s">
        <v>154</v>
      </c>
      <c r="E20" t="s">
        <v>70</v>
      </c>
    </row>
    <row r="21" spans="2:6" x14ac:dyDescent="0.2">
      <c r="B21" t="s">
        <v>155</v>
      </c>
      <c r="D21" t="s">
        <v>156</v>
      </c>
    </row>
    <row r="22" spans="2:6" x14ac:dyDescent="0.2">
      <c r="B22" t="s">
        <v>157</v>
      </c>
      <c r="C22" t="s">
        <v>158</v>
      </c>
    </row>
    <row r="23" spans="2:6" x14ac:dyDescent="0.2">
      <c r="B23" t="s">
        <v>159</v>
      </c>
      <c r="C23" t="s">
        <v>161</v>
      </c>
    </row>
    <row r="24" spans="2:6" x14ac:dyDescent="0.2">
      <c r="B24" t="s">
        <v>160</v>
      </c>
      <c r="C24" t="s">
        <v>162</v>
      </c>
    </row>
    <row r="27" spans="2:6" x14ac:dyDescent="0.2">
      <c r="B27" s="12" t="s">
        <v>173</v>
      </c>
    </row>
    <row r="28" spans="2:6" x14ac:dyDescent="0.2">
      <c r="B28" s="20">
        <v>45660</v>
      </c>
      <c r="C28" t="s">
        <v>71</v>
      </c>
    </row>
    <row r="29" spans="2:6" x14ac:dyDescent="0.2">
      <c r="C29" t="s">
        <v>75</v>
      </c>
    </row>
    <row r="30" spans="2:6" x14ac:dyDescent="0.2">
      <c r="C30" t="s">
        <v>76</v>
      </c>
    </row>
    <row r="32" spans="2:6" x14ac:dyDescent="0.2">
      <c r="B32" s="19">
        <v>45754</v>
      </c>
      <c r="C32" t="s">
        <v>74</v>
      </c>
    </row>
    <row r="33" spans="2:3" x14ac:dyDescent="0.2">
      <c r="C33" t="s">
        <v>72</v>
      </c>
    </row>
    <row r="34" spans="2:3" x14ac:dyDescent="0.2">
      <c r="B34" s="3"/>
      <c r="C34" t="s">
        <v>73</v>
      </c>
    </row>
    <row r="36" spans="2:3" x14ac:dyDescent="0.2">
      <c r="B36" s="12" t="s">
        <v>166</v>
      </c>
      <c r="C36" t="s">
        <v>163</v>
      </c>
    </row>
    <row r="37" spans="2:3" x14ac:dyDescent="0.2">
      <c r="C37" t="s">
        <v>164</v>
      </c>
    </row>
    <row r="38" spans="2:3" x14ac:dyDescent="0.2">
      <c r="C38" t="s">
        <v>167</v>
      </c>
    </row>
    <row r="39" spans="2:3" x14ac:dyDescent="0.2">
      <c r="B39" s="12" t="s">
        <v>165</v>
      </c>
      <c r="C39" t="s">
        <v>168</v>
      </c>
    </row>
    <row r="40" spans="2:3" x14ac:dyDescent="0.2">
      <c r="C40"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4DC73-CBF5-E047-A417-C4663C1CBF05}">
  <dimension ref="B2:F64"/>
  <sheetViews>
    <sheetView workbookViewId="0">
      <pane xSplit="2" ySplit="2" topLeftCell="C3" activePane="bottomRight" state="frozen"/>
      <selection pane="topRight" activeCell="C1" sqref="C1"/>
      <selection pane="bottomLeft" activeCell="A3" sqref="A3"/>
      <selection pane="bottomRight" activeCell="I57" sqref="I57"/>
    </sheetView>
  </sheetViews>
  <sheetFormatPr baseColWidth="10" defaultRowHeight="16" x14ac:dyDescent="0.2"/>
  <cols>
    <col min="2" max="2" width="20" customWidth="1"/>
  </cols>
  <sheetData>
    <row r="2" spans="2:6" x14ac:dyDescent="0.2">
      <c r="B2" s="14" t="s">
        <v>6</v>
      </c>
      <c r="C2" s="12">
        <v>2022</v>
      </c>
      <c r="D2" s="12">
        <v>2023</v>
      </c>
      <c r="E2" s="12">
        <v>2024</v>
      </c>
      <c r="F2" s="12"/>
    </row>
    <row r="3" spans="2:6" x14ac:dyDescent="0.2">
      <c r="B3" t="s">
        <v>30</v>
      </c>
      <c r="C3" s="2"/>
      <c r="D3" s="2">
        <v>10744</v>
      </c>
      <c r="E3" s="2">
        <v>9604</v>
      </c>
    </row>
    <row r="4" spans="2:6" x14ac:dyDescent="0.2">
      <c r="B4" t="s">
        <v>31</v>
      </c>
      <c r="C4" s="2"/>
      <c r="D4" s="2">
        <v>2223</v>
      </c>
      <c r="E4" s="2">
        <v>2070</v>
      </c>
    </row>
    <row r="5" spans="2:6" x14ac:dyDescent="0.2">
      <c r="B5" t="s">
        <v>18</v>
      </c>
      <c r="C5" s="2"/>
      <c r="D5" s="2">
        <v>3525</v>
      </c>
      <c r="E5" s="2">
        <v>2983</v>
      </c>
    </row>
    <row r="6" spans="2:6" x14ac:dyDescent="0.2">
      <c r="B6" t="s">
        <v>19</v>
      </c>
      <c r="C6" s="2"/>
      <c r="D6" s="2">
        <v>1551</v>
      </c>
      <c r="E6" s="2">
        <v>970</v>
      </c>
    </row>
    <row r="7" spans="2:6" x14ac:dyDescent="0.2">
      <c r="B7" t="s">
        <v>22</v>
      </c>
      <c r="C7" s="2"/>
      <c r="D7" s="2">
        <v>10</v>
      </c>
      <c r="E7" s="2">
        <v>13</v>
      </c>
    </row>
    <row r="8" spans="2:6" x14ac:dyDescent="0.2">
      <c r="C8" s="2"/>
      <c r="D8" s="2"/>
      <c r="E8" s="2"/>
    </row>
    <row r="9" spans="2:6" x14ac:dyDescent="0.2">
      <c r="B9" s="12" t="s">
        <v>28</v>
      </c>
      <c r="C9" s="2">
        <v>21065</v>
      </c>
      <c r="D9" s="2">
        <v>18053</v>
      </c>
      <c r="E9" s="2">
        <v>15640</v>
      </c>
    </row>
    <row r="10" spans="2:6" x14ac:dyDescent="0.2">
      <c r="B10" t="s">
        <v>29</v>
      </c>
      <c r="C10" s="2">
        <v>16777</v>
      </c>
      <c r="D10" s="2">
        <v>15803</v>
      </c>
      <c r="E10" s="2">
        <v>14060</v>
      </c>
    </row>
    <row r="11" spans="2:6" x14ac:dyDescent="0.2">
      <c r="B11" t="s">
        <v>32</v>
      </c>
      <c r="C11" s="2">
        <v>422</v>
      </c>
      <c r="D11" s="2">
        <v>501</v>
      </c>
      <c r="E11" s="2">
        <v>435</v>
      </c>
    </row>
    <row r="12" spans="2:6" x14ac:dyDescent="0.2">
      <c r="B12" s="12" t="s">
        <v>33</v>
      </c>
      <c r="C12" s="2">
        <f>C9-C10-C11</f>
        <v>3866</v>
      </c>
      <c r="D12" s="2">
        <f>D9-D10-D11</f>
        <v>1749</v>
      </c>
      <c r="E12" s="2">
        <f>E9-E10-E11</f>
        <v>1145</v>
      </c>
    </row>
    <row r="13" spans="2:6" x14ac:dyDescent="0.2">
      <c r="B13" t="s">
        <v>34</v>
      </c>
      <c r="C13" s="2">
        <v>791</v>
      </c>
      <c r="D13" s="2">
        <v>916</v>
      </c>
      <c r="E13" s="2">
        <v>913</v>
      </c>
    </row>
    <row r="14" spans="2:6" x14ac:dyDescent="0.2">
      <c r="B14" t="s">
        <v>39</v>
      </c>
      <c r="C14" s="2">
        <f>C12-C15-C13</f>
        <v>-85</v>
      </c>
      <c r="D14" s="2">
        <f>D12-D15-D13</f>
        <v>34</v>
      </c>
      <c r="E14" s="2">
        <f>E12-E15-E13</f>
        <v>-8</v>
      </c>
    </row>
    <row r="15" spans="2:6" x14ac:dyDescent="0.2">
      <c r="B15" s="12" t="s">
        <v>35</v>
      </c>
      <c r="C15" s="2">
        <v>3160</v>
      </c>
      <c r="D15" s="2">
        <v>799</v>
      </c>
      <c r="E15" s="2">
        <v>240</v>
      </c>
    </row>
    <row r="16" spans="2:6" x14ac:dyDescent="0.2">
      <c r="B16" t="s">
        <v>37</v>
      </c>
      <c r="C16" s="2">
        <v>159</v>
      </c>
      <c r="D16" s="2">
        <v>72</v>
      </c>
      <c r="E16" s="2">
        <v>24</v>
      </c>
    </row>
    <row r="17" spans="2:5" x14ac:dyDescent="0.2">
      <c r="B17" t="s">
        <v>36</v>
      </c>
      <c r="C17" s="2">
        <f>C18-C15-C16</f>
        <v>-60</v>
      </c>
      <c r="D17" s="2">
        <f t="shared" ref="D17:E17" si="0">D18-D15-D16</f>
        <v>176</v>
      </c>
      <c r="E17" s="2">
        <f t="shared" si="0"/>
        <v>174</v>
      </c>
    </row>
    <row r="18" spans="2:5" x14ac:dyDescent="0.2">
      <c r="B18" s="12" t="s">
        <v>38</v>
      </c>
      <c r="C18" s="2">
        <v>3259</v>
      </c>
      <c r="D18" s="2">
        <v>1047</v>
      </c>
      <c r="E18" s="2">
        <v>438</v>
      </c>
    </row>
    <row r="19" spans="2:5" x14ac:dyDescent="0.2">
      <c r="B19" t="s">
        <v>40</v>
      </c>
      <c r="C19" s="2">
        <v>735</v>
      </c>
      <c r="D19" s="2">
        <v>152</v>
      </c>
      <c r="E19" s="2">
        <v>54</v>
      </c>
    </row>
    <row r="20" spans="2:5" x14ac:dyDescent="0.2">
      <c r="B20" s="12" t="s">
        <v>41</v>
      </c>
      <c r="C20" s="2">
        <f>C18-C19</f>
        <v>2524</v>
      </c>
      <c r="D20" s="2">
        <f t="shared" ref="D20:E20" si="1">D18-D19</f>
        <v>895</v>
      </c>
      <c r="E20" s="2">
        <f t="shared" si="1"/>
        <v>384</v>
      </c>
    </row>
    <row r="21" spans="2:5" x14ac:dyDescent="0.2">
      <c r="B21" s="12"/>
      <c r="C21" s="2"/>
      <c r="D21" s="2"/>
      <c r="E21" s="2"/>
    </row>
    <row r="22" spans="2:5" x14ac:dyDescent="0.2">
      <c r="B22" s="15" t="s">
        <v>116</v>
      </c>
      <c r="C22" s="2"/>
      <c r="D22" s="24">
        <v>3.98</v>
      </c>
      <c r="E22" s="24">
        <v>1.71</v>
      </c>
    </row>
    <row r="23" spans="2:5" x14ac:dyDescent="0.2">
      <c r="B23" s="15" t="s">
        <v>42</v>
      </c>
      <c r="C23" s="2"/>
      <c r="D23" s="24">
        <v>3.56</v>
      </c>
      <c r="E23" s="24">
        <v>1.57</v>
      </c>
    </row>
    <row r="24" spans="2:5" x14ac:dyDescent="0.2">
      <c r="C24" s="2"/>
      <c r="D24" s="2"/>
      <c r="E24" s="2"/>
    </row>
    <row r="25" spans="2:5" x14ac:dyDescent="0.2">
      <c r="B25" t="s">
        <v>3</v>
      </c>
      <c r="D25" s="7">
        <v>2948</v>
      </c>
      <c r="E25" s="7">
        <v>1367</v>
      </c>
    </row>
    <row r="26" spans="2:5" x14ac:dyDescent="0.2">
      <c r="B26" t="s">
        <v>43</v>
      </c>
      <c r="D26" s="7">
        <v>2128</v>
      </c>
      <c r="E26" s="7">
        <v>2168</v>
      </c>
    </row>
    <row r="27" spans="2:5" x14ac:dyDescent="0.2">
      <c r="B27" t="s">
        <v>44</v>
      </c>
      <c r="D27" s="7">
        <f>158+1390</f>
        <v>1548</v>
      </c>
      <c r="E27" s="7">
        <f>162+1236</f>
        <v>1398</v>
      </c>
    </row>
    <row r="28" spans="2:5" x14ac:dyDescent="0.2">
      <c r="B28" t="s">
        <v>45</v>
      </c>
      <c r="D28" s="7">
        <v>319</v>
      </c>
      <c r="E28" s="7">
        <v>299</v>
      </c>
    </row>
    <row r="29" spans="2:5" x14ac:dyDescent="0.2">
      <c r="B29" s="12" t="s">
        <v>47</v>
      </c>
      <c r="D29" s="7">
        <f>SUM(D25:D28)</f>
        <v>6943</v>
      </c>
      <c r="E29" s="7">
        <f>SUM(E25:E28)</f>
        <v>5232</v>
      </c>
    </row>
    <row r="30" spans="2:5" x14ac:dyDescent="0.2">
      <c r="B30" t="s">
        <v>46</v>
      </c>
      <c r="D30" s="7">
        <v>109</v>
      </c>
      <c r="E30" s="7">
        <v>72</v>
      </c>
    </row>
    <row r="31" spans="2:5" x14ac:dyDescent="0.2">
      <c r="B31" t="s">
        <v>48</v>
      </c>
      <c r="D31" s="7">
        <v>10393</v>
      </c>
      <c r="E31" s="7">
        <v>11973</v>
      </c>
    </row>
    <row r="32" spans="2:5" x14ac:dyDescent="0.2">
      <c r="B32" t="s">
        <v>49</v>
      </c>
      <c r="D32" s="7">
        <v>436</v>
      </c>
      <c r="E32" s="7">
        <v>416</v>
      </c>
    </row>
    <row r="33" spans="2:5" x14ac:dyDescent="0.2">
      <c r="B33" t="s">
        <v>50</v>
      </c>
      <c r="D33" s="7">
        <v>920</v>
      </c>
      <c r="E33" s="7">
        <v>920</v>
      </c>
    </row>
    <row r="34" spans="2:5" x14ac:dyDescent="0.2">
      <c r="B34" t="s">
        <v>22</v>
      </c>
      <c r="D34" s="7">
        <f>D35-D33-D32-D31-D30</f>
        <v>1650</v>
      </c>
      <c r="E34" s="7">
        <f>E35-E33-E32-E31-E30</f>
        <v>1622</v>
      </c>
    </row>
    <row r="35" spans="2:5" x14ac:dyDescent="0.2">
      <c r="B35" s="12" t="s">
        <v>51</v>
      </c>
      <c r="D35" s="7">
        <f>D36-D29</f>
        <v>13508</v>
      </c>
      <c r="E35" s="7">
        <f>E36-E29</f>
        <v>15003</v>
      </c>
    </row>
    <row r="36" spans="2:5" x14ac:dyDescent="0.2">
      <c r="B36" s="12" t="s">
        <v>52</v>
      </c>
      <c r="C36" s="12"/>
      <c r="D36" s="16">
        <v>20451</v>
      </c>
      <c r="E36" s="16">
        <v>20235</v>
      </c>
    </row>
    <row r="38" spans="2:5" x14ac:dyDescent="0.2">
      <c r="B38" t="s">
        <v>53</v>
      </c>
      <c r="D38" s="7">
        <f>142+44+70</f>
        <v>256</v>
      </c>
      <c r="E38" s="7">
        <f>95+35+70</f>
        <v>200</v>
      </c>
    </row>
    <row r="39" spans="2:5" x14ac:dyDescent="0.2">
      <c r="B39" t="s">
        <v>60</v>
      </c>
      <c r="D39" s="7">
        <v>44</v>
      </c>
      <c r="E39" s="7">
        <v>35</v>
      </c>
    </row>
    <row r="40" spans="2:5" x14ac:dyDescent="0.2">
      <c r="B40" t="s">
        <v>54</v>
      </c>
      <c r="D40" s="7">
        <f>D41-D38</f>
        <v>3692</v>
      </c>
      <c r="E40" s="7">
        <f>E41-E38</f>
        <v>3173</v>
      </c>
    </row>
    <row r="41" spans="2:5" x14ac:dyDescent="0.2">
      <c r="B41" s="12" t="s">
        <v>56</v>
      </c>
      <c r="D41" s="7">
        <v>3948</v>
      </c>
      <c r="E41" s="7">
        <v>3373</v>
      </c>
    </row>
    <row r="42" spans="2:5" x14ac:dyDescent="0.2">
      <c r="B42" t="s">
        <v>59</v>
      </c>
      <c r="D42" s="8">
        <f>73+4080</f>
        <v>4153</v>
      </c>
      <c r="E42" s="8">
        <f>4078+44</f>
        <v>4122</v>
      </c>
    </row>
    <row r="43" spans="2:5" x14ac:dyDescent="0.2">
      <c r="B43" t="s">
        <v>60</v>
      </c>
      <c r="D43" s="8">
        <v>73</v>
      </c>
      <c r="E43" s="8">
        <v>44</v>
      </c>
    </row>
    <row r="44" spans="2:5" x14ac:dyDescent="0.2">
      <c r="B44" t="s">
        <v>61</v>
      </c>
      <c r="D44" s="8">
        <f>D45-D42</f>
        <v>1210</v>
      </c>
      <c r="E44" s="8">
        <f>E45-E42</f>
        <v>1300</v>
      </c>
    </row>
    <row r="45" spans="2:5" x14ac:dyDescent="0.2">
      <c r="B45" s="12" t="s">
        <v>57</v>
      </c>
      <c r="D45" s="8">
        <f>D46-D41</f>
        <v>5363</v>
      </c>
      <c r="E45" s="8">
        <f>E46-E41</f>
        <v>5422</v>
      </c>
    </row>
    <row r="46" spans="2:5" x14ac:dyDescent="0.2">
      <c r="B46" s="12" t="s">
        <v>58</v>
      </c>
      <c r="D46" s="17">
        <v>9311</v>
      </c>
      <c r="E46" s="17">
        <v>8795</v>
      </c>
    </row>
    <row r="47" spans="2:5" x14ac:dyDescent="0.2">
      <c r="B47" s="12" t="s">
        <v>62</v>
      </c>
      <c r="D47" s="17">
        <f>D36-D46</f>
        <v>11140</v>
      </c>
      <c r="E47" s="17">
        <f>E36-E46</f>
        <v>11440</v>
      </c>
    </row>
    <row r="48" spans="2:5" x14ac:dyDescent="0.2">
      <c r="B48" s="15" t="s">
        <v>79</v>
      </c>
      <c r="D48">
        <v>93</v>
      </c>
      <c r="E48">
        <v>93</v>
      </c>
    </row>
    <row r="50" spans="2:5" x14ac:dyDescent="0.2">
      <c r="B50" s="12" t="s">
        <v>9</v>
      </c>
      <c r="D50">
        <v>2100</v>
      </c>
      <c r="E50">
        <v>919</v>
      </c>
    </row>
    <row r="51" spans="2:5" x14ac:dyDescent="0.2">
      <c r="B51" s="12" t="s">
        <v>68</v>
      </c>
      <c r="D51">
        <v>-2568</v>
      </c>
      <c r="E51">
        <v>-2276</v>
      </c>
    </row>
    <row r="52" spans="2:5" x14ac:dyDescent="0.2">
      <c r="B52" s="15" t="s">
        <v>67</v>
      </c>
      <c r="E52">
        <v>-2287</v>
      </c>
    </row>
    <row r="53" spans="2:5" x14ac:dyDescent="0.2">
      <c r="B53" s="15" t="s">
        <v>148</v>
      </c>
      <c r="D53">
        <v>-2576</v>
      </c>
      <c r="E53">
        <v>-495</v>
      </c>
    </row>
    <row r="54" spans="2:5" x14ac:dyDescent="0.2">
      <c r="B54" s="12" t="s">
        <v>69</v>
      </c>
      <c r="D54">
        <v>-98</v>
      </c>
      <c r="E54">
        <v>-199</v>
      </c>
    </row>
    <row r="55" spans="2:5" x14ac:dyDescent="0.2">
      <c r="B55" s="15" t="s">
        <v>64</v>
      </c>
      <c r="D55">
        <v>15</v>
      </c>
      <c r="E55">
        <v>-19</v>
      </c>
    </row>
    <row r="56" spans="2:5" x14ac:dyDescent="0.2">
      <c r="B56" s="12" t="s">
        <v>65</v>
      </c>
      <c r="D56">
        <f>D50+D51+D54+D55</f>
        <v>-551</v>
      </c>
      <c r="E56">
        <f>E50+E51+E54+E55</f>
        <v>-1575</v>
      </c>
    </row>
    <row r="58" spans="2:5" x14ac:dyDescent="0.2">
      <c r="B58" s="15"/>
    </row>
    <row r="59" spans="2:5" x14ac:dyDescent="0.2">
      <c r="B59" s="15"/>
    </row>
    <row r="60" spans="2:5" x14ac:dyDescent="0.2">
      <c r="B60" s="15"/>
      <c r="E60" s="18"/>
    </row>
    <row r="61" spans="2:5" x14ac:dyDescent="0.2">
      <c r="B61" s="15"/>
    </row>
    <row r="62" spans="2:5" x14ac:dyDescent="0.2">
      <c r="B62" s="15"/>
    </row>
    <row r="63" spans="2:5" x14ac:dyDescent="0.2">
      <c r="B63" s="15"/>
    </row>
    <row r="64" spans="2:5" x14ac:dyDescent="0.2">
      <c r="B64" s="15"/>
      <c r="E64"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2DE55-63A8-A84C-8B23-1D54F35347A4}">
  <dimension ref="B1:J50"/>
  <sheetViews>
    <sheetView tabSelected="1" topLeftCell="A36" zoomScale="125" workbookViewId="0">
      <selection activeCell="H20" sqref="H20"/>
    </sheetView>
  </sheetViews>
  <sheetFormatPr baseColWidth="10" defaultRowHeight="16" x14ac:dyDescent="0.2"/>
  <cols>
    <col min="2" max="2" width="36.6640625" customWidth="1"/>
    <col min="3" max="3" width="11.33203125" customWidth="1"/>
    <col min="4" max="4" width="11.5" customWidth="1"/>
    <col min="7" max="7" width="10.1640625" customWidth="1"/>
  </cols>
  <sheetData>
    <row r="1" spans="2:9" x14ac:dyDescent="0.2">
      <c r="C1" s="12" t="s">
        <v>149</v>
      </c>
      <c r="D1" s="12">
        <v>2022</v>
      </c>
      <c r="E1" s="12">
        <v>2023</v>
      </c>
      <c r="F1" s="12">
        <v>2024</v>
      </c>
      <c r="G1" s="12" t="s">
        <v>140</v>
      </c>
    </row>
    <row r="2" spans="2:9" x14ac:dyDescent="0.2">
      <c r="B2" t="s">
        <v>55</v>
      </c>
      <c r="D2" s="7">
        <f>'Fin Statements'!C36-'Fin Statements'!C25-'Fin Statements'!C33-'Fin Statements'!C40</f>
        <v>0</v>
      </c>
      <c r="E2" s="7">
        <f>'Fin Statements'!D36-'Fin Statements'!D25-'Fin Statements'!D33-'Fin Statements'!D40</f>
        <v>12891</v>
      </c>
      <c r="F2" s="7">
        <f>'Fin Statements'!E36-'Fin Statements'!E25-'Fin Statements'!E33-'Fin Statements'!E40</f>
        <v>14775</v>
      </c>
      <c r="I2" t="s">
        <v>77</v>
      </c>
    </row>
    <row r="3" spans="2:9" x14ac:dyDescent="0.2">
      <c r="B3" t="s">
        <v>82</v>
      </c>
      <c r="D3" s="7">
        <f>'Fin Statements'!C36-'Fin Statements'!C33-'Fin Statements'!C40</f>
        <v>0</v>
      </c>
      <c r="E3" s="7">
        <f>'Fin Statements'!D36-'Fin Statements'!D33-'Fin Statements'!D40</f>
        <v>15839</v>
      </c>
      <c r="F3" s="7">
        <f>'Fin Statements'!E36-'Fin Statements'!E33-'Fin Statements'!E40</f>
        <v>16142</v>
      </c>
      <c r="I3" t="s">
        <v>83</v>
      </c>
    </row>
    <row r="4" spans="2:9" x14ac:dyDescent="0.2">
      <c r="B4" t="s">
        <v>63</v>
      </c>
      <c r="D4" s="7">
        <f>'Fin Statements'!C15</f>
        <v>3160</v>
      </c>
      <c r="E4" s="7">
        <f>'Fin Statements'!D15</f>
        <v>799</v>
      </c>
      <c r="F4" s="7">
        <f>'Fin Statements'!E15</f>
        <v>240</v>
      </c>
      <c r="G4">
        <v>750</v>
      </c>
      <c r="I4" t="s">
        <v>35</v>
      </c>
    </row>
    <row r="5" spans="2:9" x14ac:dyDescent="0.2">
      <c r="B5" t="s">
        <v>66</v>
      </c>
      <c r="D5" s="7">
        <f>'Fin Statements'!C50+'Fin Statements'!C53</f>
        <v>0</v>
      </c>
      <c r="E5" s="7">
        <f>'Fin Statements'!D50+'Fin Statements'!D53</f>
        <v>-476</v>
      </c>
      <c r="F5" s="7">
        <f>'Fin Statements'!E50+'Fin Statements'!E53</f>
        <v>424</v>
      </c>
      <c r="G5">
        <v>500</v>
      </c>
      <c r="H5" t="s">
        <v>144</v>
      </c>
      <c r="I5" t="s">
        <v>78</v>
      </c>
    </row>
    <row r="6" spans="2:9" x14ac:dyDescent="0.2">
      <c r="B6" t="s">
        <v>80</v>
      </c>
      <c r="D6" s="7">
        <f>'Fin Statements'!C47-'Fin Statements'!C48</f>
        <v>0</v>
      </c>
      <c r="E6" s="7">
        <f>'Fin Statements'!D47-'Fin Statements'!D48</f>
        <v>11047</v>
      </c>
      <c r="F6" s="7">
        <f>'Fin Statements'!E47-'Fin Statements'!E48</f>
        <v>11347</v>
      </c>
      <c r="I6" t="s">
        <v>81</v>
      </c>
    </row>
    <row r="7" spans="2:9" x14ac:dyDescent="0.2">
      <c r="B7" t="s">
        <v>118</v>
      </c>
      <c r="D7" s="7"/>
      <c r="E7" s="7">
        <f>E6-'Fin Statements'!D32-'Fin Statements'!D33</f>
        <v>9691</v>
      </c>
      <c r="F7" s="7">
        <f>F6-'Fin Statements'!E32-'Fin Statements'!E33</f>
        <v>10011</v>
      </c>
      <c r="I7" t="s">
        <v>122</v>
      </c>
    </row>
    <row r="8" spans="2:9" x14ac:dyDescent="0.2">
      <c r="B8" t="s">
        <v>117</v>
      </c>
      <c r="E8" s="6">
        <f>'Fin Statements'!D20/'Fin Statements'!D23</f>
        <v>251.40449438202248</v>
      </c>
      <c r="F8" s="6">
        <f>'Fin Statements'!E20/'Fin Statements'!E23</f>
        <v>244.5859872611465</v>
      </c>
      <c r="I8" t="s">
        <v>123</v>
      </c>
    </row>
    <row r="9" spans="2:9" x14ac:dyDescent="0.2">
      <c r="B9" t="s">
        <v>5</v>
      </c>
      <c r="E9" s="7">
        <f>Overview!C6+'Fin Statements'!D48+'Fin Statements'!D42+'Fin Statements'!D38-'Fin Statements'!D25</f>
        <v>11576.135318000001</v>
      </c>
      <c r="F9" s="7">
        <f>Overview!C6+'Fin Statements'!E48+'Fin Statements'!E42+'Fin Statements'!E38-'Fin Statements'!E25</f>
        <v>13070.135318000001</v>
      </c>
      <c r="I9" t="s">
        <v>121</v>
      </c>
    </row>
    <row r="10" spans="2:9" x14ac:dyDescent="0.2">
      <c r="G10" t="s">
        <v>119</v>
      </c>
    </row>
    <row r="11" spans="2:9" x14ac:dyDescent="0.2">
      <c r="B11" t="s">
        <v>84</v>
      </c>
      <c r="C11" s="25">
        <v>0.15</v>
      </c>
      <c r="E11" s="21" t="e">
        <f>E4/D2</f>
        <v>#DIV/0!</v>
      </c>
      <c r="F11" s="21">
        <f>F4/E2</f>
        <v>1.8617640214102862E-2</v>
      </c>
      <c r="G11" s="25">
        <v>0.15</v>
      </c>
    </row>
    <row r="12" spans="2:9" x14ac:dyDescent="0.2">
      <c r="B12" t="s">
        <v>85</v>
      </c>
      <c r="E12" s="21">
        <f>E4/E2</f>
        <v>6.198122721278411E-2</v>
      </c>
      <c r="F12" s="21">
        <f>F4/F2</f>
        <v>1.6243654822335026E-2</v>
      </c>
      <c r="G12" s="25">
        <v>0.15</v>
      </c>
    </row>
    <row r="13" spans="2:9" x14ac:dyDescent="0.2">
      <c r="B13" t="s">
        <v>86</v>
      </c>
      <c r="E13" s="23" t="e">
        <f>E4/D3</f>
        <v>#DIV/0!</v>
      </c>
      <c r="F13" s="21">
        <f>F4/E3</f>
        <v>1.5152471746953722E-2</v>
      </c>
      <c r="G13" s="25">
        <v>0.15</v>
      </c>
    </row>
    <row r="14" spans="2:9" x14ac:dyDescent="0.2">
      <c r="B14" t="s">
        <v>87</v>
      </c>
      <c r="E14" s="21">
        <f>E4/E3</f>
        <v>5.0445103857566766E-2</v>
      </c>
      <c r="F14" s="21">
        <f>F4/F3</f>
        <v>1.4868046090942883E-2</v>
      </c>
      <c r="G14" s="25">
        <v>0.15</v>
      </c>
    </row>
    <row r="15" spans="2:9" x14ac:dyDescent="0.2">
      <c r="B15" t="s">
        <v>89</v>
      </c>
      <c r="C15" s="25">
        <v>0.14000000000000001</v>
      </c>
      <c r="E15" s="23" t="e">
        <f>E5/D2</f>
        <v>#DIV/0!</v>
      </c>
      <c r="F15" s="21">
        <f>F5/E2</f>
        <v>3.2891164378248391E-2</v>
      </c>
      <c r="G15" s="25">
        <v>0.08</v>
      </c>
      <c r="H15" t="s">
        <v>88</v>
      </c>
    </row>
    <row r="16" spans="2:9" x14ac:dyDescent="0.2">
      <c r="B16" t="s">
        <v>90</v>
      </c>
      <c r="E16" s="21">
        <f>E5/E2</f>
        <v>-3.6924986424637346E-2</v>
      </c>
      <c r="F16" s="21">
        <f>F5/F2</f>
        <v>2.8697123519458544E-2</v>
      </c>
      <c r="G16" s="25">
        <v>0.08</v>
      </c>
    </row>
    <row r="17" spans="2:10" x14ac:dyDescent="0.2">
      <c r="B17" t="s">
        <v>91</v>
      </c>
      <c r="E17" s="23" t="e">
        <f>E5/D3</f>
        <v>#DIV/0!</v>
      </c>
      <c r="F17" s="21">
        <f>F5/E3</f>
        <v>2.6769366752951575E-2</v>
      </c>
      <c r="G17" s="25">
        <v>0.08</v>
      </c>
    </row>
    <row r="18" spans="2:10" x14ac:dyDescent="0.2">
      <c r="B18" t="s">
        <v>92</v>
      </c>
      <c r="E18" s="21">
        <f>E5/E3</f>
        <v>-3.0052402298124881E-2</v>
      </c>
      <c r="F18" s="21">
        <f>F5/F3</f>
        <v>2.6266881427332425E-2</v>
      </c>
      <c r="G18" s="25">
        <v>0.08</v>
      </c>
    </row>
    <row r="19" spans="2:10" x14ac:dyDescent="0.2">
      <c r="B19" t="s">
        <v>93</v>
      </c>
      <c r="C19" s="25" t="s">
        <v>151</v>
      </c>
      <c r="D19" t="s">
        <v>150</v>
      </c>
      <c r="F19" s="21">
        <f>(F4/F8)/(E4/E8)-1</f>
        <v>-0.69125073828240358</v>
      </c>
      <c r="G19" s="25">
        <v>0.03</v>
      </c>
    </row>
    <row r="20" spans="2:10" x14ac:dyDescent="0.2">
      <c r="B20" t="s">
        <v>94</v>
      </c>
      <c r="C20" s="25">
        <v>0.13</v>
      </c>
      <c r="F20" s="21">
        <f>(F5/F8)/(E5/E8)-1</f>
        <v>-1.9155885844506342</v>
      </c>
      <c r="G20" s="25">
        <v>0.03</v>
      </c>
    </row>
    <row r="21" spans="2:10" x14ac:dyDescent="0.2">
      <c r="B21" t="s">
        <v>95</v>
      </c>
      <c r="C21" s="25">
        <v>0.14000000000000001</v>
      </c>
      <c r="F21" s="21">
        <f>(F6/F8)/(E6/E8)-1</f>
        <v>5.5791512135626498E-2</v>
      </c>
      <c r="G21" s="25">
        <v>0.03</v>
      </c>
    </row>
    <row r="22" spans="2:10" x14ac:dyDescent="0.2">
      <c r="B22" t="s">
        <v>96</v>
      </c>
      <c r="C22" s="25">
        <v>0.12</v>
      </c>
      <c r="F22" s="21">
        <f>(F7/F8)/(E7/E8)-1</f>
        <v>6.1818611075926011E-2</v>
      </c>
      <c r="G22" s="25">
        <v>0.03</v>
      </c>
    </row>
    <row r="23" spans="2:10" x14ac:dyDescent="0.2">
      <c r="B23" t="s">
        <v>97</v>
      </c>
      <c r="E23" s="4">
        <f>'Fin Statements'!D46/Valuation!E6</f>
        <v>0.84285326332941068</v>
      </c>
      <c r="F23" s="4">
        <f>'Fin Statements'!E46/Valuation!F6</f>
        <v>0.77509473869745305</v>
      </c>
      <c r="G23" t="s">
        <v>120</v>
      </c>
    </row>
    <row r="24" spans="2:10" x14ac:dyDescent="0.2">
      <c r="J24" t="s">
        <v>141</v>
      </c>
    </row>
    <row r="25" spans="2:10" x14ac:dyDescent="0.2">
      <c r="B25" t="s">
        <v>112</v>
      </c>
      <c r="E25" s="6">
        <f>Overview!C6/Valuation!E5</f>
        <v>-21.054906130252103</v>
      </c>
      <c r="F25" s="6">
        <f>Overview!C6/Valuation!F5</f>
        <v>23.637111599056606</v>
      </c>
      <c r="G25" s="7">
        <f>Overview!C6/G5</f>
        <v>20.044270636</v>
      </c>
      <c r="H25" s="7">
        <v>8</v>
      </c>
      <c r="I25" t="s">
        <v>170</v>
      </c>
      <c r="J25" s="5">
        <f>G5*H25/Valuation!F8</f>
        <v>16.354166666666668</v>
      </c>
    </row>
    <row r="26" spans="2:10" x14ac:dyDescent="0.2">
      <c r="B26" t="s">
        <v>113</v>
      </c>
      <c r="E26" s="6">
        <f>E9/E4</f>
        <v>14.48827949687109</v>
      </c>
      <c r="F26" s="6">
        <f>F9/F4</f>
        <v>54.458897158333336</v>
      </c>
      <c r="G26" s="8">
        <f>F9/G4</f>
        <v>17.426847090666666</v>
      </c>
      <c r="H26" s="7">
        <v>7</v>
      </c>
      <c r="I26" t="s">
        <v>170</v>
      </c>
      <c r="J26" s="5">
        <f>G4*H26/F8</f>
        <v>21.46484375</v>
      </c>
    </row>
    <row r="27" spans="2:10" x14ac:dyDescent="0.2">
      <c r="B27" t="s">
        <v>114</v>
      </c>
      <c r="E27" s="4">
        <f>Overview!C6/Valuation!E6</f>
        <v>0.90722687770435417</v>
      </c>
      <c r="F27" s="4">
        <f>Overview!C6/Valuation!F6</f>
        <v>0.88324097276813263</v>
      </c>
      <c r="H27" s="7">
        <v>3</v>
      </c>
      <c r="I27" t="s">
        <v>170</v>
      </c>
      <c r="J27" s="5">
        <f>F6*1/F8</f>
        <v>46.392682291666667</v>
      </c>
    </row>
    <row r="28" spans="2:10" x14ac:dyDescent="0.2">
      <c r="B28" t="s">
        <v>115</v>
      </c>
      <c r="E28" s="4">
        <f>Overview!C6/Valuation!E7</f>
        <v>1.0341693651841917</v>
      </c>
      <c r="F28" s="4">
        <f>Overview!C6/Valuation!F7</f>
        <v>1.001112308260913</v>
      </c>
      <c r="H28" s="7">
        <v>3</v>
      </c>
      <c r="I28" t="s">
        <v>170</v>
      </c>
      <c r="J28" s="5">
        <f>F7*1/F8</f>
        <v>40.930390625000001</v>
      </c>
    </row>
    <row r="30" spans="2:10" x14ac:dyDescent="0.2">
      <c r="B30" s="12" t="s">
        <v>124</v>
      </c>
      <c r="C30" s="12"/>
    </row>
    <row r="31" spans="2:10" x14ac:dyDescent="0.2">
      <c r="B31" t="s">
        <v>99</v>
      </c>
      <c r="C31" t="s">
        <v>152</v>
      </c>
    </row>
    <row r="32" spans="2:10" x14ac:dyDescent="0.2">
      <c r="C32" t="s">
        <v>153</v>
      </c>
    </row>
    <row r="33" spans="2:4" x14ac:dyDescent="0.2">
      <c r="B33" t="s">
        <v>100</v>
      </c>
      <c r="C33" t="s">
        <v>137</v>
      </c>
    </row>
    <row r="34" spans="2:4" x14ac:dyDescent="0.2">
      <c r="C34" t="s">
        <v>138</v>
      </c>
    </row>
    <row r="35" spans="2:4" x14ac:dyDescent="0.2">
      <c r="C35" t="s">
        <v>139</v>
      </c>
    </row>
    <row r="36" spans="2:4" x14ac:dyDescent="0.2">
      <c r="B36" s="12" t="s">
        <v>98</v>
      </c>
    </row>
    <row r="37" spans="2:4" x14ac:dyDescent="0.2">
      <c r="B37" t="s">
        <v>101</v>
      </c>
      <c r="C37" t="s">
        <v>126</v>
      </c>
      <c r="D37" t="s">
        <v>125</v>
      </c>
    </row>
    <row r="38" spans="2:4" x14ac:dyDescent="0.2">
      <c r="B38" t="s">
        <v>102</v>
      </c>
      <c r="C38" t="s">
        <v>127</v>
      </c>
      <c r="D38" t="s">
        <v>128</v>
      </c>
    </row>
    <row r="39" spans="2:4" x14ac:dyDescent="0.2">
      <c r="B39" t="s">
        <v>103</v>
      </c>
      <c r="C39" t="s">
        <v>127</v>
      </c>
      <c r="D39" t="s">
        <v>129</v>
      </c>
    </row>
    <row r="40" spans="2:4" x14ac:dyDescent="0.2">
      <c r="B40" t="s">
        <v>104</v>
      </c>
      <c r="C40" t="s">
        <v>127</v>
      </c>
      <c r="D40" t="s">
        <v>130</v>
      </c>
    </row>
    <row r="42" spans="2:4" x14ac:dyDescent="0.2">
      <c r="B42" s="12" t="s">
        <v>105</v>
      </c>
    </row>
    <row r="43" spans="2:4" x14ac:dyDescent="0.2">
      <c r="B43" s="22" t="s">
        <v>106</v>
      </c>
      <c r="C43" t="s">
        <v>131</v>
      </c>
    </row>
    <row r="44" spans="2:4" x14ac:dyDescent="0.2">
      <c r="B44" s="22" t="s">
        <v>107</v>
      </c>
      <c r="C44" t="s">
        <v>132</v>
      </c>
    </row>
    <row r="45" spans="2:4" x14ac:dyDescent="0.2">
      <c r="B45" s="22" t="s">
        <v>108</v>
      </c>
      <c r="C45" t="s">
        <v>133</v>
      </c>
    </row>
    <row r="46" spans="2:4" x14ac:dyDescent="0.2">
      <c r="B46" s="22" t="s">
        <v>109</v>
      </c>
      <c r="C46" t="s">
        <v>135</v>
      </c>
    </row>
    <row r="47" spans="2:4" x14ac:dyDescent="0.2">
      <c r="B47" s="22" t="s">
        <v>110</v>
      </c>
      <c r="C47" t="s">
        <v>134</v>
      </c>
    </row>
    <row r="48" spans="2:4" x14ac:dyDescent="0.2">
      <c r="B48" s="22" t="s">
        <v>111</v>
      </c>
      <c r="C48" t="s">
        <v>136</v>
      </c>
    </row>
    <row r="50" spans="2:3" x14ac:dyDescent="0.2">
      <c r="B50" s="12"/>
      <c r="C50"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Fin Statements</vt:lpstr>
      <vt:lpstr>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MALLARINO</dc:creator>
  <cp:lastModifiedBy>MARCO MALLARINO</cp:lastModifiedBy>
  <dcterms:created xsi:type="dcterms:W3CDTF">2025-04-06T19:12:28Z</dcterms:created>
  <dcterms:modified xsi:type="dcterms:W3CDTF">2025-04-10T19:22:55Z</dcterms:modified>
</cp:coreProperties>
</file>