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/Desktop/"/>
    </mc:Choice>
  </mc:AlternateContent>
  <xr:revisionPtr revIDLastSave="0" documentId="13_ncr:1_{4FE03D1A-D015-9248-8E28-64BAD00C1167}" xr6:coauthVersionLast="47" xr6:coauthVersionMax="47" xr10:uidLastSave="{00000000-0000-0000-0000-000000000000}"/>
  <bookViews>
    <workbookView xWindow="0" yWindow="500" windowWidth="27120" windowHeight="15980" activeTab="1" xr2:uid="{73E51246-EA10-2E40-A7C0-D735283992C5}"/>
  </bookViews>
  <sheets>
    <sheet name="Forecast" sheetId="2" r:id="rId1"/>
    <sheet name="Rat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  <c r="T12" i="3"/>
  <c r="D3" i="3"/>
  <c r="G4" i="3"/>
  <c r="H11" i="3"/>
  <c r="H10" i="3"/>
  <c r="H9" i="3"/>
  <c r="H8" i="3"/>
  <c r="H7" i="3"/>
  <c r="H6" i="3"/>
  <c r="H4" i="3"/>
  <c r="I31" i="2" l="1"/>
  <c r="F44" i="2" l="1"/>
  <c r="G44" i="2"/>
  <c r="D44" i="2"/>
  <c r="I43" i="2"/>
  <c r="I44" i="2"/>
  <c r="T5" i="3"/>
  <c r="T10" i="3"/>
  <c r="T6" i="3"/>
  <c r="I7" i="2"/>
  <c r="I11" i="2"/>
  <c r="J11" i="2" s="1"/>
  <c r="K11" i="2" s="1"/>
  <c r="J33" i="2" l="1"/>
  <c r="K33" i="2"/>
  <c r="L33" i="2"/>
  <c r="M33" i="2"/>
  <c r="I33" i="2"/>
  <c r="I34" i="2"/>
  <c r="J34" i="2" s="1"/>
  <c r="K34" i="2" s="1"/>
  <c r="L34" i="2" s="1"/>
  <c r="I36" i="2"/>
  <c r="J31" i="2"/>
  <c r="K31" i="2"/>
  <c r="L31" i="2"/>
  <c r="M31" i="2"/>
  <c r="J44" i="2"/>
  <c r="J43" i="2"/>
  <c r="K43" i="2"/>
  <c r="L43" i="2"/>
  <c r="M43" i="2"/>
  <c r="I32" i="2"/>
  <c r="I29" i="2" s="1"/>
  <c r="J35" i="2"/>
  <c r="K35" i="2"/>
  <c r="L35" i="2"/>
  <c r="M35" i="2"/>
  <c r="I35" i="2"/>
  <c r="J36" i="2"/>
  <c r="K36" i="2"/>
  <c r="L36" i="2"/>
  <c r="M36" i="2"/>
  <c r="K44" i="2"/>
  <c r="L44" i="2"/>
  <c r="M44" i="2"/>
  <c r="I14" i="2"/>
  <c r="I19" i="2"/>
  <c r="I20" i="2"/>
  <c r="J20" i="2" s="1"/>
  <c r="G18" i="2"/>
  <c r="J19" i="2" l="1"/>
  <c r="I30" i="2"/>
  <c r="M34" i="2"/>
  <c r="L38" i="2"/>
  <c r="K20" i="2"/>
  <c r="L20" i="2" s="1"/>
  <c r="M20" i="2" s="1"/>
  <c r="I38" i="2"/>
  <c r="I39" i="2" s="1"/>
  <c r="I40" i="2" s="1"/>
  <c r="I15" i="2"/>
  <c r="J15" i="2" s="1"/>
  <c r="K15" i="2" s="1"/>
  <c r="L15" i="2" s="1"/>
  <c r="M15" i="2" s="1"/>
  <c r="I16" i="2"/>
  <c r="J16" i="2" s="1"/>
  <c r="K16" i="2" s="1"/>
  <c r="L16" i="2" s="1"/>
  <c r="M16" i="2" s="1"/>
  <c r="I17" i="2"/>
  <c r="J17" i="2" s="1"/>
  <c r="K17" i="2" s="1"/>
  <c r="L17" i="2" s="1"/>
  <c r="M17" i="2" s="1"/>
  <c r="I9" i="2"/>
  <c r="K19" i="2" l="1"/>
  <c r="I41" i="2"/>
  <c r="I18" i="2"/>
  <c r="J7" i="2"/>
  <c r="J14" i="2"/>
  <c r="K14" i="2" s="1"/>
  <c r="L14" i="2" s="1"/>
  <c r="M14" i="2" s="1"/>
  <c r="L11" i="2"/>
  <c r="M11" i="2" s="1"/>
  <c r="L19" i="2" l="1"/>
  <c r="K7" i="2"/>
  <c r="L7" i="2" s="1"/>
  <c r="J41" i="2"/>
  <c r="K41" i="2"/>
  <c r="I21" i="2"/>
  <c r="J9" i="2"/>
  <c r="G21" i="2"/>
  <c r="F18" i="2"/>
  <c r="E18" i="2"/>
  <c r="G32" i="2"/>
  <c r="J38" i="2"/>
  <c r="K38" i="2"/>
  <c r="M38" i="2"/>
  <c r="F38" i="2"/>
  <c r="G38" i="2"/>
  <c r="M19" i="2" l="1"/>
  <c r="K9" i="2"/>
  <c r="M7" i="2"/>
  <c r="L41" i="2"/>
  <c r="K18" i="2"/>
  <c r="J18" i="2"/>
  <c r="G39" i="2"/>
  <c r="L9" i="2" l="1"/>
  <c r="J21" i="2"/>
  <c r="K21" i="2"/>
  <c r="M41" i="2"/>
  <c r="L18" i="2"/>
  <c r="M18" i="2"/>
  <c r="I42" i="2"/>
  <c r="I45" i="2" s="1"/>
  <c r="I22" i="2" s="1"/>
  <c r="E3" i="3" s="1"/>
  <c r="E38" i="2"/>
  <c r="E32" i="2"/>
  <c r="E19" i="2"/>
  <c r="E12" i="2"/>
  <c r="E7" i="2"/>
  <c r="F21" i="2"/>
  <c r="D20" i="2"/>
  <c r="D18" i="2"/>
  <c r="D12" i="2"/>
  <c r="D13" i="2" s="1"/>
  <c r="D23" i="2" s="1"/>
  <c r="D24" i="2" s="1"/>
  <c r="O7" i="3" l="1"/>
  <c r="O8" i="3" s="1"/>
  <c r="F3" i="3"/>
  <c r="M9" i="2"/>
  <c r="M21" i="2"/>
  <c r="L21" i="2"/>
  <c r="D21" i="2"/>
  <c r="D22" i="2" s="1"/>
  <c r="E39" i="2"/>
  <c r="E42" i="2" s="1"/>
  <c r="E45" i="2" s="1"/>
  <c r="E13" i="2"/>
  <c r="E24" i="2" s="1"/>
  <c r="E21" i="2"/>
  <c r="E22" i="2" s="1"/>
  <c r="D38" i="2"/>
  <c r="D32" i="2"/>
  <c r="F32" i="2"/>
  <c r="F6" i="2"/>
  <c r="G6" i="2"/>
  <c r="G12" i="2"/>
  <c r="F12" i="2"/>
  <c r="I12" i="2" l="1"/>
  <c r="J12" i="2" s="1"/>
  <c r="K12" i="2" s="1"/>
  <c r="L12" i="2" s="1"/>
  <c r="M12" i="2" s="1"/>
  <c r="I6" i="2"/>
  <c r="G13" i="2"/>
  <c r="G23" i="2" s="1"/>
  <c r="G24" i="2" s="1"/>
  <c r="G42" i="2"/>
  <c r="D39" i="2"/>
  <c r="D42" i="2" s="1"/>
  <c r="D45" i="2" s="1"/>
  <c r="F39" i="2"/>
  <c r="F42" i="2" s="1"/>
  <c r="F13" i="2"/>
  <c r="F23" i="2" s="1"/>
  <c r="F24" i="2" s="1"/>
  <c r="I13" i="2" l="1"/>
  <c r="J6" i="2"/>
  <c r="F45" i="2"/>
  <c r="G45" i="2"/>
  <c r="J32" i="2" l="1"/>
  <c r="K6" i="2"/>
  <c r="J13" i="2"/>
  <c r="K13" i="2" l="1"/>
  <c r="K32" i="2"/>
  <c r="L6" i="2"/>
  <c r="J29" i="2"/>
  <c r="J30" i="2" s="1"/>
  <c r="J39" i="2"/>
  <c r="J40" i="2" s="1"/>
  <c r="J42" i="2" s="1"/>
  <c r="I23" i="2"/>
  <c r="I24" i="2" s="1"/>
  <c r="K29" i="2" l="1"/>
  <c r="K30" i="2" s="1"/>
  <c r="K39" i="2"/>
  <c r="K40" i="2" s="1"/>
  <c r="K42" i="2" s="1"/>
  <c r="K45" i="2" s="1"/>
  <c r="J45" i="2"/>
  <c r="J22" i="2" s="1"/>
  <c r="J23" i="2" s="1"/>
  <c r="J24" i="2" s="1"/>
  <c r="M6" i="2"/>
  <c r="L13" i="2"/>
  <c r="L32" i="2"/>
  <c r="K22" i="2" l="1"/>
  <c r="K23" i="2" s="1"/>
  <c r="K24" i="2" s="1"/>
  <c r="L29" i="2"/>
  <c r="L30" i="2" s="1"/>
  <c r="L39" i="2"/>
  <c r="L40" i="2" s="1"/>
  <c r="L42" i="2" s="1"/>
  <c r="L45" i="2" s="1"/>
  <c r="L22" i="2" s="1"/>
  <c r="M32" i="2"/>
  <c r="M13" i="2"/>
  <c r="M29" i="2" l="1"/>
  <c r="M30" i="2" s="1"/>
  <c r="M39" i="2"/>
  <c r="L23" i="2"/>
  <c r="L24" i="2" s="1"/>
  <c r="M42" i="2" l="1"/>
  <c r="M45" i="2" s="1"/>
  <c r="M40" i="2"/>
  <c r="M22" i="2" l="1"/>
  <c r="M23" i="2" s="1"/>
  <c r="M24" i="2" s="1"/>
</calcChain>
</file>

<file path=xl/sharedStrings.xml><?xml version="1.0" encoding="utf-8"?>
<sst xmlns="http://schemas.openxmlformats.org/spreadsheetml/2006/main" count="148" uniqueCount="98">
  <si>
    <t>INCOME STATEMENT</t>
  </si>
  <si>
    <t>BALANCE SHEET</t>
  </si>
  <si>
    <t>FORECAST ASSUMPTIONS</t>
  </si>
  <si>
    <t>NYCB</t>
  </si>
  <si>
    <t>Flagstar</t>
  </si>
  <si>
    <t>Total assets</t>
  </si>
  <si>
    <t>(dollars in million)</t>
  </si>
  <si>
    <t>Net interest income</t>
  </si>
  <si>
    <t xml:space="preserve">   Operating expense</t>
  </si>
  <si>
    <t xml:space="preserve">   Intangible asset amortization</t>
  </si>
  <si>
    <t xml:space="preserve">   Merger related expense</t>
  </si>
  <si>
    <t xml:space="preserve">   Goodwill impairment</t>
  </si>
  <si>
    <t xml:space="preserve">   Interest income</t>
  </si>
  <si>
    <t xml:space="preserve">   Interest expense</t>
  </si>
  <si>
    <t xml:space="preserve">   Provision for credit losses</t>
  </si>
  <si>
    <t xml:space="preserve">   Non-interest income</t>
  </si>
  <si>
    <t>Net non-interest income</t>
  </si>
  <si>
    <t>Cash and cash equivalents</t>
  </si>
  <si>
    <t>Goodwill</t>
  </si>
  <si>
    <t>Other</t>
  </si>
  <si>
    <t>Securities available for sale</t>
  </si>
  <si>
    <t>Property, plant &amp; equipment</t>
  </si>
  <si>
    <t>Life insurance</t>
  </si>
  <si>
    <t>Intangibles</t>
  </si>
  <si>
    <t>Loans</t>
  </si>
  <si>
    <t>Debt</t>
  </si>
  <si>
    <t>Liabilities</t>
  </si>
  <si>
    <t>Market cap</t>
  </si>
  <si>
    <t>Stockholder equity (Book value)</t>
  </si>
  <si>
    <t xml:space="preserve">Total Liabilities and S.E. </t>
  </si>
  <si>
    <t>Book-to-market ratio</t>
  </si>
  <si>
    <t>Book value per share</t>
  </si>
  <si>
    <t>Stock price</t>
  </si>
  <si>
    <t>Total deposits</t>
  </si>
  <si>
    <t xml:space="preserve">    Non-interest bearing deposits</t>
  </si>
  <si>
    <t xml:space="preserve">    Checking accounts</t>
  </si>
  <si>
    <t xml:space="preserve">    Savings accounts</t>
  </si>
  <si>
    <t xml:space="preserve">    Certificates of deposit</t>
  </si>
  <si>
    <t>EBT</t>
  </si>
  <si>
    <t>Shares outstanding</t>
  </si>
  <si>
    <t>Book value</t>
  </si>
  <si>
    <t>Net income</t>
  </si>
  <si>
    <t>Dividends to preferred</t>
  </si>
  <si>
    <t>Dividends to common</t>
  </si>
  <si>
    <t>Retained earnings</t>
  </si>
  <si>
    <t>Non performing loans is at 0.5% to total loans as the average of S&amp;P U.S. BMI Banks Index</t>
  </si>
  <si>
    <t>(All in in million apart from stock)</t>
  </si>
  <si>
    <t>Loans growth</t>
  </si>
  <si>
    <t>Change in unrealized losses</t>
  </si>
  <si>
    <t>Securities growth</t>
  </si>
  <si>
    <t>Insurance growth</t>
  </si>
  <si>
    <t>Other growth</t>
  </si>
  <si>
    <t>Intangibles D&amp;A</t>
  </si>
  <si>
    <t>Preferred payout</t>
  </si>
  <si>
    <t>Common payout</t>
  </si>
  <si>
    <t>STOCK RATIOS</t>
  </si>
  <si>
    <t>Check</t>
  </si>
  <si>
    <t>1bil cap injection</t>
  </si>
  <si>
    <t>of loans</t>
  </si>
  <si>
    <t>Amortization</t>
  </si>
  <si>
    <t>Taxes</t>
  </si>
  <si>
    <t>by Liberty Strategic Capital</t>
  </si>
  <si>
    <t>Merger expense</t>
  </si>
  <si>
    <t>Deposits growth</t>
  </si>
  <si>
    <t>Debt growth</t>
  </si>
  <si>
    <t>Non-interest i. growth</t>
  </si>
  <si>
    <t>Operating exp. growth</t>
  </si>
  <si>
    <t>Tax rate</t>
  </si>
  <si>
    <t>Change in losses</t>
  </si>
  <si>
    <t>Market Cap</t>
  </si>
  <si>
    <t>Ticker</t>
  </si>
  <si>
    <t>Name</t>
  </si>
  <si>
    <t>Book Value</t>
  </si>
  <si>
    <t>NEW YORK COMMUNITY BANCORP, INC.</t>
  </si>
  <si>
    <t>CFG</t>
  </si>
  <si>
    <t>CITIZENS FINANCIAL GROUP, INC.</t>
  </si>
  <si>
    <t>FITB</t>
  </si>
  <si>
    <t>FIFTH THIRD BANCORP</t>
  </si>
  <si>
    <t>HBAN</t>
  </si>
  <si>
    <t>HUNTINGTON BANCSHARES INCORPORATED</t>
  </si>
  <si>
    <t>KEY</t>
  </si>
  <si>
    <t>KEYCORP</t>
  </si>
  <si>
    <t>MTB</t>
  </si>
  <si>
    <t>M&amp;T BANK CORPORATION</t>
  </si>
  <si>
    <t>RF</t>
  </si>
  <si>
    <t>REGIONS FINANCIAL CORPORATION</t>
  </si>
  <si>
    <t>Average of the following publicly traded US banks with               assets &gt;$100 billion and &lt; $250 billion in assets.</t>
  </si>
  <si>
    <t>Book-to-market</t>
  </si>
  <si>
    <t>2024 + fear</t>
  </si>
  <si>
    <t>Assumptions</t>
  </si>
  <si>
    <t>&lt;- distributable assets in case of bank run</t>
  </si>
  <si>
    <t>Loan-to-deposit</t>
  </si>
  <si>
    <t>Criticized loans is 14% of multi-family portfolio which is 44% of total loans, 6.5% of total assets.</t>
  </si>
  <si>
    <t>&lt;- bank run outflows</t>
  </si>
  <si>
    <t>Debt-to-equity</t>
  </si>
  <si>
    <t>797.92</t>
  </si>
  <si>
    <t>l. and s.</t>
  </si>
  <si>
    <t>Non performing loans is 0.5% to total loans as the average of S&amp;P U.S. BMI Banks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</si>
</sst>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3" formatCode="_(* #,##0.00_);_(* \(#,##0.00\);_(* &quot;-&quot;??_);_(@_)"/>
    <numFmt numFmtId="164" formatCode="_([$$-409]* #,##0_);_([$$-409]* \(#,##0\);_([$$-409]* &quot;-&quot;_);_(@_)"/>
    <numFmt numFmtId="165" formatCode="0.0%"/>
    <numFmt numFmtId="166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69" formatCode="_-&quot;$&quot;* #,##0.00_-;\-&quot;$&quot;* #,##0.00_-;_-&quot;$&quot;* &quot;-&quot;??_-;_-@_-"/>
    <numFmt numFmtId="171" formatCode="_([$$-409]* #,##0.00_);_([$$-409]* \(#,##0.00\);_([$$-409]* &quot;-&quot;??_);_(@_)"/>
  </numFmts>
  <fonts count="1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scheme val="minor"/>
    </font>
    <font>
      <sz val="12"/>
      <color theme="1"/>
      <name val="ArialMT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i/>
      <sz val="10"/>
      <color theme="1"/>
      <name val="Aptos Narrow"/>
      <scheme val="minor"/>
    </font>
    <font>
      <i/>
      <sz val="9"/>
      <color theme="1"/>
      <name val="Aptos Narrow"/>
      <scheme val="minor"/>
    </font>
    <font>
      <sz val="11"/>
      <color theme="1"/>
      <name val="ArialMT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3" fillId="0" borderId="0" applyFont="0" applyFill="0" applyBorder="0" applyAlignment="0" applyProtection="0"/>
  </cellStyleXfs>
  <cellXfs count="214">
    <xf numFmtId="0" fontId="0" fillId="0" borderId="0" xfId="0"/>
    <xf numFmtId="164" fontId="0" fillId="0" borderId="0" xfId="0" applyNumberFormat="1"/>
    <xf numFmtId="166" fontId="2" fillId="0" borderId="4" xfId="1" applyNumberFormat="1" applyFont="1" applyBorder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6" fontId="5" fillId="0" borderId="0" xfId="1" applyNumberFormat="1" applyFont="1" applyBorder="1" applyAlignment="1">
      <alignment horizontal="right" vertical="center"/>
    </xf>
    <xf numFmtId="166" fontId="5" fillId="0" borderId="5" xfId="1" applyNumberFormat="1" applyFont="1" applyBorder="1" applyAlignment="1">
      <alignment horizontal="center" vertical="center"/>
    </xf>
    <xf numFmtId="166" fontId="5" fillId="0" borderId="5" xfId="1" applyNumberFormat="1" applyFont="1" applyBorder="1"/>
    <xf numFmtId="166" fontId="5" fillId="0" borderId="0" xfId="1" applyNumberFormat="1" applyFont="1" applyBorder="1"/>
    <xf numFmtId="166" fontId="5" fillId="0" borderId="0" xfId="1" applyNumberFormat="1" applyFont="1" applyBorder="1" applyAlignment="1">
      <alignment horizontal="right"/>
    </xf>
    <xf numFmtId="166" fontId="5" fillId="0" borderId="0" xfId="1" applyNumberFormat="1" applyFont="1"/>
    <xf numFmtId="0" fontId="2" fillId="0" borderId="0" xfId="1" applyNumberFormat="1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166" fontId="5" fillId="0" borderId="3" xfId="1" applyNumberFormat="1" applyFont="1" applyBorder="1"/>
    <xf numFmtId="166" fontId="5" fillId="0" borderId="8" xfId="1" applyNumberFormat="1" applyFont="1" applyBorder="1"/>
    <xf numFmtId="166" fontId="5" fillId="0" borderId="4" xfId="1" applyNumberFormat="1" applyFont="1" applyBorder="1"/>
    <xf numFmtId="166" fontId="5" fillId="0" borderId="4" xfId="1" applyNumberFormat="1" applyFont="1" applyBorder="1" applyAlignment="1">
      <alignment horizontal="right"/>
    </xf>
    <xf numFmtId="166" fontId="5" fillId="0" borderId="2" xfId="1" applyNumberFormat="1" applyFont="1" applyBorder="1"/>
    <xf numFmtId="166" fontId="5" fillId="0" borderId="1" xfId="1" applyNumberFormat="1" applyFont="1" applyBorder="1"/>
    <xf numFmtId="166" fontId="5" fillId="0" borderId="1" xfId="1" applyNumberFormat="1" applyFont="1" applyBorder="1" applyAlignment="1">
      <alignment horizontal="right"/>
    </xf>
    <xf numFmtId="166" fontId="5" fillId="0" borderId="8" xfId="1" applyNumberFormat="1" applyFont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166" fontId="5" fillId="0" borderId="5" xfId="1" applyNumberFormat="1" applyFont="1" applyBorder="1" applyAlignment="1">
      <alignment horizontal="right" vertical="center"/>
    </xf>
    <xf numFmtId="43" fontId="5" fillId="0" borderId="5" xfId="1" applyFont="1" applyBorder="1" applyAlignment="1">
      <alignment horizontal="center" vertical="center"/>
    </xf>
    <xf numFmtId="166" fontId="5" fillId="0" borderId="6" xfId="1" applyNumberFormat="1" applyFont="1" applyBorder="1"/>
    <xf numFmtId="166" fontId="5" fillId="0" borderId="17" xfId="1" applyNumberFormat="1" applyFont="1" applyBorder="1"/>
    <xf numFmtId="166" fontId="5" fillId="0" borderId="12" xfId="1" applyNumberFormat="1" applyFont="1" applyBorder="1"/>
    <xf numFmtId="166" fontId="5" fillId="0" borderId="0" xfId="1" applyNumberFormat="1" applyFont="1" applyAlignment="1">
      <alignment horizontal="left" vertical="center"/>
    </xf>
    <xf numFmtId="167" fontId="5" fillId="0" borderId="0" xfId="1" applyNumberFormat="1" applyFont="1" applyAlignment="1">
      <alignment horizontal="center" vertical="center"/>
    </xf>
    <xf numFmtId="166" fontId="5" fillId="0" borderId="6" xfId="1" applyNumberFormat="1" applyFont="1" applyBorder="1" applyAlignment="1">
      <alignment horizontal="right" vertical="center"/>
    </xf>
    <xf numFmtId="166" fontId="5" fillId="0" borderId="3" xfId="1" applyNumberFormat="1" applyFont="1" applyBorder="1" applyAlignment="1">
      <alignment horizontal="center" vertical="center"/>
    </xf>
    <xf numFmtId="166" fontId="2" fillId="0" borderId="7" xfId="1" applyNumberFormat="1" applyFont="1" applyBorder="1" applyAlignment="1">
      <alignment horizontal="center" vertical="center"/>
    </xf>
    <xf numFmtId="166" fontId="5" fillId="0" borderId="7" xfId="1" applyNumberFormat="1" applyFont="1" applyBorder="1" applyAlignment="1">
      <alignment horizontal="right" vertical="center"/>
    </xf>
    <xf numFmtId="166" fontId="5" fillId="0" borderId="7" xfId="1" applyNumberFormat="1" applyFont="1" applyBorder="1" applyAlignment="1">
      <alignment horizontal="center" vertical="center"/>
    </xf>
    <xf numFmtId="166" fontId="5" fillId="0" borderId="7" xfId="1" applyNumberFormat="1" applyFont="1" applyBorder="1"/>
    <xf numFmtId="43" fontId="5" fillId="0" borderId="7" xfId="1" applyFont="1" applyBorder="1" applyAlignment="1">
      <alignment horizontal="center" vertical="center"/>
    </xf>
    <xf numFmtId="166" fontId="6" fillId="0" borderId="7" xfId="1" applyNumberFormat="1" applyFont="1" applyBorder="1"/>
    <xf numFmtId="166" fontId="5" fillId="0" borderId="7" xfId="1" applyNumberFormat="1" applyFont="1" applyBorder="1" applyAlignment="1">
      <alignment horizontal="right"/>
    </xf>
    <xf numFmtId="166" fontId="5" fillId="0" borderId="0" xfId="1" applyNumberFormat="1" applyFont="1" applyBorder="1" applyAlignment="1">
      <alignment horizontal="left" vertical="center"/>
    </xf>
    <xf numFmtId="166" fontId="5" fillId="0" borderId="6" xfId="1" applyNumberFormat="1" applyFont="1" applyBorder="1" applyAlignment="1">
      <alignment horizontal="center" vertical="center"/>
    </xf>
    <xf numFmtId="166" fontId="5" fillId="0" borderId="13" xfId="1" applyNumberFormat="1" applyFont="1" applyBorder="1" applyAlignment="1">
      <alignment horizontal="right" vertical="center"/>
    </xf>
    <xf numFmtId="166" fontId="5" fillId="0" borderId="13" xfId="1" applyNumberFormat="1" applyFont="1" applyBorder="1" applyAlignment="1">
      <alignment horizontal="center" vertical="center"/>
    </xf>
    <xf numFmtId="166" fontId="5" fillId="0" borderId="10" xfId="1" applyNumberFormat="1" applyFont="1" applyBorder="1" applyAlignment="1">
      <alignment horizontal="center" vertical="center"/>
    </xf>
    <xf numFmtId="166" fontId="5" fillId="0" borderId="18" xfId="1" applyNumberFormat="1" applyFont="1" applyBorder="1" applyAlignment="1">
      <alignment horizontal="center" vertical="center"/>
    </xf>
    <xf numFmtId="166" fontId="5" fillId="0" borderId="15" xfId="1" applyNumberFormat="1" applyFont="1" applyBorder="1" applyAlignment="1">
      <alignment horizontal="right" vertical="center"/>
    </xf>
    <xf numFmtId="166" fontId="5" fillId="0" borderId="9" xfId="1" applyNumberFormat="1" applyFont="1" applyBorder="1" applyAlignment="1">
      <alignment horizontal="center" vertical="center"/>
    </xf>
    <xf numFmtId="166" fontId="5" fillId="0" borderId="19" xfId="1" applyNumberFormat="1" applyFont="1" applyBorder="1" applyAlignment="1">
      <alignment horizontal="center" vertical="center"/>
    </xf>
    <xf numFmtId="166" fontId="5" fillId="0" borderId="16" xfId="1" applyNumberFormat="1" applyFont="1" applyBorder="1" applyAlignment="1">
      <alignment horizontal="right" vertical="center"/>
    </xf>
    <xf numFmtId="0" fontId="3" fillId="0" borderId="20" xfId="1" applyNumberFormat="1" applyFont="1" applyBorder="1" applyAlignment="1">
      <alignment horizontal="left"/>
    </xf>
    <xf numFmtId="0" fontId="2" fillId="0" borderId="22" xfId="1" applyNumberFormat="1" applyFont="1" applyBorder="1" applyAlignment="1">
      <alignment horizontal="center" vertical="center"/>
    </xf>
    <xf numFmtId="0" fontId="2" fillId="0" borderId="23" xfId="1" applyNumberFormat="1" applyFont="1" applyBorder="1" applyAlignment="1">
      <alignment horizontal="center" vertical="center"/>
    </xf>
    <xf numFmtId="0" fontId="2" fillId="0" borderId="24" xfId="1" applyNumberFormat="1" applyFont="1" applyBorder="1" applyAlignment="1">
      <alignment horizontal="center" vertical="center"/>
    </xf>
    <xf numFmtId="166" fontId="4" fillId="0" borderId="25" xfId="1" applyNumberFormat="1" applyFont="1" applyBorder="1" applyAlignment="1">
      <alignment horizontal="left" vertical="center"/>
    </xf>
    <xf numFmtId="166" fontId="5" fillId="0" borderId="25" xfId="1" applyNumberFormat="1" applyFont="1" applyBorder="1" applyAlignment="1">
      <alignment horizontal="left" vertical="center"/>
    </xf>
    <xf numFmtId="166" fontId="5" fillId="0" borderId="26" xfId="1" applyNumberFormat="1" applyFont="1" applyBorder="1" applyAlignment="1">
      <alignment horizontal="center" vertical="center"/>
    </xf>
    <xf numFmtId="166" fontId="5" fillId="0" borderId="28" xfId="1" applyNumberFormat="1" applyFont="1" applyBorder="1" applyAlignment="1">
      <alignment horizontal="center" vertical="center"/>
    </xf>
    <xf numFmtId="0" fontId="2" fillId="0" borderId="32" xfId="1" applyNumberFormat="1" applyFont="1" applyBorder="1" applyAlignment="1">
      <alignment horizontal="center" vertical="center"/>
    </xf>
    <xf numFmtId="166" fontId="4" fillId="0" borderId="33" xfId="1" applyNumberFormat="1" applyFont="1" applyBorder="1" applyAlignment="1">
      <alignment horizontal="left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12" xfId="1" applyNumberFormat="1" applyFont="1" applyBorder="1" applyAlignment="1">
      <alignment horizontal="center" vertical="center"/>
    </xf>
    <xf numFmtId="166" fontId="2" fillId="0" borderId="17" xfId="1" applyNumberFormat="1" applyFont="1" applyBorder="1" applyAlignment="1">
      <alignment horizontal="center" vertical="center"/>
    </xf>
    <xf numFmtId="166" fontId="2" fillId="0" borderId="35" xfId="1" applyNumberFormat="1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center" vertical="center"/>
    </xf>
    <xf numFmtId="166" fontId="5" fillId="0" borderId="18" xfId="1" applyNumberFormat="1" applyFont="1" applyBorder="1" applyAlignment="1">
      <alignment horizontal="right" vertical="center"/>
    </xf>
    <xf numFmtId="166" fontId="5" fillId="0" borderId="19" xfId="1" applyNumberFormat="1" applyFont="1" applyBorder="1" applyAlignment="1">
      <alignment horizontal="right" vertical="center"/>
    </xf>
    <xf numFmtId="166" fontId="2" fillId="0" borderId="33" xfId="1" applyNumberFormat="1" applyFont="1" applyBorder="1" applyAlignment="1">
      <alignment horizontal="left" vertical="center"/>
    </xf>
    <xf numFmtId="0" fontId="2" fillId="0" borderId="37" xfId="1" applyNumberFormat="1" applyFont="1" applyBorder="1" applyAlignment="1">
      <alignment horizontal="center" vertical="center"/>
    </xf>
    <xf numFmtId="166" fontId="5" fillId="0" borderId="25" xfId="1" applyNumberFormat="1" applyFont="1" applyBorder="1"/>
    <xf numFmtId="166" fontId="5" fillId="0" borderId="26" xfId="1" applyNumberFormat="1" applyFont="1" applyBorder="1"/>
    <xf numFmtId="166" fontId="5" fillId="0" borderId="30" xfId="1" applyNumberFormat="1" applyFont="1" applyBorder="1"/>
    <xf numFmtId="166" fontId="2" fillId="0" borderId="6" xfId="1" applyNumberFormat="1" applyFont="1" applyBorder="1" applyAlignment="1">
      <alignment horizontal="center" vertical="center"/>
    </xf>
    <xf numFmtId="166" fontId="2" fillId="0" borderId="4" xfId="1" applyNumberFormat="1" applyFont="1" applyBorder="1" applyAlignment="1">
      <alignment horizontal="right" vertical="center"/>
    </xf>
    <xf numFmtId="166" fontId="2" fillId="0" borderId="13" xfId="1" applyNumberFormat="1" applyFont="1" applyBorder="1" applyAlignment="1">
      <alignment horizontal="center" vertical="center"/>
    </xf>
    <xf numFmtId="166" fontId="2" fillId="0" borderId="27" xfId="1" applyNumberFormat="1" applyFont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166" fontId="5" fillId="0" borderId="13" xfId="1" applyNumberFormat="1" applyFont="1" applyBorder="1"/>
    <xf numFmtId="166" fontId="5" fillId="0" borderId="27" xfId="1" applyNumberFormat="1" applyFont="1" applyBorder="1"/>
    <xf numFmtId="166" fontId="5" fillId="0" borderId="33" xfId="1" applyNumberFormat="1" applyFont="1" applyBorder="1"/>
    <xf numFmtId="166" fontId="4" fillId="0" borderId="33" xfId="1" applyNumberFormat="1" applyFont="1" applyBorder="1"/>
    <xf numFmtId="166" fontId="5" fillId="0" borderId="10" xfId="1" applyNumberFormat="1" applyFont="1" applyBorder="1"/>
    <xf numFmtId="166" fontId="5" fillId="0" borderId="18" xfId="1" applyNumberFormat="1" applyFont="1" applyBorder="1"/>
    <xf numFmtId="166" fontId="5" fillId="0" borderId="11" xfId="1" applyNumberFormat="1" applyFont="1" applyBorder="1"/>
    <xf numFmtId="166" fontId="5" fillId="0" borderId="15" xfId="1" applyNumberFormat="1" applyFont="1" applyBorder="1"/>
    <xf numFmtId="166" fontId="5" fillId="0" borderId="43" xfId="1" applyNumberFormat="1" applyFont="1" applyBorder="1"/>
    <xf numFmtId="166" fontId="5" fillId="0" borderId="44" xfId="1" applyNumberFormat="1" applyFont="1" applyBorder="1"/>
    <xf numFmtId="166" fontId="4" fillId="0" borderId="29" xfId="1" applyNumberFormat="1" applyFont="1" applyBorder="1"/>
    <xf numFmtId="166" fontId="4" fillId="0" borderId="45" xfId="1" applyNumberFormat="1" applyFont="1" applyBorder="1"/>
    <xf numFmtId="166" fontId="4" fillId="0" borderId="34" xfId="1" applyNumberFormat="1" applyFont="1" applyBorder="1"/>
    <xf numFmtId="43" fontId="5" fillId="0" borderId="25" xfId="1" applyFont="1" applyBorder="1" applyAlignment="1">
      <alignment horizontal="left" vertical="center"/>
    </xf>
    <xf numFmtId="166" fontId="5" fillId="0" borderId="26" xfId="1" applyNumberFormat="1" applyFont="1" applyBorder="1" applyAlignment="1">
      <alignment horizontal="right" vertical="center"/>
    </xf>
    <xf numFmtId="43" fontId="5" fillId="0" borderId="26" xfId="1" applyFont="1" applyBorder="1" applyAlignment="1">
      <alignment horizontal="center" vertical="center"/>
    </xf>
    <xf numFmtId="43" fontId="2" fillId="0" borderId="33" xfId="1" applyFont="1" applyBorder="1" applyAlignment="1">
      <alignment horizontal="left" vertical="center"/>
    </xf>
    <xf numFmtId="166" fontId="5" fillId="0" borderId="14" xfId="1" applyNumberFormat="1" applyFont="1" applyBorder="1"/>
    <xf numFmtId="168" fontId="5" fillId="0" borderId="0" xfId="1" applyNumberFormat="1" applyFont="1" applyBorder="1" applyAlignment="1">
      <alignment horizontal="right" vertical="center"/>
    </xf>
    <xf numFmtId="166" fontId="5" fillId="0" borderId="46" xfId="1" applyNumberFormat="1" applyFont="1" applyBorder="1" applyAlignment="1">
      <alignment horizontal="center" vertical="center"/>
    </xf>
    <xf numFmtId="9" fontId="5" fillId="0" borderId="0" xfId="2" applyFont="1"/>
    <xf numFmtId="165" fontId="5" fillId="0" borderId="0" xfId="2" applyNumberFormat="1" applyFont="1"/>
    <xf numFmtId="9" fontId="5" fillId="0" borderId="0" xfId="2" applyFont="1" applyBorder="1"/>
    <xf numFmtId="165" fontId="5" fillId="2" borderId="0" xfId="2" applyNumberFormat="1" applyFont="1" applyFill="1"/>
    <xf numFmtId="9" fontId="5" fillId="2" borderId="0" xfId="2" applyFont="1" applyFill="1"/>
    <xf numFmtId="0" fontId="7" fillId="0" borderId="0" xfId="0" applyFont="1"/>
    <xf numFmtId="166" fontId="5" fillId="2" borderId="0" xfId="1" applyNumberFormat="1" applyFont="1" applyFill="1"/>
    <xf numFmtId="0" fontId="4" fillId="0" borderId="0" xfId="1" applyNumberFormat="1" applyFont="1" applyAlignment="1">
      <alignment horizontal="center" vertical="center"/>
    </xf>
    <xf numFmtId="0" fontId="4" fillId="0" borderId="37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166" fontId="4" fillId="0" borderId="0" xfId="1" applyNumberFormat="1" applyFont="1" applyBorder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0" fontId="4" fillId="0" borderId="36" xfId="1" applyNumberFormat="1" applyFont="1" applyBorder="1" applyAlignment="1">
      <alignment horizontal="center" vertical="center"/>
    </xf>
    <xf numFmtId="0" fontId="4" fillId="0" borderId="38" xfId="1" applyNumberFormat="1" applyFont="1" applyBorder="1" applyAlignment="1">
      <alignment horizontal="center" vertical="center"/>
    </xf>
    <xf numFmtId="166" fontId="8" fillId="0" borderId="0" xfId="1" applyNumberFormat="1" applyFont="1" applyAlignment="1">
      <alignment horizontal="left"/>
    </xf>
    <xf numFmtId="166" fontId="9" fillId="0" borderId="0" xfId="1" applyNumberFormat="1" applyFont="1" applyAlignment="1">
      <alignment horizontal="left" vertical="center"/>
    </xf>
    <xf numFmtId="166" fontId="8" fillId="0" borderId="0" xfId="1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8" fontId="5" fillId="0" borderId="0" xfId="2" applyNumberFormat="1" applyFont="1"/>
    <xf numFmtId="43" fontId="5" fillId="2" borderId="0" xfId="1" applyFont="1" applyFill="1" applyBorder="1" applyAlignment="1">
      <alignment horizontal="right" vertical="center"/>
    </xf>
    <xf numFmtId="43" fontId="5" fillId="2" borderId="5" xfId="1" applyFont="1" applyFill="1" applyBorder="1" applyAlignment="1">
      <alignment horizontal="right" vertical="center"/>
    </xf>
    <xf numFmtId="43" fontId="5" fillId="2" borderId="7" xfId="1" applyFont="1" applyFill="1" applyBorder="1" applyAlignment="1">
      <alignment horizontal="right" vertical="center"/>
    </xf>
    <xf numFmtId="43" fontId="5" fillId="2" borderId="26" xfId="1" applyFont="1" applyFill="1" applyBorder="1" applyAlignment="1">
      <alignment horizontal="right" vertical="center"/>
    </xf>
    <xf numFmtId="43" fontId="4" fillId="2" borderId="25" xfId="1" applyFont="1" applyFill="1" applyBorder="1" applyAlignment="1">
      <alignment horizontal="left" vertical="center"/>
    </xf>
    <xf numFmtId="166" fontId="4" fillId="2" borderId="39" xfId="1" applyNumberFormat="1" applyFont="1" applyFill="1" applyBorder="1" applyAlignment="1">
      <alignment horizontal="left" vertical="center"/>
    </xf>
    <xf numFmtId="43" fontId="5" fillId="2" borderId="30" xfId="1" applyFont="1" applyFill="1" applyBorder="1" applyAlignment="1">
      <alignment horizontal="center" vertical="center"/>
    </xf>
    <xf numFmtId="43" fontId="5" fillId="2" borderId="40" xfId="1" applyFont="1" applyFill="1" applyBorder="1" applyAlignment="1">
      <alignment horizontal="center" vertical="center"/>
    </xf>
    <xf numFmtId="43" fontId="5" fillId="2" borderId="41" xfId="1" applyFont="1" applyFill="1" applyBorder="1" applyAlignment="1">
      <alignment horizontal="center" vertical="center"/>
    </xf>
    <xf numFmtId="43" fontId="5" fillId="2" borderId="42" xfId="1" applyFont="1" applyFill="1" applyBorder="1" applyAlignment="1">
      <alignment horizontal="center" vertical="center"/>
    </xf>
    <xf numFmtId="166" fontId="11" fillId="0" borderId="29" xfId="1" applyNumberFormat="1" applyFont="1" applyBorder="1" applyAlignment="1">
      <alignment horizontal="right" vertical="center"/>
    </xf>
    <xf numFmtId="166" fontId="5" fillId="0" borderId="28" xfId="1" applyNumberFormat="1" applyFont="1" applyBorder="1" applyAlignment="1">
      <alignment horizontal="right" vertical="center"/>
    </xf>
    <xf numFmtId="166" fontId="5" fillId="0" borderId="47" xfId="1" applyNumberFormat="1" applyFont="1" applyBorder="1" applyAlignment="1">
      <alignment horizontal="right" vertical="center"/>
    </xf>
    <xf numFmtId="166" fontId="5" fillId="0" borderId="48" xfId="1" applyNumberFormat="1" applyFont="1" applyBorder="1" applyAlignment="1">
      <alignment horizontal="right" vertical="center"/>
    </xf>
    <xf numFmtId="166" fontId="5" fillId="0" borderId="49" xfId="1" applyNumberFormat="1" applyFont="1" applyBorder="1" applyAlignment="1">
      <alignment horizontal="center" vertical="center"/>
    </xf>
    <xf numFmtId="166" fontId="5" fillId="0" borderId="27" xfId="1" applyNumberFormat="1" applyFont="1" applyBorder="1" applyAlignment="1">
      <alignment horizontal="center" vertical="center"/>
    </xf>
    <xf numFmtId="166" fontId="5" fillId="0" borderId="50" xfId="1" applyNumberFormat="1" applyFont="1" applyBorder="1" applyAlignment="1">
      <alignment horizontal="right" vertical="center"/>
    </xf>
    <xf numFmtId="166" fontId="10" fillId="0" borderId="30" xfId="1" applyNumberFormat="1" applyFont="1" applyBorder="1" applyAlignment="1">
      <alignment horizontal="right" vertical="center"/>
    </xf>
    <xf numFmtId="166" fontId="10" fillId="0" borderId="31" xfId="1" applyNumberFormat="1" applyFont="1" applyBorder="1" applyAlignment="1">
      <alignment horizontal="right" vertical="center"/>
    </xf>
    <xf numFmtId="166" fontId="5" fillId="2" borderId="0" xfId="1" applyNumberFormat="1" applyFont="1" applyFill="1" applyAlignment="1">
      <alignment horizontal="center" vertical="center"/>
    </xf>
    <xf numFmtId="8" fontId="5" fillId="2" borderId="0" xfId="2" applyNumberFormat="1" applyFont="1" applyFill="1" applyAlignment="1">
      <alignment horizontal="right"/>
    </xf>
    <xf numFmtId="10" fontId="5" fillId="0" borderId="0" xfId="2" applyNumberFormat="1" applyFont="1" applyBorder="1" applyAlignment="1">
      <alignment horizontal="right" vertical="center"/>
    </xf>
    <xf numFmtId="10" fontId="5" fillId="0" borderId="0" xfId="2" applyNumberFormat="1" applyFont="1" applyBorder="1" applyAlignment="1">
      <alignment horizontal="center" vertical="center"/>
    </xf>
    <xf numFmtId="166" fontId="5" fillId="0" borderId="13" xfId="1" applyNumberFormat="1" applyFont="1" applyFill="1" applyBorder="1"/>
    <xf numFmtId="166" fontId="5" fillId="0" borderId="7" xfId="1" applyNumberFormat="1" applyFont="1" applyFill="1" applyBorder="1"/>
    <xf numFmtId="166" fontId="5" fillId="0" borderId="7" xfId="1" applyNumberFormat="1" applyFont="1" applyFill="1" applyBorder="1" applyAlignment="1">
      <alignment horizontal="right" vertical="center"/>
    </xf>
    <xf numFmtId="166" fontId="5" fillId="0" borderId="26" xfId="1" applyNumberFormat="1" applyFont="1" applyFill="1" applyBorder="1" applyAlignment="1">
      <alignment horizontal="right" vertical="center"/>
    </xf>
    <xf numFmtId="166" fontId="5" fillId="0" borderId="0" xfId="1" applyNumberFormat="1" applyFont="1" applyFill="1"/>
    <xf numFmtId="166" fontId="5" fillId="0" borderId="55" xfId="1" applyNumberFormat="1" applyFont="1" applyBorder="1"/>
    <xf numFmtId="166" fontId="5" fillId="0" borderId="28" xfId="1" applyNumberFormat="1" applyFont="1" applyFill="1" applyBorder="1"/>
    <xf numFmtId="166" fontId="5" fillId="0" borderId="35" xfId="1" applyNumberFormat="1" applyFont="1" applyBorder="1"/>
    <xf numFmtId="166" fontId="5" fillId="0" borderId="26" xfId="1" applyNumberFormat="1" applyFont="1" applyFill="1" applyBorder="1"/>
    <xf numFmtId="166" fontId="5" fillId="0" borderId="56" xfId="1" applyNumberFormat="1" applyFont="1" applyBorder="1"/>
    <xf numFmtId="166" fontId="5" fillId="0" borderId="17" xfId="1" applyNumberFormat="1" applyFont="1" applyFill="1" applyBorder="1"/>
    <xf numFmtId="166" fontId="5" fillId="0" borderId="15" xfId="1" applyNumberFormat="1" applyFont="1" applyFill="1" applyBorder="1"/>
    <xf numFmtId="166" fontId="5" fillId="0" borderId="7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right" vertical="center"/>
    </xf>
    <xf numFmtId="166" fontId="5" fillId="0" borderId="46" xfId="1" applyNumberFormat="1" applyFont="1" applyFill="1" applyBorder="1" applyAlignment="1">
      <alignment horizontal="center" vertical="center"/>
    </xf>
    <xf numFmtId="166" fontId="5" fillId="0" borderId="13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5" fillId="0" borderId="6" xfId="1" applyNumberFormat="1" applyFont="1" applyFill="1" applyBorder="1" applyAlignment="1">
      <alignment horizontal="right" vertical="center"/>
    </xf>
    <xf numFmtId="166" fontId="5" fillId="0" borderId="28" xfId="1" applyNumberFormat="1" applyFont="1" applyFill="1" applyBorder="1" applyAlignment="1">
      <alignment horizontal="right" vertical="center"/>
    </xf>
    <xf numFmtId="166" fontId="5" fillId="0" borderId="47" xfId="1" applyNumberFormat="1" applyFont="1" applyFill="1" applyBorder="1" applyAlignment="1">
      <alignment horizontal="right" vertical="center"/>
    </xf>
    <xf numFmtId="2" fontId="0" fillId="0" borderId="0" xfId="0" applyNumberFormat="1"/>
    <xf numFmtId="164" fontId="0" fillId="0" borderId="30" xfId="0" applyNumberFormat="1" applyBorder="1"/>
    <xf numFmtId="0" fontId="12" fillId="0" borderId="51" xfId="0" applyFont="1" applyBorder="1"/>
    <xf numFmtId="0" fontId="12" fillId="0" borderId="29" xfId="0" applyFont="1" applyBorder="1"/>
    <xf numFmtId="0" fontId="12" fillId="0" borderId="30" xfId="0" applyFont="1" applyBorder="1"/>
    <xf numFmtId="164" fontId="2" fillId="0" borderId="32" xfId="0" applyNumberFormat="1" applyFont="1" applyBorder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12" fillId="2" borderId="51" xfId="0" applyFont="1" applyFill="1" applyBorder="1"/>
    <xf numFmtId="166" fontId="5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0" applyNumberFormat="1"/>
    <xf numFmtId="166" fontId="5" fillId="2" borderId="5" xfId="1" applyNumberFormat="1" applyFont="1" applyFill="1" applyBorder="1" applyAlignment="1">
      <alignment horizontal="right" vertical="center"/>
    </xf>
    <xf numFmtId="166" fontId="4" fillId="2" borderId="48" xfId="1" applyNumberFormat="1" applyFont="1" applyFill="1" applyBorder="1" applyAlignment="1">
      <alignment horizontal="right" vertical="center"/>
    </xf>
    <xf numFmtId="166" fontId="4" fillId="2" borderId="28" xfId="1" applyNumberFormat="1" applyFont="1" applyFill="1" applyBorder="1" applyAlignment="1">
      <alignment horizontal="center" vertical="center"/>
    </xf>
    <xf numFmtId="166" fontId="6" fillId="0" borderId="13" xfId="1" applyNumberFormat="1" applyFont="1" applyFill="1" applyBorder="1"/>
    <xf numFmtId="166" fontId="6" fillId="0" borderId="13" xfId="1" applyNumberFormat="1" applyFont="1" applyBorder="1"/>
    <xf numFmtId="166" fontId="5" fillId="0" borderId="0" xfId="1" applyNumberFormat="1" applyFont="1" applyAlignment="1">
      <alignment horizontal="left"/>
    </xf>
    <xf numFmtId="9" fontId="2" fillId="0" borderId="0" xfId="2" applyFont="1" applyAlignment="1">
      <alignment horizontal="center" vertical="center"/>
    </xf>
    <xf numFmtId="2" fontId="0" fillId="2" borderId="0" xfId="0" applyNumberFormat="1" applyFill="1"/>
    <xf numFmtId="2" fontId="0" fillId="0" borderId="30" xfId="0" applyNumberFormat="1" applyBorder="1"/>
    <xf numFmtId="0" fontId="12" fillId="2" borderId="0" xfId="0" applyFont="1" applyFill="1"/>
    <xf numFmtId="164" fontId="0" fillId="2" borderId="0" xfId="0" applyNumberFormat="1" applyFill="1"/>
    <xf numFmtId="0" fontId="12" fillId="0" borderId="0" xfId="0" applyFont="1"/>
    <xf numFmtId="9" fontId="0" fillId="2" borderId="28" xfId="2" applyFont="1" applyFill="1" applyBorder="1"/>
    <xf numFmtId="9" fontId="0" fillId="0" borderId="28" xfId="2" applyFont="1" applyBorder="1"/>
    <xf numFmtId="9" fontId="0" fillId="0" borderId="31" xfId="2" applyFont="1" applyBorder="1"/>
    <xf numFmtId="165" fontId="0" fillId="0" borderId="0" xfId="0" applyNumberFormat="1"/>
    <xf numFmtId="167" fontId="5" fillId="0" borderId="0" xfId="1" quotePrefix="1" applyNumberFormat="1" applyFont="1" applyBorder="1" applyAlignment="1">
      <alignment horizontal="left"/>
    </xf>
    <xf numFmtId="9" fontId="0" fillId="0" borderId="0" xfId="2" applyFont="1"/>
    <xf numFmtId="0" fontId="2" fillId="0" borderId="54" xfId="1" applyNumberFormat="1" applyFont="1" applyBorder="1" applyAlignment="1">
      <alignment horizontal="center" vertical="center"/>
    </xf>
    <xf numFmtId="166" fontId="2" fillId="0" borderId="53" xfId="1" applyNumberFormat="1" applyFont="1" applyBorder="1" applyAlignment="1">
      <alignment horizontal="center" vertical="center"/>
    </xf>
    <xf numFmtId="166" fontId="5" fillId="2" borderId="28" xfId="1" applyNumberFormat="1" applyFont="1" applyFill="1" applyBorder="1" applyAlignment="1">
      <alignment horizontal="right" vertical="center"/>
    </xf>
    <xf numFmtId="166" fontId="5" fillId="0" borderId="47" xfId="1" applyNumberFormat="1" applyFont="1" applyBorder="1" applyAlignment="1">
      <alignment horizontal="center" vertical="center"/>
    </xf>
    <xf numFmtId="166" fontId="5" fillId="2" borderId="7" xfId="1" applyNumberFormat="1" applyFont="1" applyFill="1" applyBorder="1" applyAlignment="1">
      <alignment horizontal="right" vertical="center"/>
    </xf>
    <xf numFmtId="3" fontId="0" fillId="0" borderId="0" xfId="0" applyNumberFormat="1"/>
    <xf numFmtId="171" fontId="0" fillId="0" borderId="0" xfId="0" applyNumberFormat="1"/>
    <xf numFmtId="43" fontId="0" fillId="0" borderId="0" xfId="1" applyFont="1"/>
    <xf numFmtId="166" fontId="0" fillId="0" borderId="0" xfId="1" applyNumberFormat="1" applyFont="1"/>
    <xf numFmtId="0" fontId="2" fillId="0" borderId="21" xfId="1" applyNumberFormat="1" applyFont="1" applyBorder="1" applyAlignment="1">
      <alignment horizontal="center" vertical="center"/>
    </xf>
    <xf numFmtId="0" fontId="2" fillId="0" borderId="22" xfId="1" applyNumberFormat="1" applyFont="1" applyBorder="1" applyAlignment="1">
      <alignment horizontal="center" vertical="center"/>
    </xf>
    <xf numFmtId="0" fontId="2" fillId="0" borderId="21" xfId="1" applyNumberFormat="1" applyFont="1" applyBorder="1" applyAlignment="1">
      <alignment horizontal="center" vertical="center" wrapText="1"/>
    </xf>
    <xf numFmtId="0" fontId="2" fillId="0" borderId="22" xfId="1" applyNumberFormat="1" applyFont="1" applyBorder="1" applyAlignment="1">
      <alignment horizontal="center" vertical="center" wrapText="1"/>
    </xf>
    <xf numFmtId="0" fontId="12" fillId="0" borderId="51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52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164" fontId="0" fillId="0" borderId="0" xfId="0" applyNumberFormat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4" xfId="0" applyNumberFormat="1" applyBorder="1" applyAlignment="1">
      <alignment horizontal="right" vertical="center" wrapText="1"/>
    </xf>
    <xf numFmtId="0" fontId="4" fillId="0" borderId="32" xfId="1" applyNumberFormat="1" applyFont="1" applyBorder="1" applyAlignment="1">
      <alignment horizontal="center" vertical="center"/>
    </xf>
    <xf numFmtId="0" fontId="4" fillId="0" borderId="22" xfId="1" applyNumberFormat="1" applyFont="1" applyBorder="1" applyAlignment="1">
      <alignment horizontal="center" vertical="center"/>
    </xf>
    <xf numFmtId="9" fontId="0" fillId="0" borderId="28" xfId="2" applyFont="1" applyBorder="1" applyAlignment="1">
      <alignment horizontal="right" vertical="center" wrapText="1"/>
    </xf>
    <xf numFmtId="9" fontId="0" fillId="0" borderId="47" xfId="2" applyFont="1" applyBorder="1" applyAlignment="1">
      <alignment horizontal="right" vertical="center" wrapText="1"/>
    </xf>
  </cellXfs>
  <cellStyles count="4">
    <cellStyle name="Comma" xfId="1" builtinId="3"/>
    <cellStyle name="Currency 2" xfId="3" xr:uid="{BAF6007E-3864-EF4A-95A3-D0A7D632C506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9A08-2122-2545-85E3-60529CD97F52}">
  <dimension ref="B2:W94"/>
  <sheetViews>
    <sheetView showGridLines="0" zoomScaleNormal="117" workbookViewId="0">
      <selection activeCell="W34" sqref="W34"/>
    </sheetView>
  </sheetViews>
  <sheetFormatPr baseColWidth="10" defaultColWidth="10.83203125" defaultRowHeight="15"/>
  <cols>
    <col min="1" max="1" width="6.83203125" style="11" customWidth="1"/>
    <col min="2" max="2" width="4.83203125" style="11" customWidth="1"/>
    <col min="3" max="3" width="25" style="11" customWidth="1"/>
    <col min="4" max="4" width="10.6640625" style="11" customWidth="1"/>
    <col min="5" max="5" width="10.6640625" style="9" customWidth="1"/>
    <col min="6" max="6" width="10.6640625" style="10" customWidth="1"/>
    <col min="7" max="7" width="10.5" style="11" customWidth="1"/>
    <col min="8" max="8" width="0.83203125" style="11" customWidth="1"/>
    <col min="9" max="13" width="10.6640625" style="11" customWidth="1"/>
    <col min="14" max="14" width="1.83203125" style="11" customWidth="1"/>
    <col min="15" max="15" width="15.83203125" style="110" customWidth="1"/>
    <col min="16" max="16" width="7.5" style="11" customWidth="1"/>
    <col min="17" max="20" width="6.1640625" style="11" customWidth="1"/>
    <col min="21" max="21" width="10.83203125" style="11"/>
    <col min="22" max="22" width="12.1640625" style="11" customWidth="1"/>
    <col min="23" max="16384" width="10.83203125" style="11"/>
  </cols>
  <sheetData>
    <row r="2" spans="3:20" ht="12" customHeight="1" thickBot="1"/>
    <row r="3" spans="3:20" s="12" customFormat="1" ht="21" customHeight="1" thickBot="1">
      <c r="C3" s="49" t="s">
        <v>6</v>
      </c>
      <c r="D3" s="200">
        <v>2021</v>
      </c>
      <c r="E3" s="201"/>
      <c r="F3" s="51">
        <v>2022</v>
      </c>
      <c r="G3" s="50">
        <v>2023</v>
      </c>
      <c r="H3" s="67"/>
      <c r="I3" s="51">
        <v>2024</v>
      </c>
      <c r="J3" s="51">
        <v>2025</v>
      </c>
      <c r="K3" s="51">
        <v>2026</v>
      </c>
      <c r="L3" s="51">
        <v>2027</v>
      </c>
      <c r="M3" s="52">
        <v>2028</v>
      </c>
      <c r="O3" s="111" t="s">
        <v>2</v>
      </c>
    </row>
    <row r="4" spans="3:20" s="3" customFormat="1" ht="21" customHeight="1">
      <c r="C4" s="66" t="s">
        <v>1</v>
      </c>
      <c r="D4" s="63" t="s">
        <v>3</v>
      </c>
      <c r="E4" s="60" t="s">
        <v>4</v>
      </c>
      <c r="F4" s="61" t="s">
        <v>3</v>
      </c>
      <c r="G4" s="60" t="s">
        <v>3</v>
      </c>
      <c r="H4" s="32"/>
      <c r="I4" s="61" t="s">
        <v>3</v>
      </c>
      <c r="J4" s="61" t="s">
        <v>3</v>
      </c>
      <c r="K4" s="61" t="s">
        <v>3</v>
      </c>
      <c r="L4" s="61" t="s">
        <v>3</v>
      </c>
      <c r="M4" s="62" t="s">
        <v>3</v>
      </c>
      <c r="P4" s="51">
        <v>2024</v>
      </c>
      <c r="Q4" s="51">
        <v>2025</v>
      </c>
      <c r="R4" s="51">
        <v>2026</v>
      </c>
      <c r="S4" s="51">
        <v>2027</v>
      </c>
      <c r="T4" s="52">
        <v>2028</v>
      </c>
    </row>
    <row r="5" spans="3:20" s="4" customFormat="1" ht="15" customHeight="1">
      <c r="C5" s="54" t="s">
        <v>17</v>
      </c>
      <c r="D5" s="31">
        <v>2211</v>
      </c>
      <c r="E5" s="7">
        <v>1051</v>
      </c>
      <c r="F5" s="33">
        <v>2032</v>
      </c>
      <c r="G5" s="23">
        <v>11475</v>
      </c>
      <c r="H5" s="33"/>
      <c r="I5" s="140">
        <v>18375.16859999999</v>
      </c>
      <c r="J5" s="140">
        <v>18902.498113287525</v>
      </c>
      <c r="K5" s="140">
        <v>19447.131932831559</v>
      </c>
      <c r="L5" s="140">
        <v>20008.895986939431</v>
      </c>
      <c r="M5" s="141">
        <v>20587.529138900281</v>
      </c>
      <c r="O5" s="112"/>
    </row>
    <row r="6" spans="3:20" s="4" customFormat="1" ht="15" customHeight="1">
      <c r="C6" s="54" t="s">
        <v>20</v>
      </c>
      <c r="D6" s="31">
        <v>5796</v>
      </c>
      <c r="E6" s="7">
        <v>1804</v>
      </c>
      <c r="F6" s="33">
        <f>9074+1115</f>
        <v>10189</v>
      </c>
      <c r="G6" s="23">
        <f>9159+1182</f>
        <v>10341</v>
      </c>
      <c r="H6" s="33"/>
      <c r="I6" s="33">
        <f>G6*(1+P6)</f>
        <v>11116.574999999999</v>
      </c>
      <c r="J6" s="150">
        <f t="shared" ref="J6:M7" si="0">I6*(1+Q6)</f>
        <v>11950.318124999998</v>
      </c>
      <c r="K6" s="34">
        <f t="shared" si="0"/>
        <v>12846.591984374998</v>
      </c>
      <c r="L6" s="34">
        <f t="shared" si="0"/>
        <v>13810.086383203123</v>
      </c>
      <c r="M6" s="55">
        <f t="shared" si="0"/>
        <v>14845.842861943356</v>
      </c>
      <c r="O6" s="112" t="s">
        <v>49</v>
      </c>
      <c r="P6" s="99">
        <v>7.4999999999999997E-2</v>
      </c>
      <c r="Q6" s="97">
        <v>7.4999999999999997E-2</v>
      </c>
      <c r="R6" s="97">
        <v>7.4999999999999997E-2</v>
      </c>
      <c r="S6" s="97">
        <v>7.4999999999999997E-2</v>
      </c>
      <c r="T6" s="97">
        <v>7.4999999999999997E-2</v>
      </c>
    </row>
    <row r="7" spans="3:20" s="4" customFormat="1" ht="15" customHeight="1">
      <c r="C7" s="54" t="s">
        <v>24</v>
      </c>
      <c r="D7" s="31">
        <v>45539</v>
      </c>
      <c r="E7" s="7">
        <f>14904+5054+205</f>
        <v>20163</v>
      </c>
      <c r="F7" s="33">
        <v>68608</v>
      </c>
      <c r="G7" s="23">
        <v>83627</v>
      </c>
      <c r="H7" s="33"/>
      <c r="I7" s="33">
        <f>G7*(1+P7)</f>
        <v>80281.919999999998</v>
      </c>
      <c r="J7" s="150">
        <f t="shared" si="0"/>
        <v>84296.016000000003</v>
      </c>
      <c r="K7" s="34">
        <f t="shared" si="0"/>
        <v>88510.816800000001</v>
      </c>
      <c r="L7" s="34">
        <f t="shared" si="0"/>
        <v>92936.357640000002</v>
      </c>
      <c r="M7" s="55">
        <f t="shared" si="0"/>
        <v>97583.175522000005</v>
      </c>
      <c r="O7" s="110" t="s">
        <v>47</v>
      </c>
      <c r="P7" s="100">
        <v>-0.04</v>
      </c>
      <c r="Q7" s="98">
        <v>0.05</v>
      </c>
      <c r="R7" s="98">
        <v>0.05</v>
      </c>
      <c r="S7" s="98">
        <v>0.05</v>
      </c>
      <c r="T7" s="98">
        <v>0.05</v>
      </c>
    </row>
    <row r="8" spans="3:20" s="4" customFormat="1" ht="15" customHeight="1">
      <c r="C8" s="54" t="s">
        <v>21</v>
      </c>
      <c r="D8" s="31">
        <v>270</v>
      </c>
      <c r="E8" s="7">
        <v>360</v>
      </c>
      <c r="F8" s="33">
        <v>491</v>
      </c>
      <c r="G8" s="23">
        <v>652</v>
      </c>
      <c r="H8" s="33"/>
      <c r="I8" s="23">
        <v>652</v>
      </c>
      <c r="J8" s="151">
        <v>652</v>
      </c>
      <c r="K8" s="23">
        <v>652</v>
      </c>
      <c r="L8" s="23">
        <v>652</v>
      </c>
      <c r="M8" s="126">
        <v>652</v>
      </c>
      <c r="O8" s="110"/>
      <c r="P8" s="96"/>
      <c r="Q8" s="96"/>
      <c r="R8" s="96"/>
      <c r="S8" s="96"/>
      <c r="T8" s="96"/>
    </row>
    <row r="9" spans="3:20" s="4" customFormat="1" ht="15" customHeight="1">
      <c r="C9" s="54" t="s">
        <v>23</v>
      </c>
      <c r="D9" s="31">
        <v>249</v>
      </c>
      <c r="E9" s="7">
        <v>147</v>
      </c>
      <c r="F9" s="33">
        <v>287</v>
      </c>
      <c r="G9" s="23">
        <v>625</v>
      </c>
      <c r="H9" s="33"/>
      <c r="I9" s="23">
        <f>625+I35</f>
        <v>500</v>
      </c>
      <c r="J9" s="151">
        <f>I9+J35</f>
        <v>375</v>
      </c>
      <c r="K9" s="23">
        <f t="shared" ref="K9:M9" si="1">J9+K35</f>
        <v>250</v>
      </c>
      <c r="L9" s="23">
        <f t="shared" si="1"/>
        <v>125</v>
      </c>
      <c r="M9" s="126">
        <f t="shared" si="1"/>
        <v>0</v>
      </c>
      <c r="O9" s="112" t="s">
        <v>52</v>
      </c>
      <c r="P9" s="4">
        <v>-100</v>
      </c>
      <c r="Q9" s="4">
        <v>-100</v>
      </c>
      <c r="R9" s="4">
        <v>-100</v>
      </c>
      <c r="S9" s="4">
        <v>-100</v>
      </c>
      <c r="T9" s="4">
        <v>-100</v>
      </c>
    </row>
    <row r="10" spans="3:20" s="4" customFormat="1" ht="15" customHeight="1">
      <c r="C10" s="54" t="s">
        <v>18</v>
      </c>
      <c r="D10" s="31">
        <v>2426</v>
      </c>
      <c r="E10" s="7">
        <v>0</v>
      </c>
      <c r="F10" s="33">
        <v>2426</v>
      </c>
      <c r="G10" s="23">
        <v>0</v>
      </c>
      <c r="H10" s="33"/>
      <c r="I10" s="23">
        <v>0</v>
      </c>
      <c r="J10" s="23">
        <v>0</v>
      </c>
      <c r="K10" s="23">
        <v>0</v>
      </c>
      <c r="L10" s="23">
        <v>0</v>
      </c>
      <c r="M10" s="126">
        <v>0</v>
      </c>
    </row>
    <row r="11" spans="3:20" s="4" customFormat="1" ht="15" customHeight="1">
      <c r="C11" s="54" t="s">
        <v>22</v>
      </c>
      <c r="D11" s="31">
        <v>1184</v>
      </c>
      <c r="E11" s="7">
        <v>365</v>
      </c>
      <c r="F11" s="33">
        <v>1561</v>
      </c>
      <c r="G11" s="23">
        <v>1580</v>
      </c>
      <c r="H11" s="33"/>
      <c r="I11" s="151">
        <f>+G11*(1+P11)</f>
        <v>1595.8</v>
      </c>
      <c r="J11" s="151">
        <f>+I11*(1+Q11)</f>
        <v>1611.758</v>
      </c>
      <c r="K11" s="151">
        <f>+J11*(1+R11)</f>
        <v>1627.8755800000001</v>
      </c>
      <c r="L11" s="151">
        <f>+K11*(1+S11)</f>
        <v>1644.1543358000001</v>
      </c>
      <c r="M11" s="156">
        <f>+L11*(1+T11)</f>
        <v>1660.5958791580001</v>
      </c>
      <c r="O11" s="110" t="s">
        <v>50</v>
      </c>
      <c r="P11" s="96">
        <v>0.01</v>
      </c>
      <c r="Q11" s="96">
        <v>0.01</v>
      </c>
      <c r="R11" s="96">
        <v>0.01</v>
      </c>
      <c r="S11" s="96">
        <v>0.01</v>
      </c>
      <c r="T11" s="96">
        <v>0.01</v>
      </c>
    </row>
    <row r="12" spans="3:20" s="4" customFormat="1" ht="15" customHeight="1">
      <c r="C12" s="54" t="s">
        <v>19</v>
      </c>
      <c r="D12" s="21">
        <f>1110+8+734</f>
        <v>1852</v>
      </c>
      <c r="E12" s="40">
        <f>824+392+377</f>
        <v>1593</v>
      </c>
      <c r="F12" s="41">
        <f>2250+1033+1267</f>
        <v>4550</v>
      </c>
      <c r="G12" s="30">
        <f>3254+1111+1392</f>
        <v>5757</v>
      </c>
      <c r="H12" s="33"/>
      <c r="I12" s="155">
        <f>G12*(1+P12)</f>
        <v>6044.85</v>
      </c>
      <c r="J12" s="155">
        <f>I12*(1+Q12)</f>
        <v>6347.0925000000007</v>
      </c>
      <c r="K12" s="155">
        <f>J12*(1+R12)</f>
        <v>6664.4471250000006</v>
      </c>
      <c r="L12" s="155">
        <f>K12*(1+S12)</f>
        <v>6997.6694812500009</v>
      </c>
      <c r="M12" s="157">
        <f>L12*(1+T12)</f>
        <v>7347.5529553125016</v>
      </c>
      <c r="O12" s="110" t="s">
        <v>51</v>
      </c>
      <c r="P12" s="96">
        <v>0.05</v>
      </c>
      <c r="Q12" s="96">
        <v>0.05</v>
      </c>
      <c r="R12" s="96">
        <v>0.05</v>
      </c>
      <c r="S12" s="96">
        <v>0.05</v>
      </c>
      <c r="T12" s="96">
        <v>0.05</v>
      </c>
    </row>
    <row r="13" spans="3:20" s="4" customFormat="1" ht="15" customHeight="1" thickBot="1">
      <c r="C13" s="58" t="s">
        <v>5</v>
      </c>
      <c r="D13" s="43">
        <f>SUM(D5:D12)</f>
        <v>59527</v>
      </c>
      <c r="E13" s="44">
        <f>SUM(E5:E12)</f>
        <v>25483</v>
      </c>
      <c r="F13" s="45">
        <f>SUM(F5:F12)</f>
        <v>90144</v>
      </c>
      <c r="G13" s="64">
        <f>SUM(G5:G12)</f>
        <v>114057</v>
      </c>
      <c r="H13" s="33"/>
      <c r="I13" s="64">
        <f>SUM(I5:I12)</f>
        <v>118566.31359999999</v>
      </c>
      <c r="J13" s="64">
        <f>SUM(J5:J12)</f>
        <v>124134.68273828752</v>
      </c>
      <c r="K13" s="64">
        <f t="shared" ref="K13:M13" si="2">SUM(K5:K12)</f>
        <v>129998.86342220657</v>
      </c>
      <c r="L13" s="64">
        <f t="shared" si="2"/>
        <v>136174.16382719256</v>
      </c>
      <c r="M13" s="128">
        <f t="shared" si="2"/>
        <v>142676.69635731415</v>
      </c>
      <c r="O13" s="112"/>
    </row>
    <row r="14" spans="3:20" s="4" customFormat="1" ht="15" customHeight="1" thickTop="1">
      <c r="C14" s="54" t="s">
        <v>34</v>
      </c>
      <c r="D14" s="31">
        <v>4534</v>
      </c>
      <c r="E14" s="7">
        <v>7088</v>
      </c>
      <c r="F14" s="33">
        <v>12055</v>
      </c>
      <c r="G14" s="23">
        <v>20499</v>
      </c>
      <c r="H14" s="33"/>
      <c r="I14" s="34">
        <f>G14*(1+$P$18)</f>
        <v>21318.959999999999</v>
      </c>
      <c r="J14" s="152">
        <f>I14*(1+Q$18)</f>
        <v>22384.907999999999</v>
      </c>
      <c r="K14" s="95">
        <f>J14*(1+R18)</f>
        <v>23504.153399999999</v>
      </c>
      <c r="L14" s="95">
        <f>K14*(1+S18)</f>
        <v>24679.361069999999</v>
      </c>
      <c r="M14" s="129">
        <f>L14*(1+T18)</f>
        <v>25913.3291235</v>
      </c>
    </row>
    <row r="15" spans="3:20" s="4" customFormat="1" ht="15" customHeight="1">
      <c r="C15" s="54" t="s">
        <v>35</v>
      </c>
      <c r="D15" s="31">
        <v>13209</v>
      </c>
      <c r="E15" s="7">
        <v>3640.3333333333335</v>
      </c>
      <c r="F15" s="33">
        <v>22511</v>
      </c>
      <c r="G15" s="23">
        <v>30700</v>
      </c>
      <c r="H15" s="33"/>
      <c r="I15" s="34">
        <f>G15*(1+$P$18)</f>
        <v>31928</v>
      </c>
      <c r="J15" s="150">
        <f>I15*(1+Q18)</f>
        <v>33524.400000000001</v>
      </c>
      <c r="K15" s="34">
        <f>J15*(1+R18)</f>
        <v>35200.620000000003</v>
      </c>
      <c r="L15" s="34">
        <f>K15*(1+S18)</f>
        <v>36960.651000000005</v>
      </c>
      <c r="M15" s="55">
        <f>L15*(1+T18)</f>
        <v>38808.683550000009</v>
      </c>
    </row>
    <row r="16" spans="3:20" s="4" customFormat="1" ht="15" customHeight="1">
      <c r="C16" s="54" t="s">
        <v>36</v>
      </c>
      <c r="D16" s="31">
        <v>8892</v>
      </c>
      <c r="E16" s="7">
        <v>3640.3333333333335</v>
      </c>
      <c r="F16" s="33">
        <v>11645</v>
      </c>
      <c r="G16" s="23">
        <v>8773</v>
      </c>
      <c r="H16" s="33"/>
      <c r="I16" s="34">
        <f>G16*(1+$P$18)</f>
        <v>9123.92</v>
      </c>
      <c r="J16" s="150">
        <f>I16*(1+Q18)</f>
        <v>9580.116</v>
      </c>
      <c r="K16" s="34">
        <f>J16*(1+R18)</f>
        <v>10059.121800000001</v>
      </c>
      <c r="L16" s="34">
        <f>K16*(1+S18)</f>
        <v>10562.07789</v>
      </c>
      <c r="M16" s="55">
        <f>L16*(1+T18)</f>
        <v>11090.181784500001</v>
      </c>
    </row>
    <row r="17" spans="3:23" s="4" customFormat="1" ht="15" customHeight="1">
      <c r="C17" s="54" t="s">
        <v>37</v>
      </c>
      <c r="D17" s="21">
        <v>8424</v>
      </c>
      <c r="E17" s="40">
        <v>3640.3333333333335</v>
      </c>
      <c r="F17" s="41">
        <v>12510</v>
      </c>
      <c r="G17" s="30">
        <v>21554</v>
      </c>
      <c r="H17" s="33"/>
      <c r="I17" s="42">
        <f>G17*(1+$P$18)</f>
        <v>22416.16</v>
      </c>
      <c r="J17" s="153">
        <f>I17*(1+Q18)</f>
        <v>23536.968000000001</v>
      </c>
      <c r="K17" s="42">
        <f>J17*(1+R18)</f>
        <v>24713.816400000003</v>
      </c>
      <c r="L17" s="42">
        <f>K17*(1+S18)</f>
        <v>25949.507220000003</v>
      </c>
      <c r="M17" s="130">
        <f>L17*(1+T18)</f>
        <v>27246.982581000004</v>
      </c>
    </row>
    <row r="18" spans="3:23" s="4" customFormat="1" ht="15" customHeight="1">
      <c r="C18" s="54" t="s">
        <v>33</v>
      </c>
      <c r="D18" s="31">
        <f>SUM(D14:D17)</f>
        <v>35059</v>
      </c>
      <c r="E18" s="7">
        <f>SUM(E14:E17)</f>
        <v>18009</v>
      </c>
      <c r="F18" s="7">
        <f>SUM(F14:F17)</f>
        <v>58721</v>
      </c>
      <c r="G18" s="7">
        <f>SUM(G14:G17)</f>
        <v>81526</v>
      </c>
      <c r="H18" s="34"/>
      <c r="I18" s="7">
        <f>SUM(I14:I17)</f>
        <v>84787.04</v>
      </c>
      <c r="J18" s="154">
        <f>SUM(J14:J17)</f>
        <v>89026.392000000007</v>
      </c>
      <c r="K18" s="7">
        <f>SUM(K14:K17)</f>
        <v>93477.71160000001</v>
      </c>
      <c r="L18" s="7">
        <f t="shared" ref="L18:M18" si="3">SUM(L14:L17)</f>
        <v>98151.597180000012</v>
      </c>
      <c r="M18" s="56">
        <f t="shared" si="3"/>
        <v>103059.17703900002</v>
      </c>
      <c r="O18" s="110" t="s">
        <v>63</v>
      </c>
      <c r="P18" s="100">
        <v>0.04</v>
      </c>
      <c r="Q18" s="96">
        <v>0.05</v>
      </c>
      <c r="R18" s="96">
        <v>0.05</v>
      </c>
      <c r="S18" s="96">
        <v>0.05</v>
      </c>
      <c r="T18" s="96">
        <v>0.05</v>
      </c>
    </row>
    <row r="19" spans="3:23" s="4" customFormat="1" ht="15" customHeight="1">
      <c r="C19" s="54" t="s">
        <v>25</v>
      </c>
      <c r="D19" s="31">
        <v>16562</v>
      </c>
      <c r="E19" s="7">
        <f>1880+1400+200+396</f>
        <v>3876</v>
      </c>
      <c r="F19" s="33">
        <v>21332</v>
      </c>
      <c r="G19" s="23">
        <v>21267</v>
      </c>
      <c r="H19" s="33"/>
      <c r="I19" s="23">
        <f>G19*(1+P19)</f>
        <v>21267</v>
      </c>
      <c r="J19" s="151">
        <f>I19*(1+Q19)</f>
        <v>22330.350000000002</v>
      </c>
      <c r="K19" s="23">
        <f>J19*(1+R19)</f>
        <v>23446.867500000004</v>
      </c>
      <c r="L19" s="23">
        <f>K19*(1+S19)</f>
        <v>24619.210875000004</v>
      </c>
      <c r="M19" s="126">
        <f>L19*(1+T19)</f>
        <v>25850.171418750007</v>
      </c>
      <c r="O19" s="110" t="s">
        <v>64</v>
      </c>
      <c r="P19" s="96">
        <v>0</v>
      </c>
      <c r="Q19" s="96">
        <v>0.05</v>
      </c>
      <c r="R19" s="96">
        <v>0.05</v>
      </c>
      <c r="S19" s="96">
        <v>0.05</v>
      </c>
      <c r="T19" s="96">
        <v>0.05</v>
      </c>
    </row>
    <row r="20" spans="3:23" s="4" customFormat="1" ht="15" customHeight="1">
      <c r="C20" s="54" t="s">
        <v>19</v>
      </c>
      <c r="D20" s="21">
        <f>613+249</f>
        <v>862</v>
      </c>
      <c r="E20" s="40">
        <v>880</v>
      </c>
      <c r="F20" s="41">
        <v>1267</v>
      </c>
      <c r="G20" s="30">
        <v>2897</v>
      </c>
      <c r="H20" s="33"/>
      <c r="I20" s="30">
        <f>+G20*(1+P20)</f>
        <v>3041.85</v>
      </c>
      <c r="J20" s="155">
        <f>+I20*(1+Q20)</f>
        <v>3193.9425000000001</v>
      </c>
      <c r="K20" s="30">
        <f>+J20*(1+R20)</f>
        <v>3353.6396250000003</v>
      </c>
      <c r="L20" s="30">
        <f>+K20*(1+S20)</f>
        <v>3521.3216062500005</v>
      </c>
      <c r="M20" s="127">
        <f>+L20*(1+T20)</f>
        <v>3697.3876865625007</v>
      </c>
      <c r="O20" s="110" t="s">
        <v>51</v>
      </c>
      <c r="P20" s="96">
        <v>0.05</v>
      </c>
      <c r="Q20" s="96">
        <v>0.05</v>
      </c>
      <c r="R20" s="96">
        <v>0.05</v>
      </c>
      <c r="S20" s="96">
        <v>0.05</v>
      </c>
      <c r="T20" s="96">
        <v>0.05</v>
      </c>
    </row>
    <row r="21" spans="3:23" s="4" customFormat="1" ht="15" customHeight="1">
      <c r="C21" s="53" t="s">
        <v>26</v>
      </c>
      <c r="D21" s="31">
        <f>SUM(D18:D20)</f>
        <v>52483</v>
      </c>
      <c r="E21" s="7">
        <f>SUM(E18:E20)</f>
        <v>22765</v>
      </c>
      <c r="F21" s="33">
        <f>SUM(F18:F20)</f>
        <v>81320</v>
      </c>
      <c r="G21" s="23">
        <f>SUM(G18:G20)</f>
        <v>105690</v>
      </c>
      <c r="H21" s="33"/>
      <c r="I21" s="23">
        <f t="shared" ref="I21:M21" si="4">SUM(I18:I20)</f>
        <v>109095.89</v>
      </c>
      <c r="J21" s="151">
        <f t="shared" si="4"/>
        <v>114550.68450000002</v>
      </c>
      <c r="K21" s="23">
        <f t="shared" si="4"/>
        <v>120278.21872500001</v>
      </c>
      <c r="L21" s="23">
        <f t="shared" si="4"/>
        <v>126292.12966125002</v>
      </c>
      <c r="M21" s="126">
        <f t="shared" si="4"/>
        <v>132606.73614431251</v>
      </c>
    </row>
    <row r="22" spans="3:23" s="4" customFormat="1" ht="15" customHeight="1">
      <c r="C22" s="53" t="s">
        <v>28</v>
      </c>
      <c r="D22" s="31">
        <f>D23-D21</f>
        <v>7044</v>
      </c>
      <c r="E22" s="7">
        <f>E23-E21</f>
        <v>2718</v>
      </c>
      <c r="F22" s="33">
        <v>8824</v>
      </c>
      <c r="G22" s="23">
        <v>8367</v>
      </c>
      <c r="H22" s="33"/>
      <c r="I22" s="23">
        <f>G22+I45+P22</f>
        <v>9470.4236000000001</v>
      </c>
      <c r="J22" s="151">
        <f>I22+J45</f>
        <v>9583.9982382875005</v>
      </c>
      <c r="K22" s="23">
        <f>J22+K45</f>
        <v>9720.6446972065623</v>
      </c>
      <c r="L22" s="23">
        <f>K22+L45</f>
        <v>9882.034165942554</v>
      </c>
      <c r="M22" s="126">
        <f>L22+M45</f>
        <v>10069.960213001645</v>
      </c>
      <c r="O22" s="112" t="s">
        <v>57</v>
      </c>
      <c r="P22" s="134">
        <v>1050</v>
      </c>
      <c r="Q22" s="28" t="s">
        <v>61</v>
      </c>
    </row>
    <row r="23" spans="3:23" s="4" customFormat="1" ht="15" customHeight="1" thickBot="1">
      <c r="C23" s="53" t="s">
        <v>29</v>
      </c>
      <c r="D23" s="46">
        <f>D13</f>
        <v>59527</v>
      </c>
      <c r="E23" s="47">
        <v>25483</v>
      </c>
      <c r="F23" s="48">
        <f>F13</f>
        <v>90144</v>
      </c>
      <c r="G23" s="65">
        <f>G13</f>
        <v>114057</v>
      </c>
      <c r="H23" s="33"/>
      <c r="I23" s="65">
        <f>SUM(I21:I22)</f>
        <v>118566.31359999999</v>
      </c>
      <c r="J23" s="65">
        <f t="shared" ref="J23:M23" si="5">SUM(J21:J22)</f>
        <v>124134.68273828752</v>
      </c>
      <c r="K23" s="65">
        <f t="shared" si="5"/>
        <v>129998.86342220657</v>
      </c>
      <c r="L23" s="65">
        <f t="shared" si="5"/>
        <v>136174.16382719256</v>
      </c>
      <c r="M23" s="131">
        <f t="shared" si="5"/>
        <v>142676.69635731415</v>
      </c>
    </row>
    <row r="24" spans="3:23" s="4" customFormat="1" ht="10" customHeight="1" thickTop="1" thickBot="1">
      <c r="C24" s="125" t="s">
        <v>56</v>
      </c>
      <c r="D24" s="132">
        <f>D23-D13</f>
        <v>0</v>
      </c>
      <c r="E24" s="132">
        <f>E23-E13</f>
        <v>0</v>
      </c>
      <c r="F24" s="132">
        <f>F23-F13</f>
        <v>0</v>
      </c>
      <c r="G24" s="132">
        <f>G23-G13</f>
        <v>0</v>
      </c>
      <c r="H24" s="132"/>
      <c r="I24" s="132">
        <f>I23-I13</f>
        <v>0</v>
      </c>
      <c r="J24" s="132">
        <f>J23-J13</f>
        <v>0</v>
      </c>
      <c r="K24" s="132">
        <f>K23-K13</f>
        <v>0</v>
      </c>
      <c r="L24" s="132">
        <f>L23-L13</f>
        <v>0</v>
      </c>
      <c r="M24" s="133">
        <f>M23-M13</f>
        <v>0</v>
      </c>
    </row>
    <row r="25" spans="3:23" s="4" customFormat="1" ht="15" customHeight="1">
      <c r="C25" s="39"/>
      <c r="D25" s="6"/>
      <c r="E25" s="6"/>
      <c r="F25" s="94"/>
      <c r="G25" s="94"/>
      <c r="H25" s="94"/>
      <c r="I25" s="6"/>
      <c r="J25" s="6"/>
      <c r="K25" s="6"/>
      <c r="L25" s="6"/>
      <c r="M25" s="6"/>
      <c r="O25" s="28"/>
    </row>
    <row r="26" spans="3:23" s="4" customFormat="1" ht="15" customHeight="1" thickBot="1">
      <c r="C26" s="39"/>
      <c r="D26" s="6"/>
      <c r="E26" s="6"/>
      <c r="F26" s="6"/>
      <c r="G26" s="136"/>
      <c r="H26" s="6"/>
      <c r="I26" s="137"/>
      <c r="J26" s="5"/>
      <c r="K26" s="5"/>
      <c r="L26" s="5"/>
      <c r="M26" s="5"/>
    </row>
    <row r="27" spans="3:23" s="12" customFormat="1" ht="21" customHeight="1" thickBot="1">
      <c r="C27" s="49" t="s">
        <v>6</v>
      </c>
      <c r="D27" s="198">
        <v>2021</v>
      </c>
      <c r="E27" s="199"/>
      <c r="F27" s="57">
        <v>2022</v>
      </c>
      <c r="G27" s="51">
        <v>2023</v>
      </c>
      <c r="H27" s="67"/>
      <c r="I27" s="51">
        <v>2024</v>
      </c>
      <c r="J27" s="51">
        <v>2025</v>
      </c>
      <c r="K27" s="51">
        <v>2026</v>
      </c>
      <c r="L27" s="51">
        <v>2027</v>
      </c>
      <c r="M27" s="52">
        <v>2028</v>
      </c>
      <c r="O27" s="111" t="s">
        <v>2</v>
      </c>
    </row>
    <row r="28" spans="3:23" s="3" customFormat="1" ht="21" customHeight="1">
      <c r="C28" s="66" t="s">
        <v>0</v>
      </c>
      <c r="D28" s="75" t="s">
        <v>3</v>
      </c>
      <c r="E28" s="71" t="s">
        <v>4</v>
      </c>
      <c r="F28" s="2" t="s">
        <v>3</v>
      </c>
      <c r="G28" s="73" t="s">
        <v>3</v>
      </c>
      <c r="H28" s="32"/>
      <c r="I28" s="73" t="s">
        <v>3</v>
      </c>
      <c r="J28" s="73" t="s">
        <v>3</v>
      </c>
      <c r="K28" s="73" t="s">
        <v>3</v>
      </c>
      <c r="L28" s="73" t="s">
        <v>3</v>
      </c>
      <c r="M28" s="74" t="s">
        <v>3</v>
      </c>
      <c r="P28" s="51">
        <v>2024</v>
      </c>
      <c r="Q28" s="51">
        <v>2025</v>
      </c>
      <c r="R28" s="51">
        <v>2026</v>
      </c>
      <c r="S28" s="51">
        <v>2027</v>
      </c>
      <c r="T28" s="52">
        <v>2028</v>
      </c>
      <c r="W28" s="11"/>
    </row>
    <row r="29" spans="3:23">
      <c r="C29" s="68" t="s">
        <v>12</v>
      </c>
      <c r="D29" s="14">
        <v>1689</v>
      </c>
      <c r="E29" s="8">
        <v>810</v>
      </c>
      <c r="F29" s="10">
        <v>2092</v>
      </c>
      <c r="G29" s="35">
        <v>5491</v>
      </c>
      <c r="H29" s="9"/>
      <c r="I29" s="93">
        <f>I32*1.9</f>
        <v>5320</v>
      </c>
      <c r="J29" s="93">
        <f t="shared" ref="J29:M29" si="6">J32*1.9</f>
        <v>5486.0410451249991</v>
      </c>
      <c r="K29" s="93">
        <f t="shared" si="6"/>
        <v>5777.3723007093749</v>
      </c>
      <c r="L29" s="93">
        <f t="shared" si="6"/>
        <v>6084.5473093225773</v>
      </c>
      <c r="M29" s="143">
        <f t="shared" si="6"/>
        <v>6408.4540478847712</v>
      </c>
    </row>
    <row r="30" spans="3:23">
      <c r="C30" s="68" t="s">
        <v>13</v>
      </c>
      <c r="D30" s="14">
        <v>-400</v>
      </c>
      <c r="E30" s="8">
        <v>-63</v>
      </c>
      <c r="F30" s="10">
        <v>-696</v>
      </c>
      <c r="G30" s="35">
        <v>-2414</v>
      </c>
      <c r="H30" s="35"/>
      <c r="I30" s="139">
        <f>-(I29-I32+I31)</f>
        <v>-1520</v>
      </c>
      <c r="J30" s="139">
        <f>-(J29-J32+J31)</f>
        <v>-1598.6510213749993</v>
      </c>
      <c r="K30" s="139">
        <f t="shared" ref="K30:M30" si="7">-(K29-K32+K31)</f>
        <v>-1736.6500371781249</v>
      </c>
      <c r="L30" s="139">
        <f t="shared" si="7"/>
        <v>-1882.1539886264841</v>
      </c>
      <c r="M30" s="144">
        <f t="shared" si="7"/>
        <v>-2035.5834963664706</v>
      </c>
    </row>
    <row r="31" spans="3:23">
      <c r="C31" s="68" t="s">
        <v>14</v>
      </c>
      <c r="D31" s="15">
        <v>-3</v>
      </c>
      <c r="E31" s="25">
        <v>112</v>
      </c>
      <c r="F31" s="17">
        <v>-133</v>
      </c>
      <c r="G31" s="175">
        <v>-833</v>
      </c>
      <c r="H31" s="35"/>
      <c r="I31" s="76">
        <f>-1000</f>
        <v>-1000</v>
      </c>
      <c r="J31" s="76">
        <f t="shared" ref="J31:M31" si="8">-1000</f>
        <v>-1000</v>
      </c>
      <c r="K31" s="76">
        <f t="shared" si="8"/>
        <v>-1000</v>
      </c>
      <c r="L31" s="76">
        <f t="shared" si="8"/>
        <v>-1000</v>
      </c>
      <c r="M31" s="77">
        <f t="shared" si="8"/>
        <v>-1000</v>
      </c>
      <c r="O31" s="112"/>
    </row>
    <row r="32" spans="3:23">
      <c r="C32" s="79" t="s">
        <v>7</v>
      </c>
      <c r="D32" s="18">
        <f>SUM(D29:D31)</f>
        <v>1286</v>
      </c>
      <c r="E32" s="27">
        <f>SUM(E29:E31)</f>
        <v>859</v>
      </c>
      <c r="F32" s="20">
        <f>SUM(F29:F31)</f>
        <v>1263</v>
      </c>
      <c r="G32" s="26">
        <f>SUM(G29:G31)</f>
        <v>2244</v>
      </c>
      <c r="H32" s="35"/>
      <c r="I32" s="26">
        <f>P32</f>
        <v>2800</v>
      </c>
      <c r="J32" s="26">
        <f>(J6+J7)*Q32</f>
        <v>2887.3900237499997</v>
      </c>
      <c r="K32" s="26">
        <f t="shared" ref="K32:M32" si="9">(K6+K7)*R32</f>
        <v>3040.7222635312501</v>
      </c>
      <c r="L32" s="26">
        <f t="shared" si="9"/>
        <v>3202.3933206960933</v>
      </c>
      <c r="M32" s="145">
        <f t="shared" si="9"/>
        <v>3372.8705515183005</v>
      </c>
      <c r="O32" s="110" t="s">
        <v>7</v>
      </c>
      <c r="P32" s="102">
        <v>2800</v>
      </c>
      <c r="Q32" s="96">
        <v>0.03</v>
      </c>
      <c r="R32" s="96">
        <v>0.03</v>
      </c>
      <c r="S32" s="96">
        <v>0.03</v>
      </c>
      <c r="T32" s="96">
        <v>0.03</v>
      </c>
      <c r="U32" s="11" t="s">
        <v>96</v>
      </c>
    </row>
    <row r="33" spans="3:23">
      <c r="C33" s="68" t="s">
        <v>15</v>
      </c>
      <c r="D33" s="14">
        <v>61</v>
      </c>
      <c r="E33" s="8">
        <v>1044</v>
      </c>
      <c r="F33" s="9">
        <v>247</v>
      </c>
      <c r="G33" s="35">
        <v>2687</v>
      </c>
      <c r="H33" s="35"/>
      <c r="I33" s="139">
        <f>P33</f>
        <v>600</v>
      </c>
      <c r="J33" s="139">
        <f t="shared" ref="J33:M33" si="10">Q33</f>
        <v>600</v>
      </c>
      <c r="K33" s="139">
        <f t="shared" si="10"/>
        <v>600</v>
      </c>
      <c r="L33" s="139">
        <f t="shared" si="10"/>
        <v>600</v>
      </c>
      <c r="M33" s="146">
        <f t="shared" si="10"/>
        <v>600</v>
      </c>
      <c r="O33" s="112" t="s">
        <v>65</v>
      </c>
      <c r="P33" s="102">
        <v>600</v>
      </c>
      <c r="Q33" s="142">
        <v>600</v>
      </c>
      <c r="R33" s="142">
        <v>600</v>
      </c>
      <c r="S33" s="142">
        <v>600</v>
      </c>
      <c r="T33" s="142">
        <v>600</v>
      </c>
    </row>
    <row r="34" spans="3:23">
      <c r="C34" s="68" t="s">
        <v>8</v>
      </c>
      <c r="D34" s="14">
        <v>-518</v>
      </c>
      <c r="E34" s="8">
        <v>-1202</v>
      </c>
      <c r="F34" s="9">
        <v>-604</v>
      </c>
      <c r="G34" s="37">
        <v>-2099</v>
      </c>
      <c r="H34" s="35"/>
      <c r="I34" s="35">
        <f>P34</f>
        <v>-2400</v>
      </c>
      <c r="J34" s="139">
        <f>I34*(1+Q34)</f>
        <v>-1920</v>
      </c>
      <c r="K34" s="139">
        <f t="shared" ref="K34:M34" si="11">J34*(1+R34)</f>
        <v>-2016</v>
      </c>
      <c r="L34" s="139">
        <f>K34*(1+S34)</f>
        <v>-2116.8000000000002</v>
      </c>
      <c r="M34" s="146">
        <f t="shared" si="11"/>
        <v>-2222.6400000000003</v>
      </c>
      <c r="O34" s="112" t="s">
        <v>66</v>
      </c>
      <c r="P34" s="102">
        <v>-2400</v>
      </c>
      <c r="Q34" s="96">
        <v>-0.2</v>
      </c>
      <c r="R34" s="96">
        <v>0.05</v>
      </c>
      <c r="S34" s="96">
        <v>0.05</v>
      </c>
      <c r="T34" s="96">
        <v>0.05</v>
      </c>
    </row>
    <row r="35" spans="3:23">
      <c r="C35" s="68" t="s">
        <v>9</v>
      </c>
      <c r="D35" s="14">
        <v>0</v>
      </c>
      <c r="E35" s="8">
        <v>-11</v>
      </c>
      <c r="F35" s="9">
        <v>-5</v>
      </c>
      <c r="G35" s="37">
        <v>-126</v>
      </c>
      <c r="H35" s="35"/>
      <c r="I35" s="35">
        <f>P35</f>
        <v>-125</v>
      </c>
      <c r="J35" s="139">
        <f t="shared" ref="J35:M35" si="12">Q35</f>
        <v>-125</v>
      </c>
      <c r="K35" s="35">
        <f t="shared" si="12"/>
        <v>-125</v>
      </c>
      <c r="L35" s="35">
        <f t="shared" si="12"/>
        <v>-125</v>
      </c>
      <c r="M35" s="69">
        <f t="shared" si="12"/>
        <v>-125</v>
      </c>
      <c r="O35" s="110" t="s">
        <v>59</v>
      </c>
      <c r="P35" s="11">
        <v>-125</v>
      </c>
      <c r="Q35" s="11">
        <v>-125</v>
      </c>
      <c r="R35" s="11">
        <v>-125</v>
      </c>
      <c r="S35" s="11">
        <v>-125</v>
      </c>
      <c r="T35" s="11">
        <v>-125</v>
      </c>
    </row>
    <row r="36" spans="3:23">
      <c r="C36" s="68" t="s">
        <v>10</v>
      </c>
      <c r="D36" s="14">
        <v>-23</v>
      </c>
      <c r="E36" s="8">
        <v>0</v>
      </c>
      <c r="F36" s="9">
        <v>-75</v>
      </c>
      <c r="G36" s="37">
        <v>-330</v>
      </c>
      <c r="H36" s="35"/>
      <c r="I36" s="35">
        <f>P36</f>
        <v>-200</v>
      </c>
      <c r="J36" s="139">
        <f t="shared" ref="J36:M36" si="13">Q36</f>
        <v>0</v>
      </c>
      <c r="K36" s="35">
        <f t="shared" si="13"/>
        <v>0</v>
      </c>
      <c r="L36" s="35">
        <f t="shared" si="13"/>
        <v>0</v>
      </c>
      <c r="M36" s="69">
        <f t="shared" si="13"/>
        <v>0</v>
      </c>
      <c r="O36" s="110" t="s">
        <v>62</v>
      </c>
      <c r="P36" s="11">
        <v>-200</v>
      </c>
      <c r="Q36" s="11">
        <v>0</v>
      </c>
      <c r="R36" s="11">
        <v>0</v>
      </c>
      <c r="S36" s="11">
        <v>0</v>
      </c>
      <c r="T36" s="11">
        <v>0</v>
      </c>
    </row>
    <row r="37" spans="3:23">
      <c r="C37" s="68" t="s">
        <v>11</v>
      </c>
      <c r="D37" s="15">
        <v>0</v>
      </c>
      <c r="E37" s="25">
        <v>0</v>
      </c>
      <c r="F37" s="16">
        <v>0</v>
      </c>
      <c r="G37" s="174">
        <v>-2426</v>
      </c>
      <c r="H37" s="37"/>
      <c r="I37" s="76">
        <v>0</v>
      </c>
      <c r="J37" s="138">
        <v>0</v>
      </c>
      <c r="K37" s="76">
        <v>0</v>
      </c>
      <c r="L37" s="76">
        <v>0</v>
      </c>
      <c r="M37" s="77">
        <v>0</v>
      </c>
    </row>
    <row r="38" spans="3:23" ht="16">
      <c r="C38" s="79" t="s">
        <v>16</v>
      </c>
      <c r="D38" s="18">
        <f>SUM(D33:D37)</f>
        <v>-480</v>
      </c>
      <c r="E38" s="27">
        <f>SUM(E33:E37)</f>
        <v>-169</v>
      </c>
      <c r="F38" s="19">
        <f>SUM(F33:F37)</f>
        <v>-437</v>
      </c>
      <c r="G38" s="26">
        <f>SUM(G33:G37)</f>
        <v>-2294</v>
      </c>
      <c r="H38" s="35"/>
      <c r="I38" s="26">
        <f>SUM(I33:I37)</f>
        <v>-2125</v>
      </c>
      <c r="J38" s="148">
        <f t="shared" ref="J38:M38" si="14">SUM(J33:J37)</f>
        <v>-1445</v>
      </c>
      <c r="K38" s="26">
        <f t="shared" si="14"/>
        <v>-1541</v>
      </c>
      <c r="L38" s="26">
        <f>SUM(L33:L37)</f>
        <v>-1641.8000000000002</v>
      </c>
      <c r="M38" s="145">
        <f t="shared" si="14"/>
        <v>-1747.6400000000003</v>
      </c>
      <c r="W38" s="12"/>
    </row>
    <row r="39" spans="3:23">
      <c r="C39" s="68" t="s">
        <v>38</v>
      </c>
      <c r="D39" s="14">
        <f>D32+D38</f>
        <v>806</v>
      </c>
      <c r="E39" s="8">
        <f>E32+E38</f>
        <v>690</v>
      </c>
      <c r="F39" s="9">
        <f t="shared" ref="F39" si="15">F32+F38</f>
        <v>826</v>
      </c>
      <c r="G39" s="35">
        <f>G32+G38</f>
        <v>-50</v>
      </c>
      <c r="H39" s="35"/>
      <c r="I39" s="35">
        <f>I32+I38</f>
        <v>675</v>
      </c>
      <c r="J39" s="139">
        <f t="shared" ref="J39:L39" si="16">J32+J38</f>
        <v>1442.3900237499997</v>
      </c>
      <c r="K39" s="35">
        <f t="shared" si="16"/>
        <v>1499.7222635312501</v>
      </c>
      <c r="L39" s="35">
        <f t="shared" si="16"/>
        <v>1560.5933206960931</v>
      </c>
      <c r="M39" s="69">
        <f>M32+M38</f>
        <v>1625.2305515183002</v>
      </c>
    </row>
    <row r="40" spans="3:23">
      <c r="C40" s="68" t="s">
        <v>60</v>
      </c>
      <c r="D40" s="14">
        <v>-210</v>
      </c>
      <c r="E40" s="8">
        <v>-157</v>
      </c>
      <c r="F40" s="10">
        <v>-176</v>
      </c>
      <c r="G40" s="35">
        <v>-29</v>
      </c>
      <c r="H40" s="35"/>
      <c r="I40" s="35">
        <f>-I39*P40</f>
        <v>-155.25</v>
      </c>
      <c r="J40" s="139">
        <f t="shared" ref="J40:L40" si="17">-J39*Q40</f>
        <v>-331.74970546249995</v>
      </c>
      <c r="K40" s="35">
        <f t="shared" si="17"/>
        <v>-344.93612061218755</v>
      </c>
      <c r="L40" s="35">
        <f t="shared" si="17"/>
        <v>-358.93646376010145</v>
      </c>
      <c r="M40" s="69">
        <f>-M39*T40</f>
        <v>-373.80302684920906</v>
      </c>
      <c r="O40" s="110" t="s">
        <v>67</v>
      </c>
      <c r="P40" s="100">
        <v>0.23</v>
      </c>
      <c r="Q40" s="96">
        <v>0.23</v>
      </c>
      <c r="R40" s="96">
        <v>0.23</v>
      </c>
      <c r="S40" s="96">
        <v>0.23</v>
      </c>
      <c r="T40" s="96">
        <v>0.23</v>
      </c>
      <c r="U40" s="4"/>
    </row>
    <row r="41" spans="3:23">
      <c r="C41" s="78" t="s">
        <v>48</v>
      </c>
      <c r="D41" s="15">
        <v>-60</v>
      </c>
      <c r="E41" s="25">
        <v>0</v>
      </c>
      <c r="F41" s="17">
        <v>-535</v>
      </c>
      <c r="G41" s="76">
        <v>21</v>
      </c>
      <c r="H41" s="35"/>
      <c r="I41" s="76">
        <f>I7*P41</f>
        <v>-401.40960000000001</v>
      </c>
      <c r="J41" s="138">
        <f t="shared" ref="J41:M41" si="18">J7*Q41</f>
        <v>-421.48008000000004</v>
      </c>
      <c r="K41" s="76">
        <f t="shared" si="18"/>
        <v>-442.55408399999999</v>
      </c>
      <c r="L41" s="76">
        <f t="shared" si="18"/>
        <v>-464.68178820000003</v>
      </c>
      <c r="M41" s="77">
        <f t="shared" si="18"/>
        <v>-487.91587761000005</v>
      </c>
      <c r="O41" s="110" t="s">
        <v>68</v>
      </c>
      <c r="P41" s="99">
        <v>-5.0000000000000001E-3</v>
      </c>
      <c r="Q41" s="97">
        <v>-5.0000000000000001E-3</v>
      </c>
      <c r="R41" s="97">
        <v>-5.0000000000000001E-3</v>
      </c>
      <c r="S41" s="97">
        <v>-5.0000000000000001E-3</v>
      </c>
      <c r="T41" s="97">
        <v>-5.0000000000000001E-3</v>
      </c>
      <c r="U41" s="28" t="s">
        <v>58</v>
      </c>
    </row>
    <row r="42" spans="3:23" ht="16" thickBot="1">
      <c r="C42" s="88" t="s">
        <v>41</v>
      </c>
      <c r="D42" s="80">
        <f>SUM(D39:D41)</f>
        <v>536</v>
      </c>
      <c r="E42" s="81">
        <f t="shared" ref="E42:G42" si="19">SUM(E39:E41)</f>
        <v>533</v>
      </c>
      <c r="F42" s="82">
        <f t="shared" si="19"/>
        <v>115</v>
      </c>
      <c r="G42" s="83">
        <f t="shared" si="19"/>
        <v>-58</v>
      </c>
      <c r="H42" s="35"/>
      <c r="I42" s="83">
        <f>SUM(I39:I41)</f>
        <v>118.34039999999999</v>
      </c>
      <c r="J42" s="149">
        <f t="shared" ref="J42:M42" si="20">SUM(J39:J41)</f>
        <v>689.16023828749962</v>
      </c>
      <c r="K42" s="83">
        <f t="shared" si="20"/>
        <v>712.23205891906252</v>
      </c>
      <c r="L42" s="83">
        <f t="shared" si="20"/>
        <v>736.9750687359915</v>
      </c>
      <c r="M42" s="147">
        <f t="shared" si="20"/>
        <v>763.51164705909105</v>
      </c>
    </row>
    <row r="43" spans="3:23" ht="16" thickTop="1">
      <c r="C43" s="68" t="s">
        <v>42</v>
      </c>
      <c r="D43" s="14">
        <v>-33</v>
      </c>
      <c r="E43" s="8"/>
      <c r="F43" s="10">
        <v>-33</v>
      </c>
      <c r="G43" s="35">
        <v>-33</v>
      </c>
      <c r="H43" s="35"/>
      <c r="I43" s="35">
        <f>P43</f>
        <v>-33</v>
      </c>
      <c r="J43" s="139">
        <f t="shared" ref="J43:M43" si="21">Q43</f>
        <v>-33</v>
      </c>
      <c r="K43" s="35">
        <f t="shared" si="21"/>
        <v>-33</v>
      </c>
      <c r="L43" s="35">
        <f t="shared" si="21"/>
        <v>-33</v>
      </c>
      <c r="M43" s="69">
        <f t="shared" si="21"/>
        <v>-33</v>
      </c>
      <c r="O43" s="110" t="s">
        <v>53</v>
      </c>
      <c r="P43" s="11">
        <v>-33</v>
      </c>
      <c r="Q43" s="11">
        <v>-33</v>
      </c>
      <c r="R43" s="11">
        <v>-33</v>
      </c>
      <c r="S43" s="11">
        <v>-33</v>
      </c>
      <c r="T43" s="11">
        <v>-33</v>
      </c>
    </row>
    <row r="44" spans="3:23">
      <c r="C44" s="68" t="s">
        <v>43</v>
      </c>
      <c r="D44" s="15">
        <f>-Ratios!K5*0.56</f>
        <v>-259.78501248000003</v>
      </c>
      <c r="F44" s="14">
        <f>-Ratios!M5*0.56</f>
        <v>-381.48170704000006</v>
      </c>
      <c r="G44" s="14">
        <f>-Ratios!N5*0.56</f>
        <v>-404.35716720000005</v>
      </c>
      <c r="H44" s="38"/>
      <c r="I44" s="35">
        <f>-P44*$U$44</f>
        <v>-31.916799999999999</v>
      </c>
      <c r="J44" s="139">
        <f>-Q44*$U$44</f>
        <v>-542.5856</v>
      </c>
      <c r="K44" s="35">
        <f>-R44*$U$44</f>
        <v>-542.5856</v>
      </c>
      <c r="L44" s="35">
        <f>-S44*$U$44</f>
        <v>-542.5856</v>
      </c>
      <c r="M44" s="69">
        <f>-T44*$U$44</f>
        <v>-542.5856</v>
      </c>
      <c r="O44" s="110" t="s">
        <v>54</v>
      </c>
      <c r="P44" s="135">
        <v>0.04</v>
      </c>
      <c r="Q44" s="114">
        <v>0.68</v>
      </c>
      <c r="R44" s="114">
        <v>0.68</v>
      </c>
      <c r="S44" s="114">
        <v>0.68</v>
      </c>
      <c r="T44" s="114">
        <v>0.68</v>
      </c>
      <c r="U44" s="187" t="s">
        <v>95</v>
      </c>
      <c r="V44" s="176"/>
    </row>
    <row r="45" spans="3:23" ht="16" thickBot="1">
      <c r="C45" s="87" t="s">
        <v>44</v>
      </c>
      <c r="D45" s="80">
        <f>SUM(D42:D44)</f>
        <v>243.21498751999997</v>
      </c>
      <c r="E45" s="81">
        <f>SUM(E41:E43)</f>
        <v>533</v>
      </c>
      <c r="F45" s="82">
        <f>SUM(F42:F44)</f>
        <v>-299.48170704000006</v>
      </c>
      <c r="G45" s="83">
        <f>SUM(G42:G44)</f>
        <v>-495.35716720000005</v>
      </c>
      <c r="H45" s="35"/>
      <c r="I45" s="83">
        <f>SUM(I42:I44)</f>
        <v>53.423599999999993</v>
      </c>
      <c r="J45" s="83">
        <f>SUM(J42:J44)</f>
        <v>113.57463828749962</v>
      </c>
      <c r="K45" s="83">
        <f t="shared" ref="K45:M45" si="22">SUM(K42:K44)</f>
        <v>136.64645891906252</v>
      </c>
      <c r="L45" s="83">
        <f t="shared" si="22"/>
        <v>161.3894687359915</v>
      </c>
      <c r="M45" s="147">
        <f t="shared" si="22"/>
        <v>187.92604705909105</v>
      </c>
      <c r="O45" s="112" t="s">
        <v>97</v>
      </c>
    </row>
    <row r="46" spans="3:23" ht="10" customHeight="1" thickTop="1" thickBot="1">
      <c r="C46" s="86"/>
      <c r="D46" s="84"/>
      <c r="E46" s="84"/>
      <c r="F46" s="84"/>
      <c r="G46" s="84"/>
      <c r="H46" s="70"/>
      <c r="I46" s="84"/>
      <c r="J46" s="84"/>
      <c r="K46" s="84"/>
      <c r="L46" s="84"/>
      <c r="M46" s="85"/>
    </row>
    <row r="47" spans="3:23">
      <c r="C47" s="9"/>
      <c r="D47" s="9"/>
      <c r="G47" s="9"/>
      <c r="H47" s="9"/>
      <c r="I47" s="9"/>
      <c r="J47" s="9"/>
      <c r="K47" s="9"/>
      <c r="L47" s="9"/>
      <c r="M47" s="9"/>
    </row>
    <row r="48" spans="3:23">
      <c r="C48" s="9"/>
      <c r="D48" s="9"/>
      <c r="G48" s="9"/>
      <c r="H48" s="9"/>
      <c r="I48" s="9"/>
      <c r="J48" s="9"/>
      <c r="K48" s="9"/>
      <c r="L48" s="9"/>
      <c r="M48" s="9"/>
      <c r="O48" s="112"/>
    </row>
    <row r="49" spans="2:23" s="12" customFormat="1" ht="14" customHeight="1">
      <c r="B49" s="103"/>
      <c r="C49" s="3"/>
      <c r="D49" s="3"/>
      <c r="E49" s="3"/>
      <c r="F49" s="3"/>
      <c r="G49" s="3"/>
      <c r="H49" s="3"/>
      <c r="I49" s="3"/>
      <c r="J49" s="106"/>
      <c r="K49" s="106"/>
      <c r="L49" s="106"/>
      <c r="M49" s="106"/>
      <c r="N49" s="105"/>
      <c r="P49" s="4"/>
      <c r="Q49" s="4"/>
      <c r="R49" s="4"/>
      <c r="S49" s="4"/>
      <c r="T49" s="4"/>
      <c r="U49" s="4"/>
      <c r="W49" s="11"/>
    </row>
    <row r="50" spans="2:23">
      <c r="C50" s="13"/>
      <c r="D50" s="13"/>
      <c r="E50" s="13"/>
      <c r="F50" s="13"/>
      <c r="G50" s="13"/>
      <c r="H50" s="13"/>
      <c r="I50" s="13"/>
      <c r="J50" s="22"/>
      <c r="K50" s="22"/>
      <c r="L50" s="22"/>
      <c r="M50" s="22"/>
      <c r="S50" s="4"/>
      <c r="T50" s="4"/>
      <c r="U50" s="4"/>
    </row>
    <row r="51" spans="2:23" ht="16">
      <c r="C51" s="22"/>
      <c r="D51" s="22"/>
      <c r="E51" s="22"/>
      <c r="F51" s="22"/>
      <c r="H51" s="110"/>
      <c r="I51" s="177"/>
      <c r="J51" s="12"/>
      <c r="K51" s="12"/>
      <c r="L51" s="4"/>
      <c r="M51" s="4"/>
      <c r="N51" s="4"/>
      <c r="O51" s="11"/>
    </row>
    <row r="52" spans="2:23" ht="16">
      <c r="C52" s="5"/>
      <c r="D52" s="5"/>
      <c r="E52" s="5"/>
      <c r="F52" s="5"/>
      <c r="H52" s="112"/>
      <c r="I52" s="3"/>
      <c r="J52" s="3"/>
      <c r="K52" s="3"/>
      <c r="L52" s="4"/>
      <c r="M52" s="4"/>
      <c r="N52" s="4"/>
      <c r="O52" s="11"/>
    </row>
    <row r="53" spans="2:23">
      <c r="C53" s="5"/>
      <c r="D53" s="5"/>
      <c r="E53" s="5"/>
      <c r="F53" s="5"/>
      <c r="I53" s="4"/>
      <c r="J53" s="4"/>
      <c r="K53" s="29"/>
      <c r="L53" s="4"/>
      <c r="M53" s="4"/>
      <c r="N53" s="4"/>
      <c r="O53" s="11"/>
    </row>
    <row r="54" spans="2:23">
      <c r="C54" s="5"/>
      <c r="D54" s="5"/>
      <c r="E54" s="5"/>
      <c r="F54" s="5"/>
      <c r="H54" s="112"/>
      <c r="I54" s="4"/>
      <c r="J54" s="4"/>
      <c r="K54" s="4"/>
      <c r="L54" s="4"/>
      <c r="M54" s="4"/>
      <c r="N54" s="4"/>
      <c r="O54" s="11"/>
    </row>
    <row r="55" spans="2:23" ht="16">
      <c r="C55" s="5"/>
      <c r="D55" s="5"/>
      <c r="E55" s="5"/>
      <c r="F55" s="5"/>
      <c r="G55" s="10"/>
      <c r="J55" s="4"/>
      <c r="K55" s="4"/>
      <c r="L55" s="4"/>
      <c r="M55" s="4"/>
      <c r="N55" s="4"/>
      <c r="O55" s="11"/>
      <c r="W55" s="3"/>
    </row>
    <row r="56" spans="2:23" ht="16">
      <c r="E56" s="11"/>
      <c r="F56" s="11"/>
      <c r="H56" s="112"/>
      <c r="I56" s="4"/>
      <c r="J56" s="4"/>
      <c r="K56" s="4"/>
      <c r="L56" s="4"/>
      <c r="M56" s="4"/>
      <c r="N56" s="3"/>
      <c r="O56" s="11"/>
      <c r="W56" s="13"/>
    </row>
    <row r="57" spans="2:23">
      <c r="E57" s="11"/>
      <c r="F57" s="11"/>
      <c r="H57" s="112"/>
      <c r="I57" s="4"/>
      <c r="J57" s="4"/>
      <c r="K57" s="4"/>
      <c r="L57" s="4"/>
      <c r="M57" s="4"/>
      <c r="O57" s="11"/>
      <c r="W57" s="13"/>
    </row>
    <row r="58" spans="2:23">
      <c r="E58" s="11"/>
      <c r="F58" s="11"/>
      <c r="H58" s="111"/>
      <c r="I58" s="4"/>
      <c r="J58" s="4"/>
      <c r="K58" s="4"/>
      <c r="L58" s="4"/>
      <c r="M58" s="4"/>
      <c r="O58" s="11"/>
      <c r="W58" s="4"/>
    </row>
    <row r="59" spans="2:23">
      <c r="E59" s="11"/>
      <c r="F59" s="11"/>
      <c r="H59" s="110"/>
      <c r="I59" s="4"/>
      <c r="J59" s="4"/>
      <c r="K59" s="4"/>
      <c r="L59" s="4"/>
      <c r="M59" s="4"/>
      <c r="O59" s="11"/>
      <c r="W59" s="4"/>
    </row>
    <row r="60" spans="2:23">
      <c r="E60" s="11"/>
      <c r="F60" s="11"/>
      <c r="H60" s="110"/>
      <c r="I60" s="4"/>
      <c r="J60" s="4"/>
      <c r="K60" s="4"/>
      <c r="L60" s="4"/>
      <c r="M60" s="4"/>
      <c r="O60" s="11"/>
      <c r="W60" s="4"/>
    </row>
    <row r="61" spans="2:23">
      <c r="E61" s="11"/>
      <c r="F61" s="11"/>
      <c r="I61" s="4"/>
      <c r="J61" s="4"/>
      <c r="K61" s="4"/>
      <c r="L61" s="4"/>
      <c r="M61" s="4"/>
      <c r="O61" s="11"/>
      <c r="W61" s="4"/>
    </row>
    <row r="62" spans="2:23">
      <c r="E62" s="11"/>
      <c r="F62" s="11"/>
      <c r="I62" s="4"/>
      <c r="J62" s="4"/>
      <c r="K62" s="4"/>
      <c r="L62" s="4"/>
      <c r="M62" s="4"/>
      <c r="O62" s="11"/>
    </row>
    <row r="63" spans="2:23">
      <c r="E63" s="11"/>
      <c r="F63" s="11"/>
      <c r="H63" s="110"/>
      <c r="O63" s="11"/>
    </row>
    <row r="64" spans="2:23" ht="8" customHeight="1">
      <c r="E64" s="11"/>
      <c r="F64" s="11"/>
      <c r="H64" s="110"/>
      <c r="O64" s="11"/>
    </row>
    <row r="65" spans="2:23">
      <c r="E65" s="11"/>
      <c r="F65" s="11"/>
      <c r="H65" s="110"/>
      <c r="O65" s="11"/>
    </row>
    <row r="66" spans="2:23" s="3" customFormat="1" ht="19" customHeight="1">
      <c r="B66" s="107"/>
      <c r="C66" s="11"/>
      <c r="D66" s="11"/>
      <c r="E66" s="11"/>
      <c r="F66" s="11"/>
      <c r="G66" s="106"/>
      <c r="H66" s="111"/>
      <c r="W66" s="11"/>
    </row>
    <row r="67" spans="2:23" s="13" customFormat="1" ht="15" customHeight="1">
      <c r="C67" s="11"/>
      <c r="D67" s="11"/>
      <c r="E67" s="11"/>
      <c r="F67" s="11"/>
      <c r="G67" s="22"/>
      <c r="H67" s="113"/>
      <c r="W67" s="11"/>
    </row>
    <row r="68" spans="2:23" s="13" customFormat="1" ht="15" customHeight="1">
      <c r="C68" s="11"/>
      <c r="D68" s="11"/>
      <c r="E68" s="11"/>
      <c r="F68" s="11"/>
      <c r="G68" s="22"/>
      <c r="H68" s="113"/>
      <c r="W68" s="11"/>
    </row>
    <row r="69" spans="2:23" s="4" customFormat="1" ht="15" customHeight="1">
      <c r="C69" s="11"/>
      <c r="D69" s="11"/>
      <c r="E69" s="11"/>
      <c r="F69" s="11"/>
      <c r="G69" s="5"/>
      <c r="H69" s="112"/>
      <c r="W69" s="11"/>
    </row>
    <row r="70" spans="2:23" s="4" customFormat="1" ht="15" customHeight="1">
      <c r="C70" s="11"/>
      <c r="D70" s="11"/>
      <c r="E70" s="11"/>
      <c r="F70" s="11"/>
      <c r="G70" s="5"/>
      <c r="H70" s="112"/>
      <c r="W70" s="11"/>
    </row>
    <row r="71" spans="2:23" s="4" customFormat="1" ht="15" customHeight="1">
      <c r="C71" s="11"/>
      <c r="D71" s="11"/>
      <c r="E71" s="11"/>
      <c r="F71" s="11"/>
      <c r="G71" s="5"/>
      <c r="H71" s="112"/>
      <c r="W71" s="11"/>
    </row>
    <row r="72" spans="2:23" s="4" customFormat="1" ht="15" customHeight="1">
      <c r="C72" s="11"/>
      <c r="D72" s="11"/>
      <c r="E72" s="11"/>
      <c r="F72" s="11"/>
      <c r="G72" s="5"/>
      <c r="H72" s="112"/>
      <c r="W72" s="11"/>
    </row>
    <row r="73" spans="2:23">
      <c r="E73" s="11"/>
      <c r="F73" s="11"/>
      <c r="H73" s="110"/>
      <c r="O73" s="11"/>
    </row>
    <row r="74" spans="2:23">
      <c r="E74" s="11"/>
      <c r="F74" s="11"/>
      <c r="H74" s="110"/>
      <c r="O74" s="11"/>
    </row>
    <row r="75" spans="2:23">
      <c r="E75" s="11"/>
      <c r="F75" s="11"/>
      <c r="H75" s="110"/>
      <c r="O75" s="11"/>
    </row>
    <row r="76" spans="2:23">
      <c r="E76" s="11"/>
      <c r="F76" s="11"/>
      <c r="H76" s="110"/>
      <c r="O76" s="11"/>
    </row>
    <row r="77" spans="2:23">
      <c r="E77" s="11"/>
      <c r="F77" s="11"/>
      <c r="H77" s="110"/>
      <c r="O77" s="11"/>
    </row>
    <row r="78" spans="2:23">
      <c r="E78" s="11"/>
      <c r="F78" s="11"/>
      <c r="H78" s="110"/>
      <c r="O78" s="11"/>
    </row>
    <row r="79" spans="2:23">
      <c r="E79" s="11"/>
      <c r="F79" s="11"/>
      <c r="H79" s="110"/>
      <c r="O79" s="11"/>
    </row>
    <row r="80" spans="2:23">
      <c r="E80" s="11"/>
      <c r="F80" s="11"/>
      <c r="H80" s="110"/>
      <c r="O80" s="11"/>
    </row>
    <row r="81" spans="8:8" s="11" customFormat="1">
      <c r="H81" s="110"/>
    </row>
    <row r="82" spans="8:8" s="11" customFormat="1">
      <c r="H82" s="110"/>
    </row>
    <row r="83" spans="8:8" s="11" customFormat="1">
      <c r="H83" s="110"/>
    </row>
    <row r="84" spans="8:8" s="11" customFormat="1">
      <c r="H84" s="110"/>
    </row>
    <row r="85" spans="8:8" s="11" customFormat="1">
      <c r="H85" s="110"/>
    </row>
    <row r="86" spans="8:8" s="11" customFormat="1">
      <c r="H86" s="110"/>
    </row>
    <row r="87" spans="8:8" s="11" customFormat="1">
      <c r="H87" s="110"/>
    </row>
    <row r="88" spans="8:8" s="11" customFormat="1">
      <c r="H88" s="110"/>
    </row>
    <row r="89" spans="8:8" s="11" customFormat="1">
      <c r="H89" s="110"/>
    </row>
    <row r="90" spans="8:8" s="11" customFormat="1">
      <c r="H90" s="110"/>
    </row>
    <row r="91" spans="8:8" s="11" customFormat="1">
      <c r="H91" s="110"/>
    </row>
    <row r="92" spans="8:8" s="11" customFormat="1">
      <c r="H92" s="110"/>
    </row>
    <row r="93" spans="8:8" s="11" customFormat="1">
      <c r="H93" s="110"/>
    </row>
    <row r="94" spans="8:8" s="11" customFormat="1">
      <c r="H94" s="110"/>
    </row>
  </sheetData>
  <mergeCells count="2">
    <mergeCell ref="D27:E27"/>
    <mergeCell ref="D3:E3"/>
  </mergeCells>
  <pageMargins left="0.7" right="0.7" top="0.75" bottom="0.75" header="0.3" footer="0.3"/>
  <ignoredErrors>
    <ignoredError sqref="U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75F4-8705-F048-8CD0-AA37FBBF22EF}">
  <dimension ref="B1:W37"/>
  <sheetViews>
    <sheetView showGridLines="0" tabSelected="1" topLeftCell="G1" zoomScale="87" workbookViewId="0">
      <selection activeCell="W30" sqref="W30"/>
    </sheetView>
  </sheetViews>
  <sheetFormatPr baseColWidth="10" defaultColWidth="10.6640625" defaultRowHeight="16"/>
  <cols>
    <col min="2" max="2" width="7" customWidth="1"/>
    <col min="3" max="3" width="42.5" customWidth="1"/>
    <col min="4" max="4" width="11.33203125" customWidth="1"/>
    <col min="5" max="5" width="11.1640625" customWidth="1"/>
    <col min="6" max="6" width="15" customWidth="1"/>
    <col min="7" max="7" width="13.1640625" customWidth="1"/>
    <col min="8" max="8" width="15" customWidth="1"/>
    <col min="9" max="9" width="8.83203125" customWidth="1"/>
    <col min="10" max="10" width="24.5" customWidth="1"/>
    <col min="11" max="11" width="9" customWidth="1"/>
    <col min="12" max="12" width="8.6640625" customWidth="1"/>
    <col min="13" max="13" width="8.83203125" customWidth="1"/>
    <col min="14" max="14" width="8.5" customWidth="1"/>
    <col min="15" max="15" width="8.6640625" customWidth="1"/>
    <col min="17" max="17" width="25.5" customWidth="1"/>
    <col min="19" max="19" width="4.1640625" customWidth="1"/>
    <col min="20" max="20" width="11" customWidth="1"/>
    <col min="21" max="21" width="13.83203125" customWidth="1"/>
  </cols>
  <sheetData>
    <row r="1" spans="2:22" ht="17" thickBot="1"/>
    <row r="2" spans="2:22">
      <c r="B2" s="166" t="s">
        <v>70</v>
      </c>
      <c r="C2" s="165" t="s">
        <v>71</v>
      </c>
      <c r="D2" s="163" t="s">
        <v>69</v>
      </c>
      <c r="E2" s="163" t="s">
        <v>72</v>
      </c>
      <c r="F2" s="163" t="s">
        <v>87</v>
      </c>
      <c r="G2" s="163" t="s">
        <v>94</v>
      </c>
      <c r="H2" s="164" t="s">
        <v>91</v>
      </c>
      <c r="I2" s="1"/>
      <c r="J2" s="49" t="s">
        <v>46</v>
      </c>
      <c r="K2" s="210">
        <v>2021</v>
      </c>
      <c r="L2" s="211"/>
      <c r="M2" s="108">
        <v>2022</v>
      </c>
      <c r="N2" s="104">
        <v>2023</v>
      </c>
      <c r="O2" s="109">
        <v>2024</v>
      </c>
      <c r="Q2" s="49" t="s">
        <v>6</v>
      </c>
      <c r="R2" s="50">
        <v>2023</v>
      </c>
      <c r="S2" s="51"/>
      <c r="T2" s="189" t="s">
        <v>88</v>
      </c>
      <c r="U2" s="169" t="s">
        <v>89</v>
      </c>
    </row>
    <row r="3" spans="2:22">
      <c r="B3" s="167" t="s">
        <v>3</v>
      </c>
      <c r="C3" s="180" t="s">
        <v>73</v>
      </c>
      <c r="D3" s="181">
        <f>O6</f>
        <v>2481.5346209999998</v>
      </c>
      <c r="E3" s="181">
        <f>Forecast!I22</f>
        <v>9470.4236000000001</v>
      </c>
      <c r="F3" s="178">
        <f>D3/E3</f>
        <v>0.26202994985356304</v>
      </c>
      <c r="G3" s="178">
        <v>2.54</v>
      </c>
      <c r="H3" s="183">
        <v>1.0257709197065967</v>
      </c>
      <c r="I3" s="158"/>
      <c r="J3" s="92" t="s">
        <v>55</v>
      </c>
      <c r="K3" s="59" t="s">
        <v>3</v>
      </c>
      <c r="L3" s="71" t="s">
        <v>4</v>
      </c>
      <c r="M3" s="72" t="s">
        <v>3</v>
      </c>
      <c r="N3" s="73" t="s">
        <v>3</v>
      </c>
      <c r="O3" s="74" t="s">
        <v>3</v>
      </c>
      <c r="Q3" s="66" t="s">
        <v>1</v>
      </c>
      <c r="R3" s="60" t="s">
        <v>3</v>
      </c>
      <c r="S3" s="61"/>
      <c r="T3" s="190" t="s">
        <v>3</v>
      </c>
    </row>
    <row r="4" spans="2:22">
      <c r="B4" s="202" t="s">
        <v>86</v>
      </c>
      <c r="C4" s="203"/>
      <c r="D4" s="206">
        <v>19796.385798000003</v>
      </c>
      <c r="E4" s="206">
        <v>20315</v>
      </c>
      <c r="F4" s="208">
        <v>0.99564204627113018</v>
      </c>
      <c r="G4" s="208">
        <f>AVERAGE(G6:G11)</f>
        <v>0.73</v>
      </c>
      <c r="H4" s="212">
        <f>AVERAGE(H6:H11)</f>
        <v>0.75525557016257583</v>
      </c>
      <c r="I4" s="158"/>
      <c r="J4" s="119" t="s">
        <v>32</v>
      </c>
      <c r="K4" s="115">
        <v>12.42</v>
      </c>
      <c r="L4" s="116">
        <v>50.06</v>
      </c>
      <c r="M4" s="115">
        <v>8.64</v>
      </c>
      <c r="N4" s="117">
        <v>10.41</v>
      </c>
      <c r="O4" s="118">
        <v>3.11</v>
      </c>
      <c r="Q4" s="54" t="s">
        <v>17</v>
      </c>
      <c r="R4" s="23">
        <v>11475</v>
      </c>
      <c r="S4" s="33"/>
      <c r="T4" s="156">
        <v>11475</v>
      </c>
    </row>
    <row r="5" spans="2:22">
      <c r="B5" s="204"/>
      <c r="C5" s="205"/>
      <c r="D5" s="207"/>
      <c r="E5" s="207"/>
      <c r="F5" s="209"/>
      <c r="G5" s="209"/>
      <c r="H5" s="213"/>
      <c r="I5" s="158"/>
      <c r="J5" s="89" t="s">
        <v>39</v>
      </c>
      <c r="K5" s="9">
        <v>463.90180800000002</v>
      </c>
      <c r="L5" s="23">
        <v>53.197650000000003</v>
      </c>
      <c r="M5" s="6">
        <v>681.21733400000005</v>
      </c>
      <c r="N5" s="33">
        <v>722.06637000000001</v>
      </c>
      <c r="O5" s="90">
        <v>797.92110000000002</v>
      </c>
      <c r="Q5" s="54" t="s">
        <v>20</v>
      </c>
      <c r="R5" s="171">
        <v>10341</v>
      </c>
      <c r="S5" s="193"/>
      <c r="T5" s="191">
        <f>10341*(1+U5)</f>
        <v>7238.7</v>
      </c>
      <c r="U5" s="186">
        <v>-0.3</v>
      </c>
    </row>
    <row r="6" spans="2:22">
      <c r="B6" s="160" t="s">
        <v>74</v>
      </c>
      <c r="C6" s="182" t="s">
        <v>75</v>
      </c>
      <c r="D6" s="1">
        <v>16430.095359999999</v>
      </c>
      <c r="E6" s="1">
        <v>24342</v>
      </c>
      <c r="F6" s="158">
        <v>0.67496899843891212</v>
      </c>
      <c r="G6" s="158">
        <v>0.56999999999999995</v>
      </c>
      <c r="H6" s="184">
        <f>143518000/177342000</f>
        <v>0.80927247916455214</v>
      </c>
      <c r="I6" s="158"/>
      <c r="J6" s="54" t="s">
        <v>27</v>
      </c>
      <c r="K6" s="5">
        <v>5761.66045536</v>
      </c>
      <c r="L6" s="7">
        <v>2663.0743590000002</v>
      </c>
      <c r="M6" s="6">
        <v>5885.7177657600005</v>
      </c>
      <c r="N6" s="34">
        <v>7516.7109117</v>
      </c>
      <c r="O6" s="55">
        <f>O4*O5</f>
        <v>2481.5346209999998</v>
      </c>
      <c r="Q6" s="54" t="s">
        <v>24</v>
      </c>
      <c r="R6" s="171">
        <v>83627</v>
      </c>
      <c r="S6" s="193"/>
      <c r="T6" s="191">
        <f>83627*(1+U6)</f>
        <v>53103.145000000004</v>
      </c>
      <c r="U6" s="186">
        <v>-0.36499999999999999</v>
      </c>
    </row>
    <row r="7" spans="2:22">
      <c r="B7" s="160" t="s">
        <v>76</v>
      </c>
      <c r="C7" s="182" t="s">
        <v>77</v>
      </c>
      <c r="D7" s="1">
        <v>24628.31</v>
      </c>
      <c r="E7" s="1">
        <v>19172</v>
      </c>
      <c r="F7" s="158">
        <v>1.2845978510327563</v>
      </c>
      <c r="G7" s="158">
        <v>1</v>
      </c>
      <c r="H7" s="184">
        <f>112738000/168912000</f>
        <v>0.66743629819077388</v>
      </c>
      <c r="I7" s="158"/>
      <c r="J7" s="54" t="s">
        <v>40</v>
      </c>
      <c r="K7" s="5">
        <v>7044</v>
      </c>
      <c r="L7" s="7">
        <v>2718</v>
      </c>
      <c r="M7" s="7">
        <v>8824</v>
      </c>
      <c r="N7" s="7">
        <v>8367</v>
      </c>
      <c r="O7" s="56">
        <f>E3</f>
        <v>9470.4236000000001</v>
      </c>
      <c r="Q7" s="54" t="s">
        <v>21</v>
      </c>
      <c r="R7" s="23">
        <v>652</v>
      </c>
      <c r="S7" s="33"/>
      <c r="T7" s="126"/>
      <c r="U7" s="112" t="s">
        <v>92</v>
      </c>
      <c r="V7" s="4"/>
    </row>
    <row r="8" spans="2:22">
      <c r="B8" s="160" t="s">
        <v>78</v>
      </c>
      <c r="C8" s="182" t="s">
        <v>79</v>
      </c>
      <c r="D8" s="1">
        <v>20075.661270000001</v>
      </c>
      <c r="E8" s="1">
        <v>19353</v>
      </c>
      <c r="F8" s="158">
        <v>1.0373410463494033</v>
      </c>
      <c r="G8" s="158">
        <v>0.65</v>
      </c>
      <c r="H8" s="184">
        <f>115063000/151230000</f>
        <v>0.76084771540038354</v>
      </c>
      <c r="I8" s="158"/>
      <c r="J8" s="54" t="s">
        <v>30</v>
      </c>
      <c r="K8" s="22">
        <v>0.81795293233390121</v>
      </c>
      <c r="L8" s="24">
        <v>0.97979189072847694</v>
      </c>
      <c r="M8" s="22">
        <v>0.66701243945602906</v>
      </c>
      <c r="N8" s="36">
        <v>0.89837587088562199</v>
      </c>
      <c r="O8" s="91">
        <f>O6/O7</f>
        <v>0.26202994985356304</v>
      </c>
      <c r="Q8" s="54" t="s">
        <v>23</v>
      </c>
      <c r="R8" s="23">
        <v>625</v>
      </c>
      <c r="S8" s="33"/>
      <c r="T8" s="126"/>
      <c r="U8" s="112" t="s">
        <v>45</v>
      </c>
      <c r="V8" s="4"/>
    </row>
    <row r="9" spans="2:22" ht="17" thickBot="1">
      <c r="B9" s="160" t="s">
        <v>80</v>
      </c>
      <c r="C9" s="182" t="s">
        <v>81</v>
      </c>
      <c r="D9" s="1">
        <v>14514.93993</v>
      </c>
      <c r="E9" s="1">
        <v>14637</v>
      </c>
      <c r="F9" s="158">
        <v>0.99166085468333676</v>
      </c>
      <c r="G9" s="158">
        <v>1.54</v>
      </c>
      <c r="H9" s="184">
        <f>108094000/145587000</f>
        <v>0.74247013813046492</v>
      </c>
      <c r="I9" s="158"/>
      <c r="J9" s="120" t="s">
        <v>31</v>
      </c>
      <c r="K9" s="121">
        <v>15.184247783746512</v>
      </c>
      <c r="L9" s="122">
        <v>51.092482468680473</v>
      </c>
      <c r="M9" s="121">
        <v>12.953281661502759</v>
      </c>
      <c r="N9" s="123">
        <v>11.587577468813565</v>
      </c>
      <c r="O9" s="124">
        <v>11.796209355787182</v>
      </c>
      <c r="Q9" s="54" t="s">
        <v>18</v>
      </c>
      <c r="R9" s="23">
        <v>0</v>
      </c>
      <c r="S9" s="33"/>
      <c r="T9" s="126"/>
    </row>
    <row r="10" spans="2:22">
      <c r="B10" s="160" t="s">
        <v>82</v>
      </c>
      <c r="C10" s="182" t="s">
        <v>83</v>
      </c>
      <c r="D10" s="1">
        <v>24127.198639999999</v>
      </c>
      <c r="E10" s="1">
        <v>26957</v>
      </c>
      <c r="F10" s="158">
        <v>0.89502536038876723</v>
      </c>
      <c r="G10" s="158">
        <v>0.49</v>
      </c>
      <c r="H10" s="184">
        <f>129125000/163274000</f>
        <v>0.79084851231671915</v>
      </c>
      <c r="I10" s="158"/>
      <c r="Q10" s="54" t="s">
        <v>22</v>
      </c>
      <c r="R10" s="151">
        <v>1580</v>
      </c>
      <c r="S10" s="140"/>
      <c r="T10" s="156">
        <f>1580*(1+U10)</f>
        <v>1580</v>
      </c>
      <c r="U10" s="170"/>
    </row>
    <row r="11" spans="2:22" ht="17" thickBot="1">
      <c r="B11" s="161" t="s">
        <v>84</v>
      </c>
      <c r="C11" s="162" t="s">
        <v>85</v>
      </c>
      <c r="D11" s="159">
        <v>19002.109587999999</v>
      </c>
      <c r="E11" s="159">
        <v>17429</v>
      </c>
      <c r="F11" s="179">
        <v>1.0902581667336049</v>
      </c>
      <c r="G11" s="179">
        <v>0.13</v>
      </c>
      <c r="H11" s="185">
        <f>97203000/127788000</f>
        <v>0.76065827777256079</v>
      </c>
      <c r="I11" s="1"/>
      <c r="Q11" s="54" t="s">
        <v>19</v>
      </c>
      <c r="R11" s="30">
        <v>5757</v>
      </c>
      <c r="S11" s="41"/>
      <c r="T11" s="157">
        <v>5757</v>
      </c>
    </row>
    <row r="12" spans="2:22" ht="17" thickBot="1">
      <c r="C12" s="101"/>
      <c r="D12" s="1"/>
      <c r="E12" s="1"/>
      <c r="F12" s="1"/>
      <c r="G12" s="1"/>
      <c r="H12" s="1"/>
      <c r="I12" s="158"/>
      <c r="Q12" s="58" t="s">
        <v>5</v>
      </c>
      <c r="R12" s="64">
        <v>114057</v>
      </c>
      <c r="S12" s="45"/>
      <c r="T12" s="172">
        <f>SUM(T4:T11)</f>
        <v>79153.845000000001</v>
      </c>
      <c r="U12" t="s">
        <v>90</v>
      </c>
    </row>
    <row r="13" spans="2:22" ht="17" thickTop="1">
      <c r="I13" s="1"/>
      <c r="Q13" s="54" t="s">
        <v>34</v>
      </c>
      <c r="R13" s="23">
        <v>20499</v>
      </c>
      <c r="S13" s="33"/>
      <c r="T13" s="56">
        <v>20499</v>
      </c>
    </row>
    <row r="14" spans="2:22">
      <c r="J14" s="1"/>
      <c r="Q14" s="54" t="s">
        <v>35</v>
      </c>
      <c r="R14" s="23">
        <v>30700</v>
      </c>
      <c r="S14" s="33"/>
      <c r="T14" s="56">
        <v>30700</v>
      </c>
    </row>
    <row r="15" spans="2:22">
      <c r="J15" s="194"/>
      <c r="Q15" s="54" t="s">
        <v>36</v>
      </c>
      <c r="R15" s="23">
        <v>8773</v>
      </c>
      <c r="S15" s="33"/>
      <c r="T15" s="56">
        <v>8773</v>
      </c>
    </row>
    <row r="16" spans="2:22">
      <c r="J16" s="195"/>
      <c r="Q16" s="54" t="s">
        <v>37</v>
      </c>
      <c r="R16" s="30">
        <v>21554</v>
      </c>
      <c r="S16" s="41"/>
      <c r="T16" s="192">
        <v>21554</v>
      </c>
    </row>
    <row r="17" spans="5:23">
      <c r="E17" s="188"/>
      <c r="J17" s="197"/>
      <c r="Q17" s="54" t="s">
        <v>33</v>
      </c>
      <c r="R17" s="7">
        <v>81526</v>
      </c>
      <c r="S17" s="34"/>
      <c r="T17" s="173">
        <v>81526</v>
      </c>
      <c r="U17" t="s">
        <v>93</v>
      </c>
    </row>
    <row r="18" spans="5:23">
      <c r="J18" s="196"/>
      <c r="Q18" s="54" t="s">
        <v>25</v>
      </c>
      <c r="R18" s="23">
        <v>21267</v>
      </c>
      <c r="S18" s="33"/>
      <c r="T18" s="126">
        <v>21267</v>
      </c>
      <c r="U18" s="110"/>
      <c r="V18" s="96"/>
      <c r="W18" s="4"/>
    </row>
    <row r="19" spans="5:23">
      <c r="Q19" s="54" t="s">
        <v>19</v>
      </c>
      <c r="R19" s="30">
        <v>2897</v>
      </c>
      <c r="S19" s="41"/>
      <c r="T19" s="127">
        <v>2897</v>
      </c>
      <c r="U19" s="110"/>
    </row>
    <row r="20" spans="5:23">
      <c r="Q20" s="53" t="s">
        <v>26</v>
      </c>
      <c r="R20" s="23">
        <v>105690</v>
      </c>
      <c r="S20" s="33"/>
      <c r="T20" s="126">
        <v>105690</v>
      </c>
      <c r="U20" s="4"/>
    </row>
    <row r="21" spans="5:23">
      <c r="Q21" s="53" t="s">
        <v>28</v>
      </c>
      <c r="R21" s="23">
        <v>8367</v>
      </c>
      <c r="S21" s="33"/>
      <c r="T21" s="126">
        <v>8367</v>
      </c>
      <c r="U21" s="112"/>
      <c r="V21" s="168"/>
      <c r="W21" s="4"/>
    </row>
    <row r="22" spans="5:23" ht="17" thickBot="1">
      <c r="Q22" s="53" t="s">
        <v>29</v>
      </c>
      <c r="R22" s="65">
        <v>114057</v>
      </c>
      <c r="S22" s="48"/>
      <c r="T22" s="131">
        <v>114057</v>
      </c>
      <c r="U22" s="4"/>
      <c r="V22" s="4"/>
      <c r="W22" s="4"/>
    </row>
    <row r="23" spans="5:23" ht="11" customHeight="1" thickTop="1" thickBot="1">
      <c r="Q23" s="125"/>
      <c r="R23" s="132"/>
      <c r="S23" s="132"/>
      <c r="T23" s="133"/>
      <c r="U23" s="4"/>
      <c r="V23" s="4"/>
      <c r="W23" s="4"/>
    </row>
    <row r="24" spans="5:23">
      <c r="Q24" s="39"/>
      <c r="R24" s="94"/>
      <c r="S24" s="94"/>
      <c r="T24" s="6"/>
      <c r="U24" s="28"/>
      <c r="V24" s="4"/>
      <c r="W24" s="4"/>
    </row>
    <row r="25" spans="5:23">
      <c r="P25" s="4"/>
      <c r="Q25" s="4"/>
    </row>
    <row r="26" spans="5:23">
      <c r="P26" s="11"/>
      <c r="Q26" s="12"/>
    </row>
    <row r="27" spans="5:23">
      <c r="P27" s="11"/>
      <c r="Q27" s="3"/>
    </row>
    <row r="28" spans="5:23">
      <c r="Q28" s="11"/>
    </row>
    <row r="29" spans="5:23">
      <c r="Q29" s="11"/>
    </row>
    <row r="36" spans="17:22">
      <c r="Q36" s="11"/>
      <c r="V36" s="11"/>
    </row>
    <row r="37" spans="17:22">
      <c r="Q37" s="11"/>
      <c r="V37" s="11"/>
    </row>
  </sheetData>
  <mergeCells count="7">
    <mergeCell ref="B4:C5"/>
    <mergeCell ref="D4:D5"/>
    <mergeCell ref="E4:E5"/>
    <mergeCell ref="F4:F5"/>
    <mergeCell ref="K2:L2"/>
    <mergeCell ref="H4:H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MALLARINO</dc:creator>
  <cp:lastModifiedBy>MARCO MALLARINO</cp:lastModifiedBy>
  <dcterms:created xsi:type="dcterms:W3CDTF">2024-03-24T00:24:18Z</dcterms:created>
  <dcterms:modified xsi:type="dcterms:W3CDTF">2025-04-11T19:35:26Z</dcterms:modified>
</cp:coreProperties>
</file>