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business\exam-papers\"/>
    </mc:Choice>
  </mc:AlternateContent>
  <xr:revisionPtr revIDLastSave="0" documentId="13_ncr:1_{8AF4004F-F60D-420C-8C0D-72DE524F6481}" xr6:coauthVersionLast="47" xr6:coauthVersionMax="47" xr10:uidLastSave="{00000000-0000-0000-0000-000000000000}"/>
  <bookViews>
    <workbookView xWindow="-23148" yWindow="-2928" windowWidth="23256" windowHeight="12456" tabRatio="740" activeTab="4" xr2:uid="{48B5650A-B419-41F6-9683-C4A751FD5B03}"/>
  </bookViews>
  <sheets>
    <sheet name="Answer1 Calculations" sheetId="2" r:id="rId1"/>
    <sheet name="Answer1 Show-work" sheetId="6" r:id="rId2"/>
    <sheet name="Answer2 Worksheet" sheetId="7" r:id="rId3"/>
    <sheet name="Answer2 Print" sheetId="10" r:id="rId4"/>
    <sheet name="Figures" sheetId="3" r:id="rId5"/>
    <sheet name="----Answer2 Calculations" sheetId="4" r:id="rId6"/>
  </sheets>
  <definedNames>
    <definedName name="AnnualRates">Figures!$C$41</definedName>
    <definedName name="AprilPurchases">Figures!$C$45</definedName>
    <definedName name="ArrearsPurchasesPayRate">Figures!$C$29</definedName>
    <definedName name="AugustCashPurchases">Figures!$M$17</definedName>
    <definedName name="AugustCreditPurchases">Figures!$O$17</definedName>
    <definedName name="BankLoanAmount">Figures!$C$36</definedName>
    <definedName name="BankMontlyRepayment">Figures!$C$37</definedName>
    <definedName name="DebtorsMay">Figures!$C$44</definedName>
    <definedName name="DecemberSalonEquipmentDiscountRate">Figures!$C$32</definedName>
    <definedName name="DecemberSalonEquipmentPrice">Figures!$C$31</definedName>
    <definedName name="DecemberSalonEquipmentPurchasePrice">Figures!$C$33</definedName>
    <definedName name="DirectCostSalesRate">Figures!$C$27</definedName>
    <definedName name="ImmedatePurchasesPayRate">Figures!$C$28</definedName>
    <definedName name="JulyCashPurchases">Figures!$M$16</definedName>
    <definedName name="JulyCreditPurchases">Figures!$O$16</definedName>
    <definedName name="JuneCashPurchases">Figures!$M$15</definedName>
    <definedName name="JuneCreditPurchases">Figures!$O$15</definedName>
    <definedName name="MayCashPurchases">Figures!$M$14</definedName>
    <definedName name="MayClosing">'Answer2 Print'!$C$26</definedName>
    <definedName name="MayCreditPurchases">Figures!$O$14</definedName>
    <definedName name="MayWages">Figures!$C$38</definedName>
    <definedName name="MotorPurchase">Figures!$C$34</definedName>
    <definedName name="OpeningBalance">Figures!$C$46</definedName>
    <definedName name="PresentValueFactor">Figures!$C$26</definedName>
    <definedName name="RentMonthlyPayment">Figures!$C$43</definedName>
    <definedName name="SalesBalance">Figures!$C$24</definedName>
    <definedName name="SalesCashRate">Figures!$C$23</definedName>
    <definedName name="SalesCreditRate">Figures!$C$24</definedName>
    <definedName name="SalesRateofCash">Figures!$C$23</definedName>
    <definedName name="SalonEquipmentCost">Figures!$C$30</definedName>
    <definedName name="StockRetentionRate">Figures!$C$8</definedName>
    <definedName name="UnitPrice">Figures!$C$9</definedName>
    <definedName name="WageRateIncrease">Figures!$C$39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0" l="1"/>
  <c r="E21" i="10"/>
  <c r="F21" i="10"/>
  <c r="C21" i="10"/>
  <c r="J18" i="7"/>
  <c r="H18" i="7"/>
  <c r="F18" i="10"/>
  <c r="E18" i="10"/>
  <c r="F17" i="7"/>
  <c r="D17" i="10"/>
  <c r="C15" i="10"/>
  <c r="C19" i="10"/>
  <c r="D19" i="10"/>
  <c r="E19" i="10"/>
  <c r="F19" i="10"/>
  <c r="C20" i="10"/>
  <c r="D20" i="10"/>
  <c r="E20" i="10"/>
  <c r="F20" i="10"/>
  <c r="C25" i="10"/>
  <c r="C7" i="10"/>
  <c r="D15" i="7"/>
  <c r="J20" i="7"/>
  <c r="I20" i="7"/>
  <c r="H20" i="7"/>
  <c r="G20" i="7"/>
  <c r="F20" i="7"/>
  <c r="E20" i="7"/>
  <c r="D20" i="7"/>
  <c r="C20" i="7"/>
  <c r="J19" i="7"/>
  <c r="I19" i="7"/>
  <c r="H19" i="7"/>
  <c r="G19" i="7"/>
  <c r="F19" i="7"/>
  <c r="D19" i="7"/>
  <c r="E19" i="7"/>
  <c r="C33" i="3"/>
  <c r="C16" i="10" s="1"/>
  <c r="J14" i="3"/>
  <c r="J15" i="3"/>
  <c r="J16" i="3"/>
  <c r="J17" i="3"/>
  <c r="D14" i="3"/>
  <c r="D15" i="3"/>
  <c r="D16" i="3"/>
  <c r="D17" i="3"/>
  <c r="E14" i="3"/>
  <c r="E15" i="3"/>
  <c r="E16" i="3"/>
  <c r="E17" i="3"/>
  <c r="T11" i="3"/>
  <c r="U11" i="3"/>
  <c r="S11" i="3"/>
  <c r="R10" i="3"/>
  <c r="R11" i="3" s="1"/>
  <c r="S7" i="3"/>
  <c r="T7" i="3"/>
  <c r="U7" i="3"/>
  <c r="R7" i="3"/>
  <c r="K14" i="3"/>
  <c r="K15" i="3"/>
  <c r="K16" i="3"/>
  <c r="K17" i="3"/>
  <c r="C24" i="3"/>
  <c r="I15" i="3" s="1"/>
  <c r="D7" i="7"/>
  <c r="D25" i="7"/>
  <c r="C42" i="3"/>
  <c r="C40" i="3"/>
  <c r="C36" i="3"/>
  <c r="E8" i="7" s="1"/>
  <c r="C29" i="3"/>
  <c r="S12" i="3" s="1"/>
  <c r="C26" i="3"/>
  <c r="E5" i="6"/>
  <c r="E6" i="6"/>
  <c r="E7" i="6"/>
  <c r="E8" i="6"/>
  <c r="F5" i="6"/>
  <c r="G5" i="6" s="1"/>
  <c r="F6" i="6"/>
  <c r="G6" i="6" s="1"/>
  <c r="F7" i="6"/>
  <c r="G7" i="6" s="1"/>
  <c r="F8" i="6"/>
  <c r="H8" i="6" s="1"/>
  <c r="E20" i="4"/>
  <c r="F20" i="4"/>
  <c r="G20" i="4"/>
  <c r="D20" i="4"/>
  <c r="D10" i="4"/>
  <c r="E8" i="2"/>
  <c r="F8" i="2" s="1"/>
  <c r="E7" i="2"/>
  <c r="F7" i="2" s="1"/>
  <c r="E6" i="2"/>
  <c r="F6" i="2" s="1"/>
  <c r="E5" i="2"/>
  <c r="D6" i="2" s="1"/>
  <c r="I17" i="3" l="1"/>
  <c r="I16" i="3"/>
  <c r="I14" i="3"/>
  <c r="E7" i="7" s="1"/>
  <c r="D8" i="10"/>
  <c r="D22" i="4"/>
  <c r="E6" i="4" s="1"/>
  <c r="E10" i="4" s="1"/>
  <c r="C16" i="7"/>
  <c r="D16" i="7"/>
  <c r="U8" i="3"/>
  <c r="F17" i="3"/>
  <c r="F16" i="3"/>
  <c r="F15" i="3"/>
  <c r="R8" i="3"/>
  <c r="L14" i="3"/>
  <c r="L17" i="3"/>
  <c r="L16" i="3"/>
  <c r="L15" i="3"/>
  <c r="N17" i="3"/>
  <c r="N16" i="3"/>
  <c r="N15" i="3"/>
  <c r="N14" i="3"/>
  <c r="F14" i="3"/>
  <c r="H17" i="3"/>
  <c r="H16" i="3"/>
  <c r="H15" i="3"/>
  <c r="H14" i="3"/>
  <c r="M14" i="3"/>
  <c r="C14" i="10" s="1"/>
  <c r="C22" i="10" s="1"/>
  <c r="T8" i="3"/>
  <c r="S8" i="3"/>
  <c r="M17" i="3"/>
  <c r="F14" i="10" s="1"/>
  <c r="M16" i="3"/>
  <c r="E14" i="10" s="1"/>
  <c r="M15" i="3"/>
  <c r="D14" i="10" s="1"/>
  <c r="O14" i="3"/>
  <c r="D15" i="10" s="1"/>
  <c r="O15" i="3"/>
  <c r="E15" i="10" s="1"/>
  <c r="O16" i="3"/>
  <c r="F15" i="10" s="1"/>
  <c r="R9" i="3"/>
  <c r="O17" i="3"/>
  <c r="S9" i="3"/>
  <c r="R12" i="3"/>
  <c r="U9" i="3"/>
  <c r="T9" i="3"/>
  <c r="F7" i="10"/>
  <c r="E7" i="10"/>
  <c r="G17" i="3"/>
  <c r="F6" i="10" s="1"/>
  <c r="F9" i="10" s="1"/>
  <c r="G16" i="3"/>
  <c r="E6" i="10" s="1"/>
  <c r="G15" i="3"/>
  <c r="D6" i="10" s="1"/>
  <c r="G14" i="3"/>
  <c r="C6" i="10" s="1"/>
  <c r="C9" i="10" s="1"/>
  <c r="E22" i="4"/>
  <c r="F6" i="4" s="1"/>
  <c r="F10" i="4" s="1"/>
  <c r="F22" i="4" s="1"/>
  <c r="G6" i="4" s="1"/>
  <c r="G10" i="4" s="1"/>
  <c r="G22" i="4" s="1"/>
  <c r="H7" i="6"/>
  <c r="D6" i="6"/>
  <c r="D8" i="6"/>
  <c r="I8" i="6" s="1"/>
  <c r="D7" i="6"/>
  <c r="H6" i="6"/>
  <c r="H5" i="6"/>
  <c r="G8" i="6"/>
  <c r="G6" i="2"/>
  <c r="H6" i="2" s="1"/>
  <c r="D7" i="2"/>
  <c r="G7" i="2" s="1"/>
  <c r="H7" i="2" s="1"/>
  <c r="D8" i="2"/>
  <c r="F5" i="2"/>
  <c r="D7" i="10" l="1"/>
  <c r="D22" i="10"/>
  <c r="F22" i="10"/>
  <c r="E22" i="10"/>
  <c r="J7" i="6"/>
  <c r="D9" i="10"/>
  <c r="J15" i="7"/>
  <c r="H15" i="7"/>
  <c r="D14" i="7"/>
  <c r="D22" i="7" s="1"/>
  <c r="F15" i="7"/>
  <c r="H14" i="7"/>
  <c r="H22" i="7" s="1"/>
  <c r="F14" i="7"/>
  <c r="F22" i="7" s="1"/>
  <c r="E9" i="10"/>
  <c r="J14" i="7"/>
  <c r="J22" i="7" s="1"/>
  <c r="F7" i="7"/>
  <c r="F6" i="7"/>
  <c r="G6" i="7"/>
  <c r="G7" i="7"/>
  <c r="D6" i="7"/>
  <c r="D9" i="7" s="1"/>
  <c r="E6" i="7"/>
  <c r="E9" i="7" s="1"/>
  <c r="I7" i="6"/>
  <c r="J8" i="6"/>
  <c r="K8" i="6" s="1"/>
  <c r="I6" i="6"/>
  <c r="J6" i="6"/>
  <c r="L6" i="6" s="1"/>
  <c r="J5" i="6"/>
  <c r="I5" i="6"/>
  <c r="K7" i="6"/>
  <c r="L7" i="6"/>
  <c r="G8" i="2"/>
  <c r="H8" i="2" s="1"/>
  <c r="G5" i="2"/>
  <c r="H5" i="2" s="1"/>
  <c r="D24" i="10" l="1"/>
  <c r="C24" i="10"/>
  <c r="F24" i="10"/>
  <c r="E24" i="10"/>
  <c r="E24" i="7"/>
  <c r="C24" i="7"/>
  <c r="D24" i="7"/>
  <c r="K6" i="6"/>
  <c r="F24" i="7"/>
  <c r="L8" i="6"/>
  <c r="K5" i="6"/>
  <c r="L5" i="6"/>
  <c r="C26" i="10" l="1"/>
  <c r="D26" i="7"/>
  <c r="F25" i="7" s="1"/>
  <c r="F26" i="7" s="1"/>
  <c r="H25" i="7" s="1"/>
  <c r="C26" i="7"/>
  <c r="F9" i="7"/>
  <c r="H24" i="7" s="1"/>
  <c r="D25" i="10" l="1"/>
  <c r="D26" i="10" s="1"/>
  <c r="E25" i="10" s="1"/>
  <c r="E26" i="10" s="1"/>
  <c r="F25" i="10" s="1"/>
  <c r="F26" i="10" s="1"/>
  <c r="H26" i="7"/>
  <c r="J25" i="7" s="1"/>
  <c r="G9" i="7"/>
  <c r="J24" i="7" s="1"/>
  <c r="J26" i="7" l="1"/>
</calcChain>
</file>

<file path=xl/sharedStrings.xml><?xml version="1.0" encoding="utf-8"?>
<sst xmlns="http://schemas.openxmlformats.org/spreadsheetml/2006/main" count="200" uniqueCount="102">
  <si>
    <t>June</t>
  </si>
  <si>
    <t>July</t>
  </si>
  <si>
    <t>August</t>
  </si>
  <si>
    <t>September</t>
  </si>
  <si>
    <t>Number of sales of print</t>
  </si>
  <si>
    <t>Opening Stock</t>
  </si>
  <si>
    <t>Month</t>
  </si>
  <si>
    <t>Total Prints Needed</t>
  </si>
  <si>
    <t>Prints to be Purchased</t>
  </si>
  <si>
    <t>Purchases Budget</t>
  </si>
  <si>
    <t>Stock Retention Rate:</t>
  </si>
  <si>
    <t>Name</t>
  </si>
  <si>
    <t>Value</t>
  </si>
  <si>
    <t>Unit Price</t>
  </si>
  <si>
    <t>Closing Stock</t>
  </si>
  <si>
    <t>Figures</t>
  </si>
  <si>
    <t>Burren Gift Shop</t>
  </si>
  <si>
    <t>Opening Cash Balance</t>
  </si>
  <si>
    <t>Cash Sales (60% of sales with 1% discount)</t>
  </si>
  <si>
    <t>Collections from Previous Month's Credit Sales</t>
  </si>
  <si>
    <t>Total Cash Inflows</t>
  </si>
  <si>
    <t>Payments</t>
  </si>
  <si>
    <t>Direct Cost of Sales (35%)</t>
  </si>
  <si>
    <t>Payments for Purchases (75% of previous month's purchases + 25% of current month's purchases)</t>
  </si>
  <si>
    <t>Equipment Purchase</t>
  </si>
  <si>
    <t>Loan Repayment</t>
  </si>
  <si>
    <t>Wages</t>
  </si>
  <si>
    <t>Rates</t>
  </si>
  <si>
    <t>Rent</t>
  </si>
  <si>
    <t>Total Payments</t>
  </si>
  <si>
    <t>Net Cash Flow</t>
  </si>
  <si>
    <t>Closing Cash Balance</t>
  </si>
  <si>
    <t>May</t>
  </si>
  <si>
    <t>Jun</t>
  </si>
  <si>
    <t>Jul</t>
  </si>
  <si>
    <t>Aug</t>
  </si>
  <si>
    <t>Loan from Financial Company</t>
  </si>
  <si>
    <t xml:space="preserve">9,500 + 7,438 = </t>
  </si>
  <si>
    <t>15% discount on €5,000 =</t>
  </si>
  <si>
    <t>-</t>
  </si>
  <si>
    <t>--</t>
  </si>
  <si>
    <t>---</t>
  </si>
  <si>
    <t>----</t>
  </si>
  <si>
    <t>Question 1</t>
  </si>
  <si>
    <t>Question 2</t>
  </si>
  <si>
    <t>Source</t>
  </si>
  <si>
    <t>Discount</t>
  </si>
  <si>
    <t>Immedate Purchases Pay Rate</t>
  </si>
  <si>
    <t>Arrears Purchases Pay Rate</t>
  </si>
  <si>
    <t>"All relevant amounts will be paid in May."</t>
  </si>
  <si>
    <r>
      <t xml:space="preserve">Equipment in Cost paid in </t>
    </r>
    <r>
      <rPr>
        <b/>
        <sz val="11"/>
        <color theme="1"/>
        <rFont val="Calibri"/>
        <family val="2"/>
        <scheme val="minor"/>
      </rPr>
      <t>June</t>
    </r>
  </si>
  <si>
    <t>*</t>
  </si>
  <si>
    <t>Bank Loan % of Equipment Cost</t>
  </si>
  <si>
    <t>Repayment Amount</t>
  </si>
  <si>
    <t>July, August</t>
  </si>
  <si>
    <t>"will begin in the month after receiving the loan"</t>
  </si>
  <si>
    <t>June, July, August</t>
  </si>
  <si>
    <t>May Wages</t>
  </si>
  <si>
    <t>Wage Rate Increase</t>
  </si>
  <si>
    <t>"implemented from June onwards"</t>
  </si>
  <si>
    <t>Annual Rates</t>
  </si>
  <si>
    <t>Monthly Rate</t>
  </si>
  <si>
    <t>Opening Balance</t>
  </si>
  <si>
    <t>"overdrawn" means the value is negative i.e -</t>
  </si>
  <si>
    <t>Present Value Factor (PVF)</t>
  </si>
  <si>
    <t>Sales</t>
  </si>
  <si>
    <t>Debtors May</t>
  </si>
  <si>
    <t>"the balance is collected 1 month later"</t>
  </si>
  <si>
    <t>Immediate Sales</t>
  </si>
  <si>
    <t>Outstanding Balance(Payed in the next month</t>
  </si>
  <si>
    <t>Bank Loan Amount</t>
  </si>
  <si>
    <t>Direct Cost Sales Rate</t>
  </si>
  <si>
    <t>Total Income</t>
  </si>
  <si>
    <t>Cash Inflows</t>
  </si>
  <si>
    <t>Cash Outflows</t>
  </si>
  <si>
    <t>Motor Purchases</t>
  </si>
  <si>
    <t>Purchases</t>
  </si>
  <si>
    <t>Purchases In Cash(25%)</t>
  </si>
  <si>
    <t>Purchases on Credit (75%)</t>
  </si>
  <si>
    <t>April Salon Cost</t>
  </si>
  <si>
    <t>April Purchases</t>
  </si>
  <si>
    <t>Label</t>
  </si>
  <si>
    <t>Cash Sales</t>
  </si>
  <si>
    <t>Immediate Cash Sales</t>
  </si>
  <si>
    <t>Sales Cash Rate</t>
  </si>
  <si>
    <t>Sales Credit Rate</t>
  </si>
  <si>
    <r>
      <t>Credit Sa</t>
    </r>
    <r>
      <rPr>
        <sz val="11"/>
        <color theme="1"/>
        <rFont val="Calibri"/>
        <family val="2"/>
        <scheme val="minor"/>
      </rPr>
      <t>les (Payed in the next month)</t>
    </r>
  </si>
  <si>
    <t>Gross Sales</t>
  </si>
  <si>
    <t>Cash Purchases (25%)</t>
  </si>
  <si>
    <t>Credit Purchases (75%)</t>
  </si>
  <si>
    <t>-----</t>
  </si>
  <si>
    <t>------</t>
  </si>
  <si>
    <t>December Salon Equipment Discount Rate</t>
  </si>
  <si>
    <t>December Salon Equipment Price</t>
  </si>
  <si>
    <t>December Salon Equipment Purchase</t>
  </si>
  <si>
    <t>Cash Purchases</t>
  </si>
  <si>
    <t>Credit Purchases (From  Previous Month)</t>
  </si>
  <si>
    <t xml:space="preserve">Name </t>
  </si>
  <si>
    <t>Ref</t>
  </si>
  <si>
    <t>Ref snip</t>
  </si>
  <si>
    <t>snip</t>
  </si>
  <si>
    <t>Gross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</si>
</sst>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44" fontId="0" fillId="0" borderId="0" xfId="2" applyFont="1"/>
    <xf numFmtId="0" fontId="2" fillId="0" borderId="1" xfId="4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right" vertical="center" wrapText="1" indent="1"/>
    </xf>
    <xf numFmtId="44" fontId="6" fillId="0" borderId="0" xfId="2" applyFont="1" applyFill="1" applyAlignment="1">
      <alignment horizontal="right" vertical="center" wrapText="1" indent="1"/>
    </xf>
    <xf numFmtId="44" fontId="0" fillId="0" borderId="0" xfId="0" applyNumberFormat="1"/>
    <xf numFmtId="0" fontId="7" fillId="0" borderId="0" xfId="0" applyFont="1"/>
    <xf numFmtId="17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 indent="1"/>
    </xf>
    <xf numFmtId="44" fontId="6" fillId="0" borderId="3" xfId="2" applyFont="1" applyFill="1" applyBorder="1" applyAlignment="1">
      <alignment horizontal="right" vertical="center" wrapText="1" indent="1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2" xfId="5"/>
    <xf numFmtId="9" fontId="0" fillId="0" borderId="0" xfId="0" applyNumberFormat="1"/>
    <xf numFmtId="0" fontId="8" fillId="0" borderId="0" xfId="0" applyFont="1"/>
    <xf numFmtId="44" fontId="6" fillId="4" borderId="0" xfId="2" applyFont="1" applyFill="1" applyAlignment="1">
      <alignment horizontal="right" vertical="center" wrapText="1" indent="1"/>
    </xf>
    <xf numFmtId="17" fontId="5" fillId="0" borderId="0" xfId="0" applyNumberFormat="1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" fontId="5" fillId="5" borderId="4" xfId="0" applyNumberFormat="1" applyFont="1" applyFill="1" applyBorder="1" applyAlignment="1">
      <alignment horizontal="center" vertical="center" wrapText="1"/>
    </xf>
    <xf numFmtId="17" fontId="5" fillId="5" borderId="5" xfId="0" applyNumberFormat="1" applyFont="1" applyFill="1" applyBorder="1" applyAlignment="1">
      <alignment horizontal="center" vertical="center" wrapText="1"/>
    </xf>
    <xf numFmtId="44" fontId="6" fillId="6" borderId="0" xfId="2" applyFont="1" applyFill="1" applyAlignment="1">
      <alignment horizontal="right" vertical="center" wrapText="1" indent="1"/>
    </xf>
    <xf numFmtId="44" fontId="6" fillId="0" borderId="0" xfId="0" applyNumberFormat="1" applyFont="1" applyAlignment="1">
      <alignment horizontal="right" vertical="center" wrapText="1" indent="1"/>
    </xf>
    <xf numFmtId="0" fontId="5" fillId="8" borderId="6" xfId="0" applyFont="1" applyFill="1" applyBorder="1" applyAlignment="1">
      <alignment horizontal="left" vertical="center" wrapText="1" indent="1"/>
    </xf>
    <xf numFmtId="44" fontId="6" fillId="4" borderId="7" xfId="2" applyFont="1" applyFill="1" applyBorder="1" applyAlignment="1">
      <alignment horizontal="right" vertical="center" wrapText="1" indent="1"/>
    </xf>
    <xf numFmtId="44" fontId="6" fillId="7" borderId="7" xfId="2" applyFont="1" applyFill="1" applyBorder="1" applyAlignment="1">
      <alignment horizontal="right" vertical="center" wrapText="1" indent="1"/>
    </xf>
    <xf numFmtId="0" fontId="9" fillId="0" borderId="0" xfId="0" applyFont="1"/>
    <xf numFmtId="0" fontId="2" fillId="0" borderId="1" xfId="4" applyAlignment="1"/>
    <xf numFmtId="0" fontId="2" fillId="0" borderId="1" xfId="4" applyAlignment="1">
      <alignment horizontal="center"/>
    </xf>
    <xf numFmtId="44" fontId="0" fillId="9" borderId="0" xfId="0" applyNumberFormat="1" applyFill="1"/>
    <xf numFmtId="44" fontId="6" fillId="9" borderId="0" xfId="2" applyFont="1" applyFill="1" applyAlignment="1">
      <alignment horizontal="right" vertical="center" wrapText="1" indent="1"/>
    </xf>
    <xf numFmtId="44" fontId="0" fillId="4" borderId="0" xfId="2" applyFont="1" applyFill="1"/>
    <xf numFmtId="44" fontId="0" fillId="2" borderId="0" xfId="2" applyFont="1" applyFill="1" applyAlignment="1">
      <alignment horizontal="right"/>
    </xf>
    <xf numFmtId="44" fontId="0" fillId="10" borderId="0" xfId="0" applyNumberFormat="1" applyFill="1"/>
    <xf numFmtId="44" fontId="6" fillId="10" borderId="0" xfId="2" applyFont="1" applyFill="1" applyAlignment="1">
      <alignment horizontal="right" vertical="center" wrapText="1" indent="1"/>
    </xf>
    <xf numFmtId="44" fontId="0" fillId="6" borderId="0" xfId="0" applyNumberFormat="1" applyFill="1"/>
    <xf numFmtId="17" fontId="5" fillId="5" borderId="4" xfId="0" quotePrefix="1" applyNumberFormat="1" applyFont="1" applyFill="1" applyBorder="1" applyAlignment="1">
      <alignment horizontal="center" vertical="center" wrapText="1"/>
    </xf>
    <xf numFmtId="0" fontId="6" fillId="2" borderId="0" xfId="2" applyNumberFormat="1" applyFont="1" applyFill="1" applyAlignment="1">
      <alignment horizontal="right" vertical="center" wrapText="1" indent="1"/>
    </xf>
    <xf numFmtId="0" fontId="6" fillId="11" borderId="0" xfId="0" applyFont="1" applyFill="1" applyAlignment="1">
      <alignment horizontal="right" vertical="center" wrapText="1" indent="1"/>
    </xf>
    <xf numFmtId="17" fontId="5" fillId="5" borderId="8" xfId="0" quotePrefix="1" applyNumberFormat="1" applyFont="1" applyFill="1" applyBorder="1" applyAlignment="1">
      <alignment horizontal="center" vertical="center" wrapText="1"/>
    </xf>
    <xf numFmtId="0" fontId="6" fillId="0" borderId="0" xfId="2" applyNumberFormat="1" applyFont="1" applyFill="1" applyAlignment="1">
      <alignment horizontal="right" vertical="center" wrapText="1" indent="1"/>
    </xf>
    <xf numFmtId="0" fontId="6" fillId="12" borderId="0" xfId="0" applyFont="1" applyFill="1" applyAlignment="1">
      <alignment horizontal="left" vertical="center" wrapText="1" indent="1"/>
    </xf>
    <xf numFmtId="44" fontId="6" fillId="13" borderId="0" xfId="2" applyFont="1" applyFill="1" applyAlignment="1">
      <alignment horizontal="right" vertical="center" wrapText="1" indent="1"/>
    </xf>
    <xf numFmtId="44" fontId="0" fillId="13" borderId="0" xfId="0" applyNumberFormat="1" applyFill="1"/>
    <xf numFmtId="9" fontId="0" fillId="14" borderId="0" xfId="0" applyNumberFormat="1" applyFill="1"/>
    <xf numFmtId="44" fontId="0" fillId="14" borderId="0" xfId="2" applyFont="1" applyFill="1"/>
    <xf numFmtId="44" fontId="0" fillId="14" borderId="0" xfId="0" applyNumberFormat="1" applyFill="1"/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Percent" xfId="3" builtinId="5"/>
  </cellStyles>
  <dxfs count="78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5" tint="0.39997558519241921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1012475</xdr:colOff>
      <xdr:row>4</xdr:row>
      <xdr:rowOff>141389</xdr:rowOff>
    </xdr:from>
    <xdr:to>
      <xdr:col>5</xdr:col>
      <xdr:colOff>705639</xdr:colOff>
      <xdr:row>5</xdr:row>
      <xdr:rowOff>33329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B1DB31-3A34-9E90-5E21-41F41AA723D9}"/>
            </a:ext>
          </a:extLst>
        </xdr:cNvPr>
        <xdr:cNvCxnSpPr/>
      </xdr:nvCxnSpPr>
      <xdr:spPr>
        <a:xfrm flipH="1">
          <a:off x="3884629" y="954677"/>
          <a:ext cx="1598164" cy="75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5</xdr:row>
      <xdr:rowOff>162441</xdr:rowOff>
    </xdr:from>
    <xdr:to>
      <xdr:col>5</xdr:col>
      <xdr:colOff>705639</xdr:colOff>
      <xdr:row>6</xdr:row>
      <xdr:rowOff>37994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E4F127-0956-42C1-8459-9D74ED4DE142}"/>
            </a:ext>
          </a:extLst>
        </xdr:cNvPr>
        <xdr:cNvCxnSpPr/>
      </xdr:nvCxnSpPr>
      <xdr:spPr>
        <a:xfrm flipH="1">
          <a:off x="3884629" y="1158903"/>
          <a:ext cx="1598164" cy="587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6</xdr:row>
      <xdr:rowOff>148647</xdr:rowOff>
    </xdr:from>
    <xdr:to>
      <xdr:col>5</xdr:col>
      <xdr:colOff>705639</xdr:colOff>
      <xdr:row>7</xdr:row>
      <xdr:rowOff>38682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95C14C-6EDB-442F-BA4B-6C5054702395}"/>
            </a:ext>
          </a:extLst>
        </xdr:cNvPr>
        <xdr:cNvCxnSpPr/>
      </xdr:nvCxnSpPr>
      <xdr:spPr>
        <a:xfrm flipH="1">
          <a:off x="3884629" y="1328282"/>
          <a:ext cx="1598164" cy="732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927651</xdr:colOff>
      <xdr:row>24</xdr:row>
      <xdr:rowOff>86139</xdr:rowOff>
    </xdr:from>
    <xdr:to>
      <xdr:col>5</xdr:col>
      <xdr:colOff>26504</xdr:colOff>
      <xdr:row>25</xdr:row>
      <xdr:rowOff>99392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ED0300-8FE2-C447-D66F-4BB4DFCC0760}"/>
            </a:ext>
          </a:extLst>
        </xdr:cNvPr>
        <xdr:cNvCxnSpPr/>
      </xdr:nvCxnSpPr>
      <xdr:spPr>
        <a:xfrm flipV="1">
          <a:off x="4704521" y="5797826"/>
          <a:ext cx="1292087" cy="20540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</xdr:colOff>
      <xdr:row>24</xdr:row>
      <xdr:rowOff>132522</xdr:rowOff>
    </xdr:from>
    <xdr:to>
      <xdr:col>7</xdr:col>
      <xdr:colOff>13252</xdr:colOff>
      <xdr:row>25</xdr:row>
      <xdr:rowOff>72887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9FBC0A-9E2A-4375-AABC-B9D4347F02F1}"/>
            </a:ext>
          </a:extLst>
        </xdr:cNvPr>
        <xdr:cNvCxnSpPr/>
      </xdr:nvCxnSpPr>
      <xdr:spPr>
        <a:xfrm flipV="1">
          <a:off x="6983896" y="5844209"/>
          <a:ext cx="1013791" cy="1325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6627</xdr:colOff>
      <xdr:row>24</xdr:row>
      <xdr:rowOff>132522</xdr:rowOff>
    </xdr:from>
    <xdr:to>
      <xdr:col>9</xdr:col>
      <xdr:colOff>1</xdr:colOff>
      <xdr:row>25</xdr:row>
      <xdr:rowOff>92766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D22C9E-7CBF-4210-A9DF-C18BCE99FEAE}"/>
            </a:ext>
          </a:extLst>
        </xdr:cNvPr>
        <xdr:cNvCxnSpPr/>
      </xdr:nvCxnSpPr>
      <xdr:spPr>
        <a:xfrm flipV="1">
          <a:off x="8918714" y="5844209"/>
          <a:ext cx="861391" cy="152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1689100</xdr:colOff>
      <xdr:row>24</xdr:row>
      <xdr:rowOff>119270</xdr:rowOff>
    </xdr:from>
    <xdr:to>
      <xdr:col>3</xdr:col>
      <xdr:colOff>371060</xdr:colOff>
      <xdr:row>25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31B0C7C-366C-4065-9ECE-BEF82B59A813}"/>
            </a:ext>
          </a:extLst>
        </xdr:cNvPr>
        <xdr:cNvCxnSpPr/>
      </xdr:nvCxnSpPr>
      <xdr:spPr>
        <a:xfrm flipV="1">
          <a:off x="4400550" y="5250070"/>
          <a:ext cx="498060" cy="2236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821634</xdr:colOff>
      <xdr:row>24</xdr:row>
      <xdr:rowOff>133350</xdr:rowOff>
    </xdr:from>
    <xdr:to>
      <xdr:col>4</xdr:col>
      <xdr:colOff>298450</xdr:colOff>
      <xdr:row>25</xdr:row>
      <xdr:rowOff>79513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7AF5A6-270C-468D-B74A-2DD39EEDB7CB}"/>
            </a:ext>
          </a:extLst>
        </xdr:cNvPr>
        <xdr:cNvCxnSpPr/>
      </xdr:nvCxnSpPr>
      <xdr:spPr>
        <a:xfrm flipV="1">
          <a:off x="5349184" y="5264150"/>
          <a:ext cx="480116" cy="1366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824009</xdr:colOff>
      <xdr:row>24</xdr:row>
      <xdr:rowOff>157094</xdr:rowOff>
    </xdr:from>
    <xdr:to>
      <xdr:col>5</xdr:col>
      <xdr:colOff>276363</xdr:colOff>
      <xdr:row>25</xdr:row>
      <xdr:rowOff>143841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2B970F-B8F5-49BB-B098-3DBFBA4D3D87}"/>
            </a:ext>
          </a:extLst>
        </xdr:cNvPr>
        <xdr:cNvCxnSpPr/>
      </xdr:nvCxnSpPr>
      <xdr:spPr>
        <a:xfrm flipV="1">
          <a:off x="6354859" y="5287894"/>
          <a:ext cx="379454" cy="1772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17BB5-BB9B-45D1-8855-16B32EF8E467}" name="Table5" displayName="Table5" ref="B4:H8" totalsRowShown="0">
  <autoFilter ref="B4:H8" xr:uid="{E1B17BB5-BB9B-45D1-8855-16B32EF8E467}"/>
  <tableColumns count="7">
    <tableColumn id="1" xr3:uid="{4977877A-6EEB-4238-AF80-82E2FE682410}" name="Month"/>
    <tableColumn id="2" xr3:uid="{066ABB6D-9407-42EB-A39F-0D7CE44C5DD8}" name="Number of sales of print" dataDxfId="77" dataCellStyle="Comma"/>
    <tableColumn id="3" xr3:uid="{D1754A78-6409-411C-AEE2-9BDB7B1FF78B}" name="Opening Stock"/>
    <tableColumn id="4" xr3:uid="{EACBB310-F560-4DDB-9BE3-A2B8630689AD}" name="Closing Stock">
      <calculatedColumnFormula>C6*StockRetentionRate</calculatedColumnFormula>
    </tableColumn>
    <tableColumn id="5" xr3:uid="{66C3CAE7-B82B-4CDE-B1E6-96AE0F3AC9C7}" name="Total Prints Needed">
      <calculatedColumnFormula>Table5[[#This Row],[Number of sales of print]]+Table5[[#This Row],[Closing Stock]]</calculatedColumnFormula>
    </tableColumn>
    <tableColumn id="6" xr3:uid="{9C5EBF71-EFFE-4913-B96D-4ACBA0E7E228}" name="Prints to be Purchased">
      <calculatedColumnFormula>Table5[[#This Row],[Total Prints Needed]]-Table5[[#This Row],[Opening Stock]]</calculatedColumnFormula>
    </tableColumn>
    <tableColumn id="7" xr3:uid="{0B895023-8073-428F-BAD5-3CB1355C1BB7}" name="Purchases Budget" dataCellStyle="Currency">
      <calculatedColumnFormula>Table5[[#This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7D4567-7B1E-4BB7-8968-61628AB46817}" name="Table12" displayName="Table12" ref="B22:F46" totalsRowShown="0">
  <autoFilter ref="B22:F46" xr:uid="{EC7D4567-7B1E-4BB7-8968-61628AB46817}"/>
  <tableColumns count="5">
    <tableColumn id="1" xr3:uid="{37B1B2E6-4D3F-405F-AE37-9D2776418840}" name="Name "/>
    <tableColumn id="2" xr3:uid="{21F6E443-7F79-47A0-9D92-07742ECF7E87}" name="Value" dataDxfId="1"/>
    <tableColumn id="3" xr3:uid="{CEABDC32-06AC-41E0-92B6-D79CDA1FAC75}" name="Month"/>
    <tableColumn id="4" xr3:uid="{C882FBE9-85CF-4B6D-9605-406A7E75BFE2}" name="Ref"/>
    <tableColumn id="5" xr3:uid="{CF9DD775-869D-4BB0-8A67-7C4CED86E36A}" name="Ref sni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73AD-D54D-4774-A9FB-9824346522EB}" name="Table52" displayName="Table52" ref="B4:L8" totalsRowShown="0">
  <autoFilter ref="B4:L8" xr:uid="{E1B17BB5-BB9B-45D1-8855-16B32EF8E467}"/>
  <tableColumns count="11">
    <tableColumn id="1" xr3:uid="{047508A1-4D71-4F80-8D5E-5A2F5191900B}" name="Month"/>
    <tableColumn id="2" xr3:uid="{3D6140CA-7AAA-4CD9-80D5-CCF94A5288D0}" name="Number of sales of print" dataDxfId="76" dataCellStyle="Comma"/>
    <tableColumn id="3" xr3:uid="{3E29A203-4810-4A27-AA98-036258A7BB96}" name="Opening Stock"/>
    <tableColumn id="13" xr3:uid="{25A2FA6D-480D-4E11-AEA7-D11E4663E388}" name="-" dataDxfId="75">
      <calculatedColumnFormula>CONCATENATE(Table52[[#This Row],[Number of sales of print]]," * ",StockRetentionRate," =")</calculatedColumnFormula>
    </tableColumn>
    <tableColumn id="4" xr3:uid="{D4B8AC23-9576-4095-A238-6A635C46AED6}" name="Closing Stock">
      <calculatedColumnFormula>C6*StockRetentionRate</calculatedColumnFormula>
    </tableColumn>
    <tableColumn id="9" xr3:uid="{31658609-9B86-424A-B65F-233430AEF63E}" name="--" dataDxfId="74">
      <calculatedColumnFormula>CONCATENATE(Table52[[#This Row],[Number of sales of print]]," + ",Table52[[#This Row],[Closing Stock]]," =")</calculatedColumnFormula>
    </tableColumn>
    <tableColumn id="5" xr3:uid="{5EE1F590-F26F-4474-969F-5398BD87863B}" name="Total Prints Needed">
      <calculatedColumnFormula>Table52[[#This Row],[Number of sales of print]]+Table52[[#This Row],[Closing Stock]]</calculatedColumnFormula>
    </tableColumn>
    <tableColumn id="10" xr3:uid="{1EC7EEE9-971F-4D41-9876-FC96C1E82366}" name="---" dataDxfId="73">
      <calculatedColumnFormula>CONCATENATE(Table52[[#This Row],[Total Prints Needed]]," - ",Table52[[#This Row],[Opening Stock]]," =")</calculatedColumnFormula>
    </tableColumn>
    <tableColumn id="6" xr3:uid="{B80DBBFF-2C32-42F2-BC1B-38DC4A9CA90F}" name="Prints to be Purchased">
      <calculatedColumnFormula>Table52[[#This Row],[Total Prints Needed]]-Table52[[#This Row],[Opening Stock]]</calculatedColumnFormula>
    </tableColumn>
    <tableColumn id="11" xr3:uid="{685C7C26-276E-4F30-9C9D-1D5C4FA04B0E}" name="----" dataDxfId="72">
      <calculatedColumnFormula>CONCATENATE(Table52[[#This Row],[Prints to be Purchased]]," * ",UnitPrice," =")</calculatedColumnFormula>
    </tableColumn>
    <tableColumn id="7" xr3:uid="{171A3691-658A-4797-A95D-696876830C69}" name="Purchases Budget" dataCellStyle="Currency">
      <calculatedColumnFormula>Table52[[#This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5EA2-0FE4-49BE-A200-95FD8AC899FD}" name="Table3" displayName="Table3" ref="B5:G9" totalsRowCount="1" headerRowDxfId="71" dataDxfId="70" dataCellStyle="Currency">
  <autoFilter ref="B5:G8" xr:uid="{BDF25EA2-0FE4-49BE-A200-95FD8AC899FD}"/>
  <tableColumns count="6">
    <tableColumn id="1" xr3:uid="{1F0E7B29-58BB-4266-B350-18B1BF058372}" name="Month" totalsRowLabel="Total Income" dataDxfId="69" totalsRowDxfId="61"/>
    <tableColumn id="2" xr3:uid="{95F651F1-FC06-41FB-9076-CE02CD391F8F}" name="-" dataDxfId="68" totalsRowDxfId="60"/>
    <tableColumn id="3" xr3:uid="{70850099-22F3-4B7B-A330-CDA84A667C55}" name="May" totalsRowFunction="custom" totalsRowDxfId="59">
      <totalsRowFormula>SUM(Table3[May])</totalsRowFormula>
    </tableColumn>
    <tableColumn id="4" xr3:uid="{116621E0-A622-4A49-9D68-C636F1C2CD9E}" name="Jun" totalsRowFunction="custom" dataDxfId="67" totalsRowDxfId="58" dataCellStyle="Currency">
      <totalsRowFormula>SUM(Table3[Jun])</totalsRowFormula>
    </tableColumn>
    <tableColumn id="5" xr3:uid="{AC13957D-CFA9-4000-B240-18072EBEB817}" name="Jul" totalsRowFunction="custom" dataDxfId="66" totalsRowDxfId="57" dataCellStyle="Currency">
      <totalsRowFormula>SUM(Table3[Jul])</totalsRowFormula>
    </tableColumn>
    <tableColumn id="6" xr3:uid="{C3F5B26C-A786-46ED-B689-DA79867F83AE}" name="Aug" totalsRowFunction="custom" dataDxfId="65" totalsRowDxfId="56" dataCellStyle="Currency">
      <totalsRowFormula>SUM(Table3[Aug])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B62D4-2ACA-45F3-B17B-F47CB9BFB1B3}" name="Table4" displayName="Table4" ref="B13:J22" totalsRowCount="1" headerRowDxfId="64" dataDxfId="63" dataCellStyle="Currency">
  <autoFilter ref="B13:J21" xr:uid="{397B62D4-2ACA-45F3-B17B-F47CB9BFB1B3}"/>
  <tableColumns count="9">
    <tableColumn id="1" xr3:uid="{7061EDC4-5E25-4E00-A615-AB00ADB38089}" name="Payments" totalsRowLabel="Total Payments" dataDxfId="43" totalsRowDxfId="15"/>
    <tableColumn id="2" xr3:uid="{5553738E-1AB7-4816-A101-E415811178F7}" name="-" dataDxfId="42" totalsRowDxfId="14">
      <calculatedColumnFormula>CONCATENATE(AprilPurchases, " +",MayCashPurchases)</calculatedColumnFormula>
    </tableColumn>
    <tableColumn id="3" xr3:uid="{F4B84919-AC87-418A-AFE1-1891A246D903}" name="May" totalsRowFunction="custom" dataDxfId="41" totalsRowDxfId="13" dataCellStyle="Currency">
      <totalsRowFormula>SUM(Table4[May])</totalsRowFormula>
    </tableColumn>
    <tableColumn id="7" xr3:uid="{660358ED-4B1B-4DC4-A202-789033C25CFA}" name="--" dataDxfId="40" totalsRowDxfId="12" dataCellStyle="Currency">
      <calculatedColumnFormula>CONCATENATE(MayCreditPurchases, " + ", JuneCashPurchases)</calculatedColumnFormula>
    </tableColumn>
    <tableColumn id="4" xr3:uid="{B4841D48-3120-4374-84E3-E4BBE0905946}" name="Jun" totalsRowFunction="custom" dataDxfId="39" totalsRowDxfId="11" dataCellStyle="Currency">
      <totalsRowFormula>SUM(Table4[Jun])</totalsRowFormula>
    </tableColumn>
    <tableColumn id="8" xr3:uid="{2E0EE05E-A335-4DF4-B809-859F3F1768C7}" name="---" dataDxfId="38" totalsRowDxfId="10" dataCellStyle="Currency">
      <calculatedColumnFormula>CONCATENATE(JuneCreditPurchases, " + ", JulyCashPurchases)</calculatedColumnFormula>
    </tableColumn>
    <tableColumn id="5" xr3:uid="{C3D0D720-A4A2-441A-A762-CCDD3EAD6135}" name="Jul" totalsRowFunction="custom" dataDxfId="37" totalsRowDxfId="9" dataCellStyle="Currency">
      <totalsRowFormula>SUM(Table4[Jul])</totalsRowFormula>
    </tableColumn>
    <tableColumn id="9" xr3:uid="{D82AC150-9948-4DE8-8CC0-976E0B79548A}" name="----" dataDxfId="36" totalsRowDxfId="8" dataCellStyle="Currency">
      <calculatedColumnFormula>CONCATENATE(JuneCreditPurchases, " + ", JulyCashPurchases)</calculatedColumnFormula>
    </tableColumn>
    <tableColumn id="6" xr3:uid="{D83E5874-C5D9-4571-AA47-1AC44EFFCB43}" name="Aug" totalsRowFunction="custom" dataDxfId="35" totalsRowDxfId="7" dataCellStyle="Currency">
      <totalsRowFormula>SUM(Table4[Aug])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4A0FEA-6FAB-4665-BEBC-9EF49BDD02C0}" name="InflowTable" displayName="InflowTable" ref="B5:F9" totalsRowCount="1" headerRowDxfId="34" dataDxfId="33" dataCellStyle="Currency">
  <autoFilter ref="B5:F8" xr:uid="{BDF25EA2-0FE4-49BE-A200-95FD8AC899FD}"/>
  <tableColumns count="5">
    <tableColumn id="1" xr3:uid="{5866F9D1-ED5C-4617-8D36-26C5B3E72FF3}" name="Month" totalsRowLabel="Total Income" dataDxfId="32" totalsRowDxfId="25"/>
    <tableColumn id="3" xr3:uid="{632983CB-C8B8-42C3-A9EC-CDD74471A8B6}" name="May" totalsRowFunction="custom" dataDxfId="29" totalsRowDxfId="24">
      <totalsRowFormula>SUM(InflowTable[May])</totalsRowFormula>
    </tableColumn>
    <tableColumn id="4" xr3:uid="{AA775CF0-E8F8-4A71-8053-CFB41E4D7F84}" name="Jun" totalsRowFunction="custom" dataDxfId="28" totalsRowDxfId="23" dataCellStyle="Currency">
      <totalsRowFormula>SUM(InflowTable[Jun])</totalsRowFormula>
    </tableColumn>
    <tableColumn id="5" xr3:uid="{B160FC61-3A4B-469F-B5B1-56BCD564C413}" name="Jul" totalsRowFunction="custom" dataDxfId="27" totalsRowDxfId="22" dataCellStyle="Currency">
      <totalsRowFormula>SUM(InflowTable[Jul])</totalsRowFormula>
    </tableColumn>
    <tableColumn id="6" xr3:uid="{B99C8D5C-8384-465E-B6C7-4CA44093F8F3}" name="Aug" totalsRowFunction="custom" dataDxfId="26" totalsRowDxfId="21" dataCellStyle="Currency">
      <totalsRowFormula>SUM(InflowTable[Aug])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F658C8-C48C-4A57-9B90-0B6F1819E4B4}" name="OutflowTable" displayName="OutflowTable" ref="B13:F22" totalsRowCount="1" headerRowDxfId="31" dataDxfId="30" dataCellStyle="Currency">
  <autoFilter ref="B13:F21" xr:uid="{397B62D4-2ACA-45F3-B17B-F47CB9BFB1B3}"/>
  <tableColumns count="5">
    <tableColumn id="1" xr3:uid="{885A03A5-A076-4E6C-A5F8-25FD70BE8DA5}" name="Payments" totalsRowLabel="Total Payments" dataDxfId="20" totalsRowDxfId="6"/>
    <tableColumn id="3" xr3:uid="{2F4AEE80-EEEA-4331-8223-324655D22EE4}" name="May" totalsRowFunction="custom" dataDxfId="19" totalsRowDxfId="5" dataCellStyle="Currency">
      <totalsRowFormula>SUM(OutflowTable[May])</totalsRowFormula>
    </tableColumn>
    <tableColumn id="4" xr3:uid="{2B6198DA-3652-41EC-9584-ADF0ABE7E89D}" name="Jun" totalsRowFunction="custom" dataDxfId="18" totalsRowDxfId="4" dataCellStyle="Currency">
      <totalsRowFormula>SUM(OutflowTable[Jun])</totalsRowFormula>
    </tableColumn>
    <tableColumn id="5" xr3:uid="{16304CF8-E283-4AE6-ADBF-BA0602A3C01D}" name="Jul" totalsRowFunction="custom" dataDxfId="17" totalsRowDxfId="3" dataCellStyle="Currency">
      <totalsRowFormula>SUM(OutflowTable[Jul])</totalsRowFormula>
    </tableColumn>
    <tableColumn id="6" xr3:uid="{26F092AC-B983-497B-A7E1-EBAA65A5CA28}" name="Aug" totalsRowFunction="custom" dataDxfId="16" totalsRowDxfId="2" dataCellStyle="Currency">
      <totalsRowFormula>SUM(OutflowTable[Aug])</totalsRow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894CD-21B1-4CC8-A3A6-6BC98122DE00}" name="Table6" displayName="Table6" ref="B7:C9" totalsRowShown="0">
  <autoFilter ref="B7:C9" xr:uid="{125894CD-21B1-4CC8-A3A6-6BC98122DE00}"/>
  <tableColumns count="2">
    <tableColumn id="1" xr3:uid="{009A1A39-4D41-4D31-8CB0-61E86F2FAEE0}" name="Name"/>
    <tableColumn id="2" xr3:uid="{465367BD-4B99-410C-A5CC-2CC5747D430D}" name="Value" dataDxfId="62" dataCellStyle="Percen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0793E-740C-42AC-8FCA-EFB192121ED9}" name="SalesProjectionTable" displayName="SalesProjectionTable" ref="B13:O17" totalsRowShown="0">
  <autoFilter ref="B13:O17" xr:uid="{4380793E-740C-42AC-8FCA-EFB192121ED9}"/>
  <tableColumns count="14">
    <tableColumn id="1" xr3:uid="{8EC15B50-6B1E-400A-81FC-D59EE9951D60}" name="Name"/>
    <tableColumn id="2" xr3:uid="{E8826DC7-7A04-4D63-B3E1-E1B5370C11D3}" name="Gross Sales" dataDxfId="55" dataCellStyle="Currency"/>
    <tableColumn id="9" xr3:uid="{D930720B-E64D-4851-9C4C-3D428B090951}" name="-" dataDxfId="54" dataCellStyle="Currency">
      <calculatedColumnFormula>CONCATENATE(SalesProjectionTable[[#This Row],[Gross Sales]], " * ", SalesCashRate)</calculatedColumnFormula>
    </tableColumn>
    <tableColumn id="3" xr3:uid="{60CAE65A-1D52-44EC-B962-1C320E5AE63B}" name="Cash Sales" dataDxfId="53" dataCellStyle="Currency">
      <calculatedColumnFormula>SalesProjectionTable[[#This Row],[Gross Sales]]*SalesCashRate</calculatedColumnFormula>
    </tableColumn>
    <tableColumn id="11" xr3:uid="{1018F9C3-E4F7-45BA-92B1-CD4524E17D42}" name="--" dataDxfId="52" dataCellStyle="Currency">
      <calculatedColumnFormula>CONCATENATE(SalesProjectionTable[[#This Row],[Cash Sales]], " * ", PresentValueFactor)</calculatedColumnFormula>
    </tableColumn>
    <tableColumn id="4" xr3:uid="{FC153182-A1CE-4C35-95B5-5CD042D90B3B}" name="Immediate Cash Sales" dataDxfId="51">
      <calculatedColumnFormula>SalesProjectionTable[[#This Row],[Cash Sales]]*PresentValueFactor</calculatedColumnFormula>
    </tableColumn>
    <tableColumn id="12" xr3:uid="{415AA063-C0BF-4DDF-AE0C-33CAED80429F}" name="---" dataDxfId="50">
      <calculatedColumnFormula>CONCATENATE(SalesProjectionTable[[#This Row],[Gross Sales]], " * ", SalesCreditRate)</calculatedColumnFormula>
    </tableColumn>
    <tableColumn id="5" xr3:uid="{F1C46C9C-3F6C-4D7C-9220-4F723AF0527D}" name="Credit Sales (Payed in the next month)" dataDxfId="0">
      <calculatedColumnFormula>SalesProjectionTable[[#This Row],[Gross Sales]]*SalesBalance</calculatedColumnFormula>
    </tableColumn>
    <tableColumn id="13" xr3:uid="{F6E0C5BD-9CD0-49D7-A890-5EAF9567B3C1}" name="----" dataDxfId="49" dataCellStyle="Currency">
      <calculatedColumnFormula>CONCATENATE(SalesProjectionTable[[#This Row],[Gross Sales]], " * ", DirectCostSalesRate)</calculatedColumnFormula>
    </tableColumn>
    <tableColumn id="6" xr3:uid="{CF193C21-ABB3-4731-97BA-33832428CF4E}" name="Gross Purchases" dataDxfId="48">
      <calculatedColumnFormula>SalesProjectionTable[[#This Row],[Gross Sales]]*DirectCostSalesRate</calculatedColumnFormula>
    </tableColumn>
    <tableColumn id="14" xr3:uid="{96BC0157-5BEA-470A-AA84-CC4ADF3B846D}" name="-----" dataDxfId="47">
      <calculatedColumnFormula>CONCATENATE(SalesProjectionTable[[#This Row],[Gross Purchases]], " * ", ImmedatePurchasesPayRate)</calculatedColumnFormula>
    </tableColumn>
    <tableColumn id="7" xr3:uid="{5178BDBC-34F3-4560-AA55-5A6F95118314}" name="Cash Purchases (25%)" dataDxfId="46">
      <calculatedColumnFormula>SalesProjectionTable[[#This Row],[Gross Purchases]]*ImmedatePurchasesPayRate</calculatedColumnFormula>
    </tableColumn>
    <tableColumn id="15" xr3:uid="{5180BBB3-401C-47A3-989F-5522A7EBA01D}" name="------" dataDxfId="45" dataCellStyle="Currency">
      <calculatedColumnFormula>CONCATENATE(SalesProjectionTable[[#This Row],[Gross Purchases]], " * ", ArrearsPurchasesPayRate)</calculatedColumnFormula>
    </tableColumn>
    <tableColumn id="8" xr3:uid="{847E65FE-6BA6-4920-87E2-B8691602428A}" name="Credit Purchases (75%)" dataDxfId="44">
      <calculatedColumnFormula>SalesProjectionTable[[#This Row],[Gross Purchases]]*ArrearsPurchasesPayRate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43C935-7514-47C6-BCCD-6150ACDCF037}" name="Table7" displayName="Table7" ref="Q5:U12" totalsRowShown="0">
  <autoFilter ref="Q5:U12" xr:uid="{7D43C935-7514-47C6-BCCD-6150ACDCF037}"/>
  <tableColumns count="5">
    <tableColumn id="1" xr3:uid="{A552D0EE-D1C7-498E-A2E8-B54E30F5E635}" name="Label"/>
    <tableColumn id="2" xr3:uid="{6682E5A1-E3B7-4E82-A4D4-3A337F3E6D72}" name="May" dataCellStyle="Currency"/>
    <tableColumn id="3" xr3:uid="{9E80F550-DDCB-40D8-82BC-326CD3A3B1B0}" name="June" dataCellStyle="Currency"/>
    <tableColumn id="4" xr3:uid="{167B7648-5C6E-4FA5-A266-88E66DE23B44}" name="July" dataCellStyle="Currency"/>
    <tableColumn id="5" xr3:uid="{8EF98544-CC69-4F20-9F11-3FC23F11E4EC}" name="August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992-76A5-4FAE-B1B5-7EA447ED6BB6}">
  <dimension ref="B2:H8"/>
  <sheetViews>
    <sheetView zoomScale="160" zoomScaleNormal="160" workbookViewId="0"/>
  </sheetViews>
  <sheetFormatPr defaultRowHeight="14.4" x14ac:dyDescent="0.3"/>
  <cols>
    <col min="1" max="1" width="7.88671875" customWidth="1"/>
    <col min="2" max="2" width="5.21875" customWidth="1"/>
    <col min="3" max="3" width="12" customWidth="1"/>
    <col min="4" max="4" width="7.88671875" bestFit="1" customWidth="1"/>
    <col min="5" max="5" width="11.109375" bestFit="1" customWidth="1"/>
    <col min="6" max="6" width="22.109375" bestFit="1" customWidth="1"/>
    <col min="7" max="7" width="20.5546875" bestFit="1" customWidth="1"/>
    <col min="8" max="8" width="17.33203125" bestFit="1" customWidth="1"/>
  </cols>
  <sheetData>
    <row r="2" spans="2:8" ht="20.399999999999999" thickBot="1" x14ac:dyDescent="0.45">
      <c r="B2" s="34" t="s">
        <v>16</v>
      </c>
      <c r="C2" s="34"/>
    </row>
    <row r="3" spans="2:8" ht="15" thickTop="1" x14ac:dyDescent="0.3"/>
    <row r="4" spans="2:8" x14ac:dyDescent="0.3">
      <c r="B4" t="s">
        <v>6</v>
      </c>
      <c r="C4" t="s">
        <v>4</v>
      </c>
      <c r="D4" t="s">
        <v>5</v>
      </c>
      <c r="E4" t="s">
        <v>14</v>
      </c>
      <c r="F4" t="s">
        <v>7</v>
      </c>
      <c r="G4" t="s">
        <v>8</v>
      </c>
      <c r="H4" t="s">
        <v>9</v>
      </c>
    </row>
    <row r="5" spans="2:8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2">
        <f>Table5[[#This Row],[Number of sales of print]]+Table5[[#This Row],[Closing Stock]]</f>
        <v>2180</v>
      </c>
      <c r="G5" s="2">
        <f>Table5[[#This Row],[Total Prints Needed]]-Table5[[#This Row],[Opening Stock]]</f>
        <v>1430</v>
      </c>
      <c r="H5" s="4">
        <f>Table5[[#This Row],[Prints to be Purchased]]*UnitPrice</f>
        <v>28600</v>
      </c>
    </row>
    <row r="6" spans="2:8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2">
        <f>Table5[[#This Row],[Number of sales of print]]+Table5[[#This Row],[Closing Stock]]</f>
        <v>2460</v>
      </c>
      <c r="G6" s="2">
        <f>Table5[[#This Row],[Total Prints Needed]]-Table5[[#This Row],[Opening Stock]]</f>
        <v>1780</v>
      </c>
      <c r="H6" s="4">
        <f>Table5[[#This Row],[Prints to be Purchased]]*UnitPrice</f>
        <v>35600</v>
      </c>
    </row>
    <row r="7" spans="2:8" x14ac:dyDescent="0.3">
      <c r="B7" t="s">
        <v>2</v>
      </c>
      <c r="C7" s="1">
        <v>1900</v>
      </c>
      <c r="D7" s="2">
        <f t="shared" ref="D7:D8" si="0">$E6</f>
        <v>760</v>
      </c>
      <c r="E7" s="2">
        <f>C8*StockRetentionRate</f>
        <v>560</v>
      </c>
      <c r="F7" s="2">
        <f>Table5[[#This Row],[Number of sales of print]]+Table5[[#This Row],[Closing Stock]]</f>
        <v>2460</v>
      </c>
      <c r="G7" s="2">
        <f>Table5[[#This Row],[Total Prints Needed]]-Table5[[#This Row],[Opening Stock]]</f>
        <v>1700</v>
      </c>
      <c r="H7" s="4">
        <f>Table5[[#This Row],[Prints to be Purchased]]*UnitPrice</f>
        <v>34000</v>
      </c>
    </row>
    <row r="8" spans="2:8" x14ac:dyDescent="0.3">
      <c r="B8" t="s">
        <v>3</v>
      </c>
      <c r="C8" s="1">
        <v>1400</v>
      </c>
      <c r="D8" s="2">
        <f t="shared" si="0"/>
        <v>560</v>
      </c>
      <c r="E8" s="2">
        <f>C9*StockRetentionRate</f>
        <v>0</v>
      </c>
      <c r="F8" s="2">
        <f>Table5[[#This Row],[Number of sales of print]]+Table5[[#This Row],[Closing Stock]]</f>
        <v>1400</v>
      </c>
      <c r="G8" s="2">
        <f>Table5[[#This Row],[Total Prints Needed]]-Table5[[#This Row],[Opening Stock]]</f>
        <v>840</v>
      </c>
      <c r="H8" s="4">
        <f>Table5[[#This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A581-EFB7-48D2-AFB4-99C1C3D4C735}">
  <dimension ref="B2:L8"/>
  <sheetViews>
    <sheetView zoomScaleNormal="100" workbookViewId="0">
      <selection activeCell="F6" sqref="F6"/>
    </sheetView>
  </sheetViews>
  <sheetFormatPr defaultRowHeight="14.4" x14ac:dyDescent="0.3"/>
  <cols>
    <col min="1" max="1" width="7.88671875" customWidth="1"/>
    <col min="2" max="2" width="10.21875" bestFit="1" customWidth="1"/>
    <col min="3" max="3" width="23.77734375" bestFit="1" customWidth="1"/>
    <col min="4" max="4" width="15.5546875" bestFit="1" customWidth="1"/>
    <col min="5" max="5" width="12.21875" bestFit="1" customWidth="1"/>
    <col min="6" max="6" width="14.33203125" bestFit="1" customWidth="1"/>
    <col min="7" max="7" width="12.77734375" bestFit="1" customWidth="1"/>
    <col min="8" max="8" width="19.88671875" bestFit="1" customWidth="1"/>
    <col min="9" max="9" width="12.33203125" bestFit="1" customWidth="1"/>
    <col min="10" max="10" width="22.21875" bestFit="1" customWidth="1"/>
    <col min="11" max="11" width="11.6640625" bestFit="1" customWidth="1"/>
    <col min="12" max="12" width="18.21875" bestFit="1" customWidth="1"/>
  </cols>
  <sheetData>
    <row r="2" spans="2:12" ht="20.399999999999999" thickBot="1" x14ac:dyDescent="0.45">
      <c r="B2" s="34" t="s">
        <v>16</v>
      </c>
      <c r="C2" s="34"/>
    </row>
    <row r="3" spans="2:12" ht="15" thickTop="1" x14ac:dyDescent="0.3"/>
    <row r="4" spans="2:12" x14ac:dyDescent="0.3">
      <c r="B4" t="s">
        <v>6</v>
      </c>
      <c r="C4" t="s">
        <v>4</v>
      </c>
      <c r="D4" t="s">
        <v>5</v>
      </c>
      <c r="E4" s="17" t="s">
        <v>39</v>
      </c>
      <c r="F4" t="s">
        <v>14</v>
      </c>
      <c r="G4" s="17" t="s">
        <v>40</v>
      </c>
      <c r="H4" t="s">
        <v>7</v>
      </c>
      <c r="I4" s="17" t="s">
        <v>41</v>
      </c>
      <c r="J4" t="s">
        <v>8</v>
      </c>
      <c r="K4" s="17" t="s">
        <v>42</v>
      </c>
      <c r="L4" t="s">
        <v>9</v>
      </c>
    </row>
    <row r="5" spans="2:12" x14ac:dyDescent="0.3">
      <c r="B5" t="s">
        <v>0</v>
      </c>
      <c r="C5" s="18">
        <v>1500</v>
      </c>
      <c r="D5" s="19">
        <v>750</v>
      </c>
      <c r="E5" s="16" t="str">
        <f>CONCATENATE(Table52[[#This Row],[Number of sales of print]]," * ",StockRetentionRate," =")</f>
        <v>1500 * 0.4 =</v>
      </c>
      <c r="F5" s="2">
        <f>C6*StockRetentionRate</f>
        <v>680</v>
      </c>
      <c r="G5" s="16" t="str">
        <f>CONCATENATE(Table52[[#This Row],[Number of sales of print]]," + ",Table52[[#This Row],[Closing Stock]]," =")</f>
        <v>1500 + 680 =</v>
      </c>
      <c r="H5" s="2">
        <f>Table52[[#This Row],[Number of sales of print]]+Table52[[#This Row],[Closing Stock]]</f>
        <v>2180</v>
      </c>
      <c r="I5" s="16" t="str">
        <f>CONCATENATE(Table52[[#This Row],[Total Prints Needed]]," - ",Table52[[#This Row],[Opening Stock]]," =")</f>
        <v>2180 - 750 =</v>
      </c>
      <c r="J5" s="2">
        <f>Table52[[#This Row],[Total Prints Needed]]-Table52[[#This Row],[Opening Stock]]</f>
        <v>1430</v>
      </c>
      <c r="K5" s="16" t="str">
        <f>CONCATENATE(Table52[[#This Row],[Prints to be Purchased]]," * ",UnitPrice," =")</f>
        <v>1430 * 20 =</v>
      </c>
      <c r="L5" s="4">
        <f>Table52[[#This Row],[Prints to be Purchased]]*UnitPrice</f>
        <v>28600</v>
      </c>
    </row>
    <row r="6" spans="2:12" x14ac:dyDescent="0.3">
      <c r="B6" t="s">
        <v>1</v>
      </c>
      <c r="C6" s="18">
        <v>1700</v>
      </c>
      <c r="D6" s="2">
        <f>$F5</f>
        <v>680</v>
      </c>
      <c r="E6" s="16" t="str">
        <f>CONCATENATE(Table52[[#This Row],[Number of sales of print]]," * ",StockRetentionRate," =")</f>
        <v>1700 * 0.4 =</v>
      </c>
      <c r="F6" s="2">
        <f>C7*StockRetentionRate</f>
        <v>760</v>
      </c>
      <c r="G6" s="16" t="str">
        <f>CONCATENATE(Table52[[#This Row],[Number of sales of print]]," + ",Table52[[#This Row],[Closing Stock]]," =")</f>
        <v>1700 + 760 =</v>
      </c>
      <c r="H6" s="2">
        <f>Table52[[#This Row],[Number of sales of print]]+Table52[[#This Row],[Closing Stock]]</f>
        <v>2460</v>
      </c>
      <c r="I6" s="16" t="str">
        <f>CONCATENATE(Table52[[#This Row],[Total Prints Needed]]," - ",Table52[[#This Row],[Opening Stock]]," =")</f>
        <v>2460 - 680 =</v>
      </c>
      <c r="J6" s="2">
        <f>Table52[[#This Row],[Total Prints Needed]]-Table52[[#This Row],[Opening Stock]]</f>
        <v>1780</v>
      </c>
      <c r="K6" s="16" t="str">
        <f>CONCATENATE(Table52[[#This Row],[Prints to be Purchased]]," * ",UnitPrice," =")</f>
        <v>1780 * 20 =</v>
      </c>
      <c r="L6" s="4">
        <f>Table52[[#This Row],[Prints to be Purchased]]*UnitPrice</f>
        <v>35600</v>
      </c>
    </row>
    <row r="7" spans="2:12" x14ac:dyDescent="0.3">
      <c r="B7" t="s">
        <v>2</v>
      </c>
      <c r="C7" s="18">
        <v>1900</v>
      </c>
      <c r="D7" s="2">
        <f>$F6</f>
        <v>760</v>
      </c>
      <c r="E7" s="16" t="str">
        <f>CONCATENATE(Table52[[#This Row],[Number of sales of print]]," * ",StockRetentionRate," =")</f>
        <v>1900 * 0.4 =</v>
      </c>
      <c r="F7" s="2">
        <f>C8*StockRetentionRate</f>
        <v>560</v>
      </c>
      <c r="G7" s="16" t="str">
        <f>CONCATENATE(Table52[[#This Row],[Number of sales of print]]," + ",Table52[[#This Row],[Closing Stock]]," =")</f>
        <v>1900 + 560 =</v>
      </c>
      <c r="H7" s="2">
        <f>Table52[[#This Row],[Number of sales of print]]+Table52[[#This Row],[Closing Stock]]</f>
        <v>2460</v>
      </c>
      <c r="I7" s="16" t="str">
        <f>CONCATENATE(Table52[[#This Row],[Total Prints Needed]]," - ",Table52[[#This Row],[Opening Stock]]," =")</f>
        <v>2460 - 760 =</v>
      </c>
      <c r="J7" s="2">
        <f>Table52[[#This Row],[Total Prints Needed]]-Table52[[#This Row],[Opening Stock]]</f>
        <v>1700</v>
      </c>
      <c r="K7" s="16" t="str">
        <f>CONCATENATE(Table52[[#This Row],[Prints to be Purchased]]," * ",UnitPrice," =")</f>
        <v>1700 * 20 =</v>
      </c>
      <c r="L7" s="4">
        <f>Table52[[#This Row],[Prints to be Purchased]]*UnitPrice</f>
        <v>34000</v>
      </c>
    </row>
    <row r="8" spans="2:12" x14ac:dyDescent="0.3">
      <c r="B8" t="s">
        <v>3</v>
      </c>
      <c r="C8" s="18">
        <v>1400</v>
      </c>
      <c r="D8" s="2">
        <f>$F7</f>
        <v>560</v>
      </c>
      <c r="E8" s="16" t="str">
        <f>CONCATENATE(Table52[[#This Row],[Number of sales of print]]," * ",StockRetentionRate," =")</f>
        <v>1400 * 0.4 =</v>
      </c>
      <c r="F8" s="2">
        <f>C9*StockRetentionRate</f>
        <v>0</v>
      </c>
      <c r="G8" s="16" t="str">
        <f>CONCATENATE(Table52[[#This Row],[Number of sales of print]]," + ",Table52[[#This Row],[Closing Stock]]," =")</f>
        <v>1400 + 0 =</v>
      </c>
      <c r="H8" s="2">
        <f>Table52[[#This Row],[Number of sales of print]]+Table52[[#This Row],[Closing Stock]]</f>
        <v>1400</v>
      </c>
      <c r="I8" s="16" t="str">
        <f>CONCATENATE(Table52[[#This Row],[Total Prints Needed]]," - ",Table52[[#This Row],[Opening Stock]]," =")</f>
        <v>1400 - 560 =</v>
      </c>
      <c r="J8" s="2">
        <f>Table52[[#This Row],[Total Prints Needed]]-Table52[[#This Row],[Opening Stock]]</f>
        <v>840</v>
      </c>
      <c r="K8" s="16" t="str">
        <f>CONCATENATE(Table52[[#This Row],[Prints to be Purchased]]," * ",UnitPrice," =")</f>
        <v>840 * 20 =</v>
      </c>
      <c r="L8" s="4">
        <f>Table52[[#This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F2D-6BFE-4EF1-963B-26D1B015E910}">
  <dimension ref="B4:J26"/>
  <sheetViews>
    <sheetView zoomScale="115" zoomScaleNormal="115" workbookViewId="0">
      <selection activeCell="J19" sqref="J19"/>
    </sheetView>
  </sheetViews>
  <sheetFormatPr defaultRowHeight="14.4" x14ac:dyDescent="0.3"/>
  <cols>
    <col min="2" max="2" width="31.21875" customWidth="1"/>
    <col min="3" max="3" width="15" customWidth="1"/>
    <col min="4" max="4" width="13.5546875" bestFit="1" customWidth="1"/>
    <col min="5" max="5" width="18.44140625" customWidth="1"/>
    <col min="6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10" x14ac:dyDescent="0.3">
      <c r="B4" s="33" t="s">
        <v>73</v>
      </c>
      <c r="C4" s="11"/>
      <c r="D4" s="11"/>
      <c r="E4" s="11"/>
      <c r="F4" s="11"/>
      <c r="G4" s="11"/>
    </row>
    <row r="5" spans="2:10" ht="15" x14ac:dyDescent="0.3">
      <c r="B5" s="6" t="s">
        <v>6</v>
      </c>
      <c r="C5" s="6" t="s">
        <v>39</v>
      </c>
      <c r="D5" s="24" t="s">
        <v>32</v>
      </c>
      <c r="E5" s="24" t="s">
        <v>33</v>
      </c>
      <c r="F5" s="24" t="s">
        <v>34</v>
      </c>
      <c r="G5" s="24" t="s">
        <v>35</v>
      </c>
    </row>
    <row r="6" spans="2:10" ht="30" x14ac:dyDescent="0.3">
      <c r="B6" s="13" t="s">
        <v>18</v>
      </c>
      <c r="C6" s="13"/>
      <c r="D6" s="37">
        <f>Figures!$G14</f>
        <v>50490</v>
      </c>
      <c r="E6" s="37">
        <f>Figures!$G15</f>
        <v>56430</v>
      </c>
      <c r="F6" s="37">
        <f>Figures!$G16</f>
        <v>62370</v>
      </c>
      <c r="G6" s="37">
        <f>Figures!$G17</f>
        <v>68310</v>
      </c>
    </row>
    <row r="7" spans="2:10" ht="30" x14ac:dyDescent="0.3">
      <c r="B7" s="13" t="s">
        <v>19</v>
      </c>
      <c r="C7" s="13"/>
      <c r="D7" s="23">
        <f>DebtorsMay</f>
        <v>15000</v>
      </c>
      <c r="E7" s="41">
        <f>Figures!$I$14</f>
        <v>34000</v>
      </c>
      <c r="F7" s="41">
        <f>Figures!$I$15</f>
        <v>38000</v>
      </c>
      <c r="G7" s="41">
        <f>Figures!$I$16</f>
        <v>42000</v>
      </c>
    </row>
    <row r="8" spans="2:10" ht="15" x14ac:dyDescent="0.3">
      <c r="B8" s="13" t="s">
        <v>36</v>
      </c>
      <c r="C8" s="13"/>
      <c r="D8" s="9"/>
      <c r="E8" s="23">
        <f>BankLoanAmount</f>
        <v>27200</v>
      </c>
      <c r="F8" s="9"/>
      <c r="G8" s="9"/>
    </row>
    <row r="9" spans="2:10" ht="15" x14ac:dyDescent="0.3">
      <c r="B9" s="13" t="s">
        <v>72</v>
      </c>
      <c r="C9" s="13"/>
      <c r="D9" s="10">
        <f>SUM(Table3[May])</f>
        <v>65490</v>
      </c>
      <c r="E9" s="10">
        <f>SUM(Table3[Jun])</f>
        <v>117630</v>
      </c>
      <c r="F9" s="10">
        <f>SUM(Table3[Jul])</f>
        <v>100370</v>
      </c>
      <c r="G9" s="10">
        <f>SUM(Table3[Aug])</f>
        <v>110310</v>
      </c>
    </row>
    <row r="10" spans="2:10" ht="15" x14ac:dyDescent="0.3">
      <c r="B10" s="13"/>
      <c r="C10" s="13"/>
      <c r="D10" s="10"/>
      <c r="E10" s="10"/>
      <c r="F10" s="10"/>
      <c r="G10" s="10"/>
    </row>
    <row r="11" spans="2:10" ht="15" x14ac:dyDescent="0.3">
      <c r="B11" s="13" t="s">
        <v>74</v>
      </c>
      <c r="C11" s="13"/>
      <c r="D11" s="10"/>
      <c r="E11" s="10"/>
      <c r="F11" s="10"/>
      <c r="G11" s="10"/>
    </row>
    <row r="12" spans="2:10" ht="15" x14ac:dyDescent="0.3">
      <c r="B12" s="7"/>
      <c r="C12" s="7"/>
      <c r="D12" s="9"/>
      <c r="E12" s="9"/>
      <c r="F12" s="9"/>
      <c r="G12" s="9"/>
    </row>
    <row r="13" spans="2:10" ht="15.6" thickBot="1" x14ac:dyDescent="0.35">
      <c r="B13" s="13" t="s">
        <v>21</v>
      </c>
      <c r="C13" s="25" t="s">
        <v>39</v>
      </c>
      <c r="D13" s="26" t="s">
        <v>32</v>
      </c>
      <c r="E13" s="43" t="s">
        <v>40</v>
      </c>
      <c r="F13" s="26" t="s">
        <v>33</v>
      </c>
      <c r="G13" s="43" t="s">
        <v>41</v>
      </c>
      <c r="H13" s="26" t="s">
        <v>34</v>
      </c>
      <c r="I13" s="46" t="s">
        <v>42</v>
      </c>
      <c r="J13" s="27" t="s">
        <v>35</v>
      </c>
    </row>
    <row r="14" spans="2:10" ht="15.6" thickTop="1" x14ac:dyDescent="0.3">
      <c r="B14" s="7" t="s">
        <v>95</v>
      </c>
      <c r="C14" s="7"/>
      <c r="D14" s="28">
        <f>MayCashPurchases</f>
        <v>7437.4999999999991</v>
      </c>
      <c r="E14" s="44"/>
      <c r="F14" s="28">
        <f>JuneCashPurchases</f>
        <v>8312.5</v>
      </c>
      <c r="G14" s="44"/>
      <c r="H14" s="28">
        <f>JulyCashPurchases</f>
        <v>9187.5</v>
      </c>
      <c r="I14" s="47"/>
      <c r="J14" s="28">
        <f>AugustCashPurchases</f>
        <v>10062.5</v>
      </c>
    </row>
    <row r="15" spans="2:10" ht="57.6" customHeight="1" x14ac:dyDescent="0.3">
      <c r="B15" s="7" t="s">
        <v>96</v>
      </c>
      <c r="C15" s="45"/>
      <c r="D15" s="23">
        <f>AprilPurchases</f>
        <v>12000</v>
      </c>
      <c r="E15" s="45"/>
      <c r="F15" s="49">
        <f>MayCreditPurchases</f>
        <v>22312.499999999996</v>
      </c>
      <c r="G15" s="45"/>
      <c r="H15" s="49">
        <f>JuneCreditPurchases</f>
        <v>24937.5</v>
      </c>
      <c r="I15" s="45"/>
      <c r="J15" s="49">
        <f>JulyCreditPurchases</f>
        <v>27562.5</v>
      </c>
    </row>
    <row r="16" spans="2:10" ht="15" x14ac:dyDescent="0.3">
      <c r="B16" s="7" t="s">
        <v>24</v>
      </c>
      <c r="C16" s="45" t="str">
        <f>CONCATENATE(SalonEquipmentCost, " +",DecemberSalonEquipmentPurchasePrice)</f>
        <v>12000 +425</v>
      </c>
      <c r="D16" s="9">
        <f>SalonEquipmentCost+DecemberSalonEquipmentPurchasePrice</f>
        <v>12425</v>
      </c>
      <c r="E16" s="44"/>
      <c r="F16" s="9"/>
      <c r="G16" s="44"/>
      <c r="H16" s="9"/>
      <c r="I16" s="47"/>
      <c r="J16" s="9"/>
    </row>
    <row r="17" spans="2:10" ht="15" x14ac:dyDescent="0.3">
      <c r="B17" s="7" t="s">
        <v>75</v>
      </c>
      <c r="C17" s="7"/>
      <c r="D17" s="9"/>
      <c r="E17" s="44"/>
      <c r="F17" s="23">
        <f>MotorPurchase</f>
        <v>32000</v>
      </c>
      <c r="G17" s="44"/>
      <c r="H17" s="9"/>
      <c r="I17" s="47"/>
      <c r="J17" s="9"/>
    </row>
    <row r="18" spans="2:10" ht="15" x14ac:dyDescent="0.3">
      <c r="B18" s="7" t="s">
        <v>25</v>
      </c>
      <c r="C18" s="7"/>
      <c r="D18" s="9"/>
      <c r="E18" s="44"/>
      <c r="F18" s="9"/>
      <c r="G18" s="44"/>
      <c r="H18" s="9">
        <f>BankMontlyRepayment</f>
        <v>550</v>
      </c>
      <c r="I18" s="47"/>
      <c r="J18" s="9">
        <f>BankMontlyRepayment</f>
        <v>550</v>
      </c>
    </row>
    <row r="19" spans="2:10" ht="30" x14ac:dyDescent="0.3">
      <c r="B19" s="7" t="s">
        <v>26</v>
      </c>
      <c r="C19" s="7"/>
      <c r="D19" s="23">
        <f>MayWages</f>
        <v>25000</v>
      </c>
      <c r="E19" s="45" t="str">
        <f>CONCATENATE(MayWages,"  * ",(1+WageRateIncrease))</f>
        <v>25000  * 1.05</v>
      </c>
      <c r="F19" s="9">
        <f>MayWages*(1+WageRateIncrease)</f>
        <v>26250</v>
      </c>
      <c r="G19" s="45" t="str">
        <f>CONCATENATE(MayWages,"  * ",(1+WageRateIncrease))</f>
        <v>25000  * 1.05</v>
      </c>
      <c r="H19" s="9">
        <f>MayWages*(1+WageRateIncrease)</f>
        <v>26250</v>
      </c>
      <c r="I19" s="45" t="str">
        <f>CONCATENATE(MayWages,"  * ",(1+WageRateIncrease))</f>
        <v>25000  * 1.05</v>
      </c>
      <c r="J19" s="9">
        <f>MayWages*(1+WageRateIncrease)</f>
        <v>26250</v>
      </c>
    </row>
    <row r="20" spans="2:10" ht="15" x14ac:dyDescent="0.3">
      <c r="B20" s="7" t="s">
        <v>27</v>
      </c>
      <c r="C20" s="45" t="str">
        <f>CONCATENATE(AnnualRates, " /",12)</f>
        <v>48000 /12</v>
      </c>
      <c r="D20" s="9">
        <f>AnnualRates /12</f>
        <v>4000</v>
      </c>
      <c r="E20" s="45" t="str">
        <f>CONCATENATE(AnnualRates, " /",12)</f>
        <v>48000 /12</v>
      </c>
      <c r="F20" s="9">
        <f>AnnualRates /12</f>
        <v>4000</v>
      </c>
      <c r="G20" s="45" t="str">
        <f>CONCATENATE(AnnualRates, " /",12)</f>
        <v>48000 /12</v>
      </c>
      <c r="H20" s="9">
        <f>AnnualRates /12</f>
        <v>4000</v>
      </c>
      <c r="I20" s="45" t="str">
        <f>CONCATENATE(AnnualRates, " /",12)</f>
        <v>48000 /12</v>
      </c>
      <c r="J20" s="9">
        <f>AnnualRates /12</f>
        <v>4000</v>
      </c>
    </row>
    <row r="21" spans="2:10" ht="15" x14ac:dyDescent="0.3">
      <c r="B21" s="7" t="s">
        <v>28</v>
      </c>
      <c r="C21" s="7"/>
      <c r="D21" s="23">
        <v>10000</v>
      </c>
      <c r="E21" s="44"/>
      <c r="F21" s="23">
        <v>10000</v>
      </c>
      <c r="G21" s="44"/>
      <c r="H21" s="23">
        <v>10000</v>
      </c>
      <c r="I21" s="47"/>
      <c r="J21" s="23">
        <v>10000</v>
      </c>
    </row>
    <row r="22" spans="2:10" ht="15" x14ac:dyDescent="0.3">
      <c r="B22" s="7" t="s">
        <v>29</v>
      </c>
      <c r="C22" s="7"/>
      <c r="D22" s="29">
        <f>SUM(Table4[May])</f>
        <v>70862.5</v>
      </c>
      <c r="E22" s="29"/>
      <c r="F22" s="29">
        <f>SUM(Table4[Jun])</f>
        <v>102875</v>
      </c>
      <c r="G22" s="29"/>
      <c r="H22" s="29">
        <f>SUM(Table4[Jul])</f>
        <v>74925</v>
      </c>
      <c r="I22" s="14"/>
      <c r="J22" s="29">
        <f>SUM(Table4[Aug])</f>
        <v>78425</v>
      </c>
    </row>
    <row r="23" spans="2:10" ht="15" x14ac:dyDescent="0.3">
      <c r="B23" s="7"/>
      <c r="C23" s="7"/>
      <c r="D23" s="9"/>
      <c r="E23" s="9"/>
      <c r="F23" s="9"/>
      <c r="G23" s="9"/>
    </row>
    <row r="24" spans="2:10" ht="15" x14ac:dyDescent="0.3">
      <c r="B24" s="13" t="s">
        <v>30</v>
      </c>
      <c r="C24" s="48" t="str">
        <f>CONCATENATE(Table3[[#Totals],[May]], " - ",Table4[[#Totals],[May]])</f>
        <v>65490 - 70862.5</v>
      </c>
      <c r="D24" s="9">
        <f>Table3[[#Totals],[May]]-Table4[[#Totals],[May]]</f>
        <v>-5372.5</v>
      </c>
      <c r="E24" s="48" t="str">
        <f>CONCATENATE(Table3[[#Totals],[Jun]], " - ",Table4[[#Totals],[Jun]])</f>
        <v>117630 - 102875</v>
      </c>
      <c r="F24" s="9">
        <f>Table3[[#Totals],[Jun]]-Table4[[#Totals],[Jun]]</f>
        <v>14755</v>
      </c>
      <c r="H24" s="9">
        <f>Table3[[#Totals],[Jul]]-Table4[[#Totals],[Jul]]</f>
        <v>25445</v>
      </c>
      <c r="J24" s="9">
        <f>Table3[[#Totals],[Aug]]-Table4[[#Totals],[Aug]]</f>
        <v>31885</v>
      </c>
    </row>
    <row r="25" spans="2:10" ht="15" x14ac:dyDescent="0.3">
      <c r="B25" s="30" t="s">
        <v>17</v>
      </c>
      <c r="D25" s="31">
        <f>OpeningBalance</f>
        <v>-3500</v>
      </c>
      <c r="F25" s="32">
        <f>D26</f>
        <v>-8872.5</v>
      </c>
      <c r="H25" s="32">
        <f>F26</f>
        <v>5882.5</v>
      </c>
      <c r="J25" s="32">
        <f>H26</f>
        <v>31327.5</v>
      </c>
    </row>
    <row r="26" spans="2:10" ht="15" x14ac:dyDescent="0.3">
      <c r="B26" s="13" t="s">
        <v>31</v>
      </c>
      <c r="C26" s="48" t="str">
        <f>CONCATENATE(D24, " + ",D25)</f>
        <v>-5372.5 + -3500</v>
      </c>
      <c r="D26" s="9">
        <f>D24+D25</f>
        <v>-8872.5</v>
      </c>
      <c r="F26" s="9">
        <f t="shared" ref="F26:H26" si="0">F24+F25</f>
        <v>5882.5</v>
      </c>
      <c r="H26" s="9">
        <f>H24+H25</f>
        <v>31327.5</v>
      </c>
      <c r="J26" s="9">
        <f>J24+J25</f>
        <v>63212.5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F19 H19" formula="1"/>
    <ignoredError sqref="G19 I19 E19 C16 C20 G20 E20 I20:J20" calculatedColumn="1"/>
    <ignoredError sqref="F20 D20 H20" formula="1" calculatedColumn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18A1-2DAF-462F-9BC6-645D5DAADC49}">
  <dimension ref="B4:G33"/>
  <sheetViews>
    <sheetView topLeftCell="A11" zoomScale="120" zoomScaleNormal="120" workbookViewId="0">
      <selection activeCell="D15" sqref="D15"/>
    </sheetView>
  </sheetViews>
  <sheetFormatPr defaultRowHeight="14.4" x14ac:dyDescent="0.3"/>
  <cols>
    <col min="1" max="1" width="2.6640625" customWidth="1"/>
    <col min="2" max="2" width="25.77734375" customWidth="1"/>
    <col min="3" max="3" width="26.44140625" customWidth="1"/>
    <col min="4" max="4" width="14.6640625" bestFit="1" customWidth="1"/>
    <col min="5" max="5" width="13.5546875" bestFit="1" customWidth="1"/>
    <col min="6" max="6" width="13.5546875" customWidth="1"/>
    <col min="7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7" x14ac:dyDescent="0.3">
      <c r="B4" s="33" t="s">
        <v>73</v>
      </c>
      <c r="C4" s="11"/>
      <c r="D4" s="11"/>
      <c r="E4" s="11"/>
      <c r="F4" s="11"/>
      <c r="G4" s="11"/>
    </row>
    <row r="5" spans="2:7" ht="15" x14ac:dyDescent="0.3">
      <c r="B5" s="6" t="s">
        <v>6</v>
      </c>
      <c r="C5" s="24" t="s">
        <v>32</v>
      </c>
      <c r="D5" s="24" t="s">
        <v>33</v>
      </c>
      <c r="E5" s="24" t="s">
        <v>34</v>
      </c>
      <c r="F5" s="24" t="s">
        <v>35</v>
      </c>
    </row>
    <row r="6" spans="2:7" ht="30" x14ac:dyDescent="0.3">
      <c r="B6" s="13" t="s">
        <v>18</v>
      </c>
      <c r="C6" s="37">
        <f>Figures!$G14</f>
        <v>50490</v>
      </c>
      <c r="D6" s="37">
        <f>Figures!$G15</f>
        <v>56430</v>
      </c>
      <c r="E6" s="37">
        <f>Figures!$G16</f>
        <v>62370</v>
      </c>
      <c r="F6" s="37">
        <f>Figures!$G17</f>
        <v>68310</v>
      </c>
    </row>
    <row r="7" spans="2:7" ht="30" x14ac:dyDescent="0.3">
      <c r="B7" s="13" t="s">
        <v>19</v>
      </c>
      <c r="C7" s="23">
        <f>DebtorsMay</f>
        <v>15000</v>
      </c>
      <c r="D7" s="41">
        <f>Figures!$I$14</f>
        <v>34000</v>
      </c>
      <c r="E7" s="41">
        <f>Figures!$I$15</f>
        <v>38000</v>
      </c>
      <c r="F7" s="41">
        <f>Figures!$I$16</f>
        <v>42000</v>
      </c>
    </row>
    <row r="8" spans="2:7" ht="15" x14ac:dyDescent="0.3">
      <c r="B8" s="13" t="s">
        <v>36</v>
      </c>
      <c r="C8" s="9"/>
      <c r="D8" s="23">
        <f>BankLoanAmount</f>
        <v>27200</v>
      </c>
      <c r="E8" s="9"/>
      <c r="F8" s="9"/>
    </row>
    <row r="9" spans="2:7" ht="15" x14ac:dyDescent="0.3">
      <c r="B9" s="13" t="s">
        <v>72</v>
      </c>
      <c r="C9" s="10">
        <f>SUM(InflowTable[May])</f>
        <v>65490</v>
      </c>
      <c r="D9" s="10">
        <f>SUM(InflowTable[Jun])</f>
        <v>117630</v>
      </c>
      <c r="E9" s="10">
        <f>SUM(InflowTable[Jul])</f>
        <v>100370</v>
      </c>
      <c r="F9" s="10">
        <f>SUM(InflowTable[Aug])</f>
        <v>110310</v>
      </c>
    </row>
    <row r="10" spans="2:7" ht="15" x14ac:dyDescent="0.3">
      <c r="B10" s="13"/>
      <c r="C10" s="13"/>
      <c r="D10" s="10"/>
      <c r="E10" s="10"/>
      <c r="F10" s="10"/>
      <c r="G10" s="10"/>
    </row>
    <row r="11" spans="2:7" ht="15" x14ac:dyDescent="0.3">
      <c r="B11" s="13" t="s">
        <v>74</v>
      </c>
      <c r="C11" s="13"/>
      <c r="D11" s="10"/>
      <c r="E11" s="10"/>
      <c r="F11" s="10"/>
      <c r="G11" s="10"/>
    </row>
    <row r="12" spans="2:7" ht="15" x14ac:dyDescent="0.3">
      <c r="B12" s="7"/>
      <c r="C12" s="7"/>
      <c r="D12" s="9"/>
      <c r="E12" s="9"/>
      <c r="F12" s="9"/>
      <c r="G12" s="9"/>
    </row>
    <row r="13" spans="2:7" ht="15.6" thickBot="1" x14ac:dyDescent="0.35">
      <c r="B13" s="13" t="s">
        <v>21</v>
      </c>
      <c r="C13" s="26" t="s">
        <v>32</v>
      </c>
      <c r="D13" s="26" t="s">
        <v>33</v>
      </c>
      <c r="E13" s="26" t="s">
        <v>34</v>
      </c>
      <c r="F13" s="27" t="s">
        <v>35</v>
      </c>
    </row>
    <row r="14" spans="2:7" ht="15.6" thickTop="1" x14ac:dyDescent="0.3">
      <c r="B14" s="7" t="s">
        <v>95</v>
      </c>
      <c r="C14" s="9">
        <f>MayCashPurchases</f>
        <v>7437.4999999999991</v>
      </c>
      <c r="D14" s="9">
        <f>JuneCashPurchases</f>
        <v>8312.5</v>
      </c>
      <c r="E14" s="9">
        <f>JulyCashPurchases</f>
        <v>9187.5</v>
      </c>
      <c r="F14" s="9">
        <f>AugustCashPurchases</f>
        <v>10062.5</v>
      </c>
    </row>
    <row r="15" spans="2:7" ht="30" x14ac:dyDescent="0.3">
      <c r="B15" s="7" t="s">
        <v>96</v>
      </c>
      <c r="C15" s="9">
        <f>AprilPurchases</f>
        <v>12000</v>
      </c>
      <c r="D15" s="9">
        <f>MayCreditPurchases</f>
        <v>22312.499999999996</v>
      </c>
      <c r="E15" s="9">
        <f>JuneCreditPurchases</f>
        <v>24937.5</v>
      </c>
      <c r="F15" s="9">
        <f>JulyCreditPurchases</f>
        <v>27562.5</v>
      </c>
    </row>
    <row r="16" spans="2:7" ht="15" x14ac:dyDescent="0.3">
      <c r="B16" s="7" t="s">
        <v>24</v>
      </c>
      <c r="C16" s="9">
        <f>SalonEquipmentCost+DecemberSalonEquipmentPurchasePrice</f>
        <v>12425</v>
      </c>
      <c r="D16" s="9"/>
      <c r="E16" s="9"/>
      <c r="F16" s="9"/>
    </row>
    <row r="17" spans="2:7" ht="15" x14ac:dyDescent="0.3">
      <c r="B17" s="7" t="s">
        <v>75</v>
      </c>
      <c r="C17" s="9"/>
      <c r="D17" s="9">
        <f>MotorPurchase</f>
        <v>32000</v>
      </c>
      <c r="E17" s="9"/>
      <c r="F17" s="9"/>
    </row>
    <row r="18" spans="2:7" ht="15" x14ac:dyDescent="0.3">
      <c r="B18" s="7" t="s">
        <v>25</v>
      </c>
      <c r="C18" s="9"/>
      <c r="D18" s="9"/>
      <c r="E18" s="9">
        <f>BankMontlyRepayment</f>
        <v>550</v>
      </c>
      <c r="F18" s="9">
        <f>BankMontlyRepayment</f>
        <v>550</v>
      </c>
    </row>
    <row r="19" spans="2:7" ht="15" x14ac:dyDescent="0.3">
      <c r="B19" s="7" t="s">
        <v>26</v>
      </c>
      <c r="C19" s="9">
        <f>MayWages</f>
        <v>25000</v>
      </c>
      <c r="D19" s="9">
        <f>MayWages*(1+WageRateIncrease)</f>
        <v>26250</v>
      </c>
      <c r="E19" s="9">
        <f>MayWages*(1+WageRateIncrease)</f>
        <v>26250</v>
      </c>
      <c r="F19" s="9">
        <f>MayWages*(1+WageRateIncrease)</f>
        <v>26250</v>
      </c>
    </row>
    <row r="20" spans="2:7" ht="15" x14ac:dyDescent="0.3">
      <c r="B20" s="7" t="s">
        <v>27</v>
      </c>
      <c r="C20" s="9">
        <f>AnnualRates /12</f>
        <v>4000</v>
      </c>
      <c r="D20" s="9">
        <f>AnnualRates /12</f>
        <v>4000</v>
      </c>
      <c r="E20" s="9">
        <f>AnnualRates /12</f>
        <v>4000</v>
      </c>
      <c r="F20" s="9">
        <f>AnnualRates /12</f>
        <v>4000</v>
      </c>
    </row>
    <row r="21" spans="2:7" ht="15" x14ac:dyDescent="0.3">
      <c r="B21" s="7" t="s">
        <v>28</v>
      </c>
      <c r="C21" s="9">
        <f>RentMonthlyPayment</f>
        <v>10000</v>
      </c>
      <c r="D21" s="9">
        <f>RentMonthlyPayment</f>
        <v>10000</v>
      </c>
      <c r="E21" s="9">
        <f>RentMonthlyPayment</f>
        <v>10000</v>
      </c>
      <c r="F21" s="9">
        <f>RentMonthlyPayment</f>
        <v>10000</v>
      </c>
    </row>
    <row r="22" spans="2:7" ht="15" x14ac:dyDescent="0.3">
      <c r="B22" s="7" t="s">
        <v>29</v>
      </c>
      <c r="C22" s="29">
        <f>SUM(OutflowTable[May])</f>
        <v>70862.5</v>
      </c>
      <c r="D22" s="29">
        <f>SUM(OutflowTable[Jun])</f>
        <v>102875</v>
      </c>
      <c r="E22" s="29">
        <f>SUM(OutflowTable[Jul])</f>
        <v>74925</v>
      </c>
      <c r="F22" s="29">
        <f>SUM(OutflowTable[Aug])</f>
        <v>78425</v>
      </c>
    </row>
    <row r="23" spans="2:7" ht="15" x14ac:dyDescent="0.3">
      <c r="B23" s="7"/>
      <c r="C23" s="7"/>
      <c r="D23" s="9"/>
      <c r="E23" s="9"/>
      <c r="F23" s="9"/>
      <c r="G23" s="9"/>
    </row>
    <row r="24" spans="2:7" ht="15" x14ac:dyDescent="0.3">
      <c r="B24" s="13" t="s">
        <v>30</v>
      </c>
      <c r="C24" s="9">
        <f>InflowTable[[#Totals],[May]]-OutflowTable[[#Totals],[May]]</f>
        <v>-5372.5</v>
      </c>
      <c r="D24" s="9">
        <f>InflowTable[[#Totals],[Jun]]-OutflowTable[[#Totals],[Jun]]</f>
        <v>14755</v>
      </c>
      <c r="E24" s="9">
        <f>InflowTable[[#Totals],[Jul]]-OutflowTable[[#Totals],[Jul]]</f>
        <v>25445</v>
      </c>
      <c r="F24" s="9">
        <f>InflowTable[[#Totals],[Aug]]-OutflowTable[[#Totals],[Aug]]</f>
        <v>31885</v>
      </c>
    </row>
    <row r="25" spans="2:7" ht="15" x14ac:dyDescent="0.3">
      <c r="B25" s="30" t="s">
        <v>17</v>
      </c>
      <c r="C25" s="31">
        <f>OpeningBalance</f>
        <v>-3500</v>
      </c>
      <c r="D25" s="32">
        <f>MayClosing</f>
        <v>-8872.5</v>
      </c>
      <c r="E25" s="32">
        <f>D26</f>
        <v>5882.5</v>
      </c>
      <c r="F25" s="32">
        <f>E26</f>
        <v>31327.5</v>
      </c>
    </row>
    <row r="26" spans="2:7" ht="15" x14ac:dyDescent="0.3">
      <c r="B26" s="13" t="s">
        <v>31</v>
      </c>
      <c r="C26" s="9">
        <f>C24+C25</f>
        <v>-8872.5</v>
      </c>
      <c r="D26" s="9">
        <f t="shared" ref="D26" si="0">D24+D25</f>
        <v>5882.5</v>
      </c>
      <c r="E26" s="9">
        <f>E24+E25</f>
        <v>31327.5</v>
      </c>
      <c r="F26" s="9">
        <f>F24+F25</f>
        <v>63212.5</v>
      </c>
    </row>
    <row r="33" spans="5:5" x14ac:dyDescent="0.3">
      <c r="E33" t="s">
        <v>100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3E-C906-4B90-9A16-8FB67A116FEB}">
  <dimension ref="B2:AV46"/>
  <sheetViews>
    <sheetView tabSelected="1" topLeftCell="I2" zoomScale="115" zoomScaleNormal="115" workbookViewId="0">
      <selection activeCell="N14" sqref="N14"/>
    </sheetView>
  </sheetViews>
  <sheetFormatPr defaultRowHeight="14.4" x14ac:dyDescent="0.3"/>
  <cols>
    <col min="2" max="2" width="41.33203125" customWidth="1"/>
    <col min="3" max="3" width="13" bestFit="1" customWidth="1"/>
    <col min="4" max="4" width="10.88671875" customWidth="1"/>
    <col min="5" max="5" width="5.109375" customWidth="1"/>
    <col min="6" max="6" width="10.21875" customWidth="1"/>
    <col min="7" max="7" width="5" customWidth="1"/>
    <col min="8" max="8" width="2.77734375" customWidth="1"/>
    <col min="9" max="9" width="11.44140625" customWidth="1"/>
    <col min="10" max="10" width="13.109375" customWidth="1"/>
    <col min="11" max="11" width="16.44140625" customWidth="1"/>
    <col min="12" max="12" width="14.5546875" customWidth="1"/>
    <col min="13" max="13" width="21.5546875" bestFit="1" customWidth="1"/>
    <col min="14" max="14" width="12.77734375" bestFit="1" customWidth="1"/>
    <col min="15" max="15" width="16.109375" customWidth="1"/>
    <col min="17" max="17" width="27.44140625" customWidth="1"/>
    <col min="18" max="19" width="11.5546875" bestFit="1" customWidth="1"/>
    <col min="20" max="21" width="12.5546875" bestFit="1" customWidth="1"/>
  </cols>
  <sheetData>
    <row r="2" spans="2:21" ht="20.399999999999999" thickBot="1" x14ac:dyDescent="0.45">
      <c r="B2" s="35" t="s">
        <v>15</v>
      </c>
      <c r="C2" s="35"/>
      <c r="D2" s="5"/>
      <c r="E2" s="5"/>
      <c r="F2" s="5"/>
    </row>
    <row r="3" spans="2:21" ht="15" thickTop="1" x14ac:dyDescent="0.3"/>
    <row r="4" spans="2:21" ht="18" thickBot="1" x14ac:dyDescent="0.4">
      <c r="B4" s="20" t="s">
        <v>43</v>
      </c>
    </row>
    <row r="5" spans="2:21" ht="15" thickTop="1" x14ac:dyDescent="0.3">
      <c r="Q5" t="s">
        <v>81</v>
      </c>
      <c r="R5" t="s">
        <v>32</v>
      </c>
      <c r="S5" t="s">
        <v>0</v>
      </c>
      <c r="T5" t="s">
        <v>1</v>
      </c>
      <c r="U5" t="s">
        <v>2</v>
      </c>
    </row>
    <row r="6" spans="2:21" x14ac:dyDescent="0.3">
      <c r="Q6" t="s">
        <v>12</v>
      </c>
      <c r="R6" s="4">
        <v>85000</v>
      </c>
      <c r="S6" s="4">
        <v>95000</v>
      </c>
      <c r="T6" s="4">
        <v>105000</v>
      </c>
      <c r="U6" s="4">
        <v>115000</v>
      </c>
    </row>
    <row r="7" spans="2:21" x14ac:dyDescent="0.3">
      <c r="B7" t="s">
        <v>11</v>
      </c>
      <c r="C7" s="3" t="s">
        <v>12</v>
      </c>
      <c r="D7" s="3"/>
      <c r="E7" s="3"/>
      <c r="F7" s="3"/>
      <c r="Q7" t="s">
        <v>65</v>
      </c>
      <c r="R7" s="4">
        <f>R6*SalesRateofCash</f>
        <v>51000</v>
      </c>
      <c r="S7" s="4">
        <f>S6*SalesRateofCash</f>
        <v>57000</v>
      </c>
      <c r="T7" s="4">
        <f>T6*SalesRateofCash</f>
        <v>63000</v>
      </c>
      <c r="U7" s="4">
        <f>U6*SalesRateofCash</f>
        <v>69000</v>
      </c>
    </row>
    <row r="8" spans="2:21" x14ac:dyDescent="0.3">
      <c r="B8" t="s">
        <v>10</v>
      </c>
      <c r="C8" s="3">
        <v>0.4</v>
      </c>
      <c r="D8" s="3"/>
      <c r="E8" s="3"/>
      <c r="F8" s="3"/>
      <c r="Q8" t="s">
        <v>68</v>
      </c>
      <c r="R8" s="4">
        <f>R7*PresentValueFactor</f>
        <v>50490</v>
      </c>
      <c r="S8" s="4">
        <f>S7*PresentValueFactor</f>
        <v>56430</v>
      </c>
      <c r="T8" s="4">
        <f>T7*PresentValueFactor</f>
        <v>62370</v>
      </c>
      <c r="U8" s="4">
        <f>U7*PresentValueFactor</f>
        <v>68310</v>
      </c>
    </row>
    <row r="9" spans="2:21" x14ac:dyDescent="0.3">
      <c r="B9" t="s">
        <v>13</v>
      </c>
      <c r="C9" s="4">
        <v>20</v>
      </c>
      <c r="D9" s="4"/>
      <c r="E9" s="4"/>
      <c r="F9" s="4"/>
      <c r="Q9" t="s">
        <v>69</v>
      </c>
      <c r="R9" s="4">
        <f>R6*SalesBalance</f>
        <v>34000</v>
      </c>
      <c r="S9" s="4">
        <f>S6*SalesBalance</f>
        <v>38000</v>
      </c>
      <c r="T9" s="4">
        <f>T6*SalesBalance</f>
        <v>42000</v>
      </c>
      <c r="U9" s="4">
        <f>U6*SalesBalance</f>
        <v>46000</v>
      </c>
    </row>
    <row r="10" spans="2:21" x14ac:dyDescent="0.3">
      <c r="Q10" t="s">
        <v>76</v>
      </c>
      <c r="R10" s="4">
        <f>R6*DirectCostSalesRate</f>
        <v>29749.999999999996</v>
      </c>
      <c r="S10" s="4">
        <v>33250</v>
      </c>
      <c r="T10" s="4">
        <v>36750</v>
      </c>
      <c r="U10" s="4">
        <v>40250</v>
      </c>
    </row>
    <row r="11" spans="2:21" ht="18" thickBot="1" x14ac:dyDescent="0.4">
      <c r="B11" s="20" t="s">
        <v>44</v>
      </c>
      <c r="Q11" t="s">
        <v>77</v>
      </c>
      <c r="R11" s="4">
        <f>R10*ImmedatePurchasesPayRate</f>
        <v>7437.4999999999991</v>
      </c>
      <c r="S11" s="4">
        <f>S10*ImmedatePurchasesPayRate</f>
        <v>8312.5</v>
      </c>
      <c r="T11" s="4">
        <f>T10*ImmedatePurchasesPayRate</f>
        <v>9187.5</v>
      </c>
      <c r="U11" s="4">
        <f>U10*ImmedatePurchasesPayRate</f>
        <v>10062.5</v>
      </c>
    </row>
    <row r="12" spans="2:21" ht="15" thickTop="1" x14ac:dyDescent="0.3">
      <c r="Q12" t="s">
        <v>78</v>
      </c>
      <c r="R12" s="4">
        <f>R10*ArrearsPurchasesPayRate</f>
        <v>22312.499999999996</v>
      </c>
      <c r="S12" s="4">
        <f>S10*ArrearsPurchasesPayRate</f>
        <v>24937.5</v>
      </c>
      <c r="T12" s="4">
        <v>27562.5</v>
      </c>
      <c r="U12" s="4">
        <v>30187.5</v>
      </c>
    </row>
    <row r="13" spans="2:21" x14ac:dyDescent="0.3">
      <c r="B13" t="s">
        <v>11</v>
      </c>
      <c r="C13" t="s">
        <v>87</v>
      </c>
      <c r="D13" t="s">
        <v>39</v>
      </c>
      <c r="E13" t="s">
        <v>82</v>
      </c>
      <c r="F13" s="17" t="s">
        <v>40</v>
      </c>
      <c r="G13" t="s">
        <v>83</v>
      </c>
      <c r="H13" s="17" t="s">
        <v>41</v>
      </c>
      <c r="I13" t="s">
        <v>86</v>
      </c>
      <c r="J13" s="17" t="s">
        <v>42</v>
      </c>
      <c r="K13" t="s">
        <v>101</v>
      </c>
      <c r="L13" s="17" t="s">
        <v>90</v>
      </c>
      <c r="M13" t="s">
        <v>88</v>
      </c>
      <c r="N13" s="17" t="s">
        <v>91</v>
      </c>
      <c r="O13" t="s">
        <v>89</v>
      </c>
    </row>
    <row r="14" spans="2:21" x14ac:dyDescent="0.3">
      <c r="B14" t="s">
        <v>32</v>
      </c>
      <c r="C14" s="38">
        <v>85000</v>
      </c>
      <c r="D14" s="39" t="str">
        <f>CONCATENATE(SalesProjectionTable[[#This Row],[Gross Sales]], " * ", SalesCashRate)</f>
        <v>85000 * 0.6</v>
      </c>
      <c r="E14" s="4">
        <f>SalesProjectionTable[[#This Row],[Gross Sales]]*SalesCashRate</f>
        <v>51000</v>
      </c>
      <c r="F14" s="39" t="str">
        <f>CONCATENATE(SalesProjectionTable[[#This Row],[Cash Sales]], " * ", PresentValueFactor)</f>
        <v>51000 * 0.99</v>
      </c>
      <c r="G14" s="36">
        <f>SalesProjectionTable[[#This Row],[Cash Sales]]*PresentValueFactor</f>
        <v>50490</v>
      </c>
      <c r="H14" s="39" t="str">
        <f>CONCATENATE(SalesProjectionTable[[#This Row],[Gross Sales]], " * ", SalesCreditRate)</f>
        <v>85000 * 0.4</v>
      </c>
      <c r="I14" s="40">
        <f>SalesProjectionTable[[#This Row],[Gross Sales]]*SalesBalance</f>
        <v>34000</v>
      </c>
      <c r="J14" s="39" t="str">
        <f>CONCATENATE(SalesProjectionTable[[#This Row],[Gross Sales]], " * ", DirectCostSalesRate)</f>
        <v>85000 * 0.35</v>
      </c>
      <c r="K14" s="10">
        <f>SalesProjectionTable[[#This Row],[Gross Sales]]*DirectCostSalesRate</f>
        <v>29749.999999999996</v>
      </c>
      <c r="L14" s="39" t="str">
        <f>CONCATENATE(SalesProjectionTable[[#This Row],[Gross Purchases]], " * ", ImmedatePurchasesPayRate)</f>
        <v>29750 * 0.25</v>
      </c>
      <c r="M14" s="42">
        <f>SalesProjectionTable[[#This Row],[Gross Purchases]]*ImmedatePurchasesPayRate</f>
        <v>7437.4999999999991</v>
      </c>
      <c r="N14" s="39" t="str">
        <f>CONCATENATE(SalesProjectionTable[[#This Row],[Gross Purchases]], " * ", ArrearsPurchasesPayRate)</f>
        <v>29750 * 0.75</v>
      </c>
      <c r="O14" s="50">
        <f>SalesProjectionTable[[#This Row],[Gross Purchases]]*ArrearsPurchasesPayRate</f>
        <v>22312.499999999996</v>
      </c>
    </row>
    <row r="15" spans="2:21" x14ac:dyDescent="0.3">
      <c r="B15" t="s">
        <v>0</v>
      </c>
      <c r="C15" s="38">
        <v>95000</v>
      </c>
      <c r="D15" s="39" t="str">
        <f>CONCATENATE(SalesProjectionTable[[#This Row],[Gross Sales]], " * ", SalesCashRate)</f>
        <v>95000 * 0.6</v>
      </c>
      <c r="E15" s="4">
        <f>SalesProjectionTable[[#This Row],[Gross Sales]]*SalesCashRate</f>
        <v>57000</v>
      </c>
      <c r="F15" s="39" t="str">
        <f>CONCATENATE(SalesProjectionTable[[#This Row],[Cash Sales]], " * ", PresentValueFactor)</f>
        <v>57000 * 0.99</v>
      </c>
      <c r="G15" s="36">
        <f>SalesProjectionTable[[#This Row],[Cash Sales]]*PresentValueFactor</f>
        <v>56430</v>
      </c>
      <c r="H15" s="39" t="str">
        <f>CONCATENATE(SalesProjectionTable[[#This Row],[Gross Sales]], " * ", SalesCreditRate)</f>
        <v>95000 * 0.4</v>
      </c>
      <c r="I15" s="40">
        <f>SalesProjectionTable[[#This Row],[Gross Sales]]*SalesBalance</f>
        <v>38000</v>
      </c>
      <c r="J15" s="39" t="str">
        <f>CONCATENATE(SalesProjectionTable[[#This Row],[Gross Sales]], " * ", DirectCostSalesRate)</f>
        <v>95000 * 0.35</v>
      </c>
      <c r="K15" s="10">
        <f>SalesProjectionTable[[#This Row],[Gross Sales]]*DirectCostSalesRate</f>
        <v>33250</v>
      </c>
      <c r="L15" s="39" t="str">
        <f>CONCATENATE(SalesProjectionTable[[#This Row],[Gross Purchases]], " * ", ImmedatePurchasesPayRate)</f>
        <v>33250 * 0.25</v>
      </c>
      <c r="M15" s="42">
        <f>SalesProjectionTable[[#This Row],[Gross Purchases]]*ImmedatePurchasesPayRate</f>
        <v>8312.5</v>
      </c>
      <c r="N15" s="39" t="str">
        <f>CONCATENATE(SalesProjectionTable[[#This Row],[Gross Purchases]], " * ", ArrearsPurchasesPayRate)</f>
        <v>33250 * 0.75</v>
      </c>
      <c r="O15" s="50">
        <f>SalesProjectionTable[[#This Row],[Gross Purchases]]*ArrearsPurchasesPayRate</f>
        <v>24937.5</v>
      </c>
    </row>
    <row r="16" spans="2:21" x14ac:dyDescent="0.3">
      <c r="B16" t="s">
        <v>1</v>
      </c>
      <c r="C16" s="38">
        <v>105000</v>
      </c>
      <c r="D16" s="39" t="str">
        <f>CONCATENATE(SalesProjectionTable[[#This Row],[Gross Sales]], " * ", SalesCashRate)</f>
        <v>105000 * 0.6</v>
      </c>
      <c r="E16" s="4">
        <f>SalesProjectionTable[[#This Row],[Gross Sales]]*SalesCashRate</f>
        <v>63000</v>
      </c>
      <c r="F16" s="39" t="str">
        <f>CONCATENATE(SalesProjectionTable[[#This Row],[Cash Sales]], " * ", PresentValueFactor)</f>
        <v>63000 * 0.99</v>
      </c>
      <c r="G16" s="36">
        <f>SalesProjectionTable[[#This Row],[Cash Sales]]*PresentValueFactor</f>
        <v>62370</v>
      </c>
      <c r="H16" s="39" t="str">
        <f>CONCATENATE(SalesProjectionTable[[#This Row],[Gross Sales]], " * ", SalesCreditRate)</f>
        <v>105000 * 0.4</v>
      </c>
      <c r="I16" s="40">
        <f>SalesProjectionTable[[#This Row],[Gross Sales]]*SalesBalance</f>
        <v>42000</v>
      </c>
      <c r="J16" s="39" t="str">
        <f>CONCATENATE(SalesProjectionTable[[#This Row],[Gross Sales]], " * ", DirectCostSalesRate)</f>
        <v>105000 * 0.35</v>
      </c>
      <c r="K16" s="10">
        <f>SalesProjectionTable[[#This Row],[Gross Sales]]*DirectCostSalesRate</f>
        <v>36750</v>
      </c>
      <c r="L16" s="39" t="str">
        <f>CONCATENATE(SalesProjectionTable[[#This Row],[Gross Purchases]], " * ", ImmedatePurchasesPayRate)</f>
        <v>36750 * 0.25</v>
      </c>
      <c r="M16" s="42">
        <f>SalesProjectionTable[[#This Row],[Gross Purchases]]*ImmedatePurchasesPayRate</f>
        <v>9187.5</v>
      </c>
      <c r="N16" s="39" t="str">
        <f>CONCATENATE(SalesProjectionTable[[#This Row],[Gross Purchases]], " * ", ArrearsPurchasesPayRate)</f>
        <v>36750 * 0.75</v>
      </c>
      <c r="O16" s="50">
        <f>SalesProjectionTable[[#This Row],[Gross Purchases]]*ArrearsPurchasesPayRate</f>
        <v>27562.5</v>
      </c>
    </row>
    <row r="17" spans="2:48" x14ac:dyDescent="0.3">
      <c r="B17" t="s">
        <v>2</v>
      </c>
      <c r="C17" s="38">
        <v>115000</v>
      </c>
      <c r="D17" s="39" t="str">
        <f>CONCATENATE(SalesProjectionTable[[#This Row],[Gross Sales]], " * ", SalesCashRate)</f>
        <v>115000 * 0.6</v>
      </c>
      <c r="E17" s="4">
        <f>SalesProjectionTable[[#This Row],[Gross Sales]]*SalesCashRate</f>
        <v>69000</v>
      </c>
      <c r="F17" s="39" t="str">
        <f>CONCATENATE(SalesProjectionTable[[#This Row],[Cash Sales]], " * ", PresentValueFactor)</f>
        <v>69000 * 0.99</v>
      </c>
      <c r="G17" s="36">
        <f>SalesProjectionTable[[#This Row],[Cash Sales]]*PresentValueFactor</f>
        <v>68310</v>
      </c>
      <c r="H17" s="39" t="str">
        <f>CONCATENATE(SalesProjectionTable[[#This Row],[Gross Sales]], " * ", SalesCreditRate)</f>
        <v>115000 * 0.4</v>
      </c>
      <c r="I17" s="10">
        <f>SalesProjectionTable[[#This Row],[Gross Sales]]*SalesBalance</f>
        <v>46000</v>
      </c>
      <c r="J17" s="39" t="str">
        <f>CONCATENATE(SalesProjectionTable[[#This Row],[Gross Sales]], " * ", DirectCostSalesRate)</f>
        <v>115000 * 0.35</v>
      </c>
      <c r="K17" s="10">
        <f>SalesProjectionTable[[#This Row],[Gross Sales]]*DirectCostSalesRate</f>
        <v>40250</v>
      </c>
      <c r="L17" s="39" t="str">
        <f>CONCATENATE(SalesProjectionTable[[#This Row],[Gross Purchases]], " * ", ImmedatePurchasesPayRate)</f>
        <v>40250 * 0.25</v>
      </c>
      <c r="M17" s="42">
        <f>SalesProjectionTable[[#This Row],[Gross Purchases]]*ImmedatePurchasesPayRate</f>
        <v>10062.5</v>
      </c>
      <c r="N17" s="39" t="str">
        <f>CONCATENATE(SalesProjectionTable[[#This Row],[Gross Purchases]], " * ", ArrearsPurchasesPayRate)</f>
        <v>40250 * 0.75</v>
      </c>
      <c r="O17" s="10">
        <f>SalesProjectionTable[[#This Row],[Gross Purchases]]*ArrearsPurchasesPayRate</f>
        <v>30187.5</v>
      </c>
      <c r="AV17" t="s">
        <v>45</v>
      </c>
    </row>
    <row r="18" spans="2:48" x14ac:dyDescent="0.3">
      <c r="C18" s="4"/>
      <c r="D18" s="4"/>
      <c r="E18" s="4"/>
      <c r="F18" s="4"/>
      <c r="AV18">
        <v>1</v>
      </c>
    </row>
    <row r="19" spans="2:48" x14ac:dyDescent="0.3">
      <c r="C19" s="4"/>
      <c r="D19" s="4"/>
      <c r="E19" s="4"/>
      <c r="F19" s="4"/>
      <c r="AV19">
        <v>1</v>
      </c>
    </row>
    <row r="20" spans="2:48" x14ac:dyDescent="0.3">
      <c r="C20" s="4"/>
      <c r="D20" s="4"/>
      <c r="E20" s="4"/>
      <c r="F20" s="4"/>
      <c r="AV20">
        <v>1</v>
      </c>
    </row>
    <row r="21" spans="2:48" x14ac:dyDescent="0.3">
      <c r="C21" s="4"/>
      <c r="D21" s="4"/>
      <c r="E21" s="4"/>
      <c r="F21" s="4"/>
      <c r="AV21">
        <v>1</v>
      </c>
    </row>
    <row r="22" spans="2:48" x14ac:dyDescent="0.3">
      <c r="B22" t="s">
        <v>97</v>
      </c>
      <c r="C22" s="4" t="s">
        <v>12</v>
      </c>
      <c r="D22" s="4" t="s">
        <v>6</v>
      </c>
      <c r="E22" t="s">
        <v>98</v>
      </c>
      <c r="F22" s="4" t="s">
        <v>99</v>
      </c>
    </row>
    <row r="23" spans="2:48" x14ac:dyDescent="0.3">
      <c r="B23" t="s">
        <v>84</v>
      </c>
      <c r="C23" s="3">
        <v>0.6</v>
      </c>
      <c r="D23" s="3" t="s">
        <v>51</v>
      </c>
      <c r="E23">
        <v>2</v>
      </c>
      <c r="F23" s="3"/>
    </row>
    <row r="24" spans="2:48" x14ac:dyDescent="0.3">
      <c r="B24" t="s">
        <v>85</v>
      </c>
      <c r="C24" s="51">
        <f>1-SalesRateofCash</f>
        <v>0.4</v>
      </c>
      <c r="D24" t="s">
        <v>56</v>
      </c>
      <c r="E24">
        <v>2</v>
      </c>
      <c r="F24" t="s">
        <v>67</v>
      </c>
    </row>
    <row r="25" spans="2:48" x14ac:dyDescent="0.3">
      <c r="B25" t="s">
        <v>46</v>
      </c>
      <c r="C25" s="3">
        <v>0.01</v>
      </c>
      <c r="D25" s="3" t="s">
        <v>51</v>
      </c>
      <c r="E25">
        <v>3</v>
      </c>
      <c r="F25" s="3"/>
    </row>
    <row r="26" spans="2:48" x14ac:dyDescent="0.3">
      <c r="B26" t="s">
        <v>64</v>
      </c>
      <c r="C26" s="51">
        <f>1-C25</f>
        <v>0.99</v>
      </c>
      <c r="D26" s="21" t="s">
        <v>51</v>
      </c>
      <c r="E26">
        <v>3</v>
      </c>
      <c r="F26" s="21"/>
    </row>
    <row r="27" spans="2:48" x14ac:dyDescent="0.3">
      <c r="B27" t="s">
        <v>71</v>
      </c>
      <c r="C27" s="21">
        <v>0.35</v>
      </c>
      <c r="D27" s="21" t="s">
        <v>51</v>
      </c>
      <c r="E27">
        <v>4</v>
      </c>
      <c r="F27" s="21"/>
    </row>
    <row r="28" spans="2:48" x14ac:dyDescent="0.3">
      <c r="B28" t="s">
        <v>47</v>
      </c>
      <c r="C28" s="21">
        <v>0.25</v>
      </c>
      <c r="D28" s="21" t="s">
        <v>51</v>
      </c>
      <c r="E28">
        <v>5</v>
      </c>
      <c r="F28" s="21"/>
    </row>
    <row r="29" spans="2:48" x14ac:dyDescent="0.3">
      <c r="B29" t="s">
        <v>48</v>
      </c>
      <c r="C29" s="51">
        <f>1-C28</f>
        <v>0.75</v>
      </c>
      <c r="D29" s="21" t="s">
        <v>51</v>
      </c>
      <c r="E29">
        <v>5</v>
      </c>
      <c r="F29" s="21"/>
    </row>
    <row r="30" spans="2:48" x14ac:dyDescent="0.3">
      <c r="B30" t="s">
        <v>79</v>
      </c>
      <c r="C30" s="4">
        <v>12000</v>
      </c>
      <c r="D30" s="4"/>
      <c r="E30">
        <v>6</v>
      </c>
      <c r="F30" s="22" t="s">
        <v>49</v>
      </c>
    </row>
    <row r="31" spans="2:48" x14ac:dyDescent="0.3">
      <c r="B31" t="s">
        <v>93</v>
      </c>
      <c r="C31" s="4">
        <v>500</v>
      </c>
      <c r="D31" s="4"/>
      <c r="E31">
        <v>6</v>
      </c>
    </row>
    <row r="32" spans="2:48" x14ac:dyDescent="0.3">
      <c r="B32" t="s">
        <v>92</v>
      </c>
      <c r="C32" s="21">
        <v>0.15</v>
      </c>
      <c r="D32" s="21"/>
      <c r="E32">
        <v>6</v>
      </c>
    </row>
    <row r="33" spans="2:12" x14ac:dyDescent="0.3">
      <c r="B33" t="s">
        <v>94</v>
      </c>
      <c r="C33" s="52">
        <f>DecemberSalonEquipmentPrice*(1-DecemberSalonEquipmentDiscountRate)</f>
        <v>425</v>
      </c>
      <c r="D33" s="4" t="s">
        <v>32</v>
      </c>
      <c r="E33">
        <v>6</v>
      </c>
      <c r="F33" s="22" t="s">
        <v>49</v>
      </c>
    </row>
    <row r="34" spans="2:12" x14ac:dyDescent="0.3">
      <c r="B34" t="s">
        <v>50</v>
      </c>
      <c r="C34" s="4">
        <v>32000</v>
      </c>
      <c r="D34" s="4" t="s">
        <v>0</v>
      </c>
      <c r="E34">
        <v>7</v>
      </c>
    </row>
    <row r="35" spans="2:12" x14ac:dyDescent="0.3">
      <c r="B35" t="s">
        <v>52</v>
      </c>
      <c r="C35" s="3">
        <v>0.85</v>
      </c>
      <c r="E35">
        <v>8</v>
      </c>
    </row>
    <row r="36" spans="2:12" x14ac:dyDescent="0.3">
      <c r="B36" t="s">
        <v>70</v>
      </c>
      <c r="C36" s="53">
        <f>C34*C35</f>
        <v>27200</v>
      </c>
      <c r="D36" t="s">
        <v>0</v>
      </c>
      <c r="E36">
        <v>8</v>
      </c>
    </row>
    <row r="37" spans="2:12" x14ac:dyDescent="0.3">
      <c r="B37" t="s">
        <v>53</v>
      </c>
      <c r="C37" s="10">
        <v>550</v>
      </c>
      <c r="D37" t="s">
        <v>54</v>
      </c>
      <c r="E37">
        <v>8</v>
      </c>
      <c r="F37" s="22" t="s">
        <v>55</v>
      </c>
      <c r="L37" s="22"/>
    </row>
    <row r="38" spans="2:12" x14ac:dyDescent="0.3">
      <c r="B38" t="s">
        <v>57</v>
      </c>
      <c r="C38" s="4">
        <v>25000</v>
      </c>
      <c r="D38" t="s">
        <v>32</v>
      </c>
      <c r="E38">
        <v>9</v>
      </c>
    </row>
    <row r="39" spans="2:12" x14ac:dyDescent="0.3">
      <c r="B39" t="s">
        <v>58</v>
      </c>
      <c r="C39" s="21">
        <v>0.05</v>
      </c>
      <c r="E39">
        <v>9</v>
      </c>
    </row>
    <row r="40" spans="2:12" x14ac:dyDescent="0.3">
      <c r="B40" t="s">
        <v>26</v>
      </c>
      <c r="C40" s="52">
        <f>C38*(1+C39)</f>
        <v>26250</v>
      </c>
      <c r="D40" t="s">
        <v>56</v>
      </c>
      <c r="E40">
        <v>9</v>
      </c>
      <c r="F40" s="22" t="s">
        <v>59</v>
      </c>
      <c r="L40" s="22"/>
    </row>
    <row r="41" spans="2:12" x14ac:dyDescent="0.3">
      <c r="B41" t="s">
        <v>60</v>
      </c>
      <c r="C41" s="4">
        <v>48000</v>
      </c>
      <c r="E41">
        <v>10</v>
      </c>
    </row>
    <row r="42" spans="2:12" x14ac:dyDescent="0.3">
      <c r="B42" t="s">
        <v>61</v>
      </c>
      <c r="C42" s="53">
        <f>C41/12</f>
        <v>4000</v>
      </c>
      <c r="D42" t="s">
        <v>51</v>
      </c>
      <c r="E42">
        <v>10</v>
      </c>
    </row>
    <row r="43" spans="2:12" x14ac:dyDescent="0.3">
      <c r="B43" t="s">
        <v>28</v>
      </c>
      <c r="C43" s="10">
        <v>10000</v>
      </c>
      <c r="D43" t="s">
        <v>51</v>
      </c>
      <c r="E43">
        <v>11</v>
      </c>
    </row>
    <row r="44" spans="2:12" x14ac:dyDescent="0.3">
      <c r="B44" t="s">
        <v>66</v>
      </c>
      <c r="C44" s="10">
        <v>15000</v>
      </c>
      <c r="D44" t="s">
        <v>32</v>
      </c>
      <c r="E44">
        <v>12</v>
      </c>
    </row>
    <row r="45" spans="2:12" x14ac:dyDescent="0.3">
      <c r="B45" t="s">
        <v>80</v>
      </c>
      <c r="C45" s="10">
        <v>12000</v>
      </c>
      <c r="D45" t="s">
        <v>32</v>
      </c>
      <c r="E45">
        <v>13</v>
      </c>
    </row>
    <row r="46" spans="2:12" x14ac:dyDescent="0.3">
      <c r="B46" t="s">
        <v>62</v>
      </c>
      <c r="C46" s="10">
        <v>-3500</v>
      </c>
      <c r="D46" t="s">
        <v>32</v>
      </c>
      <c r="E46">
        <v>14</v>
      </c>
      <c r="F46" s="22" t="s">
        <v>63</v>
      </c>
      <c r="L46" s="22"/>
    </row>
  </sheetData>
  <mergeCells count="1">
    <mergeCell ref="B2:C2"/>
  </mergeCells>
  <phoneticPr fontId="10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537-D13F-42CD-A481-415EBC6E0CCC}">
  <dimension ref="B4:G24"/>
  <sheetViews>
    <sheetView zoomScale="70" zoomScaleNormal="70" workbookViewId="0">
      <selection activeCell="D14" sqref="D14"/>
    </sheetView>
  </sheetViews>
  <sheetFormatPr defaultRowHeight="14.4" x14ac:dyDescent="0.3"/>
  <cols>
    <col min="2" max="2" width="56.44140625" customWidth="1"/>
    <col min="3" max="3" width="24.6640625" bestFit="1" customWidth="1"/>
    <col min="4" max="7" width="30.88671875" customWidth="1"/>
  </cols>
  <sheetData>
    <row r="4" spans="2:7" x14ac:dyDescent="0.3">
      <c r="B4" s="11"/>
      <c r="C4" s="11"/>
      <c r="D4" s="11"/>
      <c r="E4" s="11"/>
      <c r="F4" s="11"/>
      <c r="G4" s="11"/>
    </row>
    <row r="5" spans="2:7" ht="15" x14ac:dyDescent="0.3">
      <c r="B5" s="6" t="s">
        <v>6</v>
      </c>
      <c r="C5" s="6"/>
      <c r="D5" s="12">
        <v>45413</v>
      </c>
      <c r="E5" s="12">
        <v>45444</v>
      </c>
      <c r="F5" s="12">
        <v>45474</v>
      </c>
      <c r="G5" s="12">
        <v>45505</v>
      </c>
    </row>
    <row r="6" spans="2:7" ht="15" x14ac:dyDescent="0.3">
      <c r="B6" s="13" t="s">
        <v>17</v>
      </c>
      <c r="C6" s="13"/>
      <c r="D6" s="9">
        <v>-3500</v>
      </c>
      <c r="E6" s="9">
        <f>D22</f>
        <v>1802</v>
      </c>
      <c r="F6" s="9">
        <f t="shared" ref="F6:G6" si="0">E22</f>
        <v>24934</v>
      </c>
      <c r="G6" s="9">
        <f t="shared" si="0"/>
        <v>59441</v>
      </c>
    </row>
    <row r="7" spans="2:7" ht="15" x14ac:dyDescent="0.3">
      <c r="B7" s="13" t="s">
        <v>18</v>
      </c>
      <c r="C7" s="13"/>
      <c r="D7" s="9">
        <v>50490</v>
      </c>
      <c r="E7" s="9">
        <v>57420</v>
      </c>
      <c r="F7" s="9">
        <v>62370</v>
      </c>
      <c r="G7" s="9">
        <v>68310</v>
      </c>
    </row>
    <row r="8" spans="2:7" ht="15" x14ac:dyDescent="0.3">
      <c r="B8" s="13" t="s">
        <v>19</v>
      </c>
      <c r="C8" s="13"/>
      <c r="D8" s="9">
        <v>15000</v>
      </c>
      <c r="E8" s="9">
        <v>34000</v>
      </c>
      <c r="F8" s="9">
        <v>38000</v>
      </c>
      <c r="G8" s="9">
        <v>42000</v>
      </c>
    </row>
    <row r="9" spans="2:7" ht="15" x14ac:dyDescent="0.3">
      <c r="B9" s="13" t="s">
        <v>36</v>
      </c>
      <c r="C9" s="13"/>
      <c r="D9" s="9"/>
      <c r="E9" s="9">
        <v>27200</v>
      </c>
      <c r="F9" s="9"/>
      <c r="G9" s="9"/>
    </row>
    <row r="10" spans="2:7" ht="15" x14ac:dyDescent="0.3">
      <c r="B10" s="13" t="s">
        <v>20</v>
      </c>
      <c r="C10" s="13"/>
      <c r="D10" s="15">
        <f>SUM(D6:D9)</f>
        <v>61990</v>
      </c>
      <c r="E10" s="15">
        <f>SUM(E6:E9)</f>
        <v>120422</v>
      </c>
      <c r="F10" s="15">
        <f t="shared" ref="F10:G10" si="1">SUM(F6:F9)</f>
        <v>125304</v>
      </c>
      <c r="G10" s="15">
        <f t="shared" si="1"/>
        <v>169751</v>
      </c>
    </row>
    <row r="11" spans="2:7" ht="15" x14ac:dyDescent="0.3">
      <c r="B11" s="7"/>
      <c r="C11" s="7"/>
      <c r="D11" s="9"/>
      <c r="E11" s="9"/>
      <c r="F11" s="9"/>
      <c r="G11" s="9"/>
    </row>
    <row r="12" spans="2:7" ht="15" x14ac:dyDescent="0.3">
      <c r="B12" s="13" t="s">
        <v>21</v>
      </c>
      <c r="C12" s="13"/>
      <c r="D12" s="9"/>
      <c r="E12" s="9"/>
      <c r="F12" s="9"/>
      <c r="G12" s="9"/>
    </row>
    <row r="13" spans="2:7" ht="15" x14ac:dyDescent="0.3">
      <c r="B13" s="7" t="s">
        <v>22</v>
      </c>
      <c r="C13" s="7"/>
      <c r="D13" s="9"/>
      <c r="E13" s="9"/>
      <c r="F13" s="9"/>
      <c r="G13" s="9"/>
    </row>
    <row r="14" spans="2:7" ht="30" x14ac:dyDescent="0.3">
      <c r="B14" s="7" t="s">
        <v>23</v>
      </c>
      <c r="C14" s="7" t="s">
        <v>37</v>
      </c>
      <c r="D14" s="9">
        <v>16938</v>
      </c>
      <c r="E14" s="9">
        <v>22688</v>
      </c>
      <c r="F14" s="9">
        <v>25063</v>
      </c>
      <c r="G14" s="9">
        <v>27438</v>
      </c>
    </row>
    <row r="15" spans="2:7" ht="15" x14ac:dyDescent="0.3">
      <c r="B15" s="7" t="s">
        <v>24</v>
      </c>
      <c r="C15" s="7" t="s">
        <v>38</v>
      </c>
      <c r="D15" s="9">
        <v>4250</v>
      </c>
      <c r="E15" s="9">
        <v>32000</v>
      </c>
      <c r="F15" s="9"/>
      <c r="G15" s="9"/>
    </row>
    <row r="16" spans="2:7" ht="15" x14ac:dyDescent="0.3">
      <c r="B16" s="7" t="s">
        <v>25</v>
      </c>
      <c r="C16" s="7"/>
      <c r="D16" s="9"/>
      <c r="E16" s="9">
        <v>550</v>
      </c>
      <c r="F16" s="9">
        <v>550</v>
      </c>
      <c r="G16" s="9">
        <v>550</v>
      </c>
    </row>
    <row r="17" spans="2:7" ht="15" x14ac:dyDescent="0.3">
      <c r="B17" s="7" t="s">
        <v>26</v>
      </c>
      <c r="C17" s="7"/>
      <c r="D17" s="9">
        <v>25000</v>
      </c>
      <c r="E17" s="9">
        <v>26250</v>
      </c>
      <c r="F17" s="9">
        <v>26250</v>
      </c>
      <c r="G17" s="9">
        <v>26250</v>
      </c>
    </row>
    <row r="18" spans="2:7" ht="15" x14ac:dyDescent="0.3">
      <c r="B18" s="7" t="s">
        <v>27</v>
      </c>
      <c r="C18" s="7"/>
      <c r="D18" s="9">
        <v>4000</v>
      </c>
      <c r="E18" s="9">
        <v>4000</v>
      </c>
      <c r="F18" s="9">
        <v>4000</v>
      </c>
      <c r="G18" s="9">
        <v>4000</v>
      </c>
    </row>
    <row r="19" spans="2:7" ht="15" x14ac:dyDescent="0.3">
      <c r="B19" s="7" t="s">
        <v>28</v>
      </c>
      <c r="C19" s="7"/>
      <c r="D19" s="9">
        <v>10000</v>
      </c>
      <c r="E19" s="9">
        <v>10000</v>
      </c>
      <c r="F19" s="9">
        <v>10000</v>
      </c>
      <c r="G19" s="9">
        <v>10000</v>
      </c>
    </row>
    <row r="20" spans="2:7" ht="15" x14ac:dyDescent="0.3">
      <c r="B20" s="7" t="s">
        <v>29</v>
      </c>
      <c r="C20" s="7"/>
      <c r="D20" s="9">
        <f>SUM(D13:D19)</f>
        <v>60188</v>
      </c>
      <c r="E20" s="9">
        <f t="shared" ref="E20:G20" si="2">SUM(E13:E19)</f>
        <v>95488</v>
      </c>
      <c r="F20" s="9">
        <f t="shared" si="2"/>
        <v>65863</v>
      </c>
      <c r="G20" s="9">
        <f t="shared" si="2"/>
        <v>68238</v>
      </c>
    </row>
    <row r="21" spans="2:7" ht="15" x14ac:dyDescent="0.3">
      <c r="B21" s="7"/>
      <c r="C21" s="7"/>
      <c r="D21" s="9"/>
      <c r="E21" s="9"/>
      <c r="F21" s="9"/>
      <c r="G21" s="9"/>
    </row>
    <row r="22" spans="2:7" ht="15" x14ac:dyDescent="0.3">
      <c r="B22" s="13" t="s">
        <v>30</v>
      </c>
      <c r="C22" s="13"/>
      <c r="D22" s="9">
        <f>D10-D20</f>
        <v>1802</v>
      </c>
      <c r="E22" s="9">
        <f t="shared" ref="E22:G22" si="3">E10-E20</f>
        <v>24934</v>
      </c>
      <c r="F22" s="9">
        <f t="shared" si="3"/>
        <v>59441</v>
      </c>
      <c r="G22" s="9">
        <f t="shared" si="3"/>
        <v>101513</v>
      </c>
    </row>
    <row r="23" spans="2:7" ht="15" x14ac:dyDescent="0.3">
      <c r="B23" s="13" t="s">
        <v>31</v>
      </c>
      <c r="C23" s="13"/>
      <c r="D23" s="9"/>
      <c r="E23" s="8"/>
      <c r="F23" s="8"/>
      <c r="G23" s="8"/>
    </row>
    <row r="24" spans="2:7" ht="15" x14ac:dyDescent="0.3">
      <c r="B24" s="13"/>
      <c r="C24" s="13"/>
      <c r="D24" s="14"/>
      <c r="E24" s="14"/>
      <c r="F24" s="14"/>
      <c r="G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Answer1 Calculations</vt:lpstr>
      <vt:lpstr>Answer1 Show-work</vt:lpstr>
      <vt:lpstr>Answer2 Worksheet</vt:lpstr>
      <vt:lpstr>Answer2 Print</vt:lpstr>
      <vt:lpstr>Figures</vt:lpstr>
      <vt:lpstr>----Answer2 Calculations</vt:lpstr>
      <vt:lpstr>AnnualRates</vt:lpstr>
      <vt:lpstr>AprilPurchases</vt:lpstr>
      <vt:lpstr>ArrearsPurchasesPayRate</vt:lpstr>
      <vt:lpstr>AugustCashPurchases</vt:lpstr>
      <vt:lpstr>AugustCreditPurchases</vt:lpstr>
      <vt:lpstr>BankLoanAmount</vt:lpstr>
      <vt:lpstr>BankMontlyRepayment</vt:lpstr>
      <vt:lpstr>DebtorsMay</vt:lpstr>
      <vt:lpstr>DecemberSalonEquipmentDiscountRate</vt:lpstr>
      <vt:lpstr>DecemberSalonEquipmentPrice</vt:lpstr>
      <vt:lpstr>DecemberSalonEquipmentPurchasePrice</vt:lpstr>
      <vt:lpstr>DirectCostSalesRate</vt:lpstr>
      <vt:lpstr>ImmedatePurchasesPayRate</vt:lpstr>
      <vt:lpstr>JulyCashPurchases</vt:lpstr>
      <vt:lpstr>JulyCreditPurchases</vt:lpstr>
      <vt:lpstr>JuneCashPurchases</vt:lpstr>
      <vt:lpstr>JuneCreditPurchases</vt:lpstr>
      <vt:lpstr>MayCashPurchases</vt:lpstr>
      <vt:lpstr>MayClosing</vt:lpstr>
      <vt:lpstr>MayCreditPurchases</vt:lpstr>
      <vt:lpstr>MayWages</vt:lpstr>
      <vt:lpstr>MotorPurchase</vt:lpstr>
      <vt:lpstr>OpeningBalance</vt:lpstr>
      <vt:lpstr>PresentValueFactor</vt:lpstr>
      <vt:lpstr>RentMonthlyPayment</vt:lpstr>
      <vt:lpstr>SalesBalance</vt:lpstr>
      <vt:lpstr>SalesCashRate</vt:lpstr>
      <vt:lpstr>SalesCreditRate</vt:lpstr>
      <vt:lpstr>SalesRateofCash</vt:lpstr>
      <vt:lpstr>SalonEquipmentCost</vt:lpstr>
      <vt:lpstr>StockRetentionRate</vt:lpstr>
      <vt:lpstr>UnitPrice</vt:lpstr>
      <vt:lpstr>WageRateIncrease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Crowe</dc:creator>
  <cp:lastModifiedBy>Mark Crowe</cp:lastModifiedBy>
  <cp:lastPrinted>2024-08-05T20:50:08Z</cp:lastPrinted>
  <dcterms:created xsi:type="dcterms:W3CDTF">2024-08-04T22:48:51Z</dcterms:created>
  <dcterms:modified xsi:type="dcterms:W3CDTF">2024-08-08T10:10:02Z</dcterms:modified>
</cp:coreProperties>
</file>