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335" tabRatio="500" firstSheet="1" activeTab="3"/>
  </bookViews>
  <sheets>
    <sheet name="VALORES DE LIQUIDACIÓN" sheetId="1" r:id="rId1"/>
    <sheet name="CÁLCULOS" sheetId="2" r:id="rId2"/>
    <sheet name="TABLA DE PAGOS" sheetId="3" r:id="rId3"/>
    <sheet name="DATOS GENERALES" sheetId="4" r:id="rId4"/>
    <sheet name="SALDOS" sheetId="5" r:id="rId5"/>
    <sheet name="SCRIPT'S" sheetId="6" r:id="rId6"/>
  </sheets>
  <calcPr calcId="144525"/>
</workbook>
</file>

<file path=xl/sharedStrings.xml><?xml version="1.0" encoding="utf-8"?>
<sst xmlns="http://schemas.openxmlformats.org/spreadsheetml/2006/main" count="1003" uniqueCount="84">
  <si>
    <t>RUBRO</t>
  </si>
  <si>
    <t>SALDO VIGENTE</t>
  </si>
  <si>
    <t>SALDO VENCIDO</t>
  </si>
  <si>
    <t>SALDO POR VENCER</t>
  </si>
  <si>
    <t>TOTAL POR RUBRO</t>
  </si>
  <si>
    <t>FECHA DE LIQUIDACIÓN</t>
  </si>
  <si>
    <t>SEGURO DESGRAVAMEN</t>
  </si>
  <si>
    <t>CUENTAS POR COBRAR</t>
  </si>
  <si>
    <t>FECHA CONTABLE</t>
  </si>
  <si>
    <t>INTERÉS MORA</t>
  </si>
  <si>
    <t>INTERÉS</t>
  </si>
  <si>
    <t>CAPITAL</t>
  </si>
  <si>
    <t>GASTOS DE COBRANZA</t>
  </si>
  <si>
    <t>REES/REF DE PRÉSTAMOS</t>
  </si>
  <si>
    <t>TOTALES</t>
  </si>
  <si>
    <t>#CUOTA</t>
  </si>
  <si>
    <t>DÍAS MORA</t>
  </si>
  <si>
    <t>DÍAS VENCE</t>
  </si>
  <si>
    <t>% MORA</t>
  </si>
  <si>
    <t>TASA MORA</t>
  </si>
  <si>
    <t>DÍAS POR VENCER</t>
  </si>
  <si>
    <t>DÍAS PROVISIÓN</t>
  </si>
  <si>
    <t>ULTIMA CUOTA PAGADA</t>
  </si>
  <si>
    <t>INTERÉS VENCIDO</t>
  </si>
  <si>
    <t>INTERÉS VIGENTE</t>
  </si>
  <si>
    <t>CAPITAL VENCIDO</t>
  </si>
  <si>
    <t>CAPITAL VIGENTE</t>
  </si>
  <si>
    <t>CUOTA VIGENTE</t>
  </si>
  <si>
    <t>SEGURO VIGENTE</t>
  </si>
  <si>
    <t>SEGURO VENCIDO</t>
  </si>
  <si>
    <t>CARGO VENCIDO</t>
  </si>
  <si>
    <t># CUOTA</t>
  </si>
  <si>
    <t>CAPITAL REDUCIDO</t>
  </si>
  <si>
    <t>CUOTA</t>
  </si>
  <si>
    <t>SEGURO</t>
  </si>
  <si>
    <t>CARGO</t>
  </si>
  <si>
    <t>FVENCI</t>
  </si>
  <si>
    <t>ESTATUS PAGO</t>
  </si>
  <si>
    <t>ABONO</t>
  </si>
  <si>
    <t>FABONO</t>
  </si>
  <si>
    <t>FVENCIMIENTO ÚLTIMA CUOTA PAGADA</t>
  </si>
  <si>
    <t>P</t>
  </si>
  <si>
    <t>(null)</t>
  </si>
  <si>
    <t>CUOTA ABONADA</t>
  </si>
  <si>
    <t>A</t>
  </si>
  <si>
    <t>COMPARADORES</t>
  </si>
  <si>
    <t>INTPRO</t>
  </si>
  <si>
    <t>CAPPRO</t>
  </si>
  <si>
    <t>CXCSDG</t>
  </si>
  <si>
    <t>CXCNOR</t>
  </si>
  <si>
    <t>COPRRE</t>
  </si>
  <si>
    <t>OPERACIÓN</t>
  </si>
  <si>
    <t>FDESEMBOLSO</t>
  </si>
  <si>
    <t>FVENCIMIENTO</t>
  </si>
  <si>
    <t>MONTO</t>
  </si>
  <si>
    <t>ESTADO</t>
  </si>
  <si>
    <t>CBASECALCULO</t>
  </si>
  <si>
    <t>PLAZO</t>
  </si>
  <si>
    <t>FULTIMOREAJUSTE</t>
  </si>
  <si>
    <t>DIASGRACIAMORA</t>
  </si>
  <si>
    <t>NUMEROCUOTAS</t>
  </si>
  <si>
    <t>TASA</t>
  </si>
  <si>
    <t>TASA INTERNA RETORNO</t>
  </si>
  <si>
    <t>60001281512</t>
  </si>
  <si>
    <t>E</t>
  </si>
  <si>
    <t>365/360</t>
  </si>
  <si>
    <t>FECHA INICIO</t>
  </si>
  <si>
    <t>CATEGORIA</t>
  </si>
  <si>
    <t>PROVISION DÍA</t>
  </si>
  <si>
    <t>SALDO</t>
  </si>
  <si>
    <t>MONTO DESCARGA PROVISION</t>
  </si>
  <si>
    <t>PROVISION DÍA INTPRO</t>
  </si>
  <si>
    <t>INTMOR</t>
  </si>
  <si>
    <t>LASPER</t>
  </si>
  <si>
    <t>SCRIPT TABLA DE PAGOS</t>
  </si>
  <si>
    <t>SELECT TCC.SUBCUENTA NUM_CUOTA, TCC.CAPITALREDUCIDO CAPITAL_REDUCIDO, TCC.CAPITAL, TCC.INTERES, (TCC.CAPITAL+TCC.INTERES) CUOTA,
TCC.SEGURO,TCC.CARGO, TCC.FVENCIMIENTO, TCC.ESTATUSPAGO,
(SELECT TCC1.ESTATUSPAGO FROM TCUENTACUOTAS TCC1 WHERE TCC1.CCUENTA=TCC.CCUENTA AND TCC1.SUBCUENTA=TCC.SUBCUENTA AND TCC1.ESTATUSPAGO='A' 
AND TCC1.FHASTA=TO_DATE('29991231','YYYYMMDD')) ABONO, 
(SELECT FABONO FROM TCUENTACUOTAS TCC2 WHERE TCC2.CCUENTA=TCC.CCUENTA AND TCC2.SUBCUENTA=TCC.SUBCUENTA AND TCC2.ESTATUSPAGO='A'
AND TCC2.FHASTA=TO_DATE('29991231','YYYYMMDD')) FABONO
FROM TCUENTACUOTAS TCC
WHERE TCC.CCUENTA='60001281512' AND TCC.FHASTA=TO_DATE('29991231','YYYYMMDD');</t>
  </si>
  <si>
    <t>TCC.SEGURO, TCC.FVENCIMIENTO, TCC.ESTATUSPAGO,</t>
  </si>
  <si>
    <t>(SELECT TCC1.ESTATUSPAGO FROM TCUENTACUOTAS TCC1 WHERE TCC1.CCUENTA=TCC.CCUENTA AND TCC1.SUBCUENTA=TCC.SUBCUENTA AND TCC1.ESTATUSPAGO='A') ABONO</t>
  </si>
  <si>
    <t>FROM TCUENTACUOTAS TCC</t>
  </si>
  <si>
    <t>WHERE TCC.CCUENTA='60001307118' AND TCC.FHASTA=TO_DATE('29991231','YYYYMMDD');</t>
  </si>
  <si>
    <t>SCRIPT SALDOS</t>
  </si>
  <si>
    <t>SELECT TS.SUBCUENTA,TS.FINICIO, TS.FVENCIMIENTO, TS.CATEGORIA, TS.PROVISIONDIA, TS.SALDOMONEDACUENTA, TS.MONTODESCARGAPROVISION
FROM TSALDOS TS
WHERE TS.FHASTA=TO_DATE('29991231','YYYYMMDD') AND TS.PRINCIPAL=1 
AND TS.CCUENTA='60000837521' ORDER BY SUBCUENTA ASC;</t>
  </si>
  <si>
    <t>SCRIPT DATOS GENERALES</t>
  </si>
  <si>
    <t>SELECT TCC.CCUENTA, TCC.FDESEMBOLSO, TCC.FVENCIMIENTO, TCC.MONTOADESEMBOLSAR MONTO, 
TCC.CESTADOOPERACION ESTADO, TCC.CBASECALCULO,TCC.PLAZO,TCC.FULTIMOREAJUSTE, TCC.DIASGRACIAMORA,
TCC.NUMEROCUOTAS, TCT.TASA, TCT.TASAINTERNARETORNO FROM TCUENTACOLOCACIONES TCC 
JOIN TCUENTACATEGORIASTASAS TCT 
ON TCT.CCUENTA=TCC.CCUENTA AND TCT.FHASTA=TO_DATE('29991231','YYYYMMDD') 
WHERE TCC.CCUENTA='60001281512' AND TCC.FHASTA=TO_DATE('29991231','YYYYMMDD');</t>
  </si>
</sst>
</file>

<file path=xl/styles.xml><?xml version="1.0" encoding="utf-8"?>
<styleSheet xmlns="http://schemas.openxmlformats.org/spreadsheetml/2006/main">
  <numFmts count="8">
    <numFmt numFmtId="176" formatCode="&quot;BOOL&quot;e&quot;AN&quot;"/>
    <numFmt numFmtId="177" formatCode="0.00&quot; &quot;%"/>
    <numFmt numFmtId="178" formatCode="yyyy\-mm\-dd\ hh:mm:ss"/>
    <numFmt numFmtId="179" formatCode="dd/mm/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3">
    <font>
      <sz val="1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name val="Arial"/>
      <charset val="1"/>
    </font>
    <font>
      <b/>
      <sz val="11"/>
      <name val="Arial"/>
      <charset val="1"/>
    </font>
    <font>
      <i/>
      <sz val="10"/>
      <name val="Arial"/>
      <charset val="1"/>
    </font>
    <font>
      <b/>
      <i/>
      <sz val="11"/>
      <name val="Arial"/>
      <charset val="1"/>
    </font>
    <font>
      <b/>
      <sz val="8"/>
      <name val="Arial"/>
      <charset val="1"/>
    </font>
    <font>
      <b/>
      <sz val="9"/>
      <name val="Arial"/>
      <charset val="1"/>
    </font>
    <font>
      <sz val="9"/>
      <name val="Arial"/>
      <charset val="1"/>
    </font>
    <font>
      <i/>
      <sz val="11"/>
      <name val="Arial"/>
      <charset val="1"/>
    </font>
    <font>
      <b/>
      <sz val="12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7E5"/>
      </patternFill>
    </fill>
    <fill>
      <patternFill patternType="solid">
        <fgColor rgb="FFFFFF00"/>
        <bgColor rgb="FFFFFF00"/>
      </patternFill>
    </fill>
    <fill>
      <patternFill patternType="solid">
        <fgColor rgb="FFDEE7E5"/>
        <bgColor rgb="FFDDE8CB"/>
      </patternFill>
    </fill>
    <fill>
      <patternFill patternType="solid">
        <fgColor rgb="FFB4C7DC"/>
        <bgColor rgb="FFCCCCFF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/>
      <right style="hair">
        <color auto="true"/>
      </right>
      <top/>
      <bottom/>
      <diagonal/>
    </border>
    <border>
      <left style="hair">
        <color auto="true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6" fillId="18" borderId="0" applyNumberFormat="false" applyBorder="false" applyAlignment="false" applyProtection="false">
      <alignment vertical="center"/>
    </xf>
    <xf numFmtId="0" fontId="25" fillId="36" borderId="0" applyNumberFormat="false" applyBorder="false" applyAlignment="false" applyProtection="false">
      <alignment vertical="center"/>
    </xf>
    <xf numFmtId="0" fontId="26" fillId="37" borderId="0" applyNumberFormat="false" applyBorder="false" applyAlignment="false" applyProtection="false">
      <alignment vertical="center"/>
    </xf>
    <xf numFmtId="0" fontId="26" fillId="34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6" fillId="32" borderId="0" applyNumberFormat="false" applyBorder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25" fillId="38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0" fontId="30" fillId="0" borderId="11" applyNumberFormat="false" applyFill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26" fillId="15" borderId="0" applyNumberFormat="false" applyBorder="false" applyAlignment="false" applyProtection="false">
      <alignment vertical="center"/>
    </xf>
    <xf numFmtId="0" fontId="25" fillId="30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26" fillId="21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26" fillId="17" borderId="0" applyNumberFormat="false" applyBorder="false" applyAlignment="false" applyProtection="false">
      <alignment vertical="center"/>
    </xf>
    <xf numFmtId="0" fontId="32" fillId="28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  <xf numFmtId="0" fontId="18" fillId="8" borderId="0" applyNumberFormat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31" fillId="0" borderId="12" applyNumberFormat="false" applyFill="false" applyAlignment="false" applyProtection="false">
      <alignment vertical="center"/>
    </xf>
    <xf numFmtId="0" fontId="27" fillId="16" borderId="10" applyNumberFormat="false" applyAlignment="false" applyProtection="false">
      <alignment vertical="center"/>
    </xf>
    <xf numFmtId="44" fontId="13" fillId="0" borderId="0" applyBorder="false" applyAlignment="false" applyProtection="false"/>
    <xf numFmtId="0" fontId="25" fillId="14" borderId="0" applyNumberFormat="false" applyBorder="false" applyAlignment="false" applyProtection="false">
      <alignment vertical="center"/>
    </xf>
    <xf numFmtId="0" fontId="23" fillId="12" borderId="9" applyNumberFormat="false" applyFont="false" applyAlignment="false" applyProtection="false">
      <alignment vertical="center"/>
    </xf>
    <xf numFmtId="0" fontId="21" fillId="10" borderId="7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9" fillId="16" borderId="7" applyNumberFormat="false" applyAlignment="false" applyProtection="false">
      <alignment vertical="center"/>
    </xf>
    <xf numFmtId="0" fontId="19" fillId="9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41" fontId="13" fillId="0" borderId="0" applyBorder="false" applyAlignment="false" applyProtection="false"/>
    <xf numFmtId="0" fontId="25" fillId="13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24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43" fontId="13" fillId="0" borderId="0" applyBorder="false" applyAlignment="false" applyProtection="false"/>
    <xf numFmtId="0" fontId="22" fillId="11" borderId="8" applyNumberFormat="false" applyAlignment="false" applyProtection="false">
      <alignment vertical="center"/>
    </xf>
    <xf numFmtId="0" fontId="26" fillId="29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12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/>
    <xf numFmtId="0" fontId="1" fillId="0" borderId="0" xfId="0" applyFont="true" applyAlignment="true">
      <alignment horizontal="center" vertical="center" wrapText="true"/>
    </xf>
    <xf numFmtId="0" fontId="2" fillId="0" borderId="0" xfId="0" applyFont="true" applyBorder="true" applyAlignment="true">
      <alignment horizontal="left" vertical="center" wrapText="true"/>
    </xf>
    <xf numFmtId="0" fontId="3" fillId="0" borderId="0" xfId="0" applyFont="true" applyAlignment="true">
      <alignment horizontal="center"/>
    </xf>
    <xf numFmtId="0" fontId="0" fillId="0" borderId="0" xfId="0" applyFont="true" applyBorder="true" applyAlignment="true">
      <alignment horizontal="left" vertical="center" wrapText="true"/>
    </xf>
    <xf numFmtId="179" fontId="0" fillId="0" borderId="0" xfId="0" applyNumberFormat="true"/>
    <xf numFmtId="0" fontId="0" fillId="0" borderId="0" xfId="0" applyAlignment="true">
      <alignment horizontal="center" vertical="center"/>
    </xf>
    <xf numFmtId="0" fontId="4" fillId="2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179" fontId="0" fillId="0" borderId="1" xfId="0" applyNumberFormat="true" applyBorder="true" applyAlignment="true">
      <alignment horizontal="center" vertical="center"/>
    </xf>
    <xf numFmtId="49" fontId="0" fillId="0" borderId="1" xfId="0" applyNumberFormat="true" applyFont="true" applyBorder="true" applyAlignment="true">
      <alignment horizontal="center" vertical="center"/>
    </xf>
    <xf numFmtId="2" fontId="0" fillId="0" borderId="1" xfId="0" applyNumberFormat="true" applyBorder="true" applyAlignment="true">
      <alignment horizontal="center" vertical="center"/>
    </xf>
    <xf numFmtId="3" fontId="0" fillId="0" borderId="1" xfId="0" applyNumberFormat="true" applyBorder="true" applyAlignment="true">
      <alignment horizontal="center" vertical="center"/>
    </xf>
    <xf numFmtId="2" fontId="0" fillId="0" borderId="0" xfId="0" applyNumberFormat="true" applyFont="true"/>
    <xf numFmtId="0" fontId="0" fillId="0" borderId="0" xfId="0" applyFont="true"/>
    <xf numFmtId="49" fontId="0" fillId="0" borderId="0" xfId="0" applyNumberFormat="true" applyFont="true"/>
    <xf numFmtId="178" fontId="0" fillId="0" borderId="0" xfId="0" applyNumberFormat="true"/>
    <xf numFmtId="0" fontId="5" fillId="3" borderId="0" xfId="0" applyFont="true" applyFill="true"/>
    <xf numFmtId="0" fontId="0" fillId="0" borderId="0" xfId="0" applyAlignment="true">
      <alignment horizontal="center"/>
    </xf>
    <xf numFmtId="0" fontId="6" fillId="2" borderId="1" xfId="0" applyFont="true" applyFill="true" applyBorder="true" applyAlignment="true">
      <alignment horizontal="center" vertical="center" wrapText="true"/>
    </xf>
    <xf numFmtId="0" fontId="7" fillId="4" borderId="1" xfId="0" applyFont="true" applyFill="true" applyBorder="true" applyAlignment="true">
      <alignment horizontal="center" vertical="center" wrapText="true"/>
    </xf>
    <xf numFmtId="0" fontId="5" fillId="3" borderId="1" xfId="0" applyFont="true" applyFill="true" applyBorder="true" applyAlignment="true">
      <alignment horizontal="center" vertical="center"/>
    </xf>
    <xf numFmtId="179" fontId="0" fillId="5" borderId="1" xfId="0" applyNumberFormat="true" applyFill="true" applyBorder="true" applyAlignment="true">
      <alignment horizontal="center"/>
    </xf>
    <xf numFmtId="0" fontId="0" fillId="5" borderId="0" xfId="0" applyFill="true" applyAlignment="true">
      <alignment horizontal="center"/>
    </xf>
    <xf numFmtId="0" fontId="8" fillId="4" borderId="1" xfId="0" applyFont="true" applyFill="true" applyBorder="true" applyAlignment="true">
      <alignment vertical="center"/>
    </xf>
    <xf numFmtId="49" fontId="0" fillId="5" borderId="1" xfId="0" applyNumberFormat="true" applyFont="true" applyFill="true" applyBorder="true" applyAlignment="true">
      <alignment horizontal="center"/>
    </xf>
    <xf numFmtId="0" fontId="0" fillId="0" borderId="1" xfId="0" applyFont="true" applyBorder="true" applyAlignment="true">
      <alignment horizontal="center" vertical="center"/>
    </xf>
    <xf numFmtId="0" fontId="5" fillId="3" borderId="1" xfId="0" applyFont="true" applyFill="true" applyBorder="true" applyAlignment="true">
      <alignment horizontal="center"/>
    </xf>
    <xf numFmtId="0" fontId="0" fillId="0" borderId="1" xfId="0" applyBorder="true" applyAlignment="true">
      <alignment horizontal="center"/>
    </xf>
    <xf numFmtId="179" fontId="0" fillId="0" borderId="1" xfId="0" applyNumberFormat="true" applyBorder="true" applyAlignment="true">
      <alignment horizontal="center"/>
    </xf>
    <xf numFmtId="0" fontId="0" fillId="3" borderId="0" xfId="0" applyFill="true"/>
    <xf numFmtId="0" fontId="8" fillId="3" borderId="1" xfId="0" applyFont="true" applyFill="true" applyBorder="true" applyAlignment="true">
      <alignment horizontal="center" vertical="center" wrapText="true"/>
    </xf>
    <xf numFmtId="0" fontId="8" fillId="4" borderId="1" xfId="0" applyFont="true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9" fillId="0" borderId="0" xfId="0" applyFont="true"/>
    <xf numFmtId="177" fontId="0" fillId="0" borderId="1" xfId="0" applyNumberFormat="true" applyBorder="true" applyAlignment="true">
      <alignment horizontal="center" vertical="center"/>
    </xf>
    <xf numFmtId="0" fontId="8" fillId="6" borderId="1" xfId="0" applyFont="true" applyFill="true" applyBorder="true" applyAlignment="true">
      <alignment horizontal="center" vertical="center" wrapText="true"/>
    </xf>
    <xf numFmtId="0" fontId="8" fillId="2" borderId="1" xfId="0" applyFont="true" applyFill="true" applyBorder="true" applyAlignment="true">
      <alignment horizontal="center" vertical="center" wrapText="true"/>
    </xf>
    <xf numFmtId="2" fontId="0" fillId="0" borderId="0" xfId="0" applyNumberFormat="true"/>
    <xf numFmtId="176" fontId="0" fillId="0" borderId="1" xfId="0" applyNumberFormat="true" applyBorder="true" applyAlignment="true">
      <alignment horizontal="center" vertical="center"/>
    </xf>
    <xf numFmtId="0" fontId="1" fillId="0" borderId="1" xfId="0" applyFont="true" applyBorder="true"/>
    <xf numFmtId="0" fontId="0" fillId="0" borderId="2" xfId="0" applyBorder="true"/>
    <xf numFmtId="0" fontId="0" fillId="0" borderId="3" xfId="0" applyBorder="true"/>
    <xf numFmtId="0" fontId="4" fillId="4" borderId="1" xfId="0" applyFont="true" applyFill="true" applyBorder="true" applyAlignment="true">
      <alignment horizontal="center" vertical="center"/>
    </xf>
    <xf numFmtId="0" fontId="10" fillId="3" borderId="1" xfId="0" applyFont="true" applyFill="true" applyBorder="true" applyAlignment="true">
      <alignment horizontal="left" vertical="center"/>
    </xf>
    <xf numFmtId="179" fontId="2" fillId="5" borderId="1" xfId="0" applyNumberFormat="true" applyFont="true" applyFill="true" applyBorder="true"/>
    <xf numFmtId="0" fontId="5" fillId="3" borderId="1" xfId="0" applyFont="true" applyFill="true" applyBorder="true" applyAlignment="true">
      <alignment horizontal="left" vertical="center"/>
    </xf>
    <xf numFmtId="0" fontId="0" fillId="3" borderId="1" xfId="0" applyFill="true" applyBorder="true" applyAlignment="true">
      <alignment horizontal="left" vertical="center"/>
    </xf>
    <xf numFmtId="0" fontId="11" fillId="7" borderId="1" xfId="0" applyFont="true" applyFill="true" applyBorder="true" applyAlignment="true">
      <alignment horizontal="center"/>
    </xf>
    <xf numFmtId="2" fontId="11" fillId="7" borderId="1" xfId="0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 vertical="center"/>
    </xf>
    <xf numFmtId="0" fontId="0" fillId="0" borderId="4" xfId="0" applyBorder="true"/>
    <xf numFmtId="2" fontId="0" fillId="2" borderId="1" xfId="0" applyNumberForma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DC"/>
      <rgbColor rgb="00808080"/>
      <rgbColor rgb="009999FF"/>
      <rgbColor rgb="00993366"/>
      <rgbColor rgb="00F6F9D4"/>
      <rgbColor rgb="00DEE7E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E8F2A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90" zoomScaleNormal="90" workbookViewId="0">
      <selection activeCell="E3" sqref="E3"/>
    </sheetView>
  </sheetViews>
  <sheetFormatPr defaultColWidth="11.7428571428571" defaultRowHeight="12.75" outlineLevelCol="7"/>
  <cols>
    <col min="1" max="1" width="23.4" customWidth="true"/>
    <col min="3" max="3" width="26.3333333333333" customWidth="true"/>
    <col min="4" max="4" width="18.6095238095238" customWidth="true"/>
    <col min="5" max="5" width="17.8952380952381" customWidth="true"/>
    <col min="6" max="6" width="22.4666666666667" customWidth="true"/>
    <col min="7" max="7" width="20.7714285714286" customWidth="true"/>
  </cols>
  <sheetData>
    <row r="1" spans="1:7">
      <c r="A1" s="40"/>
      <c r="C1" s="41"/>
      <c r="D1" s="41"/>
      <c r="E1" s="41"/>
      <c r="F1" s="41"/>
      <c r="G1" s="41"/>
    </row>
    <row r="2" ht="20.7" customHeight="true" spans="2:8">
      <c r="B2" s="42"/>
      <c r="C2" s="43" t="s">
        <v>0</v>
      </c>
      <c r="D2" s="43" t="s">
        <v>1</v>
      </c>
      <c r="E2" s="43" t="s">
        <v>2</v>
      </c>
      <c r="F2" s="43" t="s">
        <v>3</v>
      </c>
      <c r="G2" s="50" t="s">
        <v>4</v>
      </c>
      <c r="H2" s="51"/>
    </row>
    <row r="3" ht="15.75" customHeight="true" spans="1:8">
      <c r="A3" s="40" t="s">
        <v>5</v>
      </c>
      <c r="B3" s="42"/>
      <c r="C3" s="44" t="s">
        <v>6</v>
      </c>
      <c r="D3" s="8">
        <f>SUM(CÁLCULOS!T2:T160)</f>
        <v>175.1</v>
      </c>
      <c r="E3" s="8">
        <f>SUM(CÁLCULOS!U2:U160)</f>
        <v>528.65</v>
      </c>
      <c r="F3" s="8"/>
      <c r="G3" s="52">
        <f t="shared" ref="G3:G13" si="0">SUM(D3:F3)</f>
        <v>703.75</v>
      </c>
      <c r="H3" s="51"/>
    </row>
    <row r="4" ht="15.75" customHeight="true" spans="1:8">
      <c r="A4" s="45">
        <v>44669</v>
      </c>
      <c r="B4" s="42"/>
      <c r="C4" s="44" t="s">
        <v>7</v>
      </c>
      <c r="D4" s="8"/>
      <c r="E4" s="8"/>
      <c r="F4" s="8"/>
      <c r="G4" s="52">
        <f t="shared" si="0"/>
        <v>0</v>
      </c>
      <c r="H4" s="51"/>
    </row>
    <row r="5" ht="15.75" customHeight="true" spans="1:8">
      <c r="A5" s="40" t="s">
        <v>8</v>
      </c>
      <c r="B5" s="42"/>
      <c r="C5" s="44" t="s">
        <v>9</v>
      </c>
      <c r="D5" s="26"/>
      <c r="E5" s="11">
        <f>SUM(CÁLCULOS!G2:G160)</f>
        <v>16.3100054158333</v>
      </c>
      <c r="F5" s="8"/>
      <c r="G5" s="52">
        <f t="shared" si="0"/>
        <v>16.3100054158333</v>
      </c>
      <c r="H5" s="51"/>
    </row>
    <row r="6" ht="15.75" customHeight="true" spans="1:8">
      <c r="A6" s="45">
        <v>44669</v>
      </c>
      <c r="B6" s="42"/>
      <c r="C6" s="44" t="s">
        <v>10</v>
      </c>
      <c r="D6" s="11">
        <f>SUM(CÁLCULOS!N2:N160)</f>
        <v>942.299918</v>
      </c>
      <c r="E6" s="11">
        <f>SUM(CÁLCULOS!M2:M160)</f>
        <v>6211.997052</v>
      </c>
      <c r="G6" s="52">
        <f t="shared" si="0"/>
        <v>7154.29697</v>
      </c>
      <c r="H6" s="51"/>
    </row>
    <row r="7" ht="15.75" customHeight="true" spans="2:8">
      <c r="B7" s="42"/>
      <c r="C7" s="44" t="s">
        <v>11</v>
      </c>
      <c r="D7" s="8">
        <f>VLOOKUP(MAX(CÁLCULOS!R$2:R$160),'TABLA DE PAGOS'!C$2:E$160,3)</f>
        <v>808.53</v>
      </c>
      <c r="E7" s="11">
        <f>SUM(CÁLCULOS!P2:P160)</f>
        <v>1912.45</v>
      </c>
      <c r="F7" s="8">
        <f>SUM(CÁLCULOS!Q2:Q160)</f>
        <v>243205.26</v>
      </c>
      <c r="G7" s="52">
        <f t="shared" si="0"/>
        <v>245926.24</v>
      </c>
      <c r="H7" s="51"/>
    </row>
    <row r="8" ht="15.75" customHeight="true" spans="2:8">
      <c r="B8" s="42"/>
      <c r="C8" s="46" t="s">
        <v>12</v>
      </c>
      <c r="D8" s="8"/>
      <c r="E8" s="8">
        <f>IF(AND(E$7&gt;0,A$6=A$4),INDEX(SALDOS!B$3:G$200,MATCH('TABLA DE PAGOS'!A$15,SALDOS!E$3:E$200,0),6),IF(AND(MAX(CÁLCULOS!D$2:D$160)&gt;=1,MAX(CÁLCULOS!D$2:D$160)&lt;=30),9.95,IF(AND(MAX(CÁLCULOS!D$2:D$160)&gt;=31,MAX(CÁLCULOS!D$2:D$160)&lt;=60),32.23,IF(AND(MAX(CÁLCULOS!D$2:D$160)&gt;=61,MAX(CÁLCULOS!D$2:D$160)&lt;=90),38.09,IF(AND(MAX(CÁLCULOS!D$2:D$160)&gt;=91,MAX(CÁLCULOS!D$2:D$160)&lt;=99999),49.27,0)))))</f>
        <v>38.09</v>
      </c>
      <c r="F8" s="8"/>
      <c r="G8" s="52">
        <f t="shared" si="0"/>
        <v>38.09</v>
      </c>
      <c r="H8" s="51"/>
    </row>
    <row r="9" ht="15.75" customHeight="true" spans="2:8">
      <c r="B9" s="42"/>
      <c r="C9" s="46" t="s">
        <v>13</v>
      </c>
      <c r="D9" s="8"/>
      <c r="E9" s="8">
        <f>SUM(CÁLCULOS!W$2:W$160)</f>
        <v>369.28</v>
      </c>
      <c r="F9" s="8"/>
      <c r="G9" s="52">
        <f t="shared" si="0"/>
        <v>369.28</v>
      </c>
      <c r="H9" s="51"/>
    </row>
    <row r="10" ht="15.75" customHeight="true" spans="2:8">
      <c r="B10" s="42"/>
      <c r="C10" s="47"/>
      <c r="D10" s="8"/>
      <c r="E10" s="8"/>
      <c r="F10" s="8"/>
      <c r="G10" s="52">
        <f t="shared" si="0"/>
        <v>0</v>
      </c>
      <c r="H10" s="51"/>
    </row>
    <row r="11" ht="15.75" customHeight="true" spans="2:8">
      <c r="B11" s="42"/>
      <c r="C11" s="47"/>
      <c r="D11" s="8"/>
      <c r="E11" s="8"/>
      <c r="F11" s="8"/>
      <c r="G11" s="52">
        <f t="shared" si="0"/>
        <v>0</v>
      </c>
      <c r="H11" s="51"/>
    </row>
    <row r="12" ht="15.75" customHeight="true" spans="2:8">
      <c r="B12" s="42"/>
      <c r="C12" s="47"/>
      <c r="D12" s="8"/>
      <c r="E12" s="8"/>
      <c r="F12" s="8"/>
      <c r="G12" s="52">
        <f t="shared" si="0"/>
        <v>0</v>
      </c>
      <c r="H12" s="51"/>
    </row>
    <row r="13" ht="15.75" customHeight="true" spans="2:8">
      <c r="B13" s="42"/>
      <c r="C13" s="47"/>
      <c r="D13" s="8"/>
      <c r="E13" s="8"/>
      <c r="F13" s="8"/>
      <c r="G13" s="52">
        <f t="shared" si="0"/>
        <v>0</v>
      </c>
      <c r="H13" s="51"/>
    </row>
    <row r="14" ht="15" spans="3:7">
      <c r="C14" s="48" t="s">
        <v>14</v>
      </c>
      <c r="D14" s="49">
        <f>SUM(D3:D13)</f>
        <v>1925.929918</v>
      </c>
      <c r="E14" s="49">
        <f>SUM(E3:E13)</f>
        <v>9076.77705741583</v>
      </c>
      <c r="F14" s="48">
        <f>SUM(F3:F13)</f>
        <v>243205.26</v>
      </c>
      <c r="G14" s="49">
        <f>SUM(G3:G13)</f>
        <v>254207.966975416</v>
      </c>
    </row>
  </sheetData>
  <pageMargins left="0.7875" right="0.7875" top="1.05277777777778" bottom="1.05277777777778" header="0.7875" footer="0.7875"/>
  <pageSetup paperSize="9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1130"/>
  <sheetViews>
    <sheetView zoomScale="90" zoomScaleNormal="90" workbookViewId="0">
      <pane ySplit="1" topLeftCell="A138" activePane="bottomLeft" state="frozen"/>
      <selection/>
      <selection pane="bottomLeft" activeCell="X13" sqref="X13"/>
    </sheetView>
  </sheetViews>
  <sheetFormatPr defaultColWidth="11.7238095238095" defaultRowHeight="12.75"/>
  <cols>
    <col min="1" max="1" width="5.55238095238095" customWidth="true"/>
    <col min="2" max="2" width="8.33333333333333" style="30" customWidth="true"/>
    <col min="3" max="3" width="8.79047619047619" customWidth="true"/>
    <col min="4" max="4" width="7.09523809523809" customWidth="true"/>
    <col min="5" max="5" width="8.02857142857143" customWidth="true"/>
    <col min="6" max="6" width="7.40952380952381" customWidth="true"/>
    <col min="7" max="7" width="8.79047619047619" customWidth="true"/>
    <col min="8" max="8" width="2.16190476190476" customWidth="true"/>
    <col min="9" max="9" width="9.86666666666667" customWidth="true"/>
    <col min="10" max="10" width="10.3428571428571" customWidth="true"/>
    <col min="11" max="11" width="9.86666666666667" customWidth="true"/>
    <col min="12" max="12" width="2.45714285714286" customWidth="true"/>
    <col min="13" max="13" width="8.79047619047619" customWidth="true"/>
    <col min="14" max="14" width="9.4" customWidth="true"/>
    <col min="15" max="15" width="2.45714285714286" customWidth="true"/>
    <col min="16" max="16" width="8.79047619047619" customWidth="true"/>
    <col min="17" max="17" width="8.47619047619048" customWidth="true"/>
    <col min="18" max="18" width="9.13333333333333" customWidth="true"/>
    <col min="19" max="19" width="2.31428571428571" customWidth="true"/>
    <col min="20" max="20" width="9.25714285714286" customWidth="true"/>
    <col min="21" max="21" width="8.79047619047619" customWidth="true"/>
    <col min="22" max="22" width="3.11428571428571" customWidth="true"/>
    <col min="23" max="23" width="9.4" customWidth="true"/>
    <col min="24" max="24" width="15.4190476190476" customWidth="true"/>
  </cols>
  <sheetData>
    <row r="1" ht="36" spans="2:23">
      <c r="B1" s="31" t="s">
        <v>15</v>
      </c>
      <c r="C1" s="32" t="s">
        <v>16</v>
      </c>
      <c r="D1" s="32" t="s">
        <v>17</v>
      </c>
      <c r="E1" s="32" t="s">
        <v>18</v>
      </c>
      <c r="F1" s="32" t="s">
        <v>19</v>
      </c>
      <c r="G1" s="32" t="s">
        <v>9</v>
      </c>
      <c r="H1" s="34"/>
      <c r="I1" s="36" t="s">
        <v>20</v>
      </c>
      <c r="J1" s="36" t="s">
        <v>21</v>
      </c>
      <c r="K1" s="36" t="s">
        <v>22</v>
      </c>
      <c r="L1" s="14"/>
      <c r="M1" s="32" t="s">
        <v>23</v>
      </c>
      <c r="N1" s="32" t="s">
        <v>24</v>
      </c>
      <c r="P1" s="37" t="s">
        <v>25</v>
      </c>
      <c r="Q1" s="37" t="s">
        <v>26</v>
      </c>
      <c r="R1" s="37" t="s">
        <v>27</v>
      </c>
      <c r="T1" s="32" t="s">
        <v>28</v>
      </c>
      <c r="U1" s="32" t="s">
        <v>29</v>
      </c>
      <c r="W1" s="32" t="s">
        <v>30</v>
      </c>
    </row>
    <row r="2" spans="2:24">
      <c r="B2" s="33">
        <v>1</v>
      </c>
      <c r="C2" s="8">
        <f>IF('TABLA DE PAGOS'!K2='TABLA DE PAGOS'!A$12,0,IF('TABLA DE PAGOS'!K2='TABLA DE PAGOS'!A$11,'VALORES DE LIQUIDACIÓN'!A$4-'TABLA DE PAGOS'!M2,IF(AND('TABLA DE PAGOS'!J2&lt;'VALORES DE LIQUIDACIÓN'!A$4,'TABLA DE PAGOS'!K2='TABLA DE PAGOS'!A$9),'VALORES DE LIQUIDACIÓN'!A$4-'TABLA DE PAGOS'!J2,0)))</f>
        <v>0</v>
      </c>
      <c r="D2" s="8">
        <f>IF(P2&gt;0,'VALORES DE LIQUIDACIÓN'!A$4-'TABLA DE PAGOS'!J2,0)</f>
        <v>0</v>
      </c>
      <c r="E2" s="35">
        <f t="shared" ref="E2:E65" si="0">IF(AND(D2&gt;=1,D2&lt;=15),5%,IF(AND(D2&gt;=16,D2&lt;=30),7%,IF(AND(D2&gt;=31,D2&lt;=60),9%,IF(D2&gt;=61,10%,0))))</f>
        <v>0</v>
      </c>
      <c r="F2" s="11">
        <f>IF(E2&gt;0,('DATOS GENERALES'!K$3+('DATOS GENERALES'!K$3*E2)),0)</f>
        <v>0</v>
      </c>
      <c r="G2" s="11">
        <f>IF(E2&gt;0,IF('TABLA DE PAGOS'!K2='TABLA DE PAGOS'!A$11,(P2*C2*F2)/36000,('TABLA DE PAGOS'!E2*C2*F2)/36000),0)</f>
        <v>0</v>
      </c>
      <c r="I2" s="8">
        <f>IF('TABLA DE PAGOS'!$J2&lt;='VALORES DE LIQUIDACIÓN'!A$4,0,'TABLA DE PAGOS'!$J2-'VALORES DE LIQUIDACIÓN'!A$4)</f>
        <v>0</v>
      </c>
      <c r="J2" s="8">
        <f>IF(AND(I2&gt;0,I1=0),'VALORES DE LIQUIDACIÓN'!A$4-'TABLA DE PAGOS'!J1,0)</f>
        <v>0</v>
      </c>
      <c r="K2" s="8">
        <f>IF(AND(AND('TABLA DE PAGOS'!J1&lt;='VALORES DE LIQUIDACIÓN'!A$4,'TABLA DE PAGOS'!J2&gt;='VALORES DE LIQUIDACIÓN'!A$4),'TABLA DE PAGOS'!K2='TABLA DE PAGOS'!A$10),'TABLA DE PAGOS'!C1,IF(AND('TABLA DE PAGOS'!K2='TABLA DE PAGOS'!A$10,'TABLA DE PAGOS'!K3='TABLA DE PAGOS'!A$9),'TABLA DE PAGOS'!C2,IF(AND('TABLA DE PAGOS'!K2='TABLA DE PAGOS'!A$11,'TABLA DE PAGOS'!K3='TABLA DE PAGOS'!A$9),'TABLA DE PAGOS'!C1,0)))</f>
        <v>0</v>
      </c>
      <c r="L2" s="14"/>
      <c r="M2" s="11">
        <f>IF(I2=0,IF('TABLA DE PAGOS'!J2&lt;='TABLA DE PAGOS'!A$4,0,IF('TABLA DE PAGOS'!K2='TABLA DE PAGOS'!A$9,'TABLA DE PAGOS'!F2,IF(AND('TABLA DE PAGOS'!K2='TABLA DE PAGOS'!A$11,1=1),(INDEX(SALDOS!B$3:G$200,MATCH('TABLA DE PAGOS'!A$12,SALDOS!E$3:E$200,0),6))-(INDEX(SALDOS!B$3:H$200,MATCH('TABLA DE PAGOS'!A$12,SALDOS!E$3:E$200,0),7)),0))),0)</f>
        <v>0</v>
      </c>
      <c r="N2" s="11">
        <f>IF(AND(I2&gt;0,I1=0),J2*MAX(SALDOS!J$3:J$90),0)</f>
        <v>0</v>
      </c>
      <c r="P2" s="8">
        <f>IF(I2=0,IF('TABLA DE PAGOS'!J2&lt;='TABLA DE PAGOS'!A$4,0,IF('TABLA DE PAGOS'!K2='TABLA DE PAGOS'!A$9,'TABLA DE PAGOS'!E2,IF('TABLA DE PAGOS'!K2='TABLA DE PAGOS'!A$11,INDEX(SALDOS!B$3:G$200,MATCH('TABLA DE PAGOS'!A$13,SALDOS!E$3:E$200,0),6),0))),0)</f>
        <v>0</v>
      </c>
      <c r="Q2" s="8">
        <f>IF(AND(I2&gt;0,I1&gt;0),'TABLA DE PAGOS'!E2,0)</f>
        <v>0</v>
      </c>
      <c r="R2" s="8">
        <f t="shared" ref="R2:R65" si="1">IF(AND(I2&gt;0,J2&gt;0),B2,0)</f>
        <v>0</v>
      </c>
      <c r="T2" s="8">
        <f>IF(AND(I2&gt;0,I1=0),'TABLA DE PAGOS'!H2,0)</f>
        <v>0</v>
      </c>
      <c r="U2" s="8">
        <f>IF(AND('TABLA DE PAGOS'!K2='TABLA DE PAGOS'!A$11,VLOOKUP('TABLA DE PAGOS'!A$7,SALDOS!B$3:E$200,4)='TABLA DE PAGOS'!A$14),INDEX(SALDOS!B$3:G$200,MATCH('TABLA DE PAGOS'!A$14,SALDOS!E$3:E$200,0),6),IF(AND(P2&gt;0.001,M2&gt;0.001),'TABLA DE PAGOS'!H2,0))</f>
        <v>0</v>
      </c>
      <c r="W2" s="8">
        <v>0</v>
      </c>
      <c r="X2" s="13"/>
    </row>
    <row r="3" spans="2:24">
      <c r="B3" s="33">
        <v>2</v>
      </c>
      <c r="C3" s="8">
        <f>IF('TABLA DE PAGOS'!K3='TABLA DE PAGOS'!A$12,0,IF('TABLA DE PAGOS'!K3='TABLA DE PAGOS'!A$11,'VALORES DE LIQUIDACIÓN'!A$4-'TABLA DE PAGOS'!M3,IF(AND('TABLA DE PAGOS'!J3&lt;'VALORES DE LIQUIDACIÓN'!A$4,'TABLA DE PAGOS'!K3='TABLA DE PAGOS'!A$9),'VALORES DE LIQUIDACIÓN'!A$4-'TABLA DE PAGOS'!J3,0)))</f>
        <v>0</v>
      </c>
      <c r="D3" s="8">
        <f>IF(P3&gt;0,'VALORES DE LIQUIDACIÓN'!A$4-'TABLA DE PAGOS'!J3,0)</f>
        <v>0</v>
      </c>
      <c r="E3" s="35">
        <f t="shared" si="0"/>
        <v>0</v>
      </c>
      <c r="F3" s="11">
        <f>IF(E3&gt;0,('DATOS GENERALES'!K$3+('DATOS GENERALES'!K$3*E3)),0)</f>
        <v>0</v>
      </c>
      <c r="G3" s="11">
        <f>IF(E3&gt;0,IF('TABLA DE PAGOS'!K3='TABLA DE PAGOS'!A$11,(P3*C3*F3)/36000,('TABLA DE PAGOS'!E3*C3*F3)/36000),0)</f>
        <v>0</v>
      </c>
      <c r="I3" s="8">
        <f>IF('TABLA DE PAGOS'!$J3&lt;='VALORES DE LIQUIDACIÓN'!A$4,0,'TABLA DE PAGOS'!$J3-'VALORES DE LIQUIDACIÓN'!A$4)</f>
        <v>0</v>
      </c>
      <c r="J3" s="8">
        <f>IF(AND(I3&gt;0,I2=0),'VALORES DE LIQUIDACIÓN'!A$4-'TABLA DE PAGOS'!J2,0)</f>
        <v>0</v>
      </c>
      <c r="K3" s="8">
        <f>IF(AND(AND('TABLA DE PAGOS'!J2&lt;='VALORES DE LIQUIDACIÓN'!A$4,'TABLA DE PAGOS'!J3&gt;='VALORES DE LIQUIDACIÓN'!A$4),'TABLA DE PAGOS'!K3='TABLA DE PAGOS'!A$10),'TABLA DE PAGOS'!C2,IF(AND('TABLA DE PAGOS'!K3='TABLA DE PAGOS'!A$10,'TABLA DE PAGOS'!K4='TABLA DE PAGOS'!A$9),'TABLA DE PAGOS'!C3,IF(AND('TABLA DE PAGOS'!K3='TABLA DE PAGOS'!A$11,'TABLA DE PAGOS'!K4='TABLA DE PAGOS'!A$9),'TABLA DE PAGOS'!C2,0)))</f>
        <v>0</v>
      </c>
      <c r="L3" s="14"/>
      <c r="M3" s="11">
        <f>IF(I3=0,IF('TABLA DE PAGOS'!J3&lt;='TABLA DE PAGOS'!A$4,0,IF('TABLA DE PAGOS'!K3='TABLA DE PAGOS'!A$9,'TABLA DE PAGOS'!F3,IF('TABLA DE PAGOS'!K3='TABLA DE PAGOS'!A$11,(INDEX(SALDOS!B$3:G$200,MATCH('TABLA DE PAGOS'!A$12,SALDOS!E$3:E$200,0),6))-(INDEX(SALDOS!B$3:H$200,MATCH('TABLA DE PAGOS'!A$12,SALDOS!E$3:E$200,0),7)),0))),0)</f>
        <v>0</v>
      </c>
      <c r="N3" s="11">
        <f>IF(AND(I3&gt;0,I2=0),J3*MAX(SALDOS!J$3:J$90),0)</f>
        <v>0</v>
      </c>
      <c r="P3" s="8">
        <f>IF(I3=0,IF('TABLA DE PAGOS'!J3&lt;='TABLA DE PAGOS'!A$4,0,IF('TABLA DE PAGOS'!K3='TABLA DE PAGOS'!A$9,'TABLA DE PAGOS'!E3,IF('TABLA DE PAGOS'!K3='TABLA DE PAGOS'!A$11,INDEX(SALDOS!B$3:G$200,MATCH('TABLA DE PAGOS'!A$13,SALDOS!E$3:E$200,0),6),0))),0)</f>
        <v>0</v>
      </c>
      <c r="Q3" s="8">
        <f>IF(AND(I3&gt;0,I2&gt;0),'TABLA DE PAGOS'!E3,0)</f>
        <v>0</v>
      </c>
      <c r="R3" s="8">
        <f t="shared" si="1"/>
        <v>0</v>
      </c>
      <c r="T3" s="8">
        <f>IF(AND(I3&gt;0,I2=0),'TABLA DE PAGOS'!H3,0)</f>
        <v>0</v>
      </c>
      <c r="U3" s="8">
        <v>0</v>
      </c>
      <c r="W3" s="8">
        <v>0</v>
      </c>
      <c r="X3" s="14"/>
    </row>
    <row r="4" spans="2:24">
      <c r="B4" s="33">
        <v>3</v>
      </c>
      <c r="C4" s="8">
        <f>IF('TABLA DE PAGOS'!K4='TABLA DE PAGOS'!A$12,0,IF('TABLA DE PAGOS'!K4='TABLA DE PAGOS'!A$11,'VALORES DE LIQUIDACIÓN'!A$4-'TABLA DE PAGOS'!M4,IF(AND('TABLA DE PAGOS'!J4&lt;'VALORES DE LIQUIDACIÓN'!A$4,'TABLA DE PAGOS'!K4='TABLA DE PAGOS'!A$9),'VALORES DE LIQUIDACIÓN'!A$4-'TABLA DE PAGOS'!J4,0)))</f>
        <v>0</v>
      </c>
      <c r="D4" s="8">
        <f>IF(P4&gt;0,'VALORES DE LIQUIDACIÓN'!A$4-'TABLA DE PAGOS'!J4,0)</f>
        <v>0</v>
      </c>
      <c r="E4" s="35">
        <f t="shared" si="0"/>
        <v>0</v>
      </c>
      <c r="F4" s="11">
        <f>IF(E4&gt;0,('DATOS GENERALES'!K$3+('DATOS GENERALES'!K$3*E4)),0)</f>
        <v>0</v>
      </c>
      <c r="G4" s="11">
        <f>IF(E4&gt;0,IF('TABLA DE PAGOS'!K4='TABLA DE PAGOS'!A$11,(P4*C4*F4)/36000,('TABLA DE PAGOS'!E4*C4*F4)/36000),0)</f>
        <v>0</v>
      </c>
      <c r="I4" s="8">
        <f>IF('TABLA DE PAGOS'!$J4&lt;='VALORES DE LIQUIDACIÓN'!A$4,0,'TABLA DE PAGOS'!$J4-'VALORES DE LIQUIDACIÓN'!A$4)</f>
        <v>0</v>
      </c>
      <c r="J4" s="8">
        <f>IF(AND(I4&gt;0,I3=0),'VALORES DE LIQUIDACIÓN'!A$4-'TABLA DE PAGOS'!J3,0)</f>
        <v>0</v>
      </c>
      <c r="K4" s="8">
        <f>IF(AND(AND('TABLA DE PAGOS'!J3&lt;='VALORES DE LIQUIDACIÓN'!A$4,'TABLA DE PAGOS'!J4&gt;='VALORES DE LIQUIDACIÓN'!A$4),'TABLA DE PAGOS'!K4='TABLA DE PAGOS'!A$10),'TABLA DE PAGOS'!C3,IF(AND('TABLA DE PAGOS'!K4='TABLA DE PAGOS'!A$10,'TABLA DE PAGOS'!K5='TABLA DE PAGOS'!A$9),'TABLA DE PAGOS'!C4,IF(AND('TABLA DE PAGOS'!K4='TABLA DE PAGOS'!A$11,'TABLA DE PAGOS'!K5='TABLA DE PAGOS'!A$9),'TABLA DE PAGOS'!C3,0)))</f>
        <v>0</v>
      </c>
      <c r="L4" s="14"/>
      <c r="M4" s="11">
        <f>IF(I4=0,IF('TABLA DE PAGOS'!J4&lt;='TABLA DE PAGOS'!A$4,0,IF('TABLA DE PAGOS'!K4='TABLA DE PAGOS'!A$9,'TABLA DE PAGOS'!F4,IF('TABLA DE PAGOS'!K4='TABLA DE PAGOS'!A$11,(INDEX(SALDOS!B$3:G$200,MATCH('TABLA DE PAGOS'!A$12,SALDOS!E$3:E$200,0),6))-(INDEX(SALDOS!B$3:H$200,MATCH('TABLA DE PAGOS'!A$12,SALDOS!E$3:E$200,0),7)),0))),0)</f>
        <v>0</v>
      </c>
      <c r="N4" s="11">
        <f>IF(AND(I4&gt;0,I3=0),J4*MAX(SALDOS!J$3:J$90),0)</f>
        <v>0</v>
      </c>
      <c r="P4" s="8">
        <f>IF(I4=0,IF('TABLA DE PAGOS'!J4&lt;='TABLA DE PAGOS'!A$4,0,IF('TABLA DE PAGOS'!K4='TABLA DE PAGOS'!A$9,'TABLA DE PAGOS'!E4,IF('TABLA DE PAGOS'!K4='TABLA DE PAGOS'!A$11,INDEX(SALDOS!B$3:G$200,MATCH('TABLA DE PAGOS'!A$13,SALDOS!E$3:E$200,0),6),0))),0)</f>
        <v>0</v>
      </c>
      <c r="Q4" s="8">
        <f>IF(AND(I4&gt;0,I3&gt;0),'TABLA DE PAGOS'!E4,0)</f>
        <v>0</v>
      </c>
      <c r="R4" s="8">
        <f t="shared" si="1"/>
        <v>0</v>
      </c>
      <c r="T4" s="8">
        <f>IF(AND(I4&gt;0,I3=0),'TABLA DE PAGOS'!H4,0)</f>
        <v>0</v>
      </c>
      <c r="U4" s="8">
        <f>IF(AND('TABLA DE PAGOS'!K4='TABLA DE PAGOS'!A$11,VLOOKUP('TABLA DE PAGOS'!A$7,SALDOS!B$3:E$200,4)='TABLA DE PAGOS'!A$14),INDEX(SALDOS!B$3:G$200,MATCH('TABLA DE PAGOS'!A$14,SALDOS!E$3:E$200,0),6),IF(AND(P4&gt;0.001,M4&gt;0.001),'TABLA DE PAGOS'!H4,0))</f>
        <v>0</v>
      </c>
      <c r="W4" s="8">
        <f>IF(AND('TABLA DE PAGOS'!K4='TABLA DE PAGOS'!A$11,VLOOKUP('TABLA DE PAGOS'!A$7,SALDOS!B$3:E$200,4)='TABLA DE PAGOS'!A$16),INDEX(SALDOS!B$3:G$200,MATCH('TABLA DE PAGOS'!A$16,SALDOS!E$3:E$200,0),6),IF(AND(P4&gt;0.001,M4&gt;0.001),'TABLA DE PAGOS'!I4,0))</f>
        <v>0</v>
      </c>
      <c r="X4" s="14"/>
    </row>
    <row r="5" spans="2:24">
      <c r="B5" s="33">
        <v>4</v>
      </c>
      <c r="C5" s="8">
        <f>IF('TABLA DE PAGOS'!K5='TABLA DE PAGOS'!A$12,0,IF('TABLA DE PAGOS'!K5='TABLA DE PAGOS'!A$11,'VALORES DE LIQUIDACIÓN'!A$4-'TABLA DE PAGOS'!M5,IF(AND('TABLA DE PAGOS'!J5&lt;'VALORES DE LIQUIDACIÓN'!A$4,'TABLA DE PAGOS'!K5='TABLA DE PAGOS'!A$9),'VALORES DE LIQUIDACIÓN'!A$4-'TABLA DE PAGOS'!J5,0)))</f>
        <v>0</v>
      </c>
      <c r="D5" s="8">
        <f>IF(P5&gt;0,'VALORES DE LIQUIDACIÓN'!A$4-'TABLA DE PAGOS'!J5,0)</f>
        <v>0</v>
      </c>
      <c r="E5" s="35">
        <f t="shared" si="0"/>
        <v>0</v>
      </c>
      <c r="F5" s="11">
        <f>IF(E5&gt;0,('DATOS GENERALES'!K$3+('DATOS GENERALES'!K$3*E5)),0)</f>
        <v>0</v>
      </c>
      <c r="G5" s="11">
        <f>IF(E5&gt;0,IF('TABLA DE PAGOS'!K5='TABLA DE PAGOS'!A$11,(P5*C5*F5)/36000,('TABLA DE PAGOS'!E5*C5*F5)/36000),0)</f>
        <v>0</v>
      </c>
      <c r="I5" s="8">
        <f>IF('TABLA DE PAGOS'!$J5&lt;='VALORES DE LIQUIDACIÓN'!A$4,0,'TABLA DE PAGOS'!$J5-'VALORES DE LIQUIDACIÓN'!A$4)</f>
        <v>0</v>
      </c>
      <c r="J5" s="8">
        <f>IF(AND(I5&gt;0,I4=0),'VALORES DE LIQUIDACIÓN'!A$4-'TABLA DE PAGOS'!J4,0)</f>
        <v>0</v>
      </c>
      <c r="K5" s="8">
        <f>IF(AND(AND('TABLA DE PAGOS'!J4&lt;='VALORES DE LIQUIDACIÓN'!A$4,'TABLA DE PAGOS'!J5&gt;='VALORES DE LIQUIDACIÓN'!A$4),'TABLA DE PAGOS'!K5='TABLA DE PAGOS'!A$10),'TABLA DE PAGOS'!C4,IF(AND('TABLA DE PAGOS'!K5='TABLA DE PAGOS'!A$10,'TABLA DE PAGOS'!K6='TABLA DE PAGOS'!A$9),'TABLA DE PAGOS'!C5,IF(AND('TABLA DE PAGOS'!K5='TABLA DE PAGOS'!A$11,'TABLA DE PAGOS'!K6='TABLA DE PAGOS'!A$9),'TABLA DE PAGOS'!C4,0)))</f>
        <v>0</v>
      </c>
      <c r="L5" s="14"/>
      <c r="M5" s="11">
        <f>IF(I5=0,IF('TABLA DE PAGOS'!J5&lt;='TABLA DE PAGOS'!A$4,0,IF('TABLA DE PAGOS'!K5='TABLA DE PAGOS'!A$9,'TABLA DE PAGOS'!F5,IF('TABLA DE PAGOS'!K5='TABLA DE PAGOS'!A$11,(INDEX(SALDOS!B$3:G$200,MATCH('TABLA DE PAGOS'!A$12,SALDOS!E$3:E$200,0),6))-(INDEX(SALDOS!B$3:H$200,MATCH('TABLA DE PAGOS'!A$12,SALDOS!E$3:E$200,0),7)),0))),0)</f>
        <v>0</v>
      </c>
      <c r="N5" s="11">
        <f>IF(AND(I5&gt;0,I4=0),J5*MAX(SALDOS!J$3:J$90),0)</f>
        <v>0</v>
      </c>
      <c r="P5" s="8">
        <f>IF(I5=0,IF('TABLA DE PAGOS'!J5&lt;='TABLA DE PAGOS'!A$4,0,IF('TABLA DE PAGOS'!K5='TABLA DE PAGOS'!A$9,'TABLA DE PAGOS'!E5,IF('TABLA DE PAGOS'!K5='TABLA DE PAGOS'!A$11,INDEX(SALDOS!B$3:G$200,MATCH('TABLA DE PAGOS'!A$13,SALDOS!E$3:E$200,0),6),0))),0)</f>
        <v>0</v>
      </c>
      <c r="Q5" s="8">
        <f>IF(AND(I5&gt;0,I4&gt;0),'TABLA DE PAGOS'!E5,0)</f>
        <v>0</v>
      </c>
      <c r="R5" s="8">
        <f t="shared" si="1"/>
        <v>0</v>
      </c>
      <c r="T5" s="8">
        <f>IF(AND(I5&gt;0,I4=0),'TABLA DE PAGOS'!H5,0)</f>
        <v>0</v>
      </c>
      <c r="U5" s="8">
        <f>IF(AND('TABLA DE PAGOS'!K5='TABLA DE PAGOS'!A$11,VLOOKUP('TABLA DE PAGOS'!A$7,SALDOS!B$3:E$200,4)='TABLA DE PAGOS'!A$14),INDEX(SALDOS!B$3:G$200,MATCH('TABLA DE PAGOS'!A$14,SALDOS!E$3:E$200,0),6),IF(AND(P5&gt;0.001,M5&gt;0.001),'TABLA DE PAGOS'!H5,0))</f>
        <v>0</v>
      </c>
      <c r="W5" s="8">
        <f>IF(AND('TABLA DE PAGOS'!K5='TABLA DE PAGOS'!A$11,VLOOKUP('TABLA DE PAGOS'!A$7,SALDOS!B$3:E$200,4)='TABLA DE PAGOS'!A$16),INDEX(SALDOS!B$3:G$200,MATCH('TABLA DE PAGOS'!A$16,SALDOS!E$3:E$200,0),6),IF(AND(P5&gt;0.001,M5&gt;0.001),'TABLA DE PAGOS'!I5,0))</f>
        <v>0</v>
      </c>
      <c r="X5" s="14"/>
    </row>
    <row r="6" spans="2:25">
      <c r="B6" s="33">
        <v>5</v>
      </c>
      <c r="C6" s="8">
        <f>IF('TABLA DE PAGOS'!K6='TABLA DE PAGOS'!A$12,0,IF('TABLA DE PAGOS'!K6='TABLA DE PAGOS'!A$11,'VALORES DE LIQUIDACIÓN'!A$4-'TABLA DE PAGOS'!M6,IF(AND('TABLA DE PAGOS'!J6&lt;'VALORES DE LIQUIDACIÓN'!A$4,'TABLA DE PAGOS'!K6='TABLA DE PAGOS'!A$9),'VALORES DE LIQUIDACIÓN'!A$4-'TABLA DE PAGOS'!J6,0)))</f>
        <v>13</v>
      </c>
      <c r="D6" s="8">
        <f>IF(P6&gt;0,'VALORES DE LIQUIDACIÓN'!A$4-'TABLA DE PAGOS'!J6,0)</f>
        <v>73</v>
      </c>
      <c r="E6" s="35">
        <f t="shared" si="0"/>
        <v>0.1</v>
      </c>
      <c r="F6" s="11">
        <f>IF(E6&gt;0,('DATOS GENERALES'!K$3+('DATOS GENERALES'!K$3*E6)),0)</f>
        <v>10.923</v>
      </c>
      <c r="G6" s="11">
        <f>IF(E6&gt;0,IF('TABLA DE PAGOS'!K6='TABLA DE PAGOS'!A$11,(P6*C6*F6)/36000,('TABLA DE PAGOS'!E6*C6*F6)/36000),0)</f>
        <v>1.09512784333333</v>
      </c>
      <c r="I6" s="8">
        <f>IF('TABLA DE PAGOS'!$J6&lt;='VALORES DE LIQUIDACIÓN'!A$4,0,'TABLA DE PAGOS'!$J6-'VALORES DE LIQUIDACIÓN'!A$4)</f>
        <v>0</v>
      </c>
      <c r="J6" s="8">
        <f>IF(AND(I6&gt;0,I5=0),'VALORES DE LIQUIDACIÓN'!A$4-'TABLA DE PAGOS'!J5,0)</f>
        <v>0</v>
      </c>
      <c r="K6" s="8">
        <f>IF(AND(AND('TABLA DE PAGOS'!J5&lt;='VALORES DE LIQUIDACIÓN'!A$4,'TABLA DE PAGOS'!J6&gt;='VALORES DE LIQUIDACIÓN'!A$4),'TABLA DE PAGOS'!K6='TABLA DE PAGOS'!A$10),'TABLA DE PAGOS'!C5,IF(AND('TABLA DE PAGOS'!K6='TABLA DE PAGOS'!A$10,'TABLA DE PAGOS'!K7='TABLA DE PAGOS'!A$9),'TABLA DE PAGOS'!C6,IF(AND('TABLA DE PAGOS'!K6='TABLA DE PAGOS'!A$11,'TABLA DE PAGOS'!K7='TABLA DE PAGOS'!A$9),'TABLA DE PAGOS'!C5,0)))</f>
        <v>4</v>
      </c>
      <c r="L6" s="14"/>
      <c r="M6" s="11">
        <f>IF(I6=0,IF('TABLA DE PAGOS'!J6&lt;='TABLA DE PAGOS'!A$4,0,IF('TABLA DE PAGOS'!K6='TABLA DE PAGOS'!A$9,'TABLA DE PAGOS'!F6,IF('TABLA DE PAGOS'!K6='TABLA DE PAGOS'!A$11,(INDEX(SALDOS!B$3:G$200,MATCH('TABLA DE PAGOS'!A$12,SALDOS!E$3:E$200,0),6))-(INDEX(SALDOS!B$3:H$200,MATCH('TABLA DE PAGOS'!A$12,SALDOS!E$3:E$200,0),7)),0))),0)</f>
        <v>2059.617052</v>
      </c>
      <c r="N6" s="11">
        <f>IF(AND(I6&gt;0,I5=0),J6*MAX(SALDOS!J$3:J$90),0)</f>
        <v>0</v>
      </c>
      <c r="P6" s="8">
        <f>IF(I6=0,IF('TABLA DE PAGOS'!J6&lt;='TABLA DE PAGOS'!A$4,0,IF('TABLA DE PAGOS'!K6='TABLA DE PAGOS'!A$9,'TABLA DE PAGOS'!E6,IF('TABLA DE PAGOS'!K6='TABLA DE PAGOS'!A$11,INDEX(SALDOS!B$3:G$200,MATCH('TABLA DE PAGOS'!A$13,SALDOS!E$3:E$200,0),6),0))),0)</f>
        <v>277.64</v>
      </c>
      <c r="Q6" s="8">
        <f>IF(AND(I6&gt;0,I5&gt;0),'TABLA DE PAGOS'!E6,0)</f>
        <v>0</v>
      </c>
      <c r="R6" s="8">
        <f t="shared" si="1"/>
        <v>0</v>
      </c>
      <c r="T6" s="8">
        <f>IF(AND(I6&gt;0,I5=0),'TABLA DE PAGOS'!H6,0)</f>
        <v>0</v>
      </c>
      <c r="U6" s="8">
        <f>IF(AND('TABLA DE PAGOS'!K6='TABLA DE PAGOS'!A$11,VLOOKUP('TABLA DE PAGOS'!A$7,SALDOS!B$3:E$200,4)='TABLA DE PAGOS'!A$14),INDEX(SALDOS!B$3:G$200,MATCH('TABLA DE PAGOS'!A$14,SALDOS!E$3:E$200,0),6),IF(AND(P6&gt;0.001,M6&gt;0.001),'TABLA DE PAGOS'!H6,0))</f>
        <v>182.64</v>
      </c>
      <c r="W6" s="8">
        <f>IF(AND('TABLA DE PAGOS'!K6='TABLA DE PAGOS'!A$11,VLOOKUP('TABLA DE PAGOS'!A$7,SALDOS!B$3:E$200,4)='TABLA DE PAGOS'!A$16),INDEX(SALDOS!B$3:G$200,MATCH('TABLA DE PAGOS'!A$16,SALDOS!E$3:E$200,0),6),IF(AND(P6&gt;0.001,M6&gt;0.001),'TABLA DE PAGOS'!I6,0))</f>
        <v>184.64</v>
      </c>
      <c r="X6" s="14"/>
      <c r="Y6" s="38"/>
    </row>
    <row r="7" spans="2:24">
      <c r="B7" s="33">
        <v>6</v>
      </c>
      <c r="C7" s="8">
        <f>IF('TABLA DE PAGOS'!K7='TABLA DE PAGOS'!A$12,0,IF('TABLA DE PAGOS'!K7='TABLA DE PAGOS'!A$11,'VALORES DE LIQUIDACIÓN'!A$4-'TABLA DE PAGOS'!M7,IF(AND('TABLA DE PAGOS'!J7&lt;'VALORES DE LIQUIDACIÓN'!A$4,'TABLA DE PAGOS'!K7='TABLA DE PAGOS'!A$9),'VALORES DE LIQUIDACIÓN'!A$4-'TABLA DE PAGOS'!J7,0)))</f>
        <v>45</v>
      </c>
      <c r="D7" s="8">
        <f>IF(P7&gt;0,'VALORES DE LIQUIDACIÓN'!A$4-'TABLA DE PAGOS'!J7,0)</f>
        <v>45</v>
      </c>
      <c r="E7" s="35">
        <f t="shared" si="0"/>
        <v>0.09</v>
      </c>
      <c r="F7" s="11">
        <f>IF(E7&gt;0,('DATOS GENERALES'!K$3+('DATOS GENERALES'!K$3*E7)),0)</f>
        <v>10.8237</v>
      </c>
      <c r="G7" s="11">
        <f>IF(E7&gt;0,IF('TABLA DE PAGOS'!K7='TABLA DE PAGOS'!A$11,(P7*C7*F7)/36000,('TABLA DE PAGOS'!E7*C7*F7)/36000),0)</f>
        <v>12.260546175</v>
      </c>
      <c r="I7" s="8">
        <f>IF('TABLA DE PAGOS'!$J7&lt;='VALORES DE LIQUIDACIÓN'!A$4,0,'TABLA DE PAGOS'!$J7-'VALORES DE LIQUIDACIÓN'!A$4)</f>
        <v>0</v>
      </c>
      <c r="J7" s="8">
        <f>IF(AND(I7&gt;0,I6=0),'VALORES DE LIQUIDACIÓN'!A$4-'TABLA DE PAGOS'!J6,0)</f>
        <v>0</v>
      </c>
      <c r="K7" s="8">
        <f>IF(AND(AND('TABLA DE PAGOS'!J6&lt;='VALORES DE LIQUIDACIÓN'!A$4,'TABLA DE PAGOS'!J7&gt;='VALORES DE LIQUIDACIÓN'!A$4),'TABLA DE PAGOS'!K7='TABLA DE PAGOS'!A$10),'TABLA DE PAGOS'!C6,IF(AND('TABLA DE PAGOS'!K7='TABLA DE PAGOS'!A$10,'TABLA DE PAGOS'!K8='TABLA DE PAGOS'!A$9),'TABLA DE PAGOS'!C7,IF(AND('TABLA DE PAGOS'!K7='TABLA DE PAGOS'!A$11,'TABLA DE PAGOS'!K8='TABLA DE PAGOS'!A$9),'TABLA DE PAGOS'!C6,0)))</f>
        <v>0</v>
      </c>
      <c r="L7" s="14"/>
      <c r="M7" s="11">
        <f>IF(I7=0,IF('TABLA DE PAGOS'!J7&lt;='TABLA DE PAGOS'!A$4,0,IF('TABLA DE PAGOS'!K7='TABLA DE PAGOS'!A$9,'TABLA DE PAGOS'!F7,IF('TABLA DE PAGOS'!K7='TABLA DE PAGOS'!A$11,(INDEX(SALDOS!B$3:G$200,MATCH('TABLA DE PAGOS'!A$12,SALDOS!E$3:E$200,0),6))-(INDEX(SALDOS!B$3:H$200,MATCH('TABLA DE PAGOS'!A$12,SALDOS!E$3:E$200,0),7)),0))),0)</f>
        <v>2059.63</v>
      </c>
      <c r="N7" s="11">
        <f>IF(AND(I7&gt;0,I6=0),J7*MAX(SALDOS!J$3:J$90),0)</f>
        <v>0</v>
      </c>
      <c r="P7" s="8">
        <f>IF(I7=0,IF('TABLA DE PAGOS'!J7&lt;='TABLA DE PAGOS'!A$4,0,IF('TABLA DE PAGOS'!K7='TABLA DE PAGOS'!A$9,'TABLA DE PAGOS'!E7,IF('TABLA DE PAGOS'!K7='TABLA DE PAGOS'!A$11,INDEX(SALDOS!B$3:G$200,MATCH('TABLA DE PAGOS'!A$13,SALDOS!E$3:E$200,0),6),0))),0)</f>
        <v>906.2</v>
      </c>
      <c r="Q7" s="8">
        <f>IF(AND(I7&gt;0,I6&gt;0),'TABLA DE PAGOS'!E7,0)</f>
        <v>0</v>
      </c>
      <c r="R7" s="8">
        <f t="shared" si="1"/>
        <v>0</v>
      </c>
      <c r="T7" s="8">
        <f>IF(AND(I7&gt;0,I6=0),'TABLA DE PAGOS'!H7,0)</f>
        <v>0</v>
      </c>
      <c r="U7" s="8">
        <f>IF(AND('TABLA DE PAGOS'!K7='TABLA DE PAGOS'!A$11,VLOOKUP('TABLA DE PAGOS'!A$7,SALDOS!B$3:E$200,4)='TABLA DE PAGOS'!A$14),INDEX(SALDOS!B$3:G$200,MATCH('TABLA DE PAGOS'!A$14,SALDOS!E$3:E$200,0),6),IF(AND(P7&gt;0.001,M7&gt;0.001),'TABLA DE PAGOS'!H7,0))</f>
        <v>164.53</v>
      </c>
      <c r="W7" s="8">
        <f>IF(AND('TABLA DE PAGOS'!K7='TABLA DE PAGOS'!A$11,VLOOKUP('TABLA DE PAGOS'!A$7,SALDOS!B$3:E$200,4)='TABLA DE PAGOS'!A$16),INDEX(SALDOS!B$3:G$200,MATCH('TABLA DE PAGOS'!A$16,SALDOS!E$3:E$200,0),6),IF(AND(P7&gt;0.001,M7&gt;0.001),'TABLA DE PAGOS'!I7,0))</f>
        <v>184.64</v>
      </c>
      <c r="X7" s="14"/>
    </row>
    <row r="8" spans="2:24">
      <c r="B8" s="33">
        <v>7</v>
      </c>
      <c r="C8" s="8">
        <f>IF('TABLA DE PAGOS'!K8='TABLA DE PAGOS'!A$12,0,IF('TABLA DE PAGOS'!K8='TABLA DE PAGOS'!A$11,'VALORES DE LIQUIDACIÓN'!A$4-'TABLA DE PAGOS'!M8,IF(AND('TABLA DE PAGOS'!J8&lt;'VALORES DE LIQUIDACIÓN'!A$4,'TABLA DE PAGOS'!K8='TABLA DE PAGOS'!A$9),'VALORES DE LIQUIDACIÓN'!A$4-'TABLA DE PAGOS'!J8,0)))</f>
        <v>14</v>
      </c>
      <c r="D8" s="8">
        <f>IF(P8&gt;0,'VALORES DE LIQUIDACIÓN'!A$4-'TABLA DE PAGOS'!J8,0)</f>
        <v>14</v>
      </c>
      <c r="E8" s="35">
        <f t="shared" si="0"/>
        <v>0.05</v>
      </c>
      <c r="F8" s="11">
        <f>IF(E8&gt;0,('DATOS GENERALES'!K$3+('DATOS GENERALES'!K$3*E8)),0)</f>
        <v>10.4265</v>
      </c>
      <c r="G8" s="11">
        <f>IF(E8&gt;0,IF('TABLA DE PAGOS'!K8='TABLA DE PAGOS'!A$11,(P8*C8*F8)/36000,('TABLA DE PAGOS'!E8*C8*F8)/36000),0)</f>
        <v>2.9543313975</v>
      </c>
      <c r="I8" s="8">
        <f>IF('TABLA DE PAGOS'!$J8&lt;='VALORES DE LIQUIDACIÓN'!A$4,0,'TABLA DE PAGOS'!$J8-'VALORES DE LIQUIDACIÓN'!A$4)</f>
        <v>0</v>
      </c>
      <c r="J8" s="8">
        <f>IF(AND(I8&gt;0,I7=0),'VALORES DE LIQUIDACIÓN'!A$4-'TABLA DE PAGOS'!J7,0)</f>
        <v>0</v>
      </c>
      <c r="K8" s="8">
        <f>IF(AND(AND('TABLA DE PAGOS'!J7&lt;='VALORES DE LIQUIDACIÓN'!A$4,'TABLA DE PAGOS'!J8&gt;='VALORES DE LIQUIDACIÓN'!A$4),'TABLA DE PAGOS'!K8='TABLA DE PAGOS'!A$10),'TABLA DE PAGOS'!C7,IF(AND('TABLA DE PAGOS'!K8='TABLA DE PAGOS'!A$10,'TABLA DE PAGOS'!K9='TABLA DE PAGOS'!A$9),'TABLA DE PAGOS'!C8,IF(AND('TABLA DE PAGOS'!K8='TABLA DE PAGOS'!A$11,'TABLA DE PAGOS'!K9='TABLA DE PAGOS'!A$9),'TABLA DE PAGOS'!C7,0)))</f>
        <v>0</v>
      </c>
      <c r="L8" s="14"/>
      <c r="M8" s="11">
        <f>IF(I8=0,IF('TABLA DE PAGOS'!J8&lt;='TABLA DE PAGOS'!A$4,0,IF('TABLA DE PAGOS'!K8='TABLA DE PAGOS'!A$9,'TABLA DE PAGOS'!F8,IF('TABLA DE PAGOS'!K8='TABLA DE PAGOS'!A$11,(INDEX(SALDOS!B$3:G$200,MATCH('TABLA DE PAGOS'!A$12,SALDOS!E$3:E$200,0),6))-(INDEX(SALDOS!B$3:H$200,MATCH('TABLA DE PAGOS'!A$12,SALDOS!E$3:E$200,0),7)),0))),0)</f>
        <v>2092.75</v>
      </c>
      <c r="N8" s="11">
        <v>0</v>
      </c>
      <c r="P8" s="8">
        <f>IF(I8=0,IF('TABLA DE PAGOS'!J8&lt;='TABLA DE PAGOS'!A$4,0,IF('TABLA DE PAGOS'!K8='TABLA DE PAGOS'!A$9,'TABLA DE PAGOS'!E8,IF('TABLA DE PAGOS'!K8='TABLA DE PAGOS'!A$11,INDEX(SALDOS!B$3:G$200,MATCH('TABLA DE PAGOS'!A$13,SALDOS!E$3:E$200,0),6),0))),0)</f>
        <v>728.61</v>
      </c>
      <c r="Q8" s="8">
        <f>IF(AND(I8&gt;0,I7&gt;0),'TABLA DE PAGOS'!E8,0)</f>
        <v>0</v>
      </c>
      <c r="R8" s="8">
        <f t="shared" si="1"/>
        <v>0</v>
      </c>
      <c r="T8" s="8">
        <f>IF(AND(I8&gt;0,I7=0),'TABLA DE PAGOS'!H8,0)</f>
        <v>0</v>
      </c>
      <c r="U8" s="8">
        <f>IF(AND('TABLA DE PAGOS'!K8='TABLA DE PAGOS'!A$11,VLOOKUP('TABLA DE PAGOS'!A$7,SALDOS!B$3:E$200,4)='TABLA DE PAGOS'!A$14),INDEX(SALDOS!B$3:G$200,MATCH('TABLA DE PAGOS'!A$14,SALDOS!E$3:E$200,0),6),IF(AND(P8&gt;0.001,M8&gt;0.001),'TABLA DE PAGOS'!H8,0))</f>
        <v>181.48</v>
      </c>
      <c r="W8" s="8">
        <f>IF(AND('TABLA DE PAGOS'!K8='TABLA DE PAGOS'!A$11,VLOOKUP('TABLA DE PAGOS'!A$7,SALDOS!B$3:E$200,4)='TABLA DE PAGOS'!A$16),INDEX(SALDOS!B$3:G$200,MATCH('TABLA DE PAGOS'!A$16,SALDOS!E$3:E$200,0),6),IF(AND(P8&gt;0.001,M8&gt;0.001),'TABLA DE PAGOS'!I8,0))</f>
        <v>0</v>
      </c>
      <c r="X8" s="14"/>
    </row>
    <row r="9" spans="2:23">
      <c r="B9" s="33">
        <v>8</v>
      </c>
      <c r="C9" s="8">
        <f>IF('TABLA DE PAGOS'!K9='TABLA DE PAGOS'!A$12,0,IF('TABLA DE PAGOS'!K9='TABLA DE PAGOS'!A$11,'VALORES DE LIQUIDACIÓN'!A$4-'TABLA DE PAGOS'!M9,IF(AND('TABLA DE PAGOS'!J9&lt;'VALORES DE LIQUIDACIÓN'!A$4,'TABLA DE PAGOS'!K9='TABLA DE PAGOS'!A$9),'VALORES DE LIQUIDACIÓN'!A$4-'TABLA DE PAGOS'!J9,0)))</f>
        <v>0</v>
      </c>
      <c r="D9" s="8">
        <f>IF(P9&gt;0,'VALORES DE LIQUIDACIÓN'!A$4-'TABLA DE PAGOS'!J9,0)</f>
        <v>0</v>
      </c>
      <c r="E9" s="35">
        <f t="shared" si="0"/>
        <v>0</v>
      </c>
      <c r="F9" s="11">
        <f>IF(E9&gt;0,('DATOS GENERALES'!K$3+('DATOS GENERALES'!K$3*E9)),0)</f>
        <v>0</v>
      </c>
      <c r="G9" s="11">
        <f>IF(E9&gt;0,IF('TABLA DE PAGOS'!K9='TABLA DE PAGOS'!A$11,(P9*C9*F9)/36000,('TABLA DE PAGOS'!E9*C9*F9)/36000),0)</f>
        <v>0</v>
      </c>
      <c r="I9" s="8">
        <f>IF('TABLA DE PAGOS'!$J9&lt;='VALORES DE LIQUIDACIÓN'!A$4,0,'TABLA DE PAGOS'!$J9-'VALORES DE LIQUIDACIÓN'!A$4)</f>
        <v>16</v>
      </c>
      <c r="J9" s="8">
        <f>IF(AND(I9&gt;0,I8=0),'VALORES DE LIQUIDACIÓN'!A$4-'TABLA DE PAGOS'!J8,0)</f>
        <v>14</v>
      </c>
      <c r="K9" s="8">
        <f>IF(AND(AND('TABLA DE PAGOS'!J8&lt;='VALORES DE LIQUIDACIÓN'!A$4,'TABLA DE PAGOS'!J9&gt;='VALORES DE LIQUIDACIÓN'!A$4),'TABLA DE PAGOS'!K9='TABLA DE PAGOS'!A$10),'TABLA DE PAGOS'!C8,IF(AND('TABLA DE PAGOS'!K9='TABLA DE PAGOS'!A$10,'TABLA DE PAGOS'!K10='TABLA DE PAGOS'!A$9),'TABLA DE PAGOS'!C9,IF(AND('TABLA DE PAGOS'!K9='TABLA DE PAGOS'!A$11,'TABLA DE PAGOS'!K10='TABLA DE PAGOS'!A$9),'TABLA DE PAGOS'!C8,0)))</f>
        <v>0</v>
      </c>
      <c r="L9" s="14"/>
      <c r="M9" s="11">
        <f>IF(I9=0,IF('TABLA DE PAGOS'!J9&lt;='TABLA DE PAGOS'!A$4,0,IF('TABLA DE PAGOS'!K9='TABLA DE PAGOS'!A$9,'TABLA DE PAGOS'!F9,IF('TABLA DE PAGOS'!K9='TABLA DE PAGOS'!A$11,(INDEX(SALDOS!B$3:G$200,MATCH('TABLA DE PAGOS'!A$12,SALDOS!E$3:E$200,0),6))-(INDEX(SALDOS!B$3:H$200,MATCH('TABLA DE PAGOS'!A$12,SALDOS!E$3:E$200,0),7)),0))),0)</f>
        <v>0</v>
      </c>
      <c r="N9" s="11">
        <f>IF(AND(I9&gt;0,I8=0),J9*MAX(SALDOS!J$3:J$90),0)</f>
        <v>942.299918</v>
      </c>
      <c r="P9" s="8">
        <f>IF(I9=0,IF('TABLA DE PAGOS'!J9&lt;='TABLA DE PAGOS'!A$4,0,IF('TABLA DE PAGOS'!K9='TABLA DE PAGOS'!A$9,'TABLA DE PAGOS'!E9,IF('TABLA DE PAGOS'!K9='TABLA DE PAGOS'!A$11,INDEX(SALDOS!B$3:G$200,MATCH('TABLA DE PAGOS'!A$13,SALDOS!E$3:E$200,0),6),0))),0)</f>
        <v>0</v>
      </c>
      <c r="Q9" s="8">
        <f>IF(AND(I9&gt;0,I8&gt;0),'TABLA DE PAGOS'!E9,0)</f>
        <v>0</v>
      </c>
      <c r="R9" s="8">
        <f t="shared" si="1"/>
        <v>8</v>
      </c>
      <c r="T9" s="8">
        <f>IF(AND(I9&gt;0,I8=0),'TABLA DE PAGOS'!H9,0)</f>
        <v>175.1</v>
      </c>
      <c r="U9" s="8">
        <f>IF(AND('TABLA DE PAGOS'!K9='TABLA DE PAGOS'!A$11,VLOOKUP('TABLA DE PAGOS'!A$7,SALDOS!B$3:E$200,4)='TABLA DE PAGOS'!A$14),INDEX(SALDOS!B$3:G$200,MATCH('TABLA DE PAGOS'!A$14,SALDOS!E$3:E$200,0),6),IF(AND(P9&gt;0.001,M9&gt;0.001),'TABLA DE PAGOS'!H9,0))</f>
        <v>0</v>
      </c>
      <c r="W9" s="8">
        <f>IF(AND('TABLA DE PAGOS'!K9='TABLA DE PAGOS'!A$11,VLOOKUP('TABLA DE PAGOS'!A$7,SALDOS!B$3:E$200,4)='TABLA DE PAGOS'!A$16),INDEX(SALDOS!B$3:G$200,MATCH('TABLA DE PAGOS'!A$16,SALDOS!E$3:E$200,0),6),IF(AND(P9&gt;0.001,M9&gt;0.001),'TABLA DE PAGOS'!I9,0))</f>
        <v>0</v>
      </c>
    </row>
    <row r="10" spans="2:23">
      <c r="B10" s="33">
        <v>9</v>
      </c>
      <c r="C10" s="8">
        <f>IF('TABLA DE PAGOS'!K10='TABLA DE PAGOS'!A$12,0,IF('TABLA DE PAGOS'!K10='TABLA DE PAGOS'!A$11,'VALORES DE LIQUIDACIÓN'!A$4-'TABLA DE PAGOS'!M10,IF(AND('TABLA DE PAGOS'!J10&lt;'VALORES DE LIQUIDACIÓN'!A$4,'TABLA DE PAGOS'!K10='TABLA DE PAGOS'!A$9),'VALORES DE LIQUIDACIÓN'!A$4-'TABLA DE PAGOS'!J10,0)))</f>
        <v>0</v>
      </c>
      <c r="D10" s="8">
        <f>IF(P10&gt;0,'VALORES DE LIQUIDACIÓN'!A$4-'TABLA DE PAGOS'!J10,0)</f>
        <v>0</v>
      </c>
      <c r="E10" s="35">
        <f t="shared" si="0"/>
        <v>0</v>
      </c>
      <c r="F10" s="11">
        <f>IF(E10&gt;0,('DATOS GENERALES'!K$3+('DATOS GENERALES'!K$3*E10)),0)</f>
        <v>0</v>
      </c>
      <c r="G10" s="11">
        <f>IF(E10&gt;0,IF('TABLA DE PAGOS'!K10='TABLA DE PAGOS'!A$11,(P10*C10*F10)/36000,('TABLA DE PAGOS'!E10*C10*F10)/36000),0)</f>
        <v>0</v>
      </c>
      <c r="I10" s="8">
        <f>IF('TABLA DE PAGOS'!$J10&lt;='VALORES DE LIQUIDACIÓN'!A$4,0,'TABLA DE PAGOS'!$J10-'VALORES DE LIQUIDACIÓN'!A$4)</f>
        <v>49</v>
      </c>
      <c r="J10" s="8">
        <f>IF(AND(I10&gt;0,I9=0),'VALORES DE LIQUIDACIÓN'!A$4-'TABLA DE PAGOS'!J9,0)</f>
        <v>0</v>
      </c>
      <c r="K10" s="8">
        <f>IF(AND(AND('TABLA DE PAGOS'!J9&lt;='VALORES DE LIQUIDACIÓN'!A$4,'TABLA DE PAGOS'!J10&gt;='VALORES DE LIQUIDACIÓN'!A$4),'TABLA DE PAGOS'!K10='TABLA DE PAGOS'!A$10),'TABLA DE PAGOS'!C9,IF(AND('TABLA DE PAGOS'!K10='TABLA DE PAGOS'!A$10,'TABLA DE PAGOS'!K11='TABLA DE PAGOS'!A$9),'TABLA DE PAGOS'!C10,IF(AND('TABLA DE PAGOS'!K10='TABLA DE PAGOS'!A$11,'TABLA DE PAGOS'!K11='TABLA DE PAGOS'!A$9),'TABLA DE PAGOS'!C9,0)))</f>
        <v>0</v>
      </c>
      <c r="L10" s="14"/>
      <c r="M10" s="11">
        <f>IF(I10=0,IF('TABLA DE PAGOS'!J10&lt;='TABLA DE PAGOS'!A$4,0,IF('TABLA DE PAGOS'!K10='TABLA DE PAGOS'!A$9,'TABLA DE PAGOS'!F10,IF('TABLA DE PAGOS'!K10='TABLA DE PAGOS'!A$11,(INDEX(SALDOS!B$3:G$200,MATCH('TABLA DE PAGOS'!A$12,SALDOS!E$3:E$200,0),6))-(INDEX(SALDOS!B$3:H$200,MATCH('TABLA DE PAGOS'!A$12,SALDOS!E$3:E$200,0),7)),0))),0)</f>
        <v>0</v>
      </c>
      <c r="N10" s="11">
        <f>IF(AND(I10&gt;0,I9=0),J10*MAX(SALDOS!J$3:J$90),0)</f>
        <v>0</v>
      </c>
      <c r="P10" s="8">
        <f>IF(I10=0,IF('TABLA DE PAGOS'!J10&lt;='TABLA DE PAGOS'!A$4,0,IF('TABLA DE PAGOS'!K10='TABLA DE PAGOS'!A$9,'TABLA DE PAGOS'!E10,IF('TABLA DE PAGOS'!K10='TABLA DE PAGOS'!A$11,INDEX(SALDOS!B$3:G$200,MATCH('TABLA DE PAGOS'!A$13,SALDOS!E$3:E$200,0),6),0))),0)</f>
        <v>0</v>
      </c>
      <c r="Q10" s="8">
        <f>IF(AND(I10&gt;0,I9&gt;0),'TABLA DE PAGOS'!E10,0)</f>
        <v>597.08</v>
      </c>
      <c r="R10" s="8">
        <f t="shared" si="1"/>
        <v>0</v>
      </c>
      <c r="T10" s="8">
        <f>IF(AND(I10&gt;0,I9=0),'TABLA DE PAGOS'!H10,0)</f>
        <v>0</v>
      </c>
      <c r="U10" s="8">
        <f>IF(AND('TABLA DE PAGOS'!K10='TABLA DE PAGOS'!A$11,VLOOKUP('TABLA DE PAGOS'!A$7,SALDOS!B$3:E$200,4)='TABLA DE PAGOS'!A$14),INDEX(SALDOS!B$3:G$200,MATCH('TABLA DE PAGOS'!A$14,SALDOS!E$3:E$200,0),6),IF(AND(P10&gt;0.001,M10&gt;0.001),'TABLA DE PAGOS'!H10,0))</f>
        <v>0</v>
      </c>
      <c r="W10" s="8">
        <f>IF(AND('TABLA DE PAGOS'!K10='TABLA DE PAGOS'!A$11,VLOOKUP('TABLA DE PAGOS'!A$7,SALDOS!B$3:E$200,4)='TABLA DE PAGOS'!A$16),INDEX(SALDOS!B$3:G$200,MATCH('TABLA DE PAGOS'!A$16,SALDOS!E$3:E$200,0),6),IF(AND(P10&gt;0.001,M10&gt;0.001),'TABLA DE PAGOS'!I10,0))</f>
        <v>0</v>
      </c>
    </row>
    <row r="11" spans="2:23">
      <c r="B11" s="33">
        <v>10</v>
      </c>
      <c r="C11" s="8">
        <f>IF('TABLA DE PAGOS'!K11='TABLA DE PAGOS'!A$12,0,IF('TABLA DE PAGOS'!K11='TABLA DE PAGOS'!A$11,'VALORES DE LIQUIDACIÓN'!A$4-'TABLA DE PAGOS'!M11,IF(AND('TABLA DE PAGOS'!J11&lt;'VALORES DE LIQUIDACIÓN'!A$4,'TABLA DE PAGOS'!K11='TABLA DE PAGOS'!A$9),'VALORES DE LIQUIDACIÓN'!A$4-'TABLA DE PAGOS'!J11,0)))</f>
        <v>0</v>
      </c>
      <c r="D11" s="8">
        <f>IF(P11&gt;0,'VALORES DE LIQUIDACIÓN'!A$4-'TABLA DE PAGOS'!J11,0)</f>
        <v>0</v>
      </c>
      <c r="E11" s="35">
        <f t="shared" si="0"/>
        <v>0</v>
      </c>
      <c r="F11" s="11">
        <f>IF(E11&gt;0,('DATOS GENERALES'!K$3+('DATOS GENERALES'!K$3*E11)),0)</f>
        <v>0</v>
      </c>
      <c r="G11" s="11">
        <f>IF(E11&gt;0,IF('TABLA DE PAGOS'!K11='TABLA DE PAGOS'!A$11,(P11*C11*F11)/36000,('TABLA DE PAGOS'!E11*C11*F11)/36000),0)</f>
        <v>0</v>
      </c>
      <c r="I11" s="8">
        <f>IF('TABLA DE PAGOS'!$J11&lt;='VALORES DE LIQUIDACIÓN'!A$4,0,'TABLA DE PAGOS'!$J11-'VALORES DE LIQUIDACIÓN'!A$4)</f>
        <v>77</v>
      </c>
      <c r="J11" s="8">
        <f>IF(AND(I11&gt;0,I10=0),'VALORES DE LIQUIDACIÓN'!A$4-'TABLA DE PAGOS'!J10,0)</f>
        <v>0</v>
      </c>
      <c r="K11" s="8">
        <f>IF(AND(AND('TABLA DE PAGOS'!J10&lt;='VALORES DE LIQUIDACIÓN'!A$4,'TABLA DE PAGOS'!J11&gt;='VALORES DE LIQUIDACIÓN'!A$4),'TABLA DE PAGOS'!K11='TABLA DE PAGOS'!A$10),'TABLA DE PAGOS'!C10,IF(AND('TABLA DE PAGOS'!K11='TABLA DE PAGOS'!A$10,'TABLA DE PAGOS'!K12='TABLA DE PAGOS'!A$9),'TABLA DE PAGOS'!C11,IF(AND('TABLA DE PAGOS'!K11='TABLA DE PAGOS'!A$11,'TABLA DE PAGOS'!K12='TABLA DE PAGOS'!A$9),'TABLA DE PAGOS'!C10,0)))</f>
        <v>0</v>
      </c>
      <c r="L11" s="14"/>
      <c r="M11" s="11">
        <f>IF(I11=0,IF('TABLA DE PAGOS'!J11&lt;='TABLA DE PAGOS'!A$4,0,IF('TABLA DE PAGOS'!K11='TABLA DE PAGOS'!A$9,'TABLA DE PAGOS'!F11,IF('TABLA DE PAGOS'!K11='TABLA DE PAGOS'!A$11,(INDEX(SALDOS!B$3:G$200,MATCH('TABLA DE PAGOS'!A$12,SALDOS!E$3:E$200,0),6))-(INDEX(SALDOS!B$3:H$200,MATCH('TABLA DE PAGOS'!A$12,SALDOS!E$3:E$200,0),7)),0))),0)</f>
        <v>0</v>
      </c>
      <c r="N11" s="11">
        <f>IF(AND(I11&gt;0,I10=0),J11*MAX(SALDOS!J$3:J$200),0)</f>
        <v>0</v>
      </c>
      <c r="P11" s="8">
        <f>IF(I11=0,IF('TABLA DE PAGOS'!J11&lt;='TABLA DE PAGOS'!A$4,0,IF('TABLA DE PAGOS'!K11='TABLA DE PAGOS'!A$9,'TABLA DE PAGOS'!E11,IF('TABLA DE PAGOS'!K11='TABLA DE PAGOS'!A$11,INDEX(SALDOS!B$3:G$200,MATCH('TABLA DE PAGOS'!A$13,SALDOS!E$3:E$200,0),6),0))),0)</f>
        <v>0</v>
      </c>
      <c r="Q11" s="8">
        <f>IF(AND(I11&gt;0,I10&gt;0),'TABLA DE PAGOS'!E11,0)</f>
        <v>966.61</v>
      </c>
      <c r="R11" s="8">
        <f t="shared" si="1"/>
        <v>0</v>
      </c>
      <c r="T11" s="8">
        <f>IF(AND(I11&gt;0,I10=0),'TABLA DE PAGOS'!H11,0)</f>
        <v>0</v>
      </c>
      <c r="U11" s="8">
        <f>IF(AND('TABLA DE PAGOS'!K11='TABLA DE PAGOS'!A$11,VLOOKUP('TABLA DE PAGOS'!A$7,SALDOS!B$3:E$200,4)='TABLA DE PAGOS'!A$14),INDEX(SALDOS!B$3:G$200,MATCH('TABLA DE PAGOS'!A$14,SALDOS!E$3:E$200,0),6),IF(AND(P11&gt;0.001,M11&gt;0.001),'TABLA DE PAGOS'!H11,0))</f>
        <v>0</v>
      </c>
      <c r="W11" s="8">
        <f>IF(AND('TABLA DE PAGOS'!K11='TABLA DE PAGOS'!A$11,VLOOKUP('TABLA DE PAGOS'!A$7,SALDOS!B$3:E$200,4)='TABLA DE PAGOS'!A$16),INDEX(SALDOS!B$3:G$200,MATCH('TABLA DE PAGOS'!A$16,SALDOS!E$3:E$200,0),6),IF(AND(P11&gt;0.001,M11&gt;0.001),'TABLA DE PAGOS'!I11,0))</f>
        <v>0</v>
      </c>
    </row>
    <row r="12" spans="2:23">
      <c r="B12" s="33">
        <v>11</v>
      </c>
      <c r="C12" s="8">
        <f>IF('TABLA DE PAGOS'!K12='TABLA DE PAGOS'!A$12,0,IF('TABLA DE PAGOS'!K12='TABLA DE PAGOS'!A$11,'VALORES DE LIQUIDACIÓN'!A$4-'TABLA DE PAGOS'!M12,IF(AND('TABLA DE PAGOS'!J12&lt;'VALORES DE LIQUIDACIÓN'!A$4,'TABLA DE PAGOS'!K12='TABLA DE PAGOS'!A$9),'VALORES DE LIQUIDACIÓN'!A$4-'TABLA DE PAGOS'!J12,0)))</f>
        <v>0</v>
      </c>
      <c r="D12" s="8">
        <f>IF(P12&gt;0,'VALORES DE LIQUIDACIÓN'!A$4-'TABLA DE PAGOS'!J12,0)</f>
        <v>0</v>
      </c>
      <c r="E12" s="35">
        <f t="shared" si="0"/>
        <v>0</v>
      </c>
      <c r="F12" s="11">
        <f>IF(E12&gt;0,('DATOS GENERALES'!K$3+('DATOS GENERALES'!K$3*E12)),0)</f>
        <v>0</v>
      </c>
      <c r="G12" s="11">
        <f>IF(E12&gt;0,IF('TABLA DE PAGOS'!K12='TABLA DE PAGOS'!A$11,(P12*C12*F12)/36000,('TABLA DE PAGOS'!E12*C12*F12)/36000),0)</f>
        <v>0</v>
      </c>
      <c r="I12" s="8">
        <f>IF('TABLA DE PAGOS'!$J12&lt;='VALORES DE LIQUIDACIÓN'!A$4,0,'TABLA DE PAGOS'!$J12-'VALORES DE LIQUIDACIÓN'!A$4)</f>
        <v>108</v>
      </c>
      <c r="J12" s="8">
        <f>IF(AND(I12&gt;0,I11=0),'VALORES DE LIQUIDACIÓN'!A$4-'TABLA DE PAGOS'!J11,0)</f>
        <v>0</v>
      </c>
      <c r="K12" s="8">
        <f>IF(AND(AND('TABLA DE PAGOS'!J11&lt;='VALORES DE LIQUIDACIÓN'!A$4,'TABLA DE PAGOS'!J12&gt;='VALORES DE LIQUIDACIÓN'!A$4),'TABLA DE PAGOS'!K12='TABLA DE PAGOS'!A$10),'TABLA DE PAGOS'!C11,IF(AND('TABLA DE PAGOS'!K12='TABLA DE PAGOS'!A$10,'TABLA DE PAGOS'!K13='TABLA DE PAGOS'!A$9),'TABLA DE PAGOS'!C12,IF(AND('TABLA DE PAGOS'!K12='TABLA DE PAGOS'!A$11,'TABLA DE PAGOS'!K13='TABLA DE PAGOS'!A$9),'TABLA DE PAGOS'!C11,0)))</f>
        <v>0</v>
      </c>
      <c r="L12" s="14"/>
      <c r="M12" s="11">
        <f>IF(I12=0,IF('TABLA DE PAGOS'!J12&lt;='TABLA DE PAGOS'!A$4,0,IF('TABLA DE PAGOS'!K12='TABLA DE PAGOS'!A$9,'TABLA DE PAGOS'!F12,IF('TABLA DE PAGOS'!K12='TABLA DE PAGOS'!A$11,(INDEX(SALDOS!B$3:G$200,MATCH('TABLA DE PAGOS'!A$12,SALDOS!E$3:E$200,0),6))-(INDEX(SALDOS!B$3:H$200,MATCH('TABLA DE PAGOS'!A$12,SALDOS!E$3:E$200,0),7)),0))),0)</f>
        <v>0</v>
      </c>
      <c r="N12" s="11">
        <f>IF(AND(I12&gt;0,I11=0),J12*MAX(SALDOS!J$3:J$200),0)</f>
        <v>0</v>
      </c>
      <c r="P12" s="8">
        <f>IF(I12=0,IF('TABLA DE PAGOS'!J12&lt;='TABLA DE PAGOS'!A$4,0,IF('TABLA DE PAGOS'!K12='TABLA DE PAGOS'!A$9,'TABLA DE PAGOS'!E12,IF('TABLA DE PAGOS'!K12='TABLA DE PAGOS'!A$11,INDEX(SALDOS!B$3:G$200,MATCH('TABLA DE PAGOS'!A$13,SALDOS!E$3:E$200,0),6),0))),0)</f>
        <v>0</v>
      </c>
      <c r="Q12" s="8">
        <f>IF(AND(I12&gt;0,I11&gt;0),'TABLA DE PAGOS'!E12,0)</f>
        <v>757.42</v>
      </c>
      <c r="R12" s="8">
        <f t="shared" si="1"/>
        <v>0</v>
      </c>
      <c r="T12" s="8">
        <f>IF(AND(I12&gt;0,I11=0),'TABLA DE PAGOS'!H12,0)</f>
        <v>0</v>
      </c>
      <c r="U12" s="8">
        <f>IF(AND('TABLA DE PAGOS'!K12='TABLA DE PAGOS'!A$11,VLOOKUP('TABLA DE PAGOS'!A$7,SALDOS!B$3:E$200,4)='TABLA DE PAGOS'!A$14),INDEX(SALDOS!B$3:G$200,MATCH('TABLA DE PAGOS'!A$14,SALDOS!E$3:E$200,0),6),IF(AND(P12&gt;0.001,M12&gt;0.001),'TABLA DE PAGOS'!H12,0))</f>
        <v>0</v>
      </c>
      <c r="W12" s="8">
        <f>IF(AND('TABLA DE PAGOS'!K12='TABLA DE PAGOS'!A$11,VLOOKUP('TABLA DE PAGOS'!A$7,SALDOS!B$3:E$200,4)='TABLA DE PAGOS'!A$16),INDEX(SALDOS!B$3:G$200,MATCH('TABLA DE PAGOS'!A$16,SALDOS!E$3:E$200,0),6),IF(AND(P12&gt;0.001,M12&gt;0.001),'TABLA DE PAGOS'!I12,0))</f>
        <v>0</v>
      </c>
    </row>
    <row r="13" spans="2:23">
      <c r="B13" s="33">
        <v>12</v>
      </c>
      <c r="C13" s="8">
        <f>IF('TABLA DE PAGOS'!K13='TABLA DE PAGOS'!A$12,0,IF('TABLA DE PAGOS'!K13='TABLA DE PAGOS'!A$11,'VALORES DE LIQUIDACIÓN'!A$4-'TABLA DE PAGOS'!M13,IF(AND('TABLA DE PAGOS'!J13&lt;'VALORES DE LIQUIDACIÓN'!A$4,'TABLA DE PAGOS'!K13='TABLA DE PAGOS'!A$9),'VALORES DE LIQUIDACIÓN'!A$4-'TABLA DE PAGOS'!J13,0)))</f>
        <v>0</v>
      </c>
      <c r="D13" s="8">
        <f>IF(P13&gt;0,'VALORES DE LIQUIDACIÓN'!A$4-'TABLA DE PAGOS'!J13,0)</f>
        <v>0</v>
      </c>
      <c r="E13" s="35">
        <f t="shared" si="0"/>
        <v>0</v>
      </c>
      <c r="F13" s="11">
        <f>IF(E13&gt;0,('DATOS GENERALES'!K$3+('DATOS GENERALES'!K$3*E13)),0)</f>
        <v>0</v>
      </c>
      <c r="G13" s="11">
        <f>IF(E13&gt;0,IF('TABLA DE PAGOS'!K13='TABLA DE PAGOS'!A$11,(P13*C13*F13)/36000,('TABLA DE PAGOS'!E13*C13*F13)/36000),0)</f>
        <v>0</v>
      </c>
      <c r="I13" s="8">
        <f>IF('TABLA DE PAGOS'!$J13&lt;='VALORES DE LIQUIDACIÓN'!A$4,0,'TABLA DE PAGOS'!$J13-'VALORES DE LIQUIDACIÓN'!A$4)</f>
        <v>140</v>
      </c>
      <c r="J13" s="8">
        <f>IF(AND(I13&gt;0,I12=0),'VALORES DE LIQUIDACIÓN'!A$4-'TABLA DE PAGOS'!J12,0)</f>
        <v>0</v>
      </c>
      <c r="K13" s="8">
        <f>IF(AND(AND('TABLA DE PAGOS'!J12&lt;='VALORES DE LIQUIDACIÓN'!A$4,'TABLA DE PAGOS'!J13&gt;='VALORES DE LIQUIDACIÓN'!A$4),'TABLA DE PAGOS'!K13='TABLA DE PAGOS'!A$10),'TABLA DE PAGOS'!C12,IF(AND('TABLA DE PAGOS'!K13='TABLA DE PAGOS'!A$10,'TABLA DE PAGOS'!K14='TABLA DE PAGOS'!A$9),'TABLA DE PAGOS'!C13,IF(AND('TABLA DE PAGOS'!K13='TABLA DE PAGOS'!A$11,'TABLA DE PAGOS'!K14='TABLA DE PAGOS'!A$9),'TABLA DE PAGOS'!C12,0)))</f>
        <v>0</v>
      </c>
      <c r="L13" s="14"/>
      <c r="M13" s="11">
        <f>IF(I13=0,IF('TABLA DE PAGOS'!J13&lt;='TABLA DE PAGOS'!A$4,0,IF('TABLA DE PAGOS'!K13='TABLA DE PAGOS'!A$9,'TABLA DE PAGOS'!F13,IF('TABLA DE PAGOS'!K13='TABLA DE PAGOS'!A$11,(INDEX(SALDOS!B$3:G$200,MATCH('TABLA DE PAGOS'!A$12,SALDOS!E$3:E$200,0),6))-(INDEX(SALDOS!B$3:H$200,MATCH('TABLA DE PAGOS'!A$12,SALDOS!E$3:E$200,0),7)),0))),0)</f>
        <v>0</v>
      </c>
      <c r="N13" s="11">
        <f>IF(AND(I13&gt;0,I12=0),J13*MAX(SALDOS!J$3:J$200),0)</f>
        <v>0</v>
      </c>
      <c r="P13" s="8">
        <f>IF(I13=0,IF('TABLA DE PAGOS'!J13&lt;='TABLA DE PAGOS'!A$4,0,IF('TABLA DE PAGOS'!K13='TABLA DE PAGOS'!A$9,'TABLA DE PAGOS'!E13,IF('TABLA DE PAGOS'!K13='TABLA DE PAGOS'!A$11,INDEX(SALDOS!B$3:G$200,MATCH('TABLA DE PAGOS'!A$13,SALDOS!E$3:E$200,0),6),0))),0)</f>
        <v>0</v>
      </c>
      <c r="Q13" s="8">
        <f>IF(AND(I13&gt;0,I12&gt;0),'TABLA DE PAGOS'!E13,0)</f>
        <v>692.26</v>
      </c>
      <c r="R13" s="8">
        <f t="shared" si="1"/>
        <v>0</v>
      </c>
      <c r="T13" s="8">
        <f>IF(AND(I13&gt;0,I12=0),'TABLA DE PAGOS'!H13,0)</f>
        <v>0</v>
      </c>
      <c r="U13" s="8">
        <v>0</v>
      </c>
      <c r="W13" s="8">
        <f>IF(AND('TABLA DE PAGOS'!K13='TABLA DE PAGOS'!A$11,VLOOKUP('TABLA DE PAGOS'!A$7,SALDOS!B$3:E$200,4)='TABLA DE PAGOS'!A$16),INDEX(SALDOS!B$3:G$200,MATCH('TABLA DE PAGOS'!A$16,SALDOS!E$3:E$200,0),6),IF(AND(P13&gt;0.001,M13&gt;0.001),'TABLA DE PAGOS'!I13,0))</f>
        <v>0</v>
      </c>
    </row>
    <row r="14" spans="2:23">
      <c r="B14" s="33">
        <v>13</v>
      </c>
      <c r="C14" s="8">
        <f>IF('TABLA DE PAGOS'!K14='TABLA DE PAGOS'!A$12,0,IF('TABLA DE PAGOS'!K14='TABLA DE PAGOS'!A$11,'VALORES DE LIQUIDACIÓN'!A$4-'TABLA DE PAGOS'!M14,IF(AND('TABLA DE PAGOS'!J14&lt;'VALORES DE LIQUIDACIÓN'!A$4,'TABLA DE PAGOS'!K14='TABLA DE PAGOS'!A$9),'VALORES DE LIQUIDACIÓN'!A$4-'TABLA DE PAGOS'!J14,0)))</f>
        <v>0</v>
      </c>
      <c r="D14" s="8">
        <f>IF(P14&gt;0,'VALORES DE LIQUIDACIÓN'!A$4-'TABLA DE PAGOS'!J14,0)</f>
        <v>0</v>
      </c>
      <c r="E14" s="35">
        <f t="shared" si="0"/>
        <v>0</v>
      </c>
      <c r="F14" s="11">
        <f>IF(E14&gt;0,('DATOS GENERALES'!K$3+('DATOS GENERALES'!K$3*E14)),0)</f>
        <v>0</v>
      </c>
      <c r="G14" s="11">
        <f>IF(E14&gt;0,IF('TABLA DE PAGOS'!K14='TABLA DE PAGOS'!A$11,(P14*C14*F14)/36000,('TABLA DE PAGOS'!E14*C14*F14)/36000),0)</f>
        <v>0</v>
      </c>
      <c r="I14" s="8">
        <f>IF('TABLA DE PAGOS'!$J14&lt;='VALORES DE LIQUIDACIÓN'!A$4,0,'TABLA DE PAGOS'!$J14-'VALORES DE LIQUIDACIÓN'!A$4)</f>
        <v>169</v>
      </c>
      <c r="J14" s="8">
        <f>IF(AND(I14&gt;0,I13=0),'VALORES DE LIQUIDACIÓN'!A$4-'TABLA DE PAGOS'!J13,0)</f>
        <v>0</v>
      </c>
      <c r="K14" s="8">
        <f>IF(AND(AND('TABLA DE PAGOS'!J13&lt;='VALORES DE LIQUIDACIÓN'!A$4,'TABLA DE PAGOS'!J14&gt;='VALORES DE LIQUIDACIÓN'!A$4),'TABLA DE PAGOS'!K14='TABLA DE PAGOS'!A$10),'TABLA DE PAGOS'!C13,IF(AND('TABLA DE PAGOS'!K14='TABLA DE PAGOS'!A$10,'TABLA DE PAGOS'!K15='TABLA DE PAGOS'!A$9),'TABLA DE PAGOS'!C14,IF(AND('TABLA DE PAGOS'!K14='TABLA DE PAGOS'!A$11,'TABLA DE PAGOS'!K15='TABLA DE PAGOS'!A$9),'TABLA DE PAGOS'!C13,0)))</f>
        <v>0</v>
      </c>
      <c r="L14" s="14"/>
      <c r="M14" s="11">
        <f>IF(I14=0,IF('TABLA DE PAGOS'!J14&lt;='TABLA DE PAGOS'!A$4,0,IF('TABLA DE PAGOS'!K14='TABLA DE PAGOS'!A$9,'TABLA DE PAGOS'!F14,IF('TABLA DE PAGOS'!K14='TABLA DE PAGOS'!A$11,(INDEX(SALDOS!B$3:G$200,MATCH('TABLA DE PAGOS'!A$12,SALDOS!E$3:E$200,0),6))-(INDEX(SALDOS!B$3:H$200,MATCH('TABLA DE PAGOS'!A$12,SALDOS!E$3:E$200,0),7)),0))),0)</f>
        <v>0</v>
      </c>
      <c r="N14" s="11">
        <f>IF(AND(I14&gt;0,I13=0),J14*MAX(SALDOS!J$3:J$200),0)</f>
        <v>0</v>
      </c>
      <c r="P14" s="8">
        <f>IF(I14=0,IF('TABLA DE PAGOS'!J14&lt;='TABLA DE PAGOS'!A$4,0,IF('TABLA DE PAGOS'!K14='TABLA DE PAGOS'!A$9,'TABLA DE PAGOS'!E14,IF('TABLA DE PAGOS'!K14='TABLA DE PAGOS'!A$11,INDEX(SALDOS!B$3:G$200,MATCH('TABLA DE PAGOS'!A$13,SALDOS!E$3:E$200,0),6),0))),0)</f>
        <v>0</v>
      </c>
      <c r="Q14" s="8">
        <f>IF(AND(I14&gt;0,I13&gt;0),'TABLA DE PAGOS'!E14,0)</f>
        <v>914.89</v>
      </c>
      <c r="R14" s="8">
        <f t="shared" si="1"/>
        <v>0</v>
      </c>
      <c r="T14" s="8">
        <f>IF(AND(I14&gt;0,I13=0),'TABLA DE PAGOS'!H14,0)</f>
        <v>0</v>
      </c>
      <c r="U14" s="8">
        <f>IF(AND('TABLA DE PAGOS'!K14='TABLA DE PAGOS'!A$11,VLOOKUP('TABLA DE PAGOS'!A$7,SALDOS!B$3:E$200,4)='TABLA DE PAGOS'!A$14),INDEX(SALDOS!B$3:G$200,MATCH('TABLA DE PAGOS'!A$14,SALDOS!E$3:E$200,0),6),IF(AND(P14&gt;0.001,M14&gt;0.001),'TABLA DE PAGOS'!H14,0))</f>
        <v>0</v>
      </c>
      <c r="W14" s="8">
        <f>IF(AND('TABLA DE PAGOS'!K14='TABLA DE PAGOS'!A$11,VLOOKUP('TABLA DE PAGOS'!A$7,SALDOS!B$3:E$200,4)='TABLA DE PAGOS'!A$16),INDEX(SALDOS!B$3:G$200,MATCH('TABLA DE PAGOS'!A$16,SALDOS!E$3:E$200,0),6),IF(AND(P14&gt;0.001,M14&gt;0.001),'TABLA DE PAGOS'!I14,0))</f>
        <v>0</v>
      </c>
    </row>
    <row r="15" spans="2:23">
      <c r="B15" s="33">
        <v>14</v>
      </c>
      <c r="C15" s="8">
        <f>IF('TABLA DE PAGOS'!K15='TABLA DE PAGOS'!A$12,0,IF('TABLA DE PAGOS'!K15='TABLA DE PAGOS'!A$11,'VALORES DE LIQUIDACIÓN'!A$4-'TABLA DE PAGOS'!M15,IF(AND('TABLA DE PAGOS'!J15&lt;'VALORES DE LIQUIDACIÓN'!A$4,'TABLA DE PAGOS'!K15='TABLA DE PAGOS'!A$9),'VALORES DE LIQUIDACIÓN'!A$4-'TABLA DE PAGOS'!J15,0)))</f>
        <v>0</v>
      </c>
      <c r="D15" s="8">
        <f>IF(P15&gt;0,'VALORES DE LIQUIDACIÓN'!A$4-'TABLA DE PAGOS'!J15,0)</f>
        <v>0</v>
      </c>
      <c r="E15" s="35">
        <f t="shared" si="0"/>
        <v>0</v>
      </c>
      <c r="F15" s="11">
        <f>IF(E15&gt;0,('DATOS GENERALES'!K$3+('DATOS GENERALES'!K$3*E15)),0)</f>
        <v>0</v>
      </c>
      <c r="G15" s="11">
        <f>IF(E15&gt;0,IF('TABLA DE PAGOS'!K15='TABLA DE PAGOS'!A$11,(P15*C15*F15)/36000,('TABLA DE PAGOS'!E15*C15*F15)/36000),0)</f>
        <v>0</v>
      </c>
      <c r="I15" s="8">
        <f>IF('TABLA DE PAGOS'!$J15&lt;='VALORES DE LIQUIDACIÓN'!A$4,0,'TABLA DE PAGOS'!$J15-'VALORES DE LIQUIDACIÓN'!A$4)</f>
        <v>203</v>
      </c>
      <c r="J15" s="8">
        <f>IF(AND(I15&gt;0,I14=0),'VALORES DE LIQUIDACIÓN'!A$4-'TABLA DE PAGOS'!J14,0)</f>
        <v>0</v>
      </c>
      <c r="K15" s="8">
        <f>IF(AND(AND('TABLA DE PAGOS'!J14&lt;='VALORES DE LIQUIDACIÓN'!A$4,'TABLA DE PAGOS'!J15&gt;='VALORES DE LIQUIDACIÓN'!A$4),'TABLA DE PAGOS'!K15='TABLA DE PAGOS'!A$10),'TABLA DE PAGOS'!C14,IF(AND('TABLA DE PAGOS'!K15='TABLA DE PAGOS'!A$10,'TABLA DE PAGOS'!K16='TABLA DE PAGOS'!A$9),'TABLA DE PAGOS'!C15,IF(AND('TABLA DE PAGOS'!K15='TABLA DE PAGOS'!A$11,'TABLA DE PAGOS'!K16='TABLA DE PAGOS'!A$9),'TABLA DE PAGOS'!C14,0)))</f>
        <v>0</v>
      </c>
      <c r="L15" s="14"/>
      <c r="M15" s="11">
        <f>IF(I15=0,IF('TABLA DE PAGOS'!J15&lt;='TABLA DE PAGOS'!A$4,0,IF('TABLA DE PAGOS'!K15='TABLA DE PAGOS'!A$9,'TABLA DE PAGOS'!F15,IF('TABLA DE PAGOS'!K15='TABLA DE PAGOS'!A$11,(INDEX(SALDOS!B$3:G$200,MATCH('TABLA DE PAGOS'!A$12,SALDOS!E$3:E$200,0),6))-(INDEX(SALDOS!B$3:H$200,MATCH('TABLA DE PAGOS'!A$12,SALDOS!E$3:E$200,0),7)),0))),0)</f>
        <v>0</v>
      </c>
      <c r="N15" s="11">
        <f>IF(AND(I15&gt;0,I14=0),J15*MAX(SALDOS!J$3:J$200),0)</f>
        <v>0</v>
      </c>
      <c r="P15" s="8">
        <f>IF(I15=0,IF('TABLA DE PAGOS'!J15&lt;='TABLA DE PAGOS'!A$4,0,IF('TABLA DE PAGOS'!K15='TABLA DE PAGOS'!A$9,'TABLA DE PAGOS'!E15,IF('TABLA DE PAGOS'!K15='TABLA DE PAGOS'!A$11,INDEX(SALDOS!B$3:G$200,MATCH('TABLA DE PAGOS'!A$13,SALDOS!E$3:E$200,0),6),0))),0)</f>
        <v>0</v>
      </c>
      <c r="Q15" s="8">
        <f>IF(AND(I15&gt;0,I14&gt;0),'TABLA DE PAGOS'!E15,0)</f>
        <v>564.22</v>
      </c>
      <c r="R15" s="8">
        <f t="shared" si="1"/>
        <v>0</v>
      </c>
      <c r="T15" s="8">
        <f>IF(AND(I15&gt;0,I14=0),'TABLA DE PAGOS'!H15,0)</f>
        <v>0</v>
      </c>
      <c r="U15" s="8">
        <f>IF(AND('TABLA DE PAGOS'!K15='TABLA DE PAGOS'!A$11,VLOOKUP('TABLA DE PAGOS'!A$7,SALDOS!B$3:E$200,4)='TABLA DE PAGOS'!A$14),INDEX(SALDOS!B$3:G$200,MATCH('TABLA DE PAGOS'!A$14,SALDOS!E$3:E$200,0),6),IF(AND(P15&gt;0.001,M15&gt;0.001),'TABLA DE PAGOS'!H15,0))</f>
        <v>0</v>
      </c>
      <c r="W15" s="8">
        <f>IF(AND('TABLA DE PAGOS'!K15='TABLA DE PAGOS'!A$11,VLOOKUP('TABLA DE PAGOS'!A$7,SALDOS!B$3:E$200,4)='TABLA DE PAGOS'!A$16),INDEX(SALDOS!B$3:G$200,MATCH('TABLA DE PAGOS'!A$16,SALDOS!E$3:E$200,0),6),IF(AND(P15&gt;0.001,M15&gt;0.001),'TABLA DE PAGOS'!I15,0))</f>
        <v>0</v>
      </c>
    </row>
    <row r="16" spans="2:23">
      <c r="B16" s="33">
        <v>15</v>
      </c>
      <c r="C16" s="8">
        <f>IF('TABLA DE PAGOS'!K16='TABLA DE PAGOS'!A$12,0,IF('TABLA DE PAGOS'!K16='TABLA DE PAGOS'!A$11,'VALORES DE LIQUIDACIÓN'!A$4-'TABLA DE PAGOS'!M16,IF(AND('TABLA DE PAGOS'!J16&lt;'VALORES DE LIQUIDACIÓN'!A$4,'TABLA DE PAGOS'!K16='TABLA DE PAGOS'!A$9),'VALORES DE LIQUIDACIÓN'!A$4-'TABLA DE PAGOS'!J16,0)))</f>
        <v>0</v>
      </c>
      <c r="D16" s="8">
        <f>IF(P16&gt;0,'VALORES DE LIQUIDACIÓN'!A$4-'TABLA DE PAGOS'!J16,0)</f>
        <v>0</v>
      </c>
      <c r="E16" s="35">
        <f t="shared" si="0"/>
        <v>0</v>
      </c>
      <c r="F16" s="11">
        <f>IF(E16&gt;0,('DATOS GENERALES'!K$3+('DATOS GENERALES'!K$3*E16)),0)</f>
        <v>0</v>
      </c>
      <c r="G16" s="11">
        <f>IF(E16&gt;0,IF('TABLA DE PAGOS'!K16='TABLA DE PAGOS'!A$11,(P16*C16*F16)/36000,('TABLA DE PAGOS'!E16*C16*F16)/36000),0)</f>
        <v>0</v>
      </c>
      <c r="I16" s="8">
        <f>IF('TABLA DE PAGOS'!$J16&lt;='VALORES DE LIQUIDACIÓN'!A$4,0,'TABLA DE PAGOS'!$J16-'VALORES DE LIQUIDACIÓN'!A$4)</f>
        <v>231</v>
      </c>
      <c r="J16" s="8">
        <f>IF(AND(I16&gt;0,I15=0),'VALORES DE LIQUIDACIÓN'!A$4-'TABLA DE PAGOS'!J15,0)</f>
        <v>0</v>
      </c>
      <c r="K16" s="8">
        <f>IF(AND(AND('TABLA DE PAGOS'!J15&lt;='VALORES DE LIQUIDACIÓN'!A$4,'TABLA DE PAGOS'!J16&gt;='VALORES DE LIQUIDACIÓN'!A$4),'TABLA DE PAGOS'!K16='TABLA DE PAGOS'!A$10),'TABLA DE PAGOS'!C15,IF(AND('TABLA DE PAGOS'!K16='TABLA DE PAGOS'!A$10,'TABLA DE PAGOS'!K17='TABLA DE PAGOS'!A$9),'TABLA DE PAGOS'!C16,IF(AND('TABLA DE PAGOS'!K16='TABLA DE PAGOS'!A$11,'TABLA DE PAGOS'!K17='TABLA DE PAGOS'!A$9),'TABLA DE PAGOS'!C15,0)))</f>
        <v>0</v>
      </c>
      <c r="L16" s="14"/>
      <c r="M16" s="11">
        <f>IF(I16=0,IF('TABLA DE PAGOS'!J16&lt;='TABLA DE PAGOS'!A$4,0,IF('TABLA DE PAGOS'!K16='TABLA DE PAGOS'!A$9,'TABLA DE PAGOS'!F16,IF('TABLA DE PAGOS'!K16='TABLA DE PAGOS'!A$11,(INDEX(SALDOS!B$3:G$200,MATCH('TABLA DE PAGOS'!A$12,SALDOS!E$3:E$200,0),6))-(INDEX(SALDOS!B$3:H$200,MATCH('TABLA DE PAGOS'!A$12,SALDOS!E$3:E$200,0),7)),0))),0)</f>
        <v>0</v>
      </c>
      <c r="N16" s="11">
        <f>IF(AND(I16&gt;0,I15=0),J16*MAX(SALDOS!J$3:J$200),0)</f>
        <v>0</v>
      </c>
      <c r="P16" s="8">
        <f>IF(I16=0,IF('TABLA DE PAGOS'!J16&lt;='TABLA DE PAGOS'!A$4,0,IF('TABLA DE PAGOS'!K16='TABLA DE PAGOS'!A$9,'TABLA DE PAGOS'!E16,IF('TABLA DE PAGOS'!K16='TABLA DE PAGOS'!A$11,INDEX(SALDOS!B$3:G$200,MATCH('TABLA DE PAGOS'!A$13,SALDOS!E$3:E$200,0),6),0))),0)</f>
        <v>0</v>
      </c>
      <c r="Q16" s="8">
        <f>IF(AND(I16&gt;0,I15&gt;0),'TABLA DE PAGOS'!E16,0)</f>
        <v>999.3</v>
      </c>
      <c r="R16" s="8">
        <f t="shared" si="1"/>
        <v>0</v>
      </c>
      <c r="T16" s="8">
        <f>IF(AND(I16&gt;0,I15=0),'TABLA DE PAGOS'!H16,0)</f>
        <v>0</v>
      </c>
      <c r="U16" s="8">
        <f>IF(AND('TABLA DE PAGOS'!K16='TABLA DE PAGOS'!A$11,VLOOKUP('TABLA DE PAGOS'!A$7,SALDOS!B$3:E$200,4)='TABLA DE PAGOS'!A$14),INDEX(SALDOS!B$3:G$200,MATCH('TABLA DE PAGOS'!A$14,SALDOS!E$3:E$200,0),6),IF(AND(P16&gt;0.001,M16&gt;0.001),'TABLA DE PAGOS'!H16,0))</f>
        <v>0</v>
      </c>
      <c r="W16" s="8">
        <f>IF(AND('TABLA DE PAGOS'!K16='TABLA DE PAGOS'!A$11,VLOOKUP('TABLA DE PAGOS'!A$7,SALDOS!B$3:E$200,4)='TABLA DE PAGOS'!A$16),INDEX(SALDOS!B$3:G$200,MATCH('TABLA DE PAGOS'!A$16,SALDOS!E$3:E$200,0),6),IF(AND(P16&gt;0.001,M16&gt;0.001),'TABLA DE PAGOS'!I16,0))</f>
        <v>0</v>
      </c>
    </row>
    <row r="17" spans="2:23">
      <c r="B17" s="33">
        <v>16</v>
      </c>
      <c r="C17" s="8">
        <f>IF('TABLA DE PAGOS'!K17='TABLA DE PAGOS'!A$12,0,IF('TABLA DE PAGOS'!K17='TABLA DE PAGOS'!A$11,'VALORES DE LIQUIDACIÓN'!A$4-'TABLA DE PAGOS'!M17,IF(AND('TABLA DE PAGOS'!J17&lt;'VALORES DE LIQUIDACIÓN'!A$4,'TABLA DE PAGOS'!K17='TABLA DE PAGOS'!A$9),'VALORES DE LIQUIDACIÓN'!A$4-'TABLA DE PAGOS'!J17,0)))</f>
        <v>0</v>
      </c>
      <c r="D17" s="8">
        <f>IF(P17&gt;0,'VALORES DE LIQUIDACIÓN'!A$4-'TABLA DE PAGOS'!J17,0)</f>
        <v>0</v>
      </c>
      <c r="E17" s="35">
        <f t="shared" si="0"/>
        <v>0</v>
      </c>
      <c r="F17" s="11">
        <f>IF(E17&gt;0,('DATOS GENERALES'!K$3+('DATOS GENERALES'!K$3*E17)),0)</f>
        <v>0</v>
      </c>
      <c r="G17" s="11">
        <f>IF(E17&gt;0,IF('TABLA DE PAGOS'!K17='TABLA DE PAGOS'!A$11,(P17*C17*F17)/36000,('TABLA DE PAGOS'!E17*C17*F17)/36000),0)</f>
        <v>0</v>
      </c>
      <c r="I17" s="8">
        <f>IF('TABLA DE PAGOS'!$J17&lt;='VALORES DE LIQUIDACIÓN'!A$4,0,'TABLA DE PAGOS'!$J17-'VALORES DE LIQUIDACIÓN'!A$4)</f>
        <v>261</v>
      </c>
      <c r="J17" s="8">
        <f>IF(AND(I17&gt;0,I16=0),'VALORES DE LIQUIDACIÓN'!A$4-'TABLA DE PAGOS'!J16,0)</f>
        <v>0</v>
      </c>
      <c r="K17" s="8">
        <f>IF(AND(AND('TABLA DE PAGOS'!J16&lt;='VALORES DE LIQUIDACIÓN'!A$4,'TABLA DE PAGOS'!J17&gt;='VALORES DE LIQUIDACIÓN'!A$4),'TABLA DE PAGOS'!K17='TABLA DE PAGOS'!A$10),'TABLA DE PAGOS'!C16,IF(AND('TABLA DE PAGOS'!K17='TABLA DE PAGOS'!A$10,'TABLA DE PAGOS'!K18='TABLA DE PAGOS'!A$9),'TABLA DE PAGOS'!C17,IF(AND('TABLA DE PAGOS'!K17='TABLA DE PAGOS'!A$11,'TABLA DE PAGOS'!K18='TABLA DE PAGOS'!A$9),'TABLA DE PAGOS'!C16,0)))</f>
        <v>0</v>
      </c>
      <c r="L17" s="14"/>
      <c r="M17" s="11">
        <f>IF(I17=0,IF('TABLA DE PAGOS'!J17&lt;='TABLA DE PAGOS'!A$4,0,IF('TABLA DE PAGOS'!K17='TABLA DE PAGOS'!A$9,'TABLA DE PAGOS'!F17,IF('TABLA DE PAGOS'!K17='TABLA DE PAGOS'!A$11,(INDEX(SALDOS!B$3:G$200,MATCH('TABLA DE PAGOS'!A$12,SALDOS!E$3:E$200,0),6))-(INDEX(SALDOS!B$3:H$200,MATCH('TABLA DE PAGOS'!A$12,SALDOS!E$3:E$200,0),7)),0))),0)</f>
        <v>0</v>
      </c>
      <c r="N17" s="11">
        <f>IF(AND(I17&gt;0,I16=0),J17*MAX(SALDOS!J$3:J$200),0)</f>
        <v>0</v>
      </c>
      <c r="P17" s="8">
        <f>IF(I17=0,IF('TABLA DE PAGOS'!J17&lt;='TABLA DE PAGOS'!A$4,0,IF('TABLA DE PAGOS'!K17='TABLA DE PAGOS'!A$9,'TABLA DE PAGOS'!E17,IF('TABLA DE PAGOS'!K17='TABLA DE PAGOS'!A$11,INDEX(SALDOS!B$3:G$200,MATCH('TABLA DE PAGOS'!A$13,SALDOS!E$3:E$200,0),6),0))),0)</f>
        <v>0</v>
      </c>
      <c r="Q17" s="8">
        <f>IF(AND(I17&gt;0,I16&gt;0),'TABLA DE PAGOS'!E17,0)</f>
        <v>865.18</v>
      </c>
      <c r="R17" s="8">
        <f t="shared" si="1"/>
        <v>0</v>
      </c>
      <c r="T17" s="8">
        <f>IF(AND(I17&gt;0,I16=0),'TABLA DE PAGOS'!H17,0)</f>
        <v>0</v>
      </c>
      <c r="U17" s="8">
        <f>IF(AND('TABLA DE PAGOS'!K17='TABLA DE PAGOS'!A$11,VLOOKUP('TABLA DE PAGOS'!A$7,SALDOS!B$3:E$200,4)='TABLA DE PAGOS'!A$14),INDEX(SALDOS!B$3:G$200,MATCH('TABLA DE PAGOS'!A$14,SALDOS!E$3:E$200,0),6),IF(AND(P17&gt;0.001,M17&gt;0.001),'TABLA DE PAGOS'!H17,0))</f>
        <v>0</v>
      </c>
      <c r="W17" s="8">
        <v>0</v>
      </c>
    </row>
    <row r="18" spans="2:23">
      <c r="B18" s="33">
        <v>17</v>
      </c>
      <c r="C18" s="8">
        <f>IF('TABLA DE PAGOS'!K18='TABLA DE PAGOS'!A$12,0,IF('TABLA DE PAGOS'!K18='TABLA DE PAGOS'!A$11,'VALORES DE LIQUIDACIÓN'!A$4-'TABLA DE PAGOS'!M18,IF(AND('TABLA DE PAGOS'!J18&lt;'VALORES DE LIQUIDACIÓN'!A$4,'TABLA DE PAGOS'!K18='TABLA DE PAGOS'!A$9),'VALORES DE LIQUIDACIÓN'!A$4-'TABLA DE PAGOS'!J18,0)))</f>
        <v>0</v>
      </c>
      <c r="D18" s="8">
        <f>IF(P18&gt;0,'VALORES DE LIQUIDACIÓN'!A$4-'TABLA DE PAGOS'!J18,0)</f>
        <v>0</v>
      </c>
      <c r="E18" s="35">
        <f t="shared" si="0"/>
        <v>0</v>
      </c>
      <c r="F18" s="11">
        <f>IF(E18&gt;0,('DATOS GENERALES'!K$3+('DATOS GENERALES'!K$3*E18)),0)</f>
        <v>0</v>
      </c>
      <c r="G18" s="11">
        <f>IF(E18&gt;0,IF('TABLA DE PAGOS'!K18='TABLA DE PAGOS'!A$11,(P18*C18*F18)/36000,('TABLA DE PAGOS'!E18*C18*F18)/36000),0)</f>
        <v>0</v>
      </c>
      <c r="I18" s="8">
        <f>IF('TABLA DE PAGOS'!$J18&lt;='VALORES DE LIQUIDACIÓN'!A$4,0,'TABLA DE PAGOS'!$J18-'VALORES DE LIQUIDACIÓN'!A$4)</f>
        <v>294</v>
      </c>
      <c r="J18" s="8">
        <f>IF(AND(I18&gt;0,I17=0),'VALORES DE LIQUIDACIÓN'!A$4-'TABLA DE PAGOS'!J17,0)</f>
        <v>0</v>
      </c>
      <c r="K18" s="8">
        <f>IF(AND(AND('TABLA DE PAGOS'!J17&lt;='VALORES DE LIQUIDACIÓN'!A$4,'TABLA DE PAGOS'!J18&gt;='VALORES DE LIQUIDACIÓN'!A$4),'TABLA DE PAGOS'!K18='TABLA DE PAGOS'!A$10),'TABLA DE PAGOS'!C17,IF(AND('TABLA DE PAGOS'!K18='TABLA DE PAGOS'!A$10,'TABLA DE PAGOS'!K19='TABLA DE PAGOS'!A$9),'TABLA DE PAGOS'!C18,IF(AND('TABLA DE PAGOS'!K18='TABLA DE PAGOS'!A$11,'TABLA DE PAGOS'!K19='TABLA DE PAGOS'!A$9),'TABLA DE PAGOS'!C17,0)))</f>
        <v>0</v>
      </c>
      <c r="L18" s="14"/>
      <c r="M18" s="11">
        <f>IF(I18=0,IF('TABLA DE PAGOS'!J18&lt;='TABLA DE PAGOS'!A$4,0,IF('TABLA DE PAGOS'!K18='TABLA DE PAGOS'!A$9,'TABLA DE PAGOS'!F18,IF('TABLA DE PAGOS'!K18='TABLA DE PAGOS'!A$11,(INDEX(SALDOS!B$3:G$200,MATCH('TABLA DE PAGOS'!A$12,SALDOS!E$3:E$200,0),6))-(INDEX(SALDOS!B$3:H$200,MATCH('TABLA DE PAGOS'!A$12,SALDOS!E$3:E$200,0),7)),0))),0)</f>
        <v>0</v>
      </c>
      <c r="N18" s="11">
        <f>IF(AND(I18&gt;0,I17=0),J18*MAX(SALDOS!J$3:J$200),0)</f>
        <v>0</v>
      </c>
      <c r="P18" s="8">
        <f>IF(I18=0,IF('TABLA DE PAGOS'!J18&lt;='TABLA DE PAGOS'!A$4,0,IF('TABLA DE PAGOS'!K18='TABLA DE PAGOS'!A$9,'TABLA DE PAGOS'!E18,IF('TABLA DE PAGOS'!K18='TABLA DE PAGOS'!A$11,INDEX(SALDOS!B$3:G$200,MATCH('TABLA DE PAGOS'!A$13,SALDOS!E$3:E$200,0),6),0))),0)</f>
        <v>0</v>
      </c>
      <c r="Q18" s="8">
        <f>IF(AND(I18&gt;0,I17&gt;0),'TABLA DE PAGOS'!E18,0)</f>
        <v>659.97</v>
      </c>
      <c r="R18" s="8">
        <f t="shared" si="1"/>
        <v>0</v>
      </c>
      <c r="T18" s="8">
        <f>IF(AND(I18&gt;0,I17=0),'TABLA DE PAGOS'!H18,0)</f>
        <v>0</v>
      </c>
      <c r="U18" s="8">
        <f>IF(AND('TABLA DE PAGOS'!K18='TABLA DE PAGOS'!A$11,VLOOKUP('TABLA DE PAGOS'!A$7,SALDOS!B$3:E$200,4)='TABLA DE PAGOS'!A$14),INDEX(SALDOS!B$3:G$200,MATCH('TABLA DE PAGOS'!A$14,SALDOS!E$3:E$200,0),6),IF(AND(P18&gt;0.001,M18&gt;0.001),'TABLA DE PAGOS'!H18,0))</f>
        <v>0</v>
      </c>
      <c r="W18" s="8">
        <f>IF(AND('TABLA DE PAGOS'!K18='TABLA DE PAGOS'!A$11,VLOOKUP('TABLA DE PAGOS'!A$7,SALDOS!B$3:E$200,4)='TABLA DE PAGOS'!A$16),INDEX(SALDOS!B$3:G$200,MATCH('TABLA DE PAGOS'!A$16,SALDOS!E$3:E$200,0),6),IF(AND(P18&gt;0.001,M18&gt;0.001),'TABLA DE PAGOS'!I18,0))</f>
        <v>0</v>
      </c>
    </row>
    <row r="19" spans="2:23">
      <c r="B19" s="33">
        <v>18</v>
      </c>
      <c r="C19" s="8">
        <f>IF('TABLA DE PAGOS'!K19='TABLA DE PAGOS'!A$12,0,IF('TABLA DE PAGOS'!K19='TABLA DE PAGOS'!A$11,'VALORES DE LIQUIDACIÓN'!A$4-'TABLA DE PAGOS'!M19,IF(AND('TABLA DE PAGOS'!J19&lt;'VALORES DE LIQUIDACIÓN'!A$4,'TABLA DE PAGOS'!K19='TABLA DE PAGOS'!A$9),'VALORES DE LIQUIDACIÓN'!A$4-'TABLA DE PAGOS'!J19,0)))</f>
        <v>0</v>
      </c>
      <c r="D19" s="8">
        <f>IF(P19&gt;0,'VALORES DE LIQUIDACIÓN'!A$4-'TABLA DE PAGOS'!J19,0)</f>
        <v>0</v>
      </c>
      <c r="E19" s="35">
        <f t="shared" si="0"/>
        <v>0</v>
      </c>
      <c r="F19" s="11">
        <f>IF(E19&gt;0,('DATOS GENERALES'!K$3+('DATOS GENERALES'!K$3*E19)),0)</f>
        <v>0</v>
      </c>
      <c r="G19" s="11">
        <f>IF(E19&gt;0,IF('TABLA DE PAGOS'!K19='TABLA DE PAGOS'!A$11,(P19*C19*F19)/36000,('TABLA DE PAGOS'!E19*C19*F19)/36000),0)</f>
        <v>0</v>
      </c>
      <c r="I19" s="8">
        <f>IF('TABLA DE PAGOS'!$J19&lt;='VALORES DE LIQUIDACIÓN'!A$4,0,'TABLA DE PAGOS'!$J19-'VALORES DE LIQUIDACIÓN'!A$4)</f>
        <v>322</v>
      </c>
      <c r="J19" s="8">
        <f>IF(AND(I19&gt;0,I18=0),'VALORES DE LIQUIDACIÓN'!A$4-'TABLA DE PAGOS'!J18,0)</f>
        <v>0</v>
      </c>
      <c r="K19" s="8">
        <f>IF(AND(AND('TABLA DE PAGOS'!J18&lt;='VALORES DE LIQUIDACIÓN'!A$4,'TABLA DE PAGOS'!J19&gt;='VALORES DE LIQUIDACIÓN'!A$4),'TABLA DE PAGOS'!K19='TABLA DE PAGOS'!A$10),'TABLA DE PAGOS'!C18,IF(AND('TABLA DE PAGOS'!K19='TABLA DE PAGOS'!A$10,'TABLA DE PAGOS'!K20='TABLA DE PAGOS'!A$9),'TABLA DE PAGOS'!C19,IF(AND('TABLA DE PAGOS'!K19='TABLA DE PAGOS'!A$11,'TABLA DE PAGOS'!K20='TABLA DE PAGOS'!A$9),'TABLA DE PAGOS'!C18,0)))</f>
        <v>0</v>
      </c>
      <c r="L19" s="14"/>
      <c r="M19" s="11">
        <f>IF(I19=0,IF('TABLA DE PAGOS'!J19&lt;='TABLA DE PAGOS'!A$4,0,IF('TABLA DE PAGOS'!K19='TABLA DE PAGOS'!A$9,'TABLA DE PAGOS'!F19,IF('TABLA DE PAGOS'!K19='TABLA DE PAGOS'!A$11,(INDEX(SALDOS!B$3:G$200,MATCH('TABLA DE PAGOS'!A$12,SALDOS!E$3:E$200,0),6))-(INDEX(SALDOS!B$3:H$200,MATCH('TABLA DE PAGOS'!A$12,SALDOS!E$3:E$200,0),7)),0))),0)</f>
        <v>0</v>
      </c>
      <c r="N19" s="11">
        <f>IF(AND(I19&gt;0,I18=0),J19*MAX(SALDOS!J$3:J$200),0)</f>
        <v>0</v>
      </c>
      <c r="P19" s="8">
        <f>IF(I19=0,IF('TABLA DE PAGOS'!J19&lt;='TABLA DE PAGOS'!A$4,0,IF('TABLA DE PAGOS'!K19='TABLA DE PAGOS'!A$9,'TABLA DE PAGOS'!E19,IF('TABLA DE PAGOS'!K19='TABLA DE PAGOS'!A$11,INDEX(SALDOS!B$3:G$200,MATCH('TABLA DE PAGOS'!A$13,SALDOS!E$3:E$200,0),6),0))),0)</f>
        <v>0</v>
      </c>
      <c r="Q19" s="8">
        <f>IF(AND(I19&gt;0,I18&gt;0),'TABLA DE PAGOS'!E19,0)</f>
        <v>1020.49</v>
      </c>
      <c r="R19" s="8">
        <f t="shared" si="1"/>
        <v>0</v>
      </c>
      <c r="T19" s="8">
        <f>IF(AND(I19&gt;0,I18=0),'TABLA DE PAGOS'!H19,0)</f>
        <v>0</v>
      </c>
      <c r="U19" s="8">
        <v>0</v>
      </c>
      <c r="W19" s="8">
        <f>IF(AND('TABLA DE PAGOS'!K19='TABLA DE PAGOS'!A$11,VLOOKUP('TABLA DE PAGOS'!A$7,SALDOS!B$3:E$200,4)='TABLA DE PAGOS'!A$16),INDEX(SALDOS!B$3:G$200,MATCH('TABLA DE PAGOS'!A$16,SALDOS!E$3:E$200,0),6),IF(AND(P19&gt;0.001,M19&gt;0.001),'TABLA DE PAGOS'!I19,0))</f>
        <v>0</v>
      </c>
    </row>
    <row r="20" spans="2:23">
      <c r="B20" s="33">
        <v>19</v>
      </c>
      <c r="C20" s="8">
        <f>IF('TABLA DE PAGOS'!K20='TABLA DE PAGOS'!A$12,0,IF('TABLA DE PAGOS'!K20='TABLA DE PAGOS'!A$11,'VALORES DE LIQUIDACIÓN'!A$4-'TABLA DE PAGOS'!M20,IF(AND('TABLA DE PAGOS'!J20&lt;'VALORES DE LIQUIDACIÓN'!A$4,'TABLA DE PAGOS'!K20='TABLA DE PAGOS'!A$9),'VALORES DE LIQUIDACIÓN'!A$4-'TABLA DE PAGOS'!J20,0)))</f>
        <v>0</v>
      </c>
      <c r="D20" s="8">
        <f>IF(P20&gt;0,'VALORES DE LIQUIDACIÓN'!A$4-'TABLA DE PAGOS'!J20,0)</f>
        <v>0</v>
      </c>
      <c r="E20" s="35">
        <f t="shared" si="0"/>
        <v>0</v>
      </c>
      <c r="F20" s="11">
        <f>IF(E20&gt;0,('DATOS GENERALES'!K$3+('DATOS GENERALES'!K$3*E20)),0)</f>
        <v>0</v>
      </c>
      <c r="G20" s="11">
        <f>IF(E20&gt;0,IF('TABLA DE PAGOS'!K20='TABLA DE PAGOS'!A$11,(P20*C20*F20)/36000,('TABLA DE PAGOS'!E20*C20*F20)/36000),0)</f>
        <v>0</v>
      </c>
      <c r="I20" s="8">
        <f>IF('TABLA DE PAGOS'!$J20&lt;='VALORES DE LIQUIDACIÓN'!A$4,0,'TABLA DE PAGOS'!$J20-'VALORES DE LIQUIDACIÓN'!A$4)</f>
        <v>351</v>
      </c>
      <c r="J20" s="8">
        <f>IF(AND(I20&gt;0,I19=0),'VALORES DE LIQUIDACIÓN'!A$4-'TABLA DE PAGOS'!J19,0)</f>
        <v>0</v>
      </c>
      <c r="K20" s="8">
        <f>IF(AND(AND('TABLA DE PAGOS'!J19&lt;='VALORES DE LIQUIDACIÓN'!A$4,'TABLA DE PAGOS'!J20&gt;='VALORES DE LIQUIDACIÓN'!A$4),'TABLA DE PAGOS'!K20='TABLA DE PAGOS'!A$10),'TABLA DE PAGOS'!C19,IF(AND('TABLA DE PAGOS'!K20='TABLA DE PAGOS'!A$10,'TABLA DE PAGOS'!K21='TABLA DE PAGOS'!A$9),'TABLA DE PAGOS'!C20,IF(AND('TABLA DE PAGOS'!K20='TABLA DE PAGOS'!A$11,'TABLA DE PAGOS'!K21='TABLA DE PAGOS'!A$9),'TABLA DE PAGOS'!C19,0)))</f>
        <v>0</v>
      </c>
      <c r="L20" s="14"/>
      <c r="M20" s="11">
        <f>IF(I20=0,IF('TABLA DE PAGOS'!J20&lt;='TABLA DE PAGOS'!A$4,0,IF('TABLA DE PAGOS'!K20='TABLA DE PAGOS'!A$9,'TABLA DE PAGOS'!F20,IF('TABLA DE PAGOS'!K20='TABLA DE PAGOS'!A$11,(INDEX(SALDOS!B$3:G$200,MATCH('TABLA DE PAGOS'!A$12,SALDOS!E$3:E$200,0),6))-(INDEX(SALDOS!B$3:H$200,MATCH('TABLA DE PAGOS'!A$12,SALDOS!E$3:E$200,0),7)),0))),0)</f>
        <v>0</v>
      </c>
      <c r="N20" s="11">
        <f>IF(AND(I20&gt;0,I19=0),J20*MAX(SALDOS!J$3:J$200),0)</f>
        <v>0</v>
      </c>
      <c r="P20" s="8">
        <f>IF(I20=0,IF('TABLA DE PAGOS'!J20&lt;='TABLA DE PAGOS'!A$4,0,IF('TABLA DE PAGOS'!K20='TABLA DE PAGOS'!A$9,'TABLA DE PAGOS'!E20,IF('TABLA DE PAGOS'!K20='TABLA DE PAGOS'!A$11,INDEX(SALDOS!B$3:G$200,MATCH('TABLA DE PAGOS'!A$13,SALDOS!E$3:E$200,0),6),0))),0)</f>
        <v>0</v>
      </c>
      <c r="Q20" s="8">
        <f>IF(AND(I20&gt;0,I19&gt;0),'TABLA DE PAGOS'!E20,0)</f>
        <v>958.56</v>
      </c>
      <c r="R20" s="8">
        <f t="shared" si="1"/>
        <v>0</v>
      </c>
      <c r="T20" s="8">
        <f>IF(AND(I20&gt;0,I19=0),'TABLA DE PAGOS'!H20,0)</f>
        <v>0</v>
      </c>
      <c r="U20" s="8">
        <f>IF(AND('TABLA DE PAGOS'!K20='TABLA DE PAGOS'!A$11,VLOOKUP('TABLA DE PAGOS'!A$7,SALDOS!B$3:E$200,4)='TABLA DE PAGOS'!A$14),INDEX(SALDOS!B$3:G$200,MATCH('TABLA DE PAGOS'!A$14,SALDOS!E$3:E$200,0),6),IF(AND(P20&gt;0.001,M20&gt;0.001),'TABLA DE PAGOS'!H20,0))</f>
        <v>0</v>
      </c>
      <c r="W20" s="8">
        <v>0</v>
      </c>
    </row>
    <row r="21" spans="2:23">
      <c r="B21" s="33">
        <v>20</v>
      </c>
      <c r="C21" s="8">
        <f>IF('TABLA DE PAGOS'!K21='TABLA DE PAGOS'!A$12,0,IF('TABLA DE PAGOS'!K21='TABLA DE PAGOS'!A$11,'VALORES DE LIQUIDACIÓN'!A$4-'TABLA DE PAGOS'!M21,IF(AND('TABLA DE PAGOS'!J21&lt;'VALORES DE LIQUIDACIÓN'!A$4,'TABLA DE PAGOS'!K21='TABLA DE PAGOS'!A$9),'VALORES DE LIQUIDACIÓN'!A$4-'TABLA DE PAGOS'!J21,0)))</f>
        <v>0</v>
      </c>
      <c r="D21" s="8">
        <f>IF(P21&gt;0,'VALORES DE LIQUIDACIÓN'!A$4-'TABLA DE PAGOS'!J21,0)</f>
        <v>0</v>
      </c>
      <c r="E21" s="35">
        <f t="shared" si="0"/>
        <v>0</v>
      </c>
      <c r="F21" s="11">
        <f>IF(E21&gt;0,('DATOS GENERALES'!K$3+('DATOS GENERALES'!K$3*E21)),0)</f>
        <v>0</v>
      </c>
      <c r="G21" s="11">
        <f>IF(E21&gt;0,IF('TABLA DE PAGOS'!K21='TABLA DE PAGOS'!A$11,(P21*C21*F21)/36000,('TABLA DE PAGOS'!E21*C21*F21)/36000),0)</f>
        <v>0</v>
      </c>
      <c r="I21" s="8">
        <f>IF('TABLA DE PAGOS'!$J21&lt;='VALORES DE LIQUIDACIÓN'!A$4,0,'TABLA DE PAGOS'!$J21-'VALORES DE LIQUIDACIÓN'!A$4)</f>
        <v>381</v>
      </c>
      <c r="J21" s="8">
        <f>IF(AND(I21&gt;0,I20=0),'VALORES DE LIQUIDACIÓN'!A$4-'TABLA DE PAGOS'!J20,0)</f>
        <v>0</v>
      </c>
      <c r="K21" s="8">
        <f>IF(AND(AND('TABLA DE PAGOS'!J20&lt;='VALORES DE LIQUIDACIÓN'!A$4,'TABLA DE PAGOS'!J21&gt;='VALORES DE LIQUIDACIÓN'!A$4),'TABLA DE PAGOS'!K21='TABLA DE PAGOS'!A$10),'TABLA DE PAGOS'!C20,IF(AND('TABLA DE PAGOS'!K21='TABLA DE PAGOS'!A$10,'TABLA DE PAGOS'!K22='TABLA DE PAGOS'!A$9),'TABLA DE PAGOS'!C21,IF(AND('TABLA DE PAGOS'!K21='TABLA DE PAGOS'!A$11,'TABLA DE PAGOS'!K22='TABLA DE PAGOS'!A$9),'TABLA DE PAGOS'!C20,0)))</f>
        <v>0</v>
      </c>
      <c r="L21" s="14"/>
      <c r="M21" s="11">
        <f>IF(I21=0,IF('TABLA DE PAGOS'!J21&lt;='TABLA DE PAGOS'!A$4,0,IF('TABLA DE PAGOS'!K21='TABLA DE PAGOS'!A$9,'TABLA DE PAGOS'!F21,IF('TABLA DE PAGOS'!K21='TABLA DE PAGOS'!A$11,(INDEX(SALDOS!B$3:G$200,MATCH('TABLA DE PAGOS'!A$12,SALDOS!E$3:E$200,0),6))-(INDEX(SALDOS!B$3:H$200,MATCH('TABLA DE PAGOS'!A$12,SALDOS!E$3:E$200,0),7)),0))),0)</f>
        <v>0</v>
      </c>
      <c r="N21" s="11">
        <f>IF(AND(I21&gt;0,I20=0),J21*MAX(SALDOS!J$3:J$200),0)</f>
        <v>0</v>
      </c>
      <c r="P21" s="8">
        <f>IF(I21=0,IF('TABLA DE PAGOS'!J21&lt;='TABLA DE PAGOS'!A$4,0,IF('TABLA DE PAGOS'!K21='TABLA DE PAGOS'!A$9,'TABLA DE PAGOS'!E21,IF('TABLA DE PAGOS'!K21='TABLA DE PAGOS'!A$11,INDEX(SALDOS!B$3:G$200,MATCH('TABLA DE PAGOS'!A$13,SALDOS!E$3:E$200,0),6),0))),0)</f>
        <v>0</v>
      </c>
      <c r="Q21" s="8">
        <f>IF(AND(I21&gt;0,I20&gt;0),'TABLA DE PAGOS'!E21,0)</f>
        <v>896.69</v>
      </c>
      <c r="R21" s="8">
        <f t="shared" si="1"/>
        <v>0</v>
      </c>
      <c r="T21" s="8">
        <f>IF(AND(I21&gt;0,I20=0),'TABLA DE PAGOS'!H21,0)</f>
        <v>0</v>
      </c>
      <c r="U21" s="8">
        <f>IF(AND('TABLA DE PAGOS'!K21='TABLA DE PAGOS'!A$11,VLOOKUP('TABLA DE PAGOS'!A$7,SALDOS!B$3:E$200,4)='TABLA DE PAGOS'!A$14),INDEX(SALDOS!B$3:G$200,MATCH('TABLA DE PAGOS'!A$14,SALDOS!E$3:E$200,0),6),IF(AND(P21&gt;0.001,M21&gt;0.001),'TABLA DE PAGOS'!H21,0))</f>
        <v>0</v>
      </c>
      <c r="W21" s="8">
        <f>IF(AND('TABLA DE PAGOS'!K21='TABLA DE PAGOS'!A$11,VLOOKUP('TABLA DE PAGOS'!A$7,SALDOS!B$3:E$200,4)='TABLA DE PAGOS'!A$16),INDEX(SALDOS!B$3:G$200,MATCH('TABLA DE PAGOS'!A$16,SALDOS!E$3:E$200,0),6),IF(AND(P21&gt;0.001,M21&gt;0.001),'TABLA DE PAGOS'!I21,0))</f>
        <v>0</v>
      </c>
    </row>
    <row r="22" spans="2:23">
      <c r="B22" s="33">
        <v>21</v>
      </c>
      <c r="C22" s="8">
        <f>IF('TABLA DE PAGOS'!K22='TABLA DE PAGOS'!A$12,0,IF('TABLA DE PAGOS'!K22='TABLA DE PAGOS'!A$11,'VALORES DE LIQUIDACIÓN'!A$4-'TABLA DE PAGOS'!M22,IF(AND('TABLA DE PAGOS'!J22&lt;'VALORES DE LIQUIDACIÓN'!A$4,'TABLA DE PAGOS'!K22='TABLA DE PAGOS'!A$9),'VALORES DE LIQUIDACIÓN'!A$4-'TABLA DE PAGOS'!J22,0)))</f>
        <v>0</v>
      </c>
      <c r="D22" s="8">
        <f>IF(P22&gt;0,'VALORES DE LIQUIDACIÓN'!A$4-'TABLA DE PAGOS'!J22,0)</f>
        <v>0</v>
      </c>
      <c r="E22" s="35">
        <f t="shared" si="0"/>
        <v>0</v>
      </c>
      <c r="F22" s="11">
        <f>IF(E22&gt;0,('DATOS GENERALES'!K$3+('DATOS GENERALES'!K$3*E22)),0)</f>
        <v>0</v>
      </c>
      <c r="G22" s="11">
        <f>IF(E22&gt;0,IF('TABLA DE PAGOS'!K22='TABLA DE PAGOS'!A$11,(P22*C22*F22)/36000,('TABLA DE PAGOS'!E22*C22*F22)/36000),0)</f>
        <v>0</v>
      </c>
      <c r="I22" s="8">
        <f>IF('TABLA DE PAGOS'!$J22&lt;='VALORES DE LIQUIDACIÓN'!A$4,0,'TABLA DE PAGOS'!$J22-'VALORES DE LIQUIDACIÓN'!A$4)</f>
        <v>413</v>
      </c>
      <c r="J22" s="8">
        <f>IF(AND(I22&gt;0,I21=0),'VALORES DE LIQUIDACIÓN'!A$4-'TABLA DE PAGOS'!J21,0)</f>
        <v>0</v>
      </c>
      <c r="K22" s="8">
        <f>IF(AND(AND('TABLA DE PAGOS'!J21&lt;='VALORES DE LIQUIDACIÓN'!A$4,'TABLA DE PAGOS'!J22&gt;='VALORES DE LIQUIDACIÓN'!A$4),'TABLA DE PAGOS'!K22='TABLA DE PAGOS'!A$10),'TABLA DE PAGOS'!C21,IF(AND('TABLA DE PAGOS'!K22='TABLA DE PAGOS'!A$10,'TABLA DE PAGOS'!K23='TABLA DE PAGOS'!A$9),'TABLA DE PAGOS'!C22,IF(AND('TABLA DE PAGOS'!K22='TABLA DE PAGOS'!A$11,'TABLA DE PAGOS'!K23='TABLA DE PAGOS'!A$9),'TABLA DE PAGOS'!C21,0)))</f>
        <v>0</v>
      </c>
      <c r="L22" s="14"/>
      <c r="M22" s="11">
        <f>IF(I22=0,IF('TABLA DE PAGOS'!J22&lt;='TABLA DE PAGOS'!A$4,0,IF('TABLA DE PAGOS'!K22='TABLA DE PAGOS'!A$9,'TABLA DE PAGOS'!F22,IF('TABLA DE PAGOS'!K22='TABLA DE PAGOS'!A$11,(INDEX(SALDOS!B$3:G$200,MATCH('TABLA DE PAGOS'!A$12,SALDOS!E$3:E$200,0),6))-(INDEX(SALDOS!B$3:H$200,MATCH('TABLA DE PAGOS'!A$12,SALDOS!E$3:E$200,0),7)),0))),0)</f>
        <v>0</v>
      </c>
      <c r="N22" s="11">
        <f>IF(AND(I22&gt;0,I21=0),J22*MAX(SALDOS!J$3:J$200),0)</f>
        <v>0</v>
      </c>
      <c r="P22" s="8">
        <f>IF(I22=0,IF('TABLA DE PAGOS'!J22&lt;='TABLA DE PAGOS'!A$4,0,IF('TABLA DE PAGOS'!K22='TABLA DE PAGOS'!A$9,'TABLA DE PAGOS'!E22,IF('TABLA DE PAGOS'!K22='TABLA DE PAGOS'!A$11,INDEX(SALDOS!B$3:G$200,MATCH('TABLA DE PAGOS'!A$13,SALDOS!E$3:E$200,0),6),0))),0)</f>
        <v>0</v>
      </c>
      <c r="Q22" s="8">
        <f>IF(AND(I22&gt;0,I21&gt;0),'TABLA DE PAGOS'!E22,0)</f>
        <v>764.88</v>
      </c>
      <c r="R22" s="8">
        <f t="shared" si="1"/>
        <v>0</v>
      </c>
      <c r="T22" s="8">
        <f>IF(AND(I22&gt;0,I21=0),'TABLA DE PAGOS'!H22,0)</f>
        <v>0</v>
      </c>
      <c r="U22" s="8">
        <f>IF(AND('TABLA DE PAGOS'!K22='TABLA DE PAGOS'!A$11,VLOOKUP('TABLA DE PAGOS'!A$7,SALDOS!B$3:E$200,4)='TABLA DE PAGOS'!A$14),INDEX(SALDOS!B$3:G$200,MATCH('TABLA DE PAGOS'!A$14,SALDOS!E$3:E$200,0),6),IF(AND(P22&gt;0.001,M22&gt;0.001),'TABLA DE PAGOS'!H22,0))</f>
        <v>0</v>
      </c>
      <c r="W22" s="8">
        <f>IF(AND('TABLA DE PAGOS'!K22='TABLA DE PAGOS'!A$11,VLOOKUP('TABLA DE PAGOS'!A$7,SALDOS!B$3:E$200,4)='TABLA DE PAGOS'!A$16),INDEX(SALDOS!B$3:G$200,MATCH('TABLA DE PAGOS'!A$16,SALDOS!E$3:E$200,0),6),IF(AND(P22&gt;0.001,M22&gt;0.001),'TABLA DE PAGOS'!I22,0))</f>
        <v>0</v>
      </c>
    </row>
    <row r="23" spans="2:23">
      <c r="B23" s="33">
        <v>22</v>
      </c>
      <c r="C23" s="8">
        <f>IF('TABLA DE PAGOS'!K23='TABLA DE PAGOS'!A$12,0,IF('TABLA DE PAGOS'!K23='TABLA DE PAGOS'!A$11,'VALORES DE LIQUIDACIÓN'!A$4-'TABLA DE PAGOS'!M23,IF(AND('TABLA DE PAGOS'!J23&lt;'VALORES DE LIQUIDACIÓN'!A$4,'TABLA DE PAGOS'!K23='TABLA DE PAGOS'!A$9),'VALORES DE LIQUIDACIÓN'!A$4-'TABLA DE PAGOS'!J23,0)))</f>
        <v>0</v>
      </c>
      <c r="D23" s="8">
        <f>IF(P23&gt;0,'VALORES DE LIQUIDACIÓN'!A$4-'TABLA DE PAGOS'!J23,0)</f>
        <v>0</v>
      </c>
      <c r="E23" s="35">
        <f t="shared" si="0"/>
        <v>0</v>
      </c>
      <c r="F23" s="11">
        <f>IF(E23&gt;0,('DATOS GENERALES'!K$3+('DATOS GENERALES'!K$3*E23)),0)</f>
        <v>0</v>
      </c>
      <c r="G23" s="11">
        <f>IF(E23&gt;0,IF('TABLA DE PAGOS'!K23='TABLA DE PAGOS'!A$11,(P23*C23*F23)/36000,('TABLA DE PAGOS'!E23*C23*F23)/36000),0)</f>
        <v>0</v>
      </c>
      <c r="I23" s="8">
        <f>IF('TABLA DE PAGOS'!$J23&lt;='VALORES DE LIQUIDACIÓN'!A$4,0,'TABLA DE PAGOS'!$J23-'VALORES DE LIQUIDACIÓN'!A$4)</f>
        <v>442</v>
      </c>
      <c r="J23" s="8">
        <f>IF(AND(I23&gt;0,I22=0),'VALORES DE LIQUIDACIÓN'!A$4-'TABLA DE PAGOS'!J22,0)</f>
        <v>0</v>
      </c>
      <c r="K23" s="8">
        <f>IF(AND(AND('TABLA DE PAGOS'!J22&lt;='VALORES DE LIQUIDACIÓN'!A$4,'TABLA DE PAGOS'!J23&gt;='VALORES DE LIQUIDACIÓN'!A$4),'TABLA DE PAGOS'!K23='TABLA DE PAGOS'!A$10),'TABLA DE PAGOS'!C22,IF(AND('TABLA DE PAGOS'!K23='TABLA DE PAGOS'!A$10,'TABLA DE PAGOS'!K24='TABLA DE PAGOS'!A$9),'TABLA DE PAGOS'!C23,IF(AND('TABLA DE PAGOS'!K23='TABLA DE PAGOS'!A$11,'TABLA DE PAGOS'!K24='TABLA DE PAGOS'!A$9),'TABLA DE PAGOS'!C22,0)))</f>
        <v>0</v>
      </c>
      <c r="L23" s="14"/>
      <c r="M23" s="11">
        <f>IF(I23=0,IF('TABLA DE PAGOS'!J23&lt;='TABLA DE PAGOS'!A$4,0,IF('TABLA DE PAGOS'!K23='TABLA DE PAGOS'!A$9,'TABLA DE PAGOS'!F23,IF('TABLA DE PAGOS'!K23='TABLA DE PAGOS'!A$11,(INDEX(SALDOS!B$3:G$200,MATCH('TABLA DE PAGOS'!A$12,SALDOS!E$3:E$200,0),6))-(INDEX(SALDOS!B$3:H$200,MATCH('TABLA DE PAGOS'!A$12,SALDOS!E$3:E$200,0),7)),0))),0)</f>
        <v>0</v>
      </c>
      <c r="N23" s="11">
        <f>IF(AND(I23&gt;0,I22=0),J23*MAX(SALDOS!J$3:J$200),0)</f>
        <v>0</v>
      </c>
      <c r="P23" s="8">
        <f>IF(I23=0,IF('TABLA DE PAGOS'!J23&lt;='TABLA DE PAGOS'!A$4,0,IF('TABLA DE PAGOS'!K23='TABLA DE PAGOS'!A$9,'TABLA DE PAGOS'!E23,IF('TABLA DE PAGOS'!K23='TABLA DE PAGOS'!A$11,INDEX(SALDOS!B$3:G$200,MATCH('TABLA DE PAGOS'!A$13,SALDOS!E$3:E$200,0),6),0))),0)</f>
        <v>0</v>
      </c>
      <c r="Q23" s="8">
        <f>IF(AND(I23&gt;0,I22&gt;0),'TABLA DE PAGOS'!E23,0)</f>
        <v>981.34</v>
      </c>
      <c r="R23" s="8">
        <f t="shared" si="1"/>
        <v>0</v>
      </c>
      <c r="T23" s="8">
        <f>IF(AND(I23&gt;0,I22=0),'TABLA DE PAGOS'!H23,0)</f>
        <v>0</v>
      </c>
      <c r="U23" s="8">
        <f>IF(AND('TABLA DE PAGOS'!K23='TABLA DE PAGOS'!A$11,VLOOKUP('TABLA DE PAGOS'!A$7,SALDOS!B$3:E$200,4)='TABLA DE PAGOS'!A$14),INDEX(SALDOS!B$3:G$200,MATCH('TABLA DE PAGOS'!A$14,SALDOS!E$3:E$200,0),6),IF(AND(P23&gt;0.001,M23&gt;0.001),'TABLA DE PAGOS'!H23,0))</f>
        <v>0</v>
      </c>
      <c r="W23" s="8">
        <f>IF(AND('TABLA DE PAGOS'!K23='TABLA DE PAGOS'!A$11,VLOOKUP('TABLA DE PAGOS'!A$7,SALDOS!B$3:E$200,4)='TABLA DE PAGOS'!A$16),INDEX(SALDOS!B$3:G$200,MATCH('TABLA DE PAGOS'!A$16,SALDOS!E$3:E$200,0),6),IF(AND(P23&gt;0.001,M23&gt;0.001),'TABLA DE PAGOS'!I23,0))</f>
        <v>0</v>
      </c>
    </row>
    <row r="24" spans="2:23">
      <c r="B24" s="33">
        <v>23</v>
      </c>
      <c r="C24" s="8">
        <f>IF('TABLA DE PAGOS'!K24='TABLA DE PAGOS'!A$12,0,IF('TABLA DE PAGOS'!K24='TABLA DE PAGOS'!A$11,'VALORES DE LIQUIDACIÓN'!A$4-'TABLA DE PAGOS'!M24,IF(AND('TABLA DE PAGOS'!J24&lt;'VALORES DE LIQUIDACIÓN'!A$4,'TABLA DE PAGOS'!K24='TABLA DE PAGOS'!A$9),'VALORES DE LIQUIDACIÓN'!A$4-'TABLA DE PAGOS'!J24,0)))</f>
        <v>0</v>
      </c>
      <c r="D24" s="8">
        <f>IF(P24&gt;0,'VALORES DE LIQUIDACIÓN'!A$4-'TABLA DE PAGOS'!J24,0)</f>
        <v>0</v>
      </c>
      <c r="E24" s="35">
        <f t="shared" si="0"/>
        <v>0</v>
      </c>
      <c r="F24" s="11">
        <f>IF(E24&gt;0,('DATOS GENERALES'!K$3+('DATOS GENERALES'!K$3*E24)),0)</f>
        <v>0</v>
      </c>
      <c r="G24" s="11">
        <f>IF(E24&gt;0,IF('TABLA DE PAGOS'!K24='TABLA DE PAGOS'!A$11,(P24*C24*F24)/36000,('TABLA DE PAGOS'!E24*C24*F24)/36000),0)</f>
        <v>0</v>
      </c>
      <c r="I24" s="8">
        <f>IF('TABLA DE PAGOS'!$J24&lt;='VALORES DE LIQUIDACIÓN'!A$4,0,'TABLA DE PAGOS'!$J24-'VALORES DE LIQUIDACIÓN'!A$4)</f>
        <v>473</v>
      </c>
      <c r="J24" s="8">
        <f>IF(AND(I24&gt;0,I23=0),'VALORES DE LIQUIDACIÓN'!A$4-'TABLA DE PAGOS'!J23,0)</f>
        <v>0</v>
      </c>
      <c r="K24" s="8">
        <f>IF(AND(AND('TABLA DE PAGOS'!J23&lt;='VALORES DE LIQUIDACIÓN'!A$4,'TABLA DE PAGOS'!J24&gt;='VALORES DE LIQUIDACIÓN'!A$4),'TABLA DE PAGOS'!K24='TABLA DE PAGOS'!A$10),'TABLA DE PAGOS'!C23,IF(AND('TABLA DE PAGOS'!K24='TABLA DE PAGOS'!A$10,'TABLA DE PAGOS'!K25='TABLA DE PAGOS'!A$9),'TABLA DE PAGOS'!C24,IF(AND('TABLA DE PAGOS'!K24='TABLA DE PAGOS'!A$11,'TABLA DE PAGOS'!K25='TABLA DE PAGOS'!A$9),'TABLA DE PAGOS'!C23,0)))</f>
        <v>0</v>
      </c>
      <c r="L24" s="14"/>
      <c r="M24" s="11">
        <f>IF(I24=0,IF('TABLA DE PAGOS'!J24&lt;='TABLA DE PAGOS'!A$4,0,IF('TABLA DE PAGOS'!K24='TABLA DE PAGOS'!A$9,'TABLA DE PAGOS'!F24,IF('TABLA DE PAGOS'!K24='TABLA DE PAGOS'!A$11,(INDEX(SALDOS!B$3:G$200,MATCH('TABLA DE PAGOS'!A$12,SALDOS!E$3:E$200,0),6))-(INDEX(SALDOS!B$3:H$200,MATCH('TABLA DE PAGOS'!A$12,SALDOS!E$3:E$200,0),7)),0))),0)</f>
        <v>0</v>
      </c>
      <c r="N24" s="11">
        <f>IF(AND(I24&gt;0,I23=0),J24*MAX(SALDOS!J$3:J$200),0)</f>
        <v>0</v>
      </c>
      <c r="P24" s="8">
        <f>IF(I24=0,IF('TABLA DE PAGOS'!J24&lt;='TABLA DE PAGOS'!A$4,0,IF('TABLA DE PAGOS'!K24='TABLA DE PAGOS'!A$9,'TABLA DE PAGOS'!E24,IF('TABLA DE PAGOS'!K24='TABLA DE PAGOS'!A$11,INDEX(SALDOS!B$3:G$200,MATCH('TABLA DE PAGOS'!A$13,SALDOS!E$3:E$200,0),6),0))),0)</f>
        <v>0</v>
      </c>
      <c r="Q24" s="8">
        <f>IF(AND(I24&gt;0,I23&gt;0),'TABLA DE PAGOS'!E24,0)</f>
        <v>851.04</v>
      </c>
      <c r="R24" s="8">
        <f t="shared" si="1"/>
        <v>0</v>
      </c>
      <c r="T24" s="8">
        <f>IF(AND(I24&gt;0,I23=0),'TABLA DE PAGOS'!H24,0)</f>
        <v>0</v>
      </c>
      <c r="U24" s="8">
        <f>IF(AND('TABLA DE PAGOS'!K24='TABLA DE PAGOS'!A$11,VLOOKUP('TABLA DE PAGOS'!A$7,SALDOS!B$3:E$200,4)='TABLA DE PAGOS'!A$14),INDEX(SALDOS!B$3:G$200,MATCH('TABLA DE PAGOS'!A$14,SALDOS!E$3:E$200,0),6),IF(AND(P24&gt;0.001,M24&gt;0.001),'TABLA DE PAGOS'!H24,0))</f>
        <v>0</v>
      </c>
      <c r="W24" s="8">
        <f>IF(AND('TABLA DE PAGOS'!K24='TABLA DE PAGOS'!A$11,VLOOKUP('TABLA DE PAGOS'!A$7,SALDOS!B$3:E$200,4)='TABLA DE PAGOS'!A$16),INDEX(SALDOS!B$3:G$200,MATCH('TABLA DE PAGOS'!A$16,SALDOS!E$3:E$200,0),6),IF(AND(P24&gt;0.001,M24&gt;0.001),'TABLA DE PAGOS'!I24,0))</f>
        <v>0</v>
      </c>
    </row>
    <row r="25" spans="2:23">
      <c r="B25" s="33">
        <v>24</v>
      </c>
      <c r="C25" s="8">
        <f>IF('TABLA DE PAGOS'!K25='TABLA DE PAGOS'!A$12,0,IF('TABLA DE PAGOS'!K25='TABLA DE PAGOS'!A$11,'VALORES DE LIQUIDACIÓN'!A$4-'TABLA DE PAGOS'!M25,IF(AND('TABLA DE PAGOS'!J25&lt;'VALORES DE LIQUIDACIÓN'!A$4,'TABLA DE PAGOS'!K25='TABLA DE PAGOS'!A$9),'VALORES DE LIQUIDACIÓN'!A$4-'TABLA DE PAGOS'!J25,0)))</f>
        <v>0</v>
      </c>
      <c r="D25" s="8">
        <f>IF(P25&gt;0,'VALORES DE LIQUIDACIÓN'!A$4-'TABLA DE PAGOS'!J25,0)</f>
        <v>0</v>
      </c>
      <c r="E25" s="35">
        <f t="shared" si="0"/>
        <v>0</v>
      </c>
      <c r="F25" s="11">
        <f>IF(E25&gt;0,('DATOS GENERALES'!K$3+('DATOS GENERALES'!K$3*E25)),0)</f>
        <v>0</v>
      </c>
      <c r="G25" s="11">
        <f>IF(E25&gt;0,IF('TABLA DE PAGOS'!K25='TABLA DE PAGOS'!A$11,(P25*C25*F25)/36000,('TABLA DE PAGOS'!E25*C25*F25)/36000),0)</f>
        <v>0</v>
      </c>
      <c r="I25" s="8">
        <f>IF('TABLA DE PAGOS'!$J25&lt;='VALORES DE LIQUIDACIÓN'!A$4,0,'TABLA DE PAGOS'!$J25-'VALORES DE LIQUIDACIÓN'!A$4)</f>
        <v>504</v>
      </c>
      <c r="J25" s="8">
        <f>IF(AND(I25&gt;0,I24=0),'VALORES DE LIQUIDACIÓN'!A$4-'TABLA DE PAGOS'!J24,0)</f>
        <v>0</v>
      </c>
      <c r="K25" s="8">
        <f>IF(AND(AND('TABLA DE PAGOS'!J24&lt;='VALORES DE LIQUIDACIÓN'!A$4,'TABLA DE PAGOS'!J25&gt;='VALORES DE LIQUIDACIÓN'!A$4),'TABLA DE PAGOS'!K25='TABLA DE PAGOS'!A$10),'TABLA DE PAGOS'!C24,IF(AND('TABLA DE PAGOS'!K25='TABLA DE PAGOS'!A$10,'TABLA DE PAGOS'!K26='TABLA DE PAGOS'!A$9),'TABLA DE PAGOS'!C25,IF(AND('TABLA DE PAGOS'!K25='TABLA DE PAGOS'!A$11,'TABLA DE PAGOS'!K26='TABLA DE PAGOS'!A$9),'TABLA DE PAGOS'!C24,0)))</f>
        <v>0</v>
      </c>
      <c r="L25" s="14"/>
      <c r="M25" s="11">
        <f>IF(I25=0,IF('TABLA DE PAGOS'!J25&lt;='TABLA DE PAGOS'!A$4,0,IF('TABLA DE PAGOS'!K25='TABLA DE PAGOS'!A$9,'TABLA DE PAGOS'!F25,IF('TABLA DE PAGOS'!K25='TABLA DE PAGOS'!A$11,(INDEX(SALDOS!B$3:G$200,MATCH('TABLA DE PAGOS'!A$12,SALDOS!E$3:E$200,0),6))-(INDEX(SALDOS!B$3:H$200,MATCH('TABLA DE PAGOS'!A$12,SALDOS!E$3:E$200,0),7)),0))),0)</f>
        <v>0</v>
      </c>
      <c r="N25" s="11">
        <f>IF(AND(I25&gt;0,I24=0),J25*MAX(SALDOS!J$3:J$200),0)</f>
        <v>0</v>
      </c>
      <c r="P25" s="8">
        <f>IF(I25=0,IF('TABLA DE PAGOS'!J25&lt;='TABLA DE PAGOS'!A$4,0,IF('TABLA DE PAGOS'!K25='TABLA DE PAGOS'!A$9,'TABLA DE PAGOS'!E25,IF('TABLA DE PAGOS'!K25='TABLA DE PAGOS'!A$11,INDEX(SALDOS!B$3:G$200,MATCH('TABLA DE PAGOS'!A$13,SALDOS!E$3:E$200,0),6),0))),0)</f>
        <v>0</v>
      </c>
      <c r="Q25" s="8">
        <f>IF(AND(I25&gt;0,I24&gt;0),'TABLA DE PAGOS'!E25,0)</f>
        <v>858.95</v>
      </c>
      <c r="R25" s="8">
        <f t="shared" si="1"/>
        <v>0</v>
      </c>
      <c r="T25" s="8">
        <f>IF(AND(I25&gt;0,I24=0),'TABLA DE PAGOS'!H25,0)</f>
        <v>0</v>
      </c>
      <c r="U25" s="8">
        <f>IF(AND('TABLA DE PAGOS'!K25='TABLA DE PAGOS'!A$11,VLOOKUP('TABLA DE PAGOS'!A$7,SALDOS!B$3:E$200,4)='TABLA DE PAGOS'!A$14),INDEX(SALDOS!B$3:G$200,MATCH('TABLA DE PAGOS'!A$14,SALDOS!E$3:E$200,0),6),IF(AND(P25&gt;0.001,M25&gt;0.001),'TABLA DE PAGOS'!H25,0))</f>
        <v>0</v>
      </c>
      <c r="W25" s="8">
        <v>0</v>
      </c>
    </row>
    <row r="26" spans="2:23">
      <c r="B26" s="33">
        <v>25</v>
      </c>
      <c r="C26" s="8">
        <f>IF('TABLA DE PAGOS'!K26='TABLA DE PAGOS'!A$12,0,IF('TABLA DE PAGOS'!K26='TABLA DE PAGOS'!A$11,'VALORES DE LIQUIDACIÓN'!A$4-'TABLA DE PAGOS'!M26,IF(AND('TABLA DE PAGOS'!J26&lt;'VALORES DE LIQUIDACIÓN'!A$4,'TABLA DE PAGOS'!K26='TABLA DE PAGOS'!A$9),'VALORES DE LIQUIDACIÓN'!A$4-'TABLA DE PAGOS'!J26,0)))</f>
        <v>0</v>
      </c>
      <c r="D26" s="8">
        <f>IF(P26&gt;0,'VALORES DE LIQUIDACIÓN'!A$4-'TABLA DE PAGOS'!J26,0)</f>
        <v>0</v>
      </c>
      <c r="E26" s="35">
        <f t="shared" si="0"/>
        <v>0</v>
      </c>
      <c r="F26" s="11">
        <f>IF(E26&gt;0,('DATOS GENERALES'!K$3+('DATOS GENERALES'!K$3*E26)),0)</f>
        <v>0</v>
      </c>
      <c r="G26" s="11">
        <f>IF(E26&gt;0,IF('TABLA DE PAGOS'!K26='TABLA DE PAGOS'!A$11,(P26*C26*F26)/36000,('TABLA DE PAGOS'!E26*C26*F26)/36000),0)</f>
        <v>0</v>
      </c>
      <c r="I26" s="8">
        <f>IF('TABLA DE PAGOS'!$J26&lt;='VALORES DE LIQUIDACIÓN'!A$4,0,'TABLA DE PAGOS'!$J26-'VALORES DE LIQUIDACIÓN'!A$4)</f>
        <v>534</v>
      </c>
      <c r="J26" s="8">
        <f>IF(AND(I26&gt;0,I25=0),'VALORES DE LIQUIDACIÓN'!A$4-'TABLA DE PAGOS'!J25,0)</f>
        <v>0</v>
      </c>
      <c r="K26" s="8">
        <f>IF(AND(AND('TABLA DE PAGOS'!J25&lt;='VALORES DE LIQUIDACIÓN'!A$4,'TABLA DE PAGOS'!J26&gt;='VALORES DE LIQUIDACIÓN'!A$4),'TABLA DE PAGOS'!K26='TABLA DE PAGOS'!A$10),'TABLA DE PAGOS'!C25,IF(AND('TABLA DE PAGOS'!K26='TABLA DE PAGOS'!A$10,'TABLA DE PAGOS'!K27='TABLA DE PAGOS'!A$9),'TABLA DE PAGOS'!C26,IF(AND('TABLA DE PAGOS'!K26='TABLA DE PAGOS'!A$11,'TABLA DE PAGOS'!K27='TABLA DE PAGOS'!A$9),'TABLA DE PAGOS'!C25,0)))</f>
        <v>0</v>
      </c>
      <c r="L26" s="14"/>
      <c r="M26" s="11">
        <f>IF(I26=0,IF('TABLA DE PAGOS'!J26&lt;='TABLA DE PAGOS'!A$4,0,IF('TABLA DE PAGOS'!K26='TABLA DE PAGOS'!A$9,'TABLA DE PAGOS'!F26,IF('TABLA DE PAGOS'!K26='TABLA DE PAGOS'!A$11,(INDEX(SALDOS!B$3:G$200,MATCH('TABLA DE PAGOS'!A$12,SALDOS!E$3:E$200,0),6))-(INDEX(SALDOS!B$3:H$200,MATCH('TABLA DE PAGOS'!A$12,SALDOS!E$3:E$200,0),7)),0))),0)</f>
        <v>0</v>
      </c>
      <c r="N26" s="11">
        <f>IF(AND(I26&gt;0,I25=0),J26*MAX(SALDOS!J$3:J$200),0)</f>
        <v>0</v>
      </c>
      <c r="P26" s="8">
        <f>IF(I26=0,IF('TABLA DE PAGOS'!J26&lt;='TABLA DE PAGOS'!A$4,0,IF('TABLA DE PAGOS'!K26='TABLA DE PAGOS'!A$9,'TABLA DE PAGOS'!E26,IF('TABLA DE PAGOS'!K26='TABLA DE PAGOS'!A$11,INDEX(SALDOS!B$3:G$200,MATCH('TABLA DE PAGOS'!A$13,SALDOS!E$3:E$200,0),6),0))),0)</f>
        <v>0</v>
      </c>
      <c r="Q26" s="8">
        <f>IF(AND(I26&gt;0,I25&gt;0),'TABLA DE PAGOS'!E26,0)</f>
        <v>935.84</v>
      </c>
      <c r="R26" s="8">
        <f t="shared" si="1"/>
        <v>0</v>
      </c>
      <c r="T26" s="8">
        <f>IF(AND(I26&gt;0,I25=0),'TABLA DE PAGOS'!H26,0)</f>
        <v>0</v>
      </c>
      <c r="U26" s="8">
        <f>IF(AND('TABLA DE PAGOS'!K26='TABLA DE PAGOS'!A$11,VLOOKUP('TABLA DE PAGOS'!A$7,SALDOS!B$3:E$200,4)='TABLA DE PAGOS'!A$14),INDEX(SALDOS!B$3:G$200,MATCH('TABLA DE PAGOS'!A$14,SALDOS!E$3:E$200,0),6),IF(AND(P26&gt;0.001,M26&gt;0.001),'TABLA DE PAGOS'!H26,0))</f>
        <v>0</v>
      </c>
      <c r="W26" s="8">
        <f>IF(AND('TABLA DE PAGOS'!K26='TABLA DE PAGOS'!A$11,VLOOKUP('TABLA DE PAGOS'!A$7,SALDOS!B$3:E$200,4)='TABLA DE PAGOS'!A$16),INDEX(SALDOS!B$3:G$200,MATCH('TABLA DE PAGOS'!A$16,SALDOS!E$3:E$200,0),6),IF(AND(P26&gt;0.001,M26&gt;0.001),'TABLA DE PAGOS'!I26,0))</f>
        <v>0</v>
      </c>
    </row>
    <row r="27" spans="2:23">
      <c r="B27" s="33">
        <v>26</v>
      </c>
      <c r="C27" s="8">
        <f>IF('TABLA DE PAGOS'!K27='TABLA DE PAGOS'!A$12,0,IF('TABLA DE PAGOS'!K27='TABLA DE PAGOS'!A$11,'VALORES DE LIQUIDACIÓN'!A$4-'TABLA DE PAGOS'!M27,IF(AND('TABLA DE PAGOS'!J27&lt;'VALORES DE LIQUIDACIÓN'!A$4,'TABLA DE PAGOS'!K27='TABLA DE PAGOS'!A$9),'VALORES DE LIQUIDACIÓN'!A$4-'TABLA DE PAGOS'!J27,0)))</f>
        <v>0</v>
      </c>
      <c r="D27" s="8">
        <f>IF(P27&gt;0,'VALORES DE LIQUIDACIÓN'!A$4-'TABLA DE PAGOS'!J27,0)</f>
        <v>0</v>
      </c>
      <c r="E27" s="35">
        <f t="shared" si="0"/>
        <v>0</v>
      </c>
      <c r="F27" s="11">
        <f>IF(E27&gt;0,('DATOS GENERALES'!K$3+('DATOS GENERALES'!K$3*E27)),0)</f>
        <v>0</v>
      </c>
      <c r="G27" s="11">
        <f>IF(E27&gt;0,IF('TABLA DE PAGOS'!K27='TABLA DE PAGOS'!A$11,(P27*C27*F27)/36000,('TABLA DE PAGOS'!E27*C27*F27)/36000),0)</f>
        <v>0</v>
      </c>
      <c r="I27" s="8">
        <f>IF('TABLA DE PAGOS'!$J27&lt;='VALORES DE LIQUIDACIÓN'!A$4,0,'TABLA DE PAGOS'!$J27-'VALORES DE LIQUIDACIÓN'!A$4)</f>
        <v>567</v>
      </c>
      <c r="J27" s="8">
        <f>IF(AND(I27&gt;0,I26=0),'VALORES DE LIQUIDACIÓN'!A$4-'TABLA DE PAGOS'!J26,0)</f>
        <v>0</v>
      </c>
      <c r="K27" s="8">
        <f>IF(AND(AND('TABLA DE PAGOS'!J26&lt;='VALORES DE LIQUIDACIÓN'!A$4,'TABLA DE PAGOS'!J27&gt;='VALORES DE LIQUIDACIÓN'!A$4),'TABLA DE PAGOS'!K27='TABLA DE PAGOS'!A$10),'TABLA DE PAGOS'!C26,IF(AND('TABLA DE PAGOS'!K27='TABLA DE PAGOS'!A$10,'TABLA DE PAGOS'!K28='TABLA DE PAGOS'!A$9),'TABLA DE PAGOS'!C27,IF(AND('TABLA DE PAGOS'!K27='TABLA DE PAGOS'!A$11,'TABLA DE PAGOS'!K28='TABLA DE PAGOS'!A$9),'TABLA DE PAGOS'!C26,0)))</f>
        <v>0</v>
      </c>
      <c r="L27" s="14"/>
      <c r="M27" s="11">
        <f>IF(I27=0,IF('TABLA DE PAGOS'!J27&lt;='TABLA DE PAGOS'!A$4,0,IF('TABLA DE PAGOS'!K27='TABLA DE PAGOS'!A$9,'TABLA DE PAGOS'!F27,IF('TABLA DE PAGOS'!K27='TABLA DE PAGOS'!A$11,(INDEX(SALDOS!B$3:G$200,MATCH('TABLA DE PAGOS'!A$12,SALDOS!E$3:E$200,0),6))-(INDEX(SALDOS!B$3:H$200,MATCH('TABLA DE PAGOS'!A$12,SALDOS!E$3:E$200,0),7)),0))),0)</f>
        <v>0</v>
      </c>
      <c r="N27" s="11">
        <f>IF(AND(I27&gt;0,I26=0),J27*MAX(SALDOS!J$3:J$200),0)</f>
        <v>0</v>
      </c>
      <c r="P27" s="8">
        <f>IF(I27=0,IF('TABLA DE PAGOS'!J27&lt;='TABLA DE PAGOS'!A$4,0,IF('TABLA DE PAGOS'!K27='TABLA DE PAGOS'!A$9,'TABLA DE PAGOS'!E27,IF('TABLA DE PAGOS'!K27='TABLA DE PAGOS'!A$11,INDEX(SALDOS!B$3:G$200,MATCH('TABLA DE PAGOS'!A$13,SALDOS!E$3:E$200,0),6),0))),0)</f>
        <v>0</v>
      </c>
      <c r="Q27" s="8">
        <f>IF(AND(I27&gt;0,I26&gt;0),'TABLA DE PAGOS'!E27,0)</f>
        <v>738.39</v>
      </c>
      <c r="R27" s="8">
        <f t="shared" si="1"/>
        <v>0</v>
      </c>
      <c r="T27" s="8">
        <f>IF(AND(I27&gt;0,I26=0),'TABLA DE PAGOS'!H27,0)</f>
        <v>0</v>
      </c>
      <c r="U27" s="8">
        <f>IF(AND('TABLA DE PAGOS'!K27='TABLA DE PAGOS'!A$11,VLOOKUP('TABLA DE PAGOS'!A$7,SALDOS!B$3:E$200,4)='TABLA DE PAGOS'!A$14),INDEX(SALDOS!B$3:G$200,MATCH('TABLA DE PAGOS'!A$14,SALDOS!E$3:E$200,0),6),IF(AND(P27&gt;0.001,M27&gt;0.001),'TABLA DE PAGOS'!H27,0))</f>
        <v>0</v>
      </c>
      <c r="W27" s="8">
        <f>IF(AND('TABLA DE PAGOS'!K27='TABLA DE PAGOS'!A$11,VLOOKUP('TABLA DE PAGOS'!A$7,SALDOS!B$3:E$200,4)='TABLA DE PAGOS'!A$16),INDEX(SALDOS!B$3:G$200,MATCH('TABLA DE PAGOS'!A$16,SALDOS!E$3:E$200,0),6),IF(AND(P27&gt;0.001,M27&gt;0.001),'TABLA DE PAGOS'!I27,0))</f>
        <v>0</v>
      </c>
    </row>
    <row r="28" spans="2:23">
      <c r="B28" s="33">
        <v>27</v>
      </c>
      <c r="C28" s="8">
        <f>IF('TABLA DE PAGOS'!K28='TABLA DE PAGOS'!A$12,0,IF('TABLA DE PAGOS'!K28='TABLA DE PAGOS'!A$11,'VALORES DE LIQUIDACIÓN'!A$4-'TABLA DE PAGOS'!M28,IF(AND('TABLA DE PAGOS'!J28&lt;'VALORES DE LIQUIDACIÓN'!A$4,'TABLA DE PAGOS'!K28='TABLA DE PAGOS'!A$9),'VALORES DE LIQUIDACIÓN'!A$4-'TABLA DE PAGOS'!J28,0)))</f>
        <v>0</v>
      </c>
      <c r="D28" s="8">
        <f>IF(P28&gt;0,'VALORES DE LIQUIDACIÓN'!A$4-'TABLA DE PAGOS'!J28,0)</f>
        <v>0</v>
      </c>
      <c r="E28" s="35">
        <f t="shared" si="0"/>
        <v>0</v>
      </c>
      <c r="F28" s="11">
        <f>IF(E28&gt;0,('DATOS GENERALES'!K$3+('DATOS GENERALES'!K$3*E28)),0)</f>
        <v>0</v>
      </c>
      <c r="G28" s="11">
        <f>IF(E28&gt;0,IF('TABLA DE PAGOS'!K28='TABLA DE PAGOS'!A$11,(P28*C28*F28)/36000,('TABLA DE PAGOS'!E28*C28*F28)/36000),0)</f>
        <v>0</v>
      </c>
      <c r="I28" s="8">
        <f>IF('TABLA DE PAGOS'!$J28&lt;='VALORES DE LIQUIDACIÓN'!A$4,0,'TABLA DE PAGOS'!$J28-'VALORES DE LIQUIDACIÓN'!A$4)</f>
        <v>595</v>
      </c>
      <c r="J28" s="8">
        <f>IF(AND(I28&gt;0,I27=0),'VALORES DE LIQUIDACIÓN'!A$4-'TABLA DE PAGOS'!J27,0)</f>
        <v>0</v>
      </c>
      <c r="K28" s="8">
        <f>IF(AND(AND('TABLA DE PAGOS'!J27&lt;='VALORES DE LIQUIDACIÓN'!A$4,'TABLA DE PAGOS'!J28&gt;='VALORES DE LIQUIDACIÓN'!A$4),'TABLA DE PAGOS'!K28='TABLA DE PAGOS'!A$10),'TABLA DE PAGOS'!C27,IF(AND('TABLA DE PAGOS'!K28='TABLA DE PAGOS'!A$10,'TABLA DE PAGOS'!K29='TABLA DE PAGOS'!A$9),'TABLA DE PAGOS'!C28,IF(AND('TABLA DE PAGOS'!K28='TABLA DE PAGOS'!A$11,'TABLA DE PAGOS'!K29='TABLA DE PAGOS'!A$9),'TABLA DE PAGOS'!C27,0)))</f>
        <v>0</v>
      </c>
      <c r="L28" s="14"/>
      <c r="M28" s="11">
        <f>IF(I28=0,IF('TABLA DE PAGOS'!J28&lt;='TABLA DE PAGOS'!A$4,0,IF('TABLA DE PAGOS'!K28='TABLA DE PAGOS'!A$9,'TABLA DE PAGOS'!F28,IF('TABLA DE PAGOS'!K28='TABLA DE PAGOS'!A$11,(INDEX(SALDOS!B$3:G$200,MATCH('TABLA DE PAGOS'!A$12,SALDOS!E$3:E$200,0),6))-(INDEX(SALDOS!B$3:H$200,MATCH('TABLA DE PAGOS'!A$12,SALDOS!E$3:E$200,0),7)),0))),0)</f>
        <v>0</v>
      </c>
      <c r="N28" s="11">
        <f>IF(AND(I28&gt;0,I27=0),J28*MAX(SALDOS!J$3:J$200),0)</f>
        <v>0</v>
      </c>
      <c r="P28" s="8">
        <f>IF(I28=0,IF('TABLA DE PAGOS'!J28&lt;='TABLA DE PAGOS'!A$4,0,IF('TABLA DE PAGOS'!K28='TABLA DE PAGOS'!A$9,'TABLA DE PAGOS'!E28,IF('TABLA DE PAGOS'!K28='TABLA DE PAGOS'!A$11,INDEX(SALDOS!B$3:G$200,MATCH('TABLA DE PAGOS'!A$13,SALDOS!E$3:E$200,0),6),0))),0)</f>
        <v>0</v>
      </c>
      <c r="Q28" s="8">
        <f>IF(AND(I28&gt;0,I27&gt;0),'TABLA DE PAGOS'!E28,0)</f>
        <v>1087.68</v>
      </c>
      <c r="R28" s="8">
        <f t="shared" si="1"/>
        <v>0</v>
      </c>
      <c r="T28" s="8">
        <f>IF(AND(I28&gt;0,I27=0),'TABLA DE PAGOS'!H28,0)</f>
        <v>0</v>
      </c>
      <c r="U28" s="8">
        <f>IF(AND('TABLA DE PAGOS'!K28='TABLA DE PAGOS'!A$11,VLOOKUP('TABLA DE PAGOS'!A$7,SALDOS!B$3:E$200,4)='TABLA DE PAGOS'!A$14),INDEX(SALDOS!B$3:G$200,MATCH('TABLA DE PAGOS'!A$14,SALDOS!E$3:E$200,0),6),IF(AND(P28&gt;0.001,M28&gt;0.001),'TABLA DE PAGOS'!H28,0))</f>
        <v>0</v>
      </c>
      <c r="W28" s="8">
        <f>IF(AND('TABLA DE PAGOS'!K28='TABLA DE PAGOS'!A$11,VLOOKUP('TABLA DE PAGOS'!A$7,SALDOS!B$3:E$200,4)='TABLA DE PAGOS'!A$16),INDEX(SALDOS!B$3:G$200,MATCH('TABLA DE PAGOS'!A$16,SALDOS!E$3:E$200,0),6),IF(AND(P28&gt;0.001,M28&gt;0.001),'TABLA DE PAGOS'!I28,0))</f>
        <v>0</v>
      </c>
    </row>
    <row r="29" spans="2:23">
      <c r="B29" s="33">
        <v>28</v>
      </c>
      <c r="C29" s="8">
        <f>IF('TABLA DE PAGOS'!K29='TABLA DE PAGOS'!A$12,0,IF('TABLA DE PAGOS'!K29='TABLA DE PAGOS'!A$11,'VALORES DE LIQUIDACIÓN'!A$4-'TABLA DE PAGOS'!M29,IF(AND('TABLA DE PAGOS'!J29&lt;'VALORES DE LIQUIDACIÓN'!A$4,'TABLA DE PAGOS'!K29='TABLA DE PAGOS'!A$9),'VALORES DE LIQUIDACIÓN'!A$4-'TABLA DE PAGOS'!J29,0)))</f>
        <v>0</v>
      </c>
      <c r="D29" s="8">
        <f>IF(P29&gt;0,'VALORES DE LIQUIDACIÓN'!A$4-'TABLA DE PAGOS'!J29,0)</f>
        <v>0</v>
      </c>
      <c r="E29" s="35">
        <f t="shared" si="0"/>
        <v>0</v>
      </c>
      <c r="F29" s="11">
        <f>IF(E29&gt;0,('DATOS GENERALES'!K$3+('DATOS GENERALES'!K$3*E29)),0)</f>
        <v>0</v>
      </c>
      <c r="G29" s="11">
        <f>IF(E29&gt;0,IF('TABLA DE PAGOS'!K29='TABLA DE PAGOS'!A$11,(P29*C29*F29)/36000,('TABLA DE PAGOS'!E29*C29*F29)/36000),0)</f>
        <v>0</v>
      </c>
      <c r="I29" s="8">
        <f>IF('TABLA DE PAGOS'!$J29&lt;='VALORES DE LIQUIDACIÓN'!A$4,0,'TABLA DE PAGOS'!$J29-'VALORES DE LIQUIDACIÓN'!A$4)</f>
        <v>626</v>
      </c>
      <c r="J29" s="8">
        <f>IF(AND(I29&gt;0,I28=0),'VALORES DE LIQUIDACIÓN'!A$4-'TABLA DE PAGOS'!J28,0)</f>
        <v>0</v>
      </c>
      <c r="K29" s="8">
        <f>IF(AND(AND('TABLA DE PAGOS'!J28&lt;='VALORES DE LIQUIDACIÓN'!A$4,'TABLA DE PAGOS'!J29&gt;='VALORES DE LIQUIDACIÓN'!A$4),'TABLA DE PAGOS'!K29='TABLA DE PAGOS'!A$10),'TABLA DE PAGOS'!C28,IF(AND('TABLA DE PAGOS'!K29='TABLA DE PAGOS'!A$10,'TABLA DE PAGOS'!K30='TABLA DE PAGOS'!A$9),'TABLA DE PAGOS'!C29,IF(AND('TABLA DE PAGOS'!K29='TABLA DE PAGOS'!A$11,'TABLA DE PAGOS'!K30='TABLA DE PAGOS'!A$9),'TABLA DE PAGOS'!C28,0)))</f>
        <v>0</v>
      </c>
      <c r="L29" s="14"/>
      <c r="M29" s="11">
        <f>IF(I29=0,IF('TABLA DE PAGOS'!J29&lt;='TABLA DE PAGOS'!A$4,0,IF('TABLA DE PAGOS'!K29='TABLA DE PAGOS'!A$9,'TABLA DE PAGOS'!F29,IF('TABLA DE PAGOS'!K29='TABLA DE PAGOS'!A$11,(INDEX(SALDOS!B$3:G$200,MATCH('TABLA DE PAGOS'!A$12,SALDOS!E$3:E$200,0),6))-(INDEX(SALDOS!B$3:H$200,MATCH('TABLA DE PAGOS'!A$12,SALDOS!E$3:E$200,0),7)),0))),0)</f>
        <v>0</v>
      </c>
      <c r="N29" s="11">
        <f>IF(AND(I29&gt;0,I28=0),J29*MAX(SALDOS!J$3:J$200),0)</f>
        <v>0</v>
      </c>
      <c r="P29" s="8">
        <f>IF(I29=0,IF('TABLA DE PAGOS'!J29&lt;='TABLA DE PAGOS'!A$4,0,IF('TABLA DE PAGOS'!K29='TABLA DE PAGOS'!A$9,'TABLA DE PAGOS'!E29,IF('TABLA DE PAGOS'!K29='TABLA DE PAGOS'!A$11,INDEX(SALDOS!B$3:G$200,MATCH('TABLA DE PAGOS'!A$13,SALDOS!E$3:E$200,0),6),0))),0)</f>
        <v>0</v>
      </c>
      <c r="Q29" s="8">
        <f>IF(AND(I29&gt;0,I28&gt;0),'TABLA DE PAGOS'!E29,0)</f>
        <v>892.59</v>
      </c>
      <c r="R29" s="8">
        <f t="shared" si="1"/>
        <v>0</v>
      </c>
      <c r="T29" s="8">
        <f>IF(AND(I29&gt;0,I28=0),'TABLA DE PAGOS'!H29,0)</f>
        <v>0</v>
      </c>
      <c r="U29" s="8">
        <f>IF(AND('TABLA DE PAGOS'!K29='TABLA DE PAGOS'!A$11,VLOOKUP('TABLA DE PAGOS'!A$7,SALDOS!B$3:E$200,4)='TABLA DE PAGOS'!A$14),INDEX(SALDOS!B$3:G$200,MATCH('TABLA DE PAGOS'!A$14,SALDOS!E$3:E$200,0),6),IF(AND(P29&gt;0.001,M29&gt;0.001),'TABLA DE PAGOS'!H29,0))</f>
        <v>0</v>
      </c>
      <c r="W29" s="8">
        <f>IF(AND('TABLA DE PAGOS'!K29='TABLA DE PAGOS'!A$11,VLOOKUP('TABLA DE PAGOS'!A$7,SALDOS!B$3:E$200,4)='TABLA DE PAGOS'!A$16),INDEX(SALDOS!B$3:G$200,MATCH('TABLA DE PAGOS'!A$16,SALDOS!E$3:E$200,0),6),IF(AND(P29&gt;0.001,M29&gt;0.001),'TABLA DE PAGOS'!I29,0))</f>
        <v>0</v>
      </c>
    </row>
    <row r="30" spans="2:24">
      <c r="B30" s="33">
        <v>29</v>
      </c>
      <c r="C30" s="8">
        <f>IF('TABLA DE PAGOS'!K30='TABLA DE PAGOS'!A$12,0,IF('TABLA DE PAGOS'!K30='TABLA DE PAGOS'!A$11,'VALORES DE LIQUIDACIÓN'!A$4-'TABLA DE PAGOS'!M30,IF(AND('TABLA DE PAGOS'!J30&lt;'VALORES DE LIQUIDACIÓN'!A$4,'TABLA DE PAGOS'!K30='TABLA DE PAGOS'!A$9),'VALORES DE LIQUIDACIÓN'!A$4-'TABLA DE PAGOS'!J30,0)))</f>
        <v>0</v>
      </c>
      <c r="D30" s="8">
        <f>IF(P30&gt;0,'VALORES DE LIQUIDACIÓN'!A$4-'TABLA DE PAGOS'!J30,0)</f>
        <v>0</v>
      </c>
      <c r="E30" s="35">
        <f t="shared" si="0"/>
        <v>0</v>
      </c>
      <c r="F30" s="11">
        <f>IF(E30&gt;0,('DATOS GENERALES'!K$3+('DATOS GENERALES'!K$3*E30)),0)</f>
        <v>0</v>
      </c>
      <c r="G30" s="11">
        <f>IF(E30&gt;0,IF('TABLA DE PAGOS'!K30='TABLA DE PAGOS'!A$11,(P30*C30*F30)/36000,('TABLA DE PAGOS'!E30*C30*F30)/36000),0)</f>
        <v>0</v>
      </c>
      <c r="I30" s="8">
        <f>IF('TABLA DE PAGOS'!$J30&lt;='VALORES DE LIQUIDACIÓN'!A$4,0,'TABLA DE PAGOS'!$J30-'VALORES DE LIQUIDACIÓN'!A$4)</f>
        <v>658</v>
      </c>
      <c r="J30" s="8">
        <f>IF(AND(I30&gt;0,I29=0),'VALORES DE LIQUIDACIÓN'!A$4-'TABLA DE PAGOS'!J29,0)</f>
        <v>0</v>
      </c>
      <c r="K30" s="8">
        <f>IF(AND(AND('TABLA DE PAGOS'!J29&lt;='VALORES DE LIQUIDACIÓN'!A$4,'TABLA DE PAGOS'!J30&gt;='VALORES DE LIQUIDACIÓN'!A$4),'TABLA DE PAGOS'!K30='TABLA DE PAGOS'!A$10),'TABLA DE PAGOS'!C29,IF(AND('TABLA DE PAGOS'!K30='TABLA DE PAGOS'!A$10,'TABLA DE PAGOS'!K31='TABLA DE PAGOS'!A$9),'TABLA DE PAGOS'!C30,IF(AND('TABLA DE PAGOS'!K30='TABLA DE PAGOS'!A$11,'TABLA DE PAGOS'!K31='TABLA DE PAGOS'!A$9),'TABLA DE PAGOS'!C29,0)))</f>
        <v>0</v>
      </c>
      <c r="L30" s="14"/>
      <c r="M30" s="11">
        <f>IF(I30=0,IF('TABLA DE PAGOS'!J30&lt;='TABLA DE PAGOS'!A$4,0,IF('TABLA DE PAGOS'!K30='TABLA DE PAGOS'!A$9,'TABLA DE PAGOS'!F30,IF('TABLA DE PAGOS'!K30='TABLA DE PAGOS'!A$11,(INDEX(SALDOS!B$3:G$200,MATCH('TABLA DE PAGOS'!A$12,SALDOS!E$3:E$200,0),6))-(INDEX(SALDOS!B$3:H$200,MATCH('TABLA DE PAGOS'!A$12,SALDOS!E$3:E$200,0),7)),0))),0)</f>
        <v>0</v>
      </c>
      <c r="N30" s="11">
        <f>IF(AND(I30&gt;0,I29=0),J30*MAX(SALDOS!J$3:J$200),0)</f>
        <v>0</v>
      </c>
      <c r="P30" s="8">
        <f>IF(I30=0,IF('TABLA DE PAGOS'!J30&lt;='TABLA DE PAGOS'!A$4,0,IF('TABLA DE PAGOS'!K30='TABLA DE PAGOS'!A$9,'TABLA DE PAGOS'!E30,IF('TABLA DE PAGOS'!K30='TABLA DE PAGOS'!A$11,INDEX(SALDOS!B$3:G$200,MATCH('TABLA DE PAGOS'!A$13,SALDOS!E$3:E$200,0),6),0))),0)</f>
        <v>0</v>
      </c>
      <c r="Q30" s="8">
        <f>IF(AND(I30&gt;0,I29&gt;0),'TABLA DE PAGOS'!E30,0)</f>
        <v>833.09</v>
      </c>
      <c r="R30" s="8">
        <f t="shared" si="1"/>
        <v>0</v>
      </c>
      <c r="T30" s="8">
        <f>IF(AND(I30&gt;0,I29=0),'TABLA DE PAGOS'!H30,0)</f>
        <v>0</v>
      </c>
      <c r="U30" s="8">
        <f>IF(AND('TABLA DE PAGOS'!K30='TABLA DE PAGOS'!A$11,VLOOKUP('TABLA DE PAGOS'!A$7,SALDOS!B$3:E$200,4)='TABLA DE PAGOS'!A$14),INDEX(SALDOS!B$3:G$200,MATCH('TABLA DE PAGOS'!A$14,SALDOS!E$3:E$200,0),6),IF(AND(P30&gt;0.001,M30&gt;0.001),'TABLA DE PAGOS'!H30,0))</f>
        <v>0</v>
      </c>
      <c r="W30" s="8">
        <f>IF(AND('TABLA DE PAGOS'!K30='TABLA DE PAGOS'!A$11,VLOOKUP('TABLA DE PAGOS'!A$7,SALDOS!B$3:E$200,4)='TABLA DE PAGOS'!A$16),INDEX(SALDOS!B$3:G$200,MATCH('TABLA DE PAGOS'!A$16,SALDOS!E$3:E$200,0),6),IF(AND(P30&gt;0.001,M30&gt;0.001),'TABLA DE PAGOS'!I30,0))</f>
        <v>0</v>
      </c>
      <c r="X30" s="5"/>
    </row>
    <row r="31" spans="2:23">
      <c r="B31" s="33">
        <v>30</v>
      </c>
      <c r="C31" s="8">
        <f>IF('TABLA DE PAGOS'!K31='TABLA DE PAGOS'!A$12,0,IF('TABLA DE PAGOS'!K31='TABLA DE PAGOS'!A$11,'VALORES DE LIQUIDACIÓN'!A$4-'TABLA DE PAGOS'!M31,IF(AND('TABLA DE PAGOS'!J31&lt;'VALORES DE LIQUIDACIÓN'!A$4,'TABLA DE PAGOS'!K31='TABLA DE PAGOS'!A$9),'VALORES DE LIQUIDACIÓN'!A$4-'TABLA DE PAGOS'!J31,0)))</f>
        <v>0</v>
      </c>
      <c r="D31" s="8">
        <f>IF(P31&gt;0,'VALORES DE LIQUIDACIÓN'!A$4-'TABLA DE PAGOS'!J31,0)</f>
        <v>0</v>
      </c>
      <c r="E31" s="35">
        <f t="shared" si="0"/>
        <v>0</v>
      </c>
      <c r="F31" s="11">
        <f>IF(E31&gt;0,('DATOS GENERALES'!K$3+('DATOS GENERALES'!K$3*E31)),0)</f>
        <v>0</v>
      </c>
      <c r="G31" s="11">
        <f>IF(E31&gt;0,IF('TABLA DE PAGOS'!K31='TABLA DE PAGOS'!A$11,(P31*C31*F31)/36000,('TABLA DE PAGOS'!E31*C31*F31)/36000),0)</f>
        <v>0</v>
      </c>
      <c r="I31" s="8">
        <f>IF('TABLA DE PAGOS'!$J31&lt;='VALORES DE LIQUIDACIÓN'!A$4,0,'TABLA DE PAGOS'!$J31-'VALORES DE LIQUIDACIÓN'!A$4)</f>
        <v>686</v>
      </c>
      <c r="J31" s="8">
        <f>IF(AND(I31&gt;0,I30=0),'VALORES DE LIQUIDACIÓN'!A$4-'TABLA DE PAGOS'!J30,0)</f>
        <v>0</v>
      </c>
      <c r="K31" s="8">
        <f>IF(AND(AND('TABLA DE PAGOS'!J30&lt;='VALORES DE LIQUIDACIÓN'!A$4,'TABLA DE PAGOS'!J31&gt;='VALORES DE LIQUIDACIÓN'!A$4),'TABLA DE PAGOS'!K31='TABLA DE PAGOS'!A$10),'TABLA DE PAGOS'!C30,IF(AND('TABLA DE PAGOS'!K31='TABLA DE PAGOS'!A$10,'TABLA DE PAGOS'!K32='TABLA DE PAGOS'!A$9),'TABLA DE PAGOS'!C31,IF(AND('TABLA DE PAGOS'!K31='TABLA DE PAGOS'!A$11,'TABLA DE PAGOS'!K32='TABLA DE PAGOS'!A$9),'TABLA DE PAGOS'!C30,0)))</f>
        <v>0</v>
      </c>
      <c r="L31" s="14"/>
      <c r="M31" s="11">
        <f>IF(I31=0,IF('TABLA DE PAGOS'!J31&lt;='TABLA DE PAGOS'!A$4,0,IF('TABLA DE PAGOS'!K31='TABLA DE PAGOS'!A$9,'TABLA DE PAGOS'!F31,IF('TABLA DE PAGOS'!K31='TABLA DE PAGOS'!A$11,(INDEX(SALDOS!B$3:G$200,MATCH('TABLA DE PAGOS'!A$12,SALDOS!E$3:E$200,0),6))-(INDEX(SALDOS!B$3:H$200,MATCH('TABLA DE PAGOS'!A$12,SALDOS!E$3:E$200,0),7)),0))),0)</f>
        <v>0</v>
      </c>
      <c r="N31" s="11">
        <f>IF(AND(I31&gt;0,I30=0),J31*MAX(SALDOS!J$3:J$200),0)</f>
        <v>0</v>
      </c>
      <c r="P31" s="8">
        <f>IF(I31=0,IF('TABLA DE PAGOS'!J31&lt;='TABLA DE PAGOS'!A$4,0,IF('TABLA DE PAGOS'!K31='TABLA DE PAGOS'!A$9,'TABLA DE PAGOS'!E31,IF('TABLA DE PAGOS'!K31='TABLA DE PAGOS'!A$11,INDEX(SALDOS!B$3:G$200,MATCH('TABLA DE PAGOS'!A$13,SALDOS!E$3:E$200,0),6),0))),0)</f>
        <v>0</v>
      </c>
      <c r="Q31" s="8">
        <f>IF(AND(I31&gt;0,I30&gt;0),'TABLA DE PAGOS'!E31,0)</f>
        <v>1111.3</v>
      </c>
      <c r="R31" s="8">
        <f t="shared" si="1"/>
        <v>0</v>
      </c>
      <c r="T31" s="8">
        <f>IF(AND(I31&gt;0,I30=0),'TABLA DE PAGOS'!H31,0)</f>
        <v>0</v>
      </c>
      <c r="U31" s="8">
        <f>IF(AND('TABLA DE PAGOS'!K31='TABLA DE PAGOS'!A$11,VLOOKUP('TABLA DE PAGOS'!A$7,SALDOS!B$3:E$200,4)='TABLA DE PAGOS'!A$14),INDEX(SALDOS!B$3:G$200,MATCH('TABLA DE PAGOS'!A$14,SALDOS!E$3:E$200,0),6),IF(AND(P31&gt;0.001,M31&gt;0.001),'TABLA DE PAGOS'!H31,0))</f>
        <v>0</v>
      </c>
      <c r="W31" s="8">
        <f>IF(AND('TABLA DE PAGOS'!K31='TABLA DE PAGOS'!A$11,VLOOKUP('TABLA DE PAGOS'!A$7,SALDOS!B$3:E$200,4)='TABLA DE PAGOS'!A$16),INDEX(SALDOS!B$3:G$200,MATCH('TABLA DE PAGOS'!A$16,SALDOS!E$3:E$200,0),6),IF(AND(P31&gt;0.001,M31&gt;0.001),'TABLA DE PAGOS'!I31,0))</f>
        <v>0</v>
      </c>
    </row>
    <row r="32" spans="2:23">
      <c r="B32" s="33">
        <v>31</v>
      </c>
      <c r="C32" s="8">
        <f>IF('TABLA DE PAGOS'!K32='TABLA DE PAGOS'!A$12,0,IF('TABLA DE PAGOS'!K32='TABLA DE PAGOS'!A$11,'VALORES DE LIQUIDACIÓN'!A$4-'TABLA DE PAGOS'!M32,IF(AND('TABLA DE PAGOS'!J32&lt;'VALORES DE LIQUIDACIÓN'!A$4,'TABLA DE PAGOS'!K32='TABLA DE PAGOS'!A$9),'VALORES DE LIQUIDACIÓN'!A$4-'TABLA DE PAGOS'!J32,0)))</f>
        <v>0</v>
      </c>
      <c r="D32" s="8">
        <f>IF(P32&gt;0,'VALORES DE LIQUIDACIÓN'!A$4-'TABLA DE PAGOS'!J32,0)</f>
        <v>0</v>
      </c>
      <c r="E32" s="35">
        <f t="shared" si="0"/>
        <v>0</v>
      </c>
      <c r="F32" s="11">
        <f>IF(E32&gt;0,('DATOS GENERALES'!K$3+('DATOS GENERALES'!K$3*E32)),0)</f>
        <v>0</v>
      </c>
      <c r="G32" s="11">
        <f>IF(E32&gt;0,IF('TABLA DE PAGOS'!K32='TABLA DE PAGOS'!A$11,(P32*C32*F32)/36000,('TABLA DE PAGOS'!E32*C32*F32)/36000),0)</f>
        <v>0</v>
      </c>
      <c r="I32" s="8">
        <f>IF('TABLA DE PAGOS'!$J32&lt;='VALORES DE LIQUIDACIÓN'!A$4,0,'TABLA DE PAGOS'!$J32-'VALORES DE LIQUIDACIÓN'!A$4)</f>
        <v>717</v>
      </c>
      <c r="J32" s="8">
        <f>IF(AND(I32&gt;0,I31=0),'VALORES DE LIQUIDACIÓN'!A$4-'TABLA DE PAGOS'!J31,0)</f>
        <v>0</v>
      </c>
      <c r="K32" s="8">
        <f>IF(AND(AND('TABLA DE PAGOS'!J31&lt;='VALORES DE LIQUIDACIÓN'!A$4,'TABLA DE PAGOS'!J32&gt;='VALORES DE LIQUIDACIÓN'!A$4),'TABLA DE PAGOS'!K32='TABLA DE PAGOS'!A$10),'TABLA DE PAGOS'!C31,IF(AND('TABLA DE PAGOS'!K32='TABLA DE PAGOS'!A$10,'TABLA DE PAGOS'!K33='TABLA DE PAGOS'!A$9),'TABLA DE PAGOS'!C32,IF(AND('TABLA DE PAGOS'!K32='TABLA DE PAGOS'!A$11,'TABLA DE PAGOS'!K33='TABLA DE PAGOS'!A$9),'TABLA DE PAGOS'!C31,0)))</f>
        <v>0</v>
      </c>
      <c r="L32" s="14"/>
      <c r="M32" s="11">
        <f>IF(I32=0,IF('TABLA DE PAGOS'!J32&lt;='TABLA DE PAGOS'!A$4,0,IF('TABLA DE PAGOS'!K32='TABLA DE PAGOS'!A$9,'TABLA DE PAGOS'!F32,IF('TABLA DE PAGOS'!K32='TABLA DE PAGOS'!A$11,(INDEX(SALDOS!B$3:G$200,MATCH('TABLA DE PAGOS'!A$12,SALDOS!E$3:E$200,0),6))-(INDEX(SALDOS!B$3:H$200,MATCH('TABLA DE PAGOS'!A$12,SALDOS!E$3:E$200,0),7)),0))),0)</f>
        <v>0</v>
      </c>
      <c r="N32" s="11">
        <f>IF(AND(I32&gt;0,I31=0),J32*MAX(SALDOS!J$3:J$200),0)</f>
        <v>0</v>
      </c>
      <c r="P32" s="8">
        <f>IF(I32=0,IF('TABLA DE PAGOS'!J32&lt;='TABLA DE PAGOS'!A$4,0,IF('TABLA DE PAGOS'!K32='TABLA DE PAGOS'!A$9,'TABLA DE PAGOS'!E32,IF('TABLA DE PAGOS'!K32='TABLA DE PAGOS'!A$11,INDEX(SALDOS!B$3:G$200,MATCH('TABLA DE PAGOS'!A$13,SALDOS!E$3:E$200,0),6),0))),0)</f>
        <v>0</v>
      </c>
      <c r="Q32" s="8">
        <f>IF(AND(I32&gt;0,I31&gt;0),'TABLA DE PAGOS'!E32,0)</f>
        <v>918.96</v>
      </c>
      <c r="R32" s="8">
        <f t="shared" si="1"/>
        <v>0</v>
      </c>
      <c r="T32" s="8">
        <f>IF(AND(I32&gt;0,I31=0),'TABLA DE PAGOS'!H32,0)</f>
        <v>0</v>
      </c>
      <c r="U32" s="8">
        <f>IF(AND('TABLA DE PAGOS'!K32='TABLA DE PAGOS'!A$11,VLOOKUP('TABLA DE PAGOS'!A$7,SALDOS!B$3:E$200,4)='TABLA DE PAGOS'!A$14),INDEX(SALDOS!B$3:G$200,MATCH('TABLA DE PAGOS'!A$14,SALDOS!E$3:E$200,0),6),IF(AND(P32&gt;0.001,M32&gt;0.001),'TABLA DE PAGOS'!H32,0))</f>
        <v>0</v>
      </c>
      <c r="W32" s="8">
        <f>IF(AND('TABLA DE PAGOS'!K32='TABLA DE PAGOS'!A$11,VLOOKUP('TABLA DE PAGOS'!A$7,SALDOS!B$3:E$200,4)='TABLA DE PAGOS'!A$16),INDEX(SALDOS!B$3:G$200,MATCH('TABLA DE PAGOS'!A$16,SALDOS!E$3:E$200,0),6),IF(AND(P32&gt;0.001,M32&gt;0.001),'TABLA DE PAGOS'!I32,0))</f>
        <v>0</v>
      </c>
    </row>
    <row r="33" spans="2:23">
      <c r="B33" s="33">
        <v>32</v>
      </c>
      <c r="C33" s="8">
        <f>IF('TABLA DE PAGOS'!K33='TABLA DE PAGOS'!A$12,0,IF('TABLA DE PAGOS'!K33='TABLA DE PAGOS'!A$11,'VALORES DE LIQUIDACIÓN'!A$4-'TABLA DE PAGOS'!M33,IF(AND('TABLA DE PAGOS'!J33&lt;'VALORES DE LIQUIDACIÓN'!A$4,'TABLA DE PAGOS'!K33='TABLA DE PAGOS'!A$9),'VALORES DE LIQUIDACIÓN'!A$4-'TABLA DE PAGOS'!J33,0)))</f>
        <v>0</v>
      </c>
      <c r="D33" s="8">
        <f>IF(P33&gt;0,'VALORES DE LIQUIDACIÓN'!A$4-'TABLA DE PAGOS'!J33,0)</f>
        <v>0</v>
      </c>
      <c r="E33" s="35">
        <f t="shared" si="0"/>
        <v>0</v>
      </c>
      <c r="F33" s="11">
        <f>IF(E33&gt;0,('DATOS GENERALES'!K$3+('DATOS GENERALES'!K$3*E33)),0)</f>
        <v>0</v>
      </c>
      <c r="G33" s="11">
        <f>IF(E33&gt;0,IF('TABLA DE PAGOS'!K33='TABLA DE PAGOS'!A$11,(P33*C33*F33)/36000,('TABLA DE PAGOS'!E33*C33*F33)/36000),0)</f>
        <v>0</v>
      </c>
      <c r="I33" s="8">
        <f>IF('TABLA DE PAGOS'!$J33&lt;='VALORES DE LIQUIDACIÓN'!A$4,0,'TABLA DE PAGOS'!$J33-'VALORES DE LIQUIDACIÓN'!A$4)</f>
        <v>749</v>
      </c>
      <c r="J33" s="8">
        <f>IF(AND(I33&gt;0,I32=0),'VALORES DE LIQUIDACIÓN'!A$4-'TABLA DE PAGOS'!J32,0)</f>
        <v>0</v>
      </c>
      <c r="K33" s="8">
        <f>IF(AND(AND('TABLA DE PAGOS'!J32&lt;='VALORES DE LIQUIDACIÓN'!A$4,'TABLA DE PAGOS'!J33&gt;='VALORES DE LIQUIDACIÓN'!A$4),'TABLA DE PAGOS'!K33='TABLA DE PAGOS'!A$10),'TABLA DE PAGOS'!C32,IF(AND('TABLA DE PAGOS'!K33='TABLA DE PAGOS'!A$10,'TABLA DE PAGOS'!K34='TABLA DE PAGOS'!A$9),'TABLA DE PAGOS'!C33,IF(AND('TABLA DE PAGOS'!K33='TABLA DE PAGOS'!A$11,'TABLA DE PAGOS'!K34='TABLA DE PAGOS'!A$9),'TABLA DE PAGOS'!C32,0)))</f>
        <v>0</v>
      </c>
      <c r="L33" s="14"/>
      <c r="M33" s="11">
        <f>IF(I33=0,IF('TABLA DE PAGOS'!J33&lt;='TABLA DE PAGOS'!A$4,0,IF('TABLA DE PAGOS'!K33='TABLA DE PAGOS'!A$9,'TABLA DE PAGOS'!F33,IF('TABLA DE PAGOS'!K33='TABLA DE PAGOS'!A$11,(INDEX(SALDOS!B$3:G$200,MATCH('TABLA DE PAGOS'!A$12,SALDOS!E$3:E$200,0),6))-(INDEX(SALDOS!B$3:H$200,MATCH('TABLA DE PAGOS'!A$12,SALDOS!E$3:E$200,0),7)),0))),0)</f>
        <v>0</v>
      </c>
      <c r="N33" s="11">
        <f>IF(AND(I33&gt;0,I32=0),J33*MAX(SALDOS!J$3:J$200),0)</f>
        <v>0</v>
      </c>
      <c r="P33" s="8">
        <f>IF(I33=0,IF('TABLA DE PAGOS'!J33&lt;='TABLA DE PAGOS'!A$4,0,IF('TABLA DE PAGOS'!K33='TABLA DE PAGOS'!A$9,'TABLA DE PAGOS'!E33,IF('TABLA DE PAGOS'!K33='TABLA DE PAGOS'!A$11,INDEX(SALDOS!B$3:G$200,MATCH('TABLA DE PAGOS'!A$13,SALDOS!E$3:E$200,0),6),0))),0)</f>
        <v>0</v>
      </c>
      <c r="Q33" s="8">
        <f>IF(AND(I33&gt;0,I32&gt;0),'TABLA DE PAGOS'!E33,0)</f>
        <v>860.56</v>
      </c>
      <c r="R33" s="8">
        <f t="shared" si="1"/>
        <v>0</v>
      </c>
      <c r="T33" s="8">
        <f>IF(AND(I33&gt;0,I32=0),'TABLA DE PAGOS'!H33,0)</f>
        <v>0</v>
      </c>
      <c r="U33" s="8">
        <f>IF(AND('TABLA DE PAGOS'!K33='TABLA DE PAGOS'!A$11,VLOOKUP('TABLA DE PAGOS'!A$7,SALDOS!B$3:E$200,4)='TABLA DE PAGOS'!A$14),INDEX(SALDOS!B$3:G$200,MATCH('TABLA DE PAGOS'!A$14,SALDOS!E$3:E$200,0),6),IF(AND(P33&gt;0.001,M33&gt;0.001),'TABLA DE PAGOS'!H33,0))</f>
        <v>0</v>
      </c>
      <c r="W33" s="8">
        <f>IF(AND('TABLA DE PAGOS'!K33='TABLA DE PAGOS'!A$11,VLOOKUP('TABLA DE PAGOS'!A$7,SALDOS!B$3:E$200,4)='TABLA DE PAGOS'!A$16),INDEX(SALDOS!B$3:G$200,MATCH('TABLA DE PAGOS'!A$16,SALDOS!E$3:E$200,0),6),IF(AND(P33&gt;0.001,M33&gt;0.001),'TABLA DE PAGOS'!I33,0))</f>
        <v>0</v>
      </c>
    </row>
    <row r="34" spans="2:23">
      <c r="B34" s="33">
        <v>33</v>
      </c>
      <c r="C34" s="8">
        <f>IF('TABLA DE PAGOS'!K34='TABLA DE PAGOS'!A$12,0,IF('TABLA DE PAGOS'!K34='TABLA DE PAGOS'!A$11,'VALORES DE LIQUIDACIÓN'!A$4-'TABLA DE PAGOS'!M34,IF(AND('TABLA DE PAGOS'!J34&lt;'VALORES DE LIQUIDACIÓN'!A$4,'TABLA DE PAGOS'!K34='TABLA DE PAGOS'!A$9),'VALORES DE LIQUIDACIÓN'!A$4-'TABLA DE PAGOS'!J34,0)))</f>
        <v>0</v>
      </c>
      <c r="D34" s="8">
        <f>IF(P34&gt;0,'VALORES DE LIQUIDACIÓN'!A$4-'TABLA DE PAGOS'!J34,0)</f>
        <v>0</v>
      </c>
      <c r="E34" s="35">
        <f t="shared" si="0"/>
        <v>0</v>
      </c>
      <c r="F34" s="11">
        <f>IF(E34&gt;0,('DATOS GENERALES'!K$3+('DATOS GENERALES'!K$3*E34)),0)</f>
        <v>0</v>
      </c>
      <c r="G34" s="11">
        <f>IF(E34&gt;0,IF('TABLA DE PAGOS'!K34='TABLA DE PAGOS'!A$11,(P34*C34*F34)/36000,('TABLA DE PAGOS'!E34*C34*F34)/36000),0)</f>
        <v>0</v>
      </c>
      <c r="I34" s="8">
        <f>IF('TABLA DE PAGOS'!$J34&lt;='VALORES DE LIQUIDACIÓN'!A$4,0,'TABLA DE PAGOS'!$J34-'VALORES DE LIQUIDACIÓN'!A$4)</f>
        <v>778</v>
      </c>
      <c r="J34" s="8">
        <f>IF(AND(I34&gt;0,I33=0),'VALORES DE LIQUIDACIÓN'!A$4-'TABLA DE PAGOS'!J33,0)</f>
        <v>0</v>
      </c>
      <c r="K34" s="8">
        <f>IF(AND(AND('TABLA DE PAGOS'!J33&lt;='VALORES DE LIQUIDACIÓN'!A$4,'TABLA DE PAGOS'!J34&gt;='VALORES DE LIQUIDACIÓN'!A$4),'TABLA DE PAGOS'!K34='TABLA DE PAGOS'!A$10),'TABLA DE PAGOS'!C33,IF(AND('TABLA DE PAGOS'!K34='TABLA DE PAGOS'!A$10,'TABLA DE PAGOS'!K35='TABLA DE PAGOS'!A$9),'TABLA DE PAGOS'!C34,IF(AND('TABLA DE PAGOS'!K34='TABLA DE PAGOS'!A$11,'TABLA DE PAGOS'!K35='TABLA DE PAGOS'!A$9),'TABLA DE PAGOS'!C33,0)))</f>
        <v>0</v>
      </c>
      <c r="L34" s="14"/>
      <c r="M34" s="11">
        <f>IF(I34=0,IF('TABLA DE PAGOS'!J34&lt;='TABLA DE PAGOS'!A$4,0,IF('TABLA DE PAGOS'!K34='TABLA DE PAGOS'!A$9,'TABLA DE PAGOS'!F34,IF('TABLA DE PAGOS'!K34='TABLA DE PAGOS'!A$11,(INDEX(SALDOS!B$3:G$200,MATCH('TABLA DE PAGOS'!A$12,SALDOS!E$3:E$200,0),6))-(INDEX(SALDOS!B$3:H$200,MATCH('TABLA DE PAGOS'!A$12,SALDOS!E$3:E$200,0),7)),0))),0)</f>
        <v>0</v>
      </c>
      <c r="N34" s="11">
        <f>IF(AND(I34&gt;0,I33=0),J34*MAX(SALDOS!J$3:J$200),0)</f>
        <v>0</v>
      </c>
      <c r="P34" s="8">
        <f>IF(I34=0,IF('TABLA DE PAGOS'!J34&lt;='TABLA DE PAGOS'!A$4,0,IF('TABLA DE PAGOS'!K34='TABLA DE PAGOS'!A$9,'TABLA DE PAGOS'!E34,IF('TABLA DE PAGOS'!K34='TABLA DE PAGOS'!A$11,INDEX(SALDOS!B$3:G$200,MATCH('TABLA DE PAGOS'!A$13,SALDOS!E$3:E$200,0),6),0))),0)</f>
        <v>0</v>
      </c>
      <c r="Q34" s="8">
        <f>IF(AND(I34&gt;0,I33&gt;0),'TABLA DE PAGOS'!E34,0)</f>
        <v>1068.87</v>
      </c>
      <c r="R34" s="8">
        <f t="shared" si="1"/>
        <v>0</v>
      </c>
      <c r="T34" s="8">
        <f>IF(AND(I34&gt;0,I33=0),'TABLA DE PAGOS'!H34,0)</f>
        <v>0</v>
      </c>
      <c r="U34" s="8">
        <v>0</v>
      </c>
      <c r="W34" s="8">
        <f>IF(AND('TABLA DE PAGOS'!K34='TABLA DE PAGOS'!A$11,VLOOKUP('TABLA DE PAGOS'!A$7,SALDOS!B$3:E$200,4)='TABLA DE PAGOS'!A$16),INDEX(SALDOS!B$3:G$200,MATCH('TABLA DE PAGOS'!A$16,SALDOS!E$3:E$200,0),6),IF(AND(P34&gt;0.001,M34&gt;0.001),'TABLA DE PAGOS'!I34,0))</f>
        <v>0</v>
      </c>
    </row>
    <row r="35" spans="2:23">
      <c r="B35" s="33">
        <v>34</v>
      </c>
      <c r="C35" s="8">
        <f>IF('TABLA DE PAGOS'!K35='TABLA DE PAGOS'!A$12,0,IF('TABLA DE PAGOS'!K35='TABLA DE PAGOS'!A$11,'VALORES DE LIQUIDACIÓN'!A$4-'TABLA DE PAGOS'!M35,IF(AND('TABLA DE PAGOS'!J35&lt;'VALORES DE LIQUIDACIÓN'!A$4,'TABLA DE PAGOS'!K35='TABLA DE PAGOS'!A$9),'VALORES DE LIQUIDACIÓN'!A$4-'TABLA DE PAGOS'!J35,0)))</f>
        <v>0</v>
      </c>
      <c r="D35" s="8">
        <f>IF(P35&gt;0,'VALORES DE LIQUIDACIÓN'!A$4-'TABLA DE PAGOS'!J35,0)</f>
        <v>0</v>
      </c>
      <c r="E35" s="35">
        <f t="shared" si="0"/>
        <v>0</v>
      </c>
      <c r="F35" s="11">
        <f>IF(E35&gt;0,('DATOS GENERALES'!K$3+('DATOS GENERALES'!K$3*E35)),0)</f>
        <v>0</v>
      </c>
      <c r="G35" s="11">
        <f>IF(E35&gt;0,IF('TABLA DE PAGOS'!K35='TABLA DE PAGOS'!A$11,(P35*C35*F35)/36000,('TABLA DE PAGOS'!E35*C35*F35)/36000),0)</f>
        <v>0</v>
      </c>
      <c r="I35" s="8">
        <f>IF('TABLA DE PAGOS'!$J35&lt;='VALORES DE LIQUIDACIÓN'!A$4,0,'TABLA DE PAGOS'!$J35-'VALORES DE LIQUIDACIÓN'!A$4)</f>
        <v>808</v>
      </c>
      <c r="J35" s="8">
        <f>IF(AND(I35&gt;0,I34=0),'VALORES DE LIQUIDACIÓN'!A$4-'TABLA DE PAGOS'!J34,0)</f>
        <v>0</v>
      </c>
      <c r="K35" s="8">
        <f>IF(AND(AND('TABLA DE PAGOS'!J34&lt;='VALORES DE LIQUIDACIÓN'!A$4,'TABLA DE PAGOS'!J35&gt;='VALORES DE LIQUIDACIÓN'!A$4),'TABLA DE PAGOS'!K35='TABLA DE PAGOS'!A$10),'TABLA DE PAGOS'!C34,IF(AND('TABLA DE PAGOS'!K35='TABLA DE PAGOS'!A$10,'TABLA DE PAGOS'!K36='TABLA DE PAGOS'!A$9),'TABLA DE PAGOS'!C35,IF(AND('TABLA DE PAGOS'!K35='TABLA DE PAGOS'!A$11,'TABLA DE PAGOS'!K36='TABLA DE PAGOS'!A$9),'TABLA DE PAGOS'!C34,0)))</f>
        <v>0</v>
      </c>
      <c r="L35" s="14"/>
      <c r="M35" s="11">
        <f>IF(I35=0,IF('TABLA DE PAGOS'!J35&lt;='TABLA DE PAGOS'!A$4,0,IF('TABLA DE PAGOS'!K35='TABLA DE PAGOS'!A$9,'TABLA DE PAGOS'!F35,IF('TABLA DE PAGOS'!K35='TABLA DE PAGOS'!A$11,(INDEX(SALDOS!B$3:G$200,MATCH('TABLA DE PAGOS'!A$12,SALDOS!E$3:E$200,0),6))-(INDEX(SALDOS!B$3:H$200,MATCH('TABLA DE PAGOS'!A$12,SALDOS!E$3:E$200,0),7)),0))),0)</f>
        <v>0</v>
      </c>
      <c r="N35" s="11">
        <f>IF(AND(I35&gt;0,I34=0),J35*MAX(SALDOS!J$3:J$200),0)</f>
        <v>0</v>
      </c>
      <c r="P35" s="8">
        <f>IF(I35=0,IF('TABLA DE PAGOS'!J35&lt;='TABLA DE PAGOS'!A$4,0,IF('TABLA DE PAGOS'!K35='TABLA DE PAGOS'!A$9,'TABLA DE PAGOS'!E35,IF('TABLA DE PAGOS'!K35='TABLA DE PAGOS'!A$11,INDEX(SALDOS!B$3:G$200,MATCH('TABLA DE PAGOS'!A$13,SALDOS!E$3:E$200,0),6),0))),0)</f>
        <v>0</v>
      </c>
      <c r="Q35" s="8">
        <f>IF(AND(I35&gt;0,I34&gt;0),'TABLA DE PAGOS'!E35,0)</f>
        <v>1011.8</v>
      </c>
      <c r="R35" s="8">
        <f t="shared" si="1"/>
        <v>0</v>
      </c>
      <c r="T35" s="8">
        <f>IF(AND(I35&gt;0,I34=0),'TABLA DE PAGOS'!H35,0)</f>
        <v>0</v>
      </c>
      <c r="U35" s="8">
        <f>IF(AND('TABLA DE PAGOS'!K35='TABLA DE PAGOS'!A$11,VLOOKUP('TABLA DE PAGOS'!A$7,SALDOS!B$3:E$200,4)='TABLA DE PAGOS'!A$14),INDEX(SALDOS!B$3:G$200,MATCH('TABLA DE PAGOS'!A$14,SALDOS!E$3:E$200,0),6),IF(AND(P35&gt;0.001,M35&gt;0.001),'TABLA DE PAGOS'!H35,0))</f>
        <v>0</v>
      </c>
      <c r="W35" s="8">
        <f>IF(AND('TABLA DE PAGOS'!K35='TABLA DE PAGOS'!A$11,VLOOKUP('TABLA DE PAGOS'!A$7,SALDOS!B$3:E$200,4)='TABLA DE PAGOS'!A$16),INDEX(SALDOS!B$3:G$200,MATCH('TABLA DE PAGOS'!A$16,SALDOS!E$3:E$200,0),6),IF(AND(P35&gt;0.001,M35&gt;0.001),'TABLA DE PAGOS'!I35,0))</f>
        <v>0</v>
      </c>
    </row>
    <row r="36" spans="2:23">
      <c r="B36" s="33">
        <v>35</v>
      </c>
      <c r="C36" s="8">
        <f>IF('TABLA DE PAGOS'!K36='TABLA DE PAGOS'!A$12,0,IF('TABLA DE PAGOS'!K36='TABLA DE PAGOS'!A$11,'VALORES DE LIQUIDACIÓN'!A$4-'TABLA DE PAGOS'!M36,IF(AND('TABLA DE PAGOS'!J36&lt;'VALORES DE LIQUIDACIÓN'!A$4,'TABLA DE PAGOS'!K36='TABLA DE PAGOS'!A$9),'VALORES DE LIQUIDACIÓN'!A$4-'TABLA DE PAGOS'!J36,0)))</f>
        <v>0</v>
      </c>
      <c r="D36" s="8">
        <f>IF(P36&gt;0,'VALORES DE LIQUIDACIÓN'!A$4-'TABLA DE PAGOS'!J36,0)</f>
        <v>0</v>
      </c>
      <c r="E36" s="35">
        <f t="shared" si="0"/>
        <v>0</v>
      </c>
      <c r="F36" s="11">
        <f>IF(E36&gt;0,('DATOS GENERALES'!K$3+('DATOS GENERALES'!K$3*E36)),0)</f>
        <v>0</v>
      </c>
      <c r="G36" s="11">
        <f>IF(E36&gt;0,IF('TABLA DE PAGOS'!K36='TABLA DE PAGOS'!A$11,(P36*C36*F36)/36000,('TABLA DE PAGOS'!E36*C36*F36)/36000),0)</f>
        <v>0</v>
      </c>
      <c r="I36" s="8">
        <f>IF('TABLA DE PAGOS'!$J36&lt;='VALORES DE LIQUIDACIÓN'!A$4,0,'TABLA DE PAGOS'!$J36-'VALORES DE LIQUIDACIÓN'!A$4)</f>
        <v>840</v>
      </c>
      <c r="J36" s="8">
        <f>IF(AND(I36&gt;0,I35=0),'VALORES DE LIQUIDACIÓN'!A$4-'TABLA DE PAGOS'!J35,0)</f>
        <v>0</v>
      </c>
      <c r="K36" s="8">
        <f>IF(AND(AND('TABLA DE PAGOS'!J35&lt;='VALORES DE LIQUIDACIÓN'!A$4,'TABLA DE PAGOS'!J36&gt;='VALORES DE LIQUIDACIÓN'!A$4),'TABLA DE PAGOS'!K36='TABLA DE PAGOS'!A$10),'TABLA DE PAGOS'!C35,IF(AND('TABLA DE PAGOS'!K36='TABLA DE PAGOS'!A$10,'TABLA DE PAGOS'!K37='TABLA DE PAGOS'!A$9),'TABLA DE PAGOS'!C36,IF(AND('TABLA DE PAGOS'!K36='TABLA DE PAGOS'!A$11,'TABLA DE PAGOS'!K37='TABLA DE PAGOS'!A$9),'TABLA DE PAGOS'!C35,0)))</f>
        <v>0</v>
      </c>
      <c r="L36" s="14"/>
      <c r="M36" s="11">
        <f>IF(I36=0,IF('TABLA DE PAGOS'!J36&lt;='TABLA DE PAGOS'!A$4,0,IF('TABLA DE PAGOS'!K36='TABLA DE PAGOS'!A$9,'TABLA DE PAGOS'!F36,IF('TABLA DE PAGOS'!K36='TABLA DE PAGOS'!A$11,(INDEX(SALDOS!B$3:G$200,MATCH('TABLA DE PAGOS'!A$12,SALDOS!E$3:E$200,0),6))-(INDEX(SALDOS!B$3:H$200,MATCH('TABLA DE PAGOS'!A$12,SALDOS!E$3:E$200,0),7)),0))),0)</f>
        <v>0</v>
      </c>
      <c r="N36" s="11">
        <f>IF(AND(I36&gt;0,I35=0),J36*MAX(SALDOS!J$3:J$200),0)</f>
        <v>0</v>
      </c>
      <c r="P36" s="8">
        <f>IF(I36=0,IF('TABLA DE PAGOS'!J36&lt;='TABLA DE PAGOS'!A$4,0,IF('TABLA DE PAGOS'!K36='TABLA DE PAGOS'!A$9,'TABLA DE PAGOS'!E36,IF('TABLA DE PAGOS'!K36='TABLA DE PAGOS'!A$11,INDEX(SALDOS!B$3:G$200,MATCH('TABLA DE PAGOS'!A$13,SALDOS!E$3:E$200,0),6),0))),0)</f>
        <v>0</v>
      </c>
      <c r="Q36" s="8">
        <f>IF(AND(I36&gt;0,I35&gt;0),'TABLA DE PAGOS'!E36,0)</f>
        <v>888.77</v>
      </c>
      <c r="R36" s="8">
        <f t="shared" si="1"/>
        <v>0</v>
      </c>
      <c r="T36" s="8">
        <f>IF(AND(I36&gt;0,I35=0),'TABLA DE PAGOS'!H36,0)</f>
        <v>0</v>
      </c>
      <c r="U36" s="8">
        <f>IF(AND('TABLA DE PAGOS'!K36='TABLA DE PAGOS'!A$11,VLOOKUP('TABLA DE PAGOS'!A$7,SALDOS!B$3:E$200,4)='TABLA DE PAGOS'!A$14),INDEX(SALDOS!B$3:G$200,MATCH('TABLA DE PAGOS'!A$14,SALDOS!E$3:E$200,0),6),IF(AND(P36&gt;0.001,M36&gt;0.001),'TABLA DE PAGOS'!H36,0))</f>
        <v>0</v>
      </c>
      <c r="W36" s="8">
        <f>IF(AND('TABLA DE PAGOS'!K36='TABLA DE PAGOS'!A$11,VLOOKUP('TABLA DE PAGOS'!A$7,SALDOS!B$3:E$200,4)='TABLA DE PAGOS'!A$16),INDEX(SALDOS!B$3:G$200,MATCH('TABLA DE PAGOS'!A$16,SALDOS!E$3:E$200,0),6),IF(AND(P36&gt;0.001,M36&gt;0.001),'TABLA DE PAGOS'!I36,0))</f>
        <v>0</v>
      </c>
    </row>
    <row r="37" spans="2:23">
      <c r="B37" s="33">
        <v>36</v>
      </c>
      <c r="C37" s="8">
        <f>IF('TABLA DE PAGOS'!K37='TABLA DE PAGOS'!A$12,0,IF('TABLA DE PAGOS'!K37='TABLA DE PAGOS'!A$11,'VALORES DE LIQUIDACIÓN'!A$4-'TABLA DE PAGOS'!M37,IF(AND('TABLA DE PAGOS'!J37&lt;'VALORES DE LIQUIDACIÓN'!A$4,'TABLA DE PAGOS'!K37='TABLA DE PAGOS'!A$9),'VALORES DE LIQUIDACIÓN'!A$4-'TABLA DE PAGOS'!J37,0)))</f>
        <v>0</v>
      </c>
      <c r="D37" s="8">
        <f>IF(P37&gt;0,'VALORES DE LIQUIDACIÓN'!A$4-'TABLA DE PAGOS'!J37,0)</f>
        <v>0</v>
      </c>
      <c r="E37" s="35">
        <f t="shared" si="0"/>
        <v>0</v>
      </c>
      <c r="F37" s="11">
        <f>IF(E37&gt;0,('DATOS GENERALES'!K$3+('DATOS GENERALES'!K$3*E37)),0)</f>
        <v>0</v>
      </c>
      <c r="G37" s="11">
        <f>IF(E37&gt;0,IF('TABLA DE PAGOS'!K37='TABLA DE PAGOS'!A$11,(P37*C37*F37)/36000,('TABLA DE PAGOS'!E37*C37*F37)/36000),0)</f>
        <v>0</v>
      </c>
      <c r="I37" s="8">
        <f>IF('TABLA DE PAGOS'!$J37&lt;='VALORES DE LIQUIDACIÓN'!A$4,0,'TABLA DE PAGOS'!$J37-'VALORES DE LIQUIDACIÓN'!A$4)</f>
        <v>870</v>
      </c>
      <c r="J37" s="8">
        <f>IF(AND(I37&gt;0,I36=0),'VALORES DE LIQUIDACIÓN'!A$4-'TABLA DE PAGOS'!J36,0)</f>
        <v>0</v>
      </c>
      <c r="K37" s="8">
        <f>IF(AND(AND('TABLA DE PAGOS'!J36&lt;='VALORES DE LIQUIDACIÓN'!A$4,'TABLA DE PAGOS'!J37&gt;='VALORES DE LIQUIDACIÓN'!A$4),'TABLA DE PAGOS'!K37='TABLA DE PAGOS'!A$10),'TABLA DE PAGOS'!C36,IF(AND('TABLA DE PAGOS'!K37='TABLA DE PAGOS'!A$10,'TABLA DE PAGOS'!K38='TABLA DE PAGOS'!A$9),'TABLA DE PAGOS'!C37,IF(AND('TABLA DE PAGOS'!K37='TABLA DE PAGOS'!A$11,'TABLA DE PAGOS'!K38='TABLA DE PAGOS'!A$9),'TABLA DE PAGOS'!C36,0)))</f>
        <v>0</v>
      </c>
      <c r="L37" s="14"/>
      <c r="M37" s="11">
        <f>IF(I37=0,IF('TABLA DE PAGOS'!J37&lt;='TABLA DE PAGOS'!A$4,0,IF('TABLA DE PAGOS'!K37='TABLA DE PAGOS'!A$9,'TABLA DE PAGOS'!F37,IF('TABLA DE PAGOS'!K37='TABLA DE PAGOS'!A$11,(INDEX(SALDOS!B$3:G$200,MATCH('TABLA DE PAGOS'!A$12,SALDOS!E$3:E$200,0),6))-(INDEX(SALDOS!B$3:H$200,MATCH('TABLA DE PAGOS'!A$12,SALDOS!E$3:E$200,0),7)),0))),0)</f>
        <v>0</v>
      </c>
      <c r="N37" s="11">
        <f>IF(AND(I37&gt;0,I36=0),J37*MAX(SALDOS!J$3:J$200),0)</f>
        <v>0</v>
      </c>
      <c r="P37" s="8">
        <f>IF(I37=0,IF('TABLA DE PAGOS'!J37&lt;='TABLA DE PAGOS'!A$4,0,IF('TABLA DE PAGOS'!K37='TABLA DE PAGOS'!A$9,'TABLA DE PAGOS'!E37,IF('TABLA DE PAGOS'!K37='TABLA DE PAGOS'!A$11,INDEX(SALDOS!B$3:G$200,MATCH('TABLA DE PAGOS'!A$13,SALDOS!E$3:E$200,0),6),0))),0)</f>
        <v>0</v>
      </c>
      <c r="Q37" s="8">
        <f>IF(AND(I37&gt;0,I36&gt;0),'TABLA DE PAGOS'!E37,0)</f>
        <v>1028.89</v>
      </c>
      <c r="R37" s="8">
        <f t="shared" si="1"/>
        <v>0</v>
      </c>
      <c r="T37" s="8">
        <f>IF(AND(I37&gt;0,I36=0),'TABLA DE PAGOS'!H37,0)</f>
        <v>0</v>
      </c>
      <c r="U37" s="8">
        <f>IF(AND('TABLA DE PAGOS'!K37='TABLA DE PAGOS'!A$11,VLOOKUP('TABLA DE PAGOS'!A$7,SALDOS!B$3:E$200,4)='TABLA DE PAGOS'!A$14),INDEX(SALDOS!B$3:G$200,MATCH('TABLA DE PAGOS'!A$14,SALDOS!E$3:E$200,0),6),IF(AND(P37&gt;0.001,M37&gt;0.001),'TABLA DE PAGOS'!H37,0))</f>
        <v>0</v>
      </c>
      <c r="W37" s="8">
        <f>IF(AND('TABLA DE PAGOS'!K37='TABLA DE PAGOS'!A$11,VLOOKUP('TABLA DE PAGOS'!A$7,SALDOS!B$3:E$200,4)='TABLA DE PAGOS'!A$16),INDEX(SALDOS!B$3:G$200,MATCH('TABLA DE PAGOS'!A$16,SALDOS!E$3:E$200,0),6),IF(AND(P37&gt;0.001,M37&gt;0.001),'TABLA DE PAGOS'!I37,0))</f>
        <v>0</v>
      </c>
    </row>
    <row r="38" spans="2:23">
      <c r="B38" s="33">
        <v>37</v>
      </c>
      <c r="C38" s="8">
        <f>IF('TABLA DE PAGOS'!K38='TABLA DE PAGOS'!A$12,0,IF('TABLA DE PAGOS'!K38='TABLA DE PAGOS'!A$11,'VALORES DE LIQUIDACIÓN'!A$4-'TABLA DE PAGOS'!M38,IF(AND('TABLA DE PAGOS'!J38&lt;'VALORES DE LIQUIDACIÓN'!A$4,'TABLA DE PAGOS'!K38='TABLA DE PAGOS'!A$9),'VALORES DE LIQUIDACIÓN'!A$4-'TABLA DE PAGOS'!J38,0)))</f>
        <v>0</v>
      </c>
      <c r="D38" s="8">
        <f>IF(P38&gt;0,'VALORES DE LIQUIDACIÓN'!A$4-'TABLA DE PAGOS'!J38,0)</f>
        <v>0</v>
      </c>
      <c r="E38" s="35">
        <f t="shared" si="0"/>
        <v>0</v>
      </c>
      <c r="F38" s="11">
        <f>IF(E38&gt;0,('DATOS GENERALES'!K$3+('DATOS GENERALES'!K$3*E38)),0)</f>
        <v>0</v>
      </c>
      <c r="G38" s="11">
        <f>IF(E38&gt;0,IF('TABLA DE PAGOS'!K38='TABLA DE PAGOS'!A$11,(P38*C38*F38)/36000,('TABLA DE PAGOS'!E38*C38*F38)/36000),0)</f>
        <v>0</v>
      </c>
      <c r="I38" s="8">
        <f>IF('TABLA DE PAGOS'!$J38&lt;='VALORES DE LIQUIDACIÓN'!A$4,0,'TABLA DE PAGOS'!$J38-'VALORES DE LIQUIDACIÓN'!A$4)</f>
        <v>900</v>
      </c>
      <c r="J38" s="8">
        <f>IF(AND(I38&gt;0,I37=0),'VALORES DE LIQUIDACIÓN'!A$4-'TABLA DE PAGOS'!J37,0)</f>
        <v>0</v>
      </c>
      <c r="K38" s="8">
        <f>IF(AND(AND('TABLA DE PAGOS'!J37&lt;='VALORES DE LIQUIDACIÓN'!A$4,'TABLA DE PAGOS'!J38&gt;='VALORES DE LIQUIDACIÓN'!A$4),'TABLA DE PAGOS'!K38='TABLA DE PAGOS'!A$10),'TABLA DE PAGOS'!C37,IF(AND('TABLA DE PAGOS'!K38='TABLA DE PAGOS'!A$10,'TABLA DE PAGOS'!K39='TABLA DE PAGOS'!A$9),'TABLA DE PAGOS'!C38,IF(AND('TABLA DE PAGOS'!K38='TABLA DE PAGOS'!A$11,'TABLA DE PAGOS'!K39='TABLA DE PAGOS'!A$9),'TABLA DE PAGOS'!C37,0)))</f>
        <v>0</v>
      </c>
      <c r="L38" s="14"/>
      <c r="M38" s="11">
        <f>IF(I38=0,IF('TABLA DE PAGOS'!J38&lt;='TABLA DE PAGOS'!A$4,0,IF('TABLA DE PAGOS'!K38='TABLA DE PAGOS'!A$9,'TABLA DE PAGOS'!F38,IF('TABLA DE PAGOS'!K38='TABLA DE PAGOS'!A$11,(INDEX(SALDOS!B$3:G$200,MATCH('TABLA DE PAGOS'!A$12,SALDOS!E$3:E$200,0),6))-(INDEX(SALDOS!B$3:H$200,MATCH('TABLA DE PAGOS'!A$12,SALDOS!E$3:E$200,0),7)),0))),0)</f>
        <v>0</v>
      </c>
      <c r="N38" s="11">
        <f>IF(AND(I38&gt;0,I37=0),J38*MAX(SALDOS!J$3:J$200),0)</f>
        <v>0</v>
      </c>
      <c r="P38" s="8">
        <f>IF(I38=0,IF('TABLA DE PAGOS'!J38&lt;='TABLA DE PAGOS'!A$4,0,IF('TABLA DE PAGOS'!K38='TABLA DE PAGOS'!A$9,'TABLA DE PAGOS'!E38,IF('TABLA DE PAGOS'!K38='TABLA DE PAGOS'!A$11,INDEX(SALDOS!B$3:G$200,MATCH('TABLA DE PAGOS'!A$13,SALDOS!E$3:E$200,0),6),0))),0)</f>
        <v>0</v>
      </c>
      <c r="Q38" s="8">
        <f>IF(AND(I38&gt;0,I37&gt;0),'TABLA DE PAGOS'!E38,0)</f>
        <v>1038.14</v>
      </c>
      <c r="R38" s="8">
        <f t="shared" si="1"/>
        <v>0</v>
      </c>
      <c r="T38" s="8">
        <f>IF(AND(I38&gt;0,I37=0),'TABLA DE PAGOS'!H38,0)</f>
        <v>0</v>
      </c>
      <c r="U38" s="8">
        <f>IF(AND('TABLA DE PAGOS'!K38='TABLA DE PAGOS'!A$11,VLOOKUP('TABLA DE PAGOS'!A$7,SALDOS!B$3:E$200,4)='TABLA DE PAGOS'!A$14),INDEX(SALDOS!B$3:G$200,MATCH('TABLA DE PAGOS'!A$14,SALDOS!E$3:E$200,0),6),IF(AND(P38&gt;0.001,M38&gt;0.001),'TABLA DE PAGOS'!H38,0))</f>
        <v>0</v>
      </c>
      <c r="W38" s="8">
        <f>IF(AND('TABLA DE PAGOS'!K38='TABLA DE PAGOS'!A$11,VLOOKUP('TABLA DE PAGOS'!A$7,SALDOS!B$3:E$200,4)='TABLA DE PAGOS'!A$16),INDEX(SALDOS!B$3:G$200,MATCH('TABLA DE PAGOS'!A$16,SALDOS!E$3:E$200,0),6),IF(AND(P38&gt;0.001,M38&gt;0.001),'TABLA DE PAGOS'!I38,0))</f>
        <v>0</v>
      </c>
    </row>
    <row r="39" spans="2:23">
      <c r="B39" s="33">
        <v>38</v>
      </c>
      <c r="C39" s="8">
        <f>IF('TABLA DE PAGOS'!K39='TABLA DE PAGOS'!A$12,0,IF('TABLA DE PAGOS'!K39='TABLA DE PAGOS'!A$11,'VALORES DE LIQUIDACIÓN'!A$4-'TABLA DE PAGOS'!M39,IF(AND('TABLA DE PAGOS'!J39&lt;'VALORES DE LIQUIDACIÓN'!A$4,'TABLA DE PAGOS'!K39='TABLA DE PAGOS'!A$9),'VALORES DE LIQUIDACIÓN'!A$4-'TABLA DE PAGOS'!J39,0)))</f>
        <v>0</v>
      </c>
      <c r="D39" s="8">
        <f>IF(P39&gt;0,'VALORES DE LIQUIDACIÓN'!A$4-'TABLA DE PAGOS'!J39,0)</f>
        <v>0</v>
      </c>
      <c r="E39" s="35">
        <f t="shared" si="0"/>
        <v>0</v>
      </c>
      <c r="F39" s="11">
        <f>IF(E39&gt;0,('DATOS GENERALES'!K$3+('DATOS GENERALES'!K$3*E39)),0)</f>
        <v>0</v>
      </c>
      <c r="G39" s="11">
        <f>IF(E39&gt;0,IF('TABLA DE PAGOS'!K39='TABLA DE PAGOS'!A$11,(P39*C39*F39)/36000,('TABLA DE PAGOS'!E39*C39*F39)/36000),0)</f>
        <v>0</v>
      </c>
      <c r="I39" s="8">
        <f>IF('TABLA DE PAGOS'!$J39&lt;='VALORES DE LIQUIDACIÓN'!A$4,0,'TABLA DE PAGOS'!$J39-'VALORES DE LIQUIDACIÓN'!A$4)</f>
        <v>931</v>
      </c>
      <c r="J39" s="8">
        <f>IF(AND(I39&gt;0,I38=0),'VALORES DE LIQUIDACIÓN'!A$4-'TABLA DE PAGOS'!J38,0)</f>
        <v>0</v>
      </c>
      <c r="K39" s="8">
        <f>IF(AND(AND('TABLA DE PAGOS'!J38&lt;='VALORES DE LIQUIDACIÓN'!A$4,'TABLA DE PAGOS'!J39&gt;='VALORES DE LIQUIDACIÓN'!A$4),'TABLA DE PAGOS'!K39='TABLA DE PAGOS'!A$10),'TABLA DE PAGOS'!C38,IF(AND('TABLA DE PAGOS'!K39='TABLA DE PAGOS'!A$10,'TABLA DE PAGOS'!K40='TABLA DE PAGOS'!A$9),'TABLA DE PAGOS'!C39,IF(AND('TABLA DE PAGOS'!K39='TABLA DE PAGOS'!A$11,'TABLA DE PAGOS'!K40='TABLA DE PAGOS'!A$9),'TABLA DE PAGOS'!C38,0)))</f>
        <v>0</v>
      </c>
      <c r="L39" s="14"/>
      <c r="M39" s="11">
        <f>IF(I39=0,IF('TABLA DE PAGOS'!J39&lt;='TABLA DE PAGOS'!A$4,0,IF('TABLA DE PAGOS'!K39='TABLA DE PAGOS'!A$9,'TABLA DE PAGOS'!F39,IF('TABLA DE PAGOS'!K39='TABLA DE PAGOS'!A$11,(INDEX(SALDOS!B$3:G$200,MATCH('TABLA DE PAGOS'!A$12,SALDOS!E$3:E$200,0),6))-(INDEX(SALDOS!B$3:H$200,MATCH('TABLA DE PAGOS'!A$12,SALDOS!E$3:E$200,0),7)),0))),0)</f>
        <v>0</v>
      </c>
      <c r="N39" s="11">
        <f>IF(AND(I39&gt;0,I38=0),J39*MAX(SALDOS!J$3:J$200),0)</f>
        <v>0</v>
      </c>
      <c r="P39" s="8">
        <f>IF(I39=0,IF('TABLA DE PAGOS'!J39&lt;='TABLA DE PAGOS'!A$4,0,IF('TABLA DE PAGOS'!K39='TABLA DE PAGOS'!A$9,'TABLA DE PAGOS'!E39,IF('TABLA DE PAGOS'!K39='TABLA DE PAGOS'!A$11,INDEX(SALDOS!B$3:G$200,MATCH('TABLA DE PAGOS'!A$13,SALDOS!E$3:E$200,0),6),0))),0)</f>
        <v>0</v>
      </c>
      <c r="Q39" s="8">
        <f>IF(AND(I39&gt;0,I38&gt;0),'TABLA DE PAGOS'!E39,0)</f>
        <v>982.29</v>
      </c>
      <c r="R39" s="8">
        <f t="shared" si="1"/>
        <v>0</v>
      </c>
      <c r="T39" s="8">
        <f>IF(AND(I39&gt;0,I38=0),'TABLA DE PAGOS'!H39,0)</f>
        <v>0</v>
      </c>
      <c r="U39" s="8">
        <f>IF(AND('TABLA DE PAGOS'!K39='TABLA DE PAGOS'!A$11,VLOOKUP('TABLA DE PAGOS'!A$7,SALDOS!B$3:E$200,4)='TABLA DE PAGOS'!A$14),INDEX(SALDOS!B$3:G$200,MATCH('TABLA DE PAGOS'!A$14,SALDOS!E$3:E$200,0),6),IF(AND(P39&gt;0.001,M39&gt;0.001),'TABLA DE PAGOS'!H39,0))</f>
        <v>0</v>
      </c>
      <c r="W39" s="8">
        <f>IF(AND('TABLA DE PAGOS'!K39='TABLA DE PAGOS'!A$11,VLOOKUP('TABLA DE PAGOS'!A$7,SALDOS!B$3:E$200,4)='TABLA DE PAGOS'!A$16),INDEX(SALDOS!B$3:G$200,MATCH('TABLA DE PAGOS'!A$16,SALDOS!E$3:E$200,0),6),IF(AND(P39&gt;0.001,M39&gt;0.001),'TABLA DE PAGOS'!I39,0))</f>
        <v>0</v>
      </c>
    </row>
    <row r="40" spans="2:23">
      <c r="B40" s="33">
        <v>39</v>
      </c>
      <c r="C40" s="8">
        <f>IF('TABLA DE PAGOS'!K40='TABLA DE PAGOS'!A$12,0,IF('TABLA DE PAGOS'!K40='TABLA DE PAGOS'!A$11,'VALORES DE LIQUIDACIÓN'!A$4-'TABLA DE PAGOS'!M40,IF(AND('TABLA DE PAGOS'!J40&lt;'VALORES DE LIQUIDACIÓN'!A$4,'TABLA DE PAGOS'!K40='TABLA DE PAGOS'!A$9),'VALORES DE LIQUIDACIÓN'!A$4-'TABLA DE PAGOS'!J40,0)))</f>
        <v>0</v>
      </c>
      <c r="D40" s="8">
        <f>IF(P40&gt;0,'VALORES DE LIQUIDACIÓN'!A$4-'TABLA DE PAGOS'!J40,0)</f>
        <v>0</v>
      </c>
      <c r="E40" s="35">
        <f t="shared" si="0"/>
        <v>0</v>
      </c>
      <c r="F40" s="11">
        <f>IF(E40&gt;0,('DATOS GENERALES'!K$3+('DATOS GENERALES'!K$3*E40)),0)</f>
        <v>0</v>
      </c>
      <c r="G40" s="11">
        <f>IF(E40&gt;0,IF('TABLA DE PAGOS'!K40='TABLA DE PAGOS'!A$11,(P40*C40*F40)/36000,('TABLA DE PAGOS'!E40*C40*F40)/36000),0)</f>
        <v>0</v>
      </c>
      <c r="I40" s="8">
        <f>IF('TABLA DE PAGOS'!$J40&lt;='VALORES DE LIQUIDACIÓN'!A$4,0,'TABLA DE PAGOS'!$J40-'VALORES DE LIQUIDACIÓN'!A$4)</f>
        <v>961</v>
      </c>
      <c r="J40" s="8">
        <f>IF(AND(I40&gt;0,I39=0),'VALORES DE LIQUIDACIÓN'!A$4-'TABLA DE PAGOS'!J39,0)</f>
        <v>0</v>
      </c>
      <c r="K40" s="8">
        <f>IF(AND(AND('TABLA DE PAGOS'!J39&lt;='VALORES DE LIQUIDACIÓN'!A$4,'TABLA DE PAGOS'!J40&gt;='VALORES DE LIQUIDACIÓN'!A$4),'TABLA DE PAGOS'!K40='TABLA DE PAGOS'!A$10),'TABLA DE PAGOS'!C39,IF(AND('TABLA DE PAGOS'!K40='TABLA DE PAGOS'!A$10,'TABLA DE PAGOS'!K41='TABLA DE PAGOS'!A$9),'TABLA DE PAGOS'!C40,IF(AND('TABLA DE PAGOS'!K40='TABLA DE PAGOS'!A$11,'TABLA DE PAGOS'!K41='TABLA DE PAGOS'!A$9),'TABLA DE PAGOS'!C39,0)))</f>
        <v>0</v>
      </c>
      <c r="L40" s="14"/>
      <c r="M40" s="11">
        <f>IF(I40=0,IF('TABLA DE PAGOS'!J40&lt;='TABLA DE PAGOS'!A$4,0,IF('TABLA DE PAGOS'!K40='TABLA DE PAGOS'!A$9,'TABLA DE PAGOS'!F40,IF('TABLA DE PAGOS'!K40='TABLA DE PAGOS'!A$11,(INDEX(SALDOS!B$3:G$200,MATCH('TABLA DE PAGOS'!A$12,SALDOS!E$3:E$200,0),6))-(INDEX(SALDOS!B$3:H$200,MATCH('TABLA DE PAGOS'!A$12,SALDOS!E$3:E$200,0),7)),0))),0)</f>
        <v>0</v>
      </c>
      <c r="N40" s="11">
        <f>IF(AND(I40&gt;0,I39=0),J40*MAX(SALDOS!J$3:J$200),0)</f>
        <v>0</v>
      </c>
      <c r="P40" s="8">
        <f>IF(I40=0,IF('TABLA DE PAGOS'!J40&lt;='TABLA DE PAGOS'!A$4,0,IF('TABLA DE PAGOS'!K40='TABLA DE PAGOS'!A$9,'TABLA DE PAGOS'!E40,IF('TABLA DE PAGOS'!K40='TABLA DE PAGOS'!A$11,INDEX(SALDOS!B$3:G$200,MATCH('TABLA DE PAGOS'!A$13,SALDOS!E$3:E$200,0),6),0))),0)</f>
        <v>0</v>
      </c>
      <c r="Q40" s="8">
        <f>IF(AND(I40&gt;0,I39&gt;0),'TABLA DE PAGOS'!E40,0)</f>
        <v>1056.31</v>
      </c>
      <c r="R40" s="8">
        <f t="shared" si="1"/>
        <v>0</v>
      </c>
      <c r="T40" s="8">
        <f>IF(AND(I40&gt;0,I39=0),'TABLA DE PAGOS'!H40,0)</f>
        <v>0</v>
      </c>
      <c r="U40" s="8">
        <f>IF(AND('TABLA DE PAGOS'!K40='TABLA DE PAGOS'!A$11,VLOOKUP('TABLA DE PAGOS'!A$7,SALDOS!B$3:E$200,4)='TABLA DE PAGOS'!A$14),INDEX(SALDOS!B$3:G$200,MATCH('TABLA DE PAGOS'!A$14,SALDOS!E$3:E$200,0),6),IF(AND(P40&gt;0.001,M40&gt;0.001),'TABLA DE PAGOS'!H40,0))</f>
        <v>0</v>
      </c>
      <c r="W40" s="8">
        <f>IF(AND('TABLA DE PAGOS'!K40='TABLA DE PAGOS'!A$11,VLOOKUP('TABLA DE PAGOS'!A$7,SALDOS!B$3:E$200,4)='TABLA DE PAGOS'!A$16),INDEX(SALDOS!B$3:G$200,MATCH('TABLA DE PAGOS'!A$16,SALDOS!E$3:E$200,0),6),IF(AND(P40&gt;0.001,M40&gt;0.001),'TABLA DE PAGOS'!I40,0))</f>
        <v>0</v>
      </c>
    </row>
    <row r="41" spans="2:23">
      <c r="B41" s="33">
        <v>40</v>
      </c>
      <c r="C41" s="8">
        <f>IF('TABLA DE PAGOS'!K41='TABLA DE PAGOS'!A$12,0,IF('TABLA DE PAGOS'!K41='TABLA DE PAGOS'!A$11,'VALORES DE LIQUIDACIÓN'!A$4-'TABLA DE PAGOS'!M41,IF(AND('TABLA DE PAGOS'!J41&lt;'VALORES DE LIQUIDACIÓN'!A$4,'TABLA DE PAGOS'!K41='TABLA DE PAGOS'!A$9),'VALORES DE LIQUIDACIÓN'!A$4-'TABLA DE PAGOS'!J41,0)))</f>
        <v>0</v>
      </c>
      <c r="D41" s="8">
        <f>IF(P41&gt;0,'VALORES DE LIQUIDACIÓN'!A$4-'TABLA DE PAGOS'!J41,0)</f>
        <v>0</v>
      </c>
      <c r="E41" s="35">
        <f t="shared" si="0"/>
        <v>0</v>
      </c>
      <c r="F41" s="11">
        <f>IF(E41&gt;0,('DATOS GENERALES'!K$3+('DATOS GENERALES'!K$3*E41)),0)</f>
        <v>0</v>
      </c>
      <c r="G41" s="11">
        <f>IF(E41&gt;0,IF('TABLA DE PAGOS'!K41='TABLA DE PAGOS'!A$11,(P41*C41*F41)/36000,('TABLA DE PAGOS'!E41*C41*F41)/36000),0)</f>
        <v>0</v>
      </c>
      <c r="I41" s="8">
        <f>IF('TABLA DE PAGOS'!$J41&lt;='VALORES DE LIQUIDACIÓN'!A$4,0,'TABLA DE PAGOS'!$J41-'VALORES DE LIQUIDACIÓN'!A$4)</f>
        <v>994</v>
      </c>
      <c r="J41" s="8">
        <f>IF(AND(I41&gt;0,I40=0),'VALORES DE LIQUIDACIÓN'!A$4-'TABLA DE PAGOS'!J40,0)</f>
        <v>0</v>
      </c>
      <c r="K41" s="8">
        <f>IF(AND(AND('TABLA DE PAGOS'!J40&lt;='VALORES DE LIQUIDACIÓN'!A$4,'TABLA DE PAGOS'!J41&gt;='VALORES DE LIQUIDACIÓN'!A$4),'TABLA DE PAGOS'!K41='TABLA DE PAGOS'!A$10),'TABLA DE PAGOS'!C40,IF(AND('TABLA DE PAGOS'!K41='TABLA DE PAGOS'!A$10,'TABLA DE PAGOS'!K42='TABLA DE PAGOS'!A$9),'TABLA DE PAGOS'!C41,IF(AND('TABLA DE PAGOS'!K41='TABLA DE PAGOS'!A$11,'TABLA DE PAGOS'!K42='TABLA DE PAGOS'!A$9),'TABLA DE PAGOS'!C40,0)))</f>
        <v>0</v>
      </c>
      <c r="L41" s="14"/>
      <c r="M41" s="11">
        <f>IF(I41=0,IF('TABLA DE PAGOS'!J41&lt;='TABLA DE PAGOS'!A$4,0,IF('TABLA DE PAGOS'!K41='TABLA DE PAGOS'!A$9,'TABLA DE PAGOS'!F41,IF('TABLA DE PAGOS'!K41='TABLA DE PAGOS'!A$11,(INDEX(SALDOS!B$3:G$200,MATCH('TABLA DE PAGOS'!A$12,SALDOS!E$3:E$200,0),6))-(INDEX(SALDOS!B$3:H$200,MATCH('TABLA DE PAGOS'!A$12,SALDOS!E$3:E$200,0),7)),0))),0)</f>
        <v>0</v>
      </c>
      <c r="N41" s="11">
        <f>IF(AND(I41&gt;0,I40=0),J41*MAX(SALDOS!J$3:J$200),0)</f>
        <v>0</v>
      </c>
      <c r="P41" s="8">
        <f>IF(I41=0,IF('TABLA DE PAGOS'!J41&lt;='TABLA DE PAGOS'!A$4,0,IF('TABLA DE PAGOS'!K41='TABLA DE PAGOS'!A$9,'TABLA DE PAGOS'!E41,IF('TABLA DE PAGOS'!K41='TABLA DE PAGOS'!A$11,INDEX(SALDOS!B$3:G$200,MATCH('TABLA DE PAGOS'!A$13,SALDOS!E$3:E$200,0),6),0))),0)</f>
        <v>0</v>
      </c>
      <c r="Q41" s="8">
        <f>IF(AND(I41&gt;0,I40&gt;0),'TABLA DE PAGOS'!E41,0)</f>
        <v>872.11</v>
      </c>
      <c r="R41" s="8">
        <f t="shared" si="1"/>
        <v>0</v>
      </c>
      <c r="T41" s="8">
        <f>IF(AND(I41&gt;0,I40=0),'TABLA DE PAGOS'!H41,0)</f>
        <v>0</v>
      </c>
      <c r="U41" s="8">
        <f>IF(AND('TABLA DE PAGOS'!K41='TABLA DE PAGOS'!A$11,VLOOKUP('TABLA DE PAGOS'!A$7,SALDOS!B$3:E$200,4)='TABLA DE PAGOS'!A$14),INDEX(SALDOS!B$3:G$200,MATCH('TABLA DE PAGOS'!A$14,SALDOS!E$3:E$200,0),6),IF(AND(P41&gt;0.001,M41&gt;0.001),'TABLA DE PAGOS'!H41,0))</f>
        <v>0</v>
      </c>
      <c r="W41" s="8">
        <f>IF(AND('TABLA DE PAGOS'!K41='TABLA DE PAGOS'!A$11,VLOOKUP('TABLA DE PAGOS'!A$7,SALDOS!B$3:E$200,4)='TABLA DE PAGOS'!A$16),INDEX(SALDOS!B$3:G$200,MATCH('TABLA DE PAGOS'!A$16,SALDOS!E$3:E$200,0),6),IF(AND(P41&gt;0.001,M41&gt;0.001),'TABLA DE PAGOS'!I41,0))</f>
        <v>0</v>
      </c>
    </row>
    <row r="42" spans="2:23">
      <c r="B42" s="33">
        <v>41</v>
      </c>
      <c r="C42" s="8">
        <f>IF('TABLA DE PAGOS'!K42='TABLA DE PAGOS'!A$12,0,IF('TABLA DE PAGOS'!K42='TABLA DE PAGOS'!A$11,'VALORES DE LIQUIDACIÓN'!A$4-'TABLA DE PAGOS'!M42,IF(AND('TABLA DE PAGOS'!J42&lt;'VALORES DE LIQUIDACIÓN'!A$4,'TABLA DE PAGOS'!K42='TABLA DE PAGOS'!A$9),'VALORES DE LIQUIDACIÓN'!A$4-'TABLA DE PAGOS'!J42,0)))</f>
        <v>0</v>
      </c>
      <c r="D42" s="8">
        <f>IF(P42&gt;0,'VALORES DE LIQUIDACIÓN'!A$4-'TABLA DE PAGOS'!J42,0)</f>
        <v>0</v>
      </c>
      <c r="E42" s="35">
        <f t="shared" si="0"/>
        <v>0</v>
      </c>
      <c r="F42" s="11">
        <f>IF(E42&gt;0,('DATOS GENERALES'!K$3+('DATOS GENERALES'!K$3*E42)),0)</f>
        <v>0</v>
      </c>
      <c r="G42" s="11">
        <f>IF(E42&gt;0,IF('TABLA DE PAGOS'!K42='TABLA DE PAGOS'!A$11,(P42*C42*F42)/36000,('TABLA DE PAGOS'!E42*C42*F42)/36000),0)</f>
        <v>0</v>
      </c>
      <c r="I42" s="8">
        <f>IF('TABLA DE PAGOS'!$J42&lt;='VALORES DE LIQUIDACIÓN'!A$4,0,'TABLA DE PAGOS'!$J42-'VALORES DE LIQUIDACIÓN'!A$4)</f>
        <v>1023</v>
      </c>
      <c r="J42" s="8">
        <f>IF(AND(I42&gt;0,I41=0),'VALORES DE LIQUIDACIÓN'!A$4-'TABLA DE PAGOS'!J41,0)</f>
        <v>0</v>
      </c>
      <c r="K42" s="8">
        <f>IF(AND(AND('TABLA DE PAGOS'!J41&lt;='VALORES DE LIQUIDACIÓN'!A$4,'TABLA DE PAGOS'!J42&gt;='VALORES DE LIQUIDACIÓN'!A$4),'TABLA DE PAGOS'!K42='TABLA DE PAGOS'!A$10),'TABLA DE PAGOS'!C41,IF(AND('TABLA DE PAGOS'!K42='TABLA DE PAGOS'!A$10,'TABLA DE PAGOS'!K43='TABLA DE PAGOS'!A$9),'TABLA DE PAGOS'!C42,IF(AND('TABLA DE PAGOS'!K42='TABLA DE PAGOS'!A$11,'TABLA DE PAGOS'!K43='TABLA DE PAGOS'!A$9),'TABLA DE PAGOS'!C41,0)))</f>
        <v>0</v>
      </c>
      <c r="L42" s="14"/>
      <c r="M42" s="11">
        <f>IF(I42=0,IF('TABLA DE PAGOS'!J42&lt;='TABLA DE PAGOS'!A$4,0,IF('TABLA DE PAGOS'!K42='TABLA DE PAGOS'!A$9,'TABLA DE PAGOS'!F42,IF('TABLA DE PAGOS'!K42='TABLA DE PAGOS'!A$11,(INDEX(SALDOS!B$3:G$200,MATCH('TABLA DE PAGOS'!A$12,SALDOS!E$3:E$200,0),6))-(INDEX(SALDOS!B$3:H$200,MATCH('TABLA DE PAGOS'!A$12,SALDOS!E$3:E$200,0),7)),0))),0)</f>
        <v>0</v>
      </c>
      <c r="N42" s="11">
        <f>IF(AND(I42&gt;0,I41=0),J42*MAX(SALDOS!J$3:J$200),0)</f>
        <v>0</v>
      </c>
      <c r="P42" s="8">
        <f>IF(I42=0,IF('TABLA DE PAGOS'!J42&lt;='TABLA DE PAGOS'!A$4,0,IF('TABLA DE PAGOS'!K42='TABLA DE PAGOS'!A$9,'TABLA DE PAGOS'!E42,IF('TABLA DE PAGOS'!K42='TABLA DE PAGOS'!A$11,INDEX(SALDOS!B$3:G$200,MATCH('TABLA DE PAGOS'!A$13,SALDOS!E$3:E$200,0),6),0))),0)</f>
        <v>0</v>
      </c>
      <c r="Q42" s="8">
        <f>IF(AND(I42&gt;0,I41&gt;0),'TABLA DE PAGOS'!E42,0)</f>
        <v>1137.95</v>
      </c>
      <c r="R42" s="8">
        <f t="shared" si="1"/>
        <v>0</v>
      </c>
      <c r="T42" s="8">
        <f>IF(AND(I42&gt;0,I41=0),'TABLA DE PAGOS'!H42,0)</f>
        <v>0</v>
      </c>
      <c r="U42" s="8">
        <f>IF(AND('TABLA DE PAGOS'!K42='TABLA DE PAGOS'!A$11,VLOOKUP('TABLA DE PAGOS'!A$7,SALDOS!B$3:E$200,4)='TABLA DE PAGOS'!A$14),INDEX(SALDOS!B$3:G$200,MATCH('TABLA DE PAGOS'!A$14,SALDOS!E$3:E$200,0),6),IF(AND(P42&gt;0.001,M42&gt;0.001),'TABLA DE PAGOS'!H42,0))</f>
        <v>0</v>
      </c>
      <c r="W42" s="8">
        <f>IF(AND('TABLA DE PAGOS'!K42='TABLA DE PAGOS'!A$11,VLOOKUP('TABLA DE PAGOS'!A$7,SALDOS!B$3:E$200,4)='TABLA DE PAGOS'!A$16),INDEX(SALDOS!B$3:G$200,MATCH('TABLA DE PAGOS'!A$16,SALDOS!E$3:E$200,0),6),IF(AND(P42&gt;0.001,M42&gt;0.001),'TABLA DE PAGOS'!I42,0))</f>
        <v>0</v>
      </c>
    </row>
    <row r="43" spans="2:23">
      <c r="B43" s="33">
        <v>42</v>
      </c>
      <c r="C43" s="8">
        <f>IF('TABLA DE PAGOS'!K43='TABLA DE PAGOS'!A$12,0,IF('TABLA DE PAGOS'!K43='TABLA DE PAGOS'!A$11,'VALORES DE LIQUIDACIÓN'!A$4-'TABLA DE PAGOS'!M43,IF(AND('TABLA DE PAGOS'!J43&lt;'VALORES DE LIQUIDACIÓN'!A$4,'TABLA DE PAGOS'!K43='TABLA DE PAGOS'!A$9),'VALORES DE LIQUIDACIÓN'!A$4-'TABLA DE PAGOS'!J43,0)))</f>
        <v>0</v>
      </c>
      <c r="D43" s="8">
        <f>IF(P43&gt;0,'VALORES DE LIQUIDACIÓN'!A$4-'TABLA DE PAGOS'!J43,0)</f>
        <v>0</v>
      </c>
      <c r="E43" s="35">
        <f t="shared" si="0"/>
        <v>0</v>
      </c>
      <c r="F43" s="11">
        <f>IF(E43&gt;0,('DATOS GENERALES'!K$3+('DATOS GENERALES'!K$3*E43)),0)</f>
        <v>0</v>
      </c>
      <c r="G43" s="11">
        <f>IF(E43&gt;0,IF('TABLA DE PAGOS'!K43='TABLA DE PAGOS'!A$11,(P43*C43*F43)/36000,('TABLA DE PAGOS'!E43*C43*F43)/36000),0)</f>
        <v>0</v>
      </c>
      <c r="I43" s="8">
        <f>IF('TABLA DE PAGOS'!$J43&lt;='VALORES DE LIQUIDACIÓN'!A$4,0,'TABLA DE PAGOS'!$J43-'VALORES DE LIQUIDACIÓN'!A$4)</f>
        <v>1051</v>
      </c>
      <c r="J43" s="8">
        <f>IF(AND(I43&gt;0,I42=0),'VALORES DE LIQUIDACIÓN'!A$4-'TABLA DE PAGOS'!J42,0)</f>
        <v>0</v>
      </c>
      <c r="K43" s="8">
        <f>IF(AND(AND('TABLA DE PAGOS'!J42&lt;='VALORES DE LIQUIDACIÓN'!A$4,'TABLA DE PAGOS'!J43&gt;='VALORES DE LIQUIDACIÓN'!A$4),'TABLA DE PAGOS'!K43='TABLA DE PAGOS'!A$10),'TABLA DE PAGOS'!C42,IF(AND('TABLA DE PAGOS'!K43='TABLA DE PAGOS'!A$10,'TABLA DE PAGOS'!K44='TABLA DE PAGOS'!A$9),'TABLA DE PAGOS'!C43,IF(AND('TABLA DE PAGOS'!K43='TABLA DE PAGOS'!A$11,'TABLA DE PAGOS'!K44='TABLA DE PAGOS'!A$9),'TABLA DE PAGOS'!C42,0)))</f>
        <v>0</v>
      </c>
      <c r="L43" s="14"/>
      <c r="M43" s="11">
        <f>IF(I43=0,IF('TABLA DE PAGOS'!J43&lt;='TABLA DE PAGOS'!A$4,0,IF('TABLA DE PAGOS'!K43='TABLA DE PAGOS'!A$9,'TABLA DE PAGOS'!F43,IF('TABLA DE PAGOS'!K43='TABLA DE PAGOS'!A$11,(INDEX(SALDOS!B$3:G$200,MATCH('TABLA DE PAGOS'!A$12,SALDOS!E$3:E$200,0),6))-(INDEX(SALDOS!B$3:H$200,MATCH('TABLA DE PAGOS'!A$12,SALDOS!E$3:E$200,0),7)),0))),0)</f>
        <v>0</v>
      </c>
      <c r="N43" s="11">
        <f>IF(AND(I43&gt;0,I42=0),J43*MAX(SALDOS!J$3:J$200),0)</f>
        <v>0</v>
      </c>
      <c r="P43" s="8">
        <f>IF(I43=0,IF('TABLA DE PAGOS'!J43&lt;='TABLA DE PAGOS'!A$4,0,IF('TABLA DE PAGOS'!K43='TABLA DE PAGOS'!A$9,'TABLA DE PAGOS'!E43,IF('TABLA DE PAGOS'!K43='TABLA DE PAGOS'!A$11,INDEX(SALDOS!B$3:G$200,MATCH('TABLA DE PAGOS'!A$13,SALDOS!E$3:E$200,0),6),0))),0)</f>
        <v>0</v>
      </c>
      <c r="Q43" s="8">
        <f>IF(AND(I43&gt;0,I42&gt;0),'TABLA DE PAGOS'!E43,0)</f>
        <v>1211.82</v>
      </c>
      <c r="R43" s="8">
        <f t="shared" si="1"/>
        <v>0</v>
      </c>
      <c r="T43" s="8">
        <f>IF(AND(I43&gt;0,I42=0),'TABLA DE PAGOS'!H43,0)</f>
        <v>0</v>
      </c>
      <c r="U43" s="8">
        <f>IF(AND('TABLA DE PAGOS'!K43='TABLA DE PAGOS'!A$11,VLOOKUP('TABLA DE PAGOS'!A$7,SALDOS!B$3:E$200,4)='TABLA DE PAGOS'!A$14),INDEX(SALDOS!B$3:G$200,MATCH('TABLA DE PAGOS'!A$14,SALDOS!E$3:E$200,0),6),IF(AND(P43&gt;0.001,M43&gt;0.001),'TABLA DE PAGOS'!H43,0))</f>
        <v>0</v>
      </c>
      <c r="W43" s="8">
        <f>IF(AND('TABLA DE PAGOS'!K43='TABLA DE PAGOS'!A$11,VLOOKUP('TABLA DE PAGOS'!A$7,SALDOS!B$3:E$200,4)='TABLA DE PAGOS'!A$16),INDEX(SALDOS!B$3:G$200,MATCH('TABLA DE PAGOS'!A$16,SALDOS!E$3:E$200,0),6),IF(AND(P43&gt;0.001,M43&gt;0.001),'TABLA DE PAGOS'!I43,0))</f>
        <v>0</v>
      </c>
    </row>
    <row r="44" spans="2:23">
      <c r="B44" s="33">
        <v>43</v>
      </c>
      <c r="C44" s="8">
        <f>IF('TABLA DE PAGOS'!K44='TABLA DE PAGOS'!A$12,0,IF('TABLA DE PAGOS'!K44='TABLA DE PAGOS'!A$11,'VALORES DE LIQUIDACIÓN'!A$4-'TABLA DE PAGOS'!M44,IF(AND('TABLA DE PAGOS'!J44&lt;'VALORES DE LIQUIDACIÓN'!A$4,'TABLA DE PAGOS'!K44='TABLA DE PAGOS'!A$9),'VALORES DE LIQUIDACIÓN'!A$4-'TABLA DE PAGOS'!J44,0)))</f>
        <v>0</v>
      </c>
      <c r="D44" s="8">
        <f>IF(P44&gt;0,'VALORES DE LIQUIDACIÓN'!A$4-'TABLA DE PAGOS'!J44,0)</f>
        <v>0</v>
      </c>
      <c r="E44" s="35">
        <f t="shared" si="0"/>
        <v>0</v>
      </c>
      <c r="F44" s="11">
        <f>IF(E44&gt;0,('DATOS GENERALES'!K$3+('DATOS GENERALES'!K$3*E44)),0)</f>
        <v>0</v>
      </c>
      <c r="G44" s="11">
        <f>IF(E44&gt;0,IF('TABLA DE PAGOS'!K44='TABLA DE PAGOS'!A$11,(P44*C44*F44)/36000,('TABLA DE PAGOS'!E44*C44*F44)/36000),0)</f>
        <v>0</v>
      </c>
      <c r="I44" s="8">
        <f>IF('TABLA DE PAGOS'!$J44&lt;='VALORES DE LIQUIDACIÓN'!A$4,0,'TABLA DE PAGOS'!$J44-'VALORES DE LIQUIDACIÓN'!A$4)</f>
        <v>1082</v>
      </c>
      <c r="J44" s="8">
        <f>IF(AND(I44&gt;0,I43=0),'VALORES DE LIQUIDACIÓN'!A$4-'TABLA DE PAGOS'!J43,0)</f>
        <v>0</v>
      </c>
      <c r="K44" s="8">
        <f>IF(AND(AND('TABLA DE PAGOS'!J43&lt;='VALORES DE LIQUIDACIÓN'!A$4,'TABLA DE PAGOS'!J44&gt;='VALORES DE LIQUIDACIÓN'!A$4),'TABLA DE PAGOS'!K44='TABLA DE PAGOS'!A$10),'TABLA DE PAGOS'!C43,IF(AND('TABLA DE PAGOS'!K44='TABLA DE PAGOS'!A$10,'TABLA DE PAGOS'!K45='TABLA DE PAGOS'!A$9),'TABLA DE PAGOS'!C44,IF(AND('TABLA DE PAGOS'!K44='TABLA DE PAGOS'!A$11,'TABLA DE PAGOS'!K45='TABLA DE PAGOS'!A$9),'TABLA DE PAGOS'!C43,0)))</f>
        <v>0</v>
      </c>
      <c r="L44" s="14"/>
      <c r="M44" s="11">
        <f>IF(I44=0,IF('TABLA DE PAGOS'!J44&lt;='TABLA DE PAGOS'!A$4,0,IF('TABLA DE PAGOS'!K44='TABLA DE PAGOS'!A$9,'TABLA DE PAGOS'!F44,IF('TABLA DE PAGOS'!K44='TABLA DE PAGOS'!A$11,(INDEX(SALDOS!B$3:G$200,MATCH('TABLA DE PAGOS'!A$12,SALDOS!E$3:E$200,0),6))-(INDEX(SALDOS!B$3:H$200,MATCH('TABLA DE PAGOS'!A$12,SALDOS!E$3:E$200,0),7)),0))),0)</f>
        <v>0</v>
      </c>
      <c r="N44" s="11">
        <f>IF(AND(I44&gt;0,I43=0),J44*MAX(SALDOS!J$3:J$200),0)</f>
        <v>0</v>
      </c>
      <c r="P44" s="8">
        <f>IF(I44=0,IF('TABLA DE PAGOS'!J44&lt;='TABLA DE PAGOS'!A$4,0,IF('TABLA DE PAGOS'!K44='TABLA DE PAGOS'!A$9,'TABLA DE PAGOS'!E44,IF('TABLA DE PAGOS'!K44='TABLA DE PAGOS'!A$11,INDEX(SALDOS!B$3:G$200,MATCH('TABLA DE PAGOS'!A$13,SALDOS!E$3:E$200,0),6),0))),0)</f>
        <v>0</v>
      </c>
      <c r="Q44" s="8">
        <f>IF(AND(I44&gt;0,I43&gt;0),'TABLA DE PAGOS'!E44,0)</f>
        <v>1031.18</v>
      </c>
      <c r="R44" s="8">
        <f t="shared" si="1"/>
        <v>0</v>
      </c>
      <c r="T44" s="8">
        <f>IF(AND(I44&gt;0,I43=0),'TABLA DE PAGOS'!H44,0)</f>
        <v>0</v>
      </c>
      <c r="U44" s="8">
        <f>IF(AND('TABLA DE PAGOS'!K44='TABLA DE PAGOS'!A$11,VLOOKUP('TABLA DE PAGOS'!A$7,SALDOS!B$3:E$200,4)='TABLA DE PAGOS'!A$14),INDEX(SALDOS!B$3:G$200,MATCH('TABLA DE PAGOS'!A$14,SALDOS!E$3:E$200,0),6),IF(AND(P44&gt;0.001,M44&gt;0.001),'TABLA DE PAGOS'!H44,0))</f>
        <v>0</v>
      </c>
      <c r="W44" s="8">
        <f>IF(AND('TABLA DE PAGOS'!K44='TABLA DE PAGOS'!A$11,VLOOKUP('TABLA DE PAGOS'!A$7,SALDOS!B$3:E$200,4)='TABLA DE PAGOS'!A$16),INDEX(SALDOS!B$3:G$200,MATCH('TABLA DE PAGOS'!A$16,SALDOS!E$3:E$200,0),6),IF(AND(P44&gt;0.001,M44&gt;0.001),'TABLA DE PAGOS'!I44,0))</f>
        <v>0</v>
      </c>
    </row>
    <row r="45" spans="2:23">
      <c r="B45" s="33">
        <v>44</v>
      </c>
      <c r="C45" s="8">
        <f>IF('TABLA DE PAGOS'!K45='TABLA DE PAGOS'!A$12,0,IF('TABLA DE PAGOS'!K45='TABLA DE PAGOS'!A$11,'VALORES DE LIQUIDACIÓN'!A$4-'TABLA DE PAGOS'!M45,IF(AND('TABLA DE PAGOS'!J45&lt;'VALORES DE LIQUIDACIÓN'!A$4,'TABLA DE PAGOS'!K45='TABLA DE PAGOS'!A$9),'VALORES DE LIQUIDACIÓN'!A$4-'TABLA DE PAGOS'!J45,0)))</f>
        <v>0</v>
      </c>
      <c r="D45" s="8">
        <f>IF(P45&gt;0,'VALORES DE LIQUIDACIÓN'!A$4-'TABLA DE PAGOS'!J45,0)</f>
        <v>0</v>
      </c>
      <c r="E45" s="35">
        <f t="shared" si="0"/>
        <v>0</v>
      </c>
      <c r="F45" s="11">
        <f>IF(E45&gt;0,('DATOS GENERALES'!K$3+('DATOS GENERALES'!K$3*E45)),0)</f>
        <v>0</v>
      </c>
      <c r="G45" s="11">
        <f>IF(E45&gt;0,IF('TABLA DE PAGOS'!K45='TABLA DE PAGOS'!A$11,(P45*C45*F45)/36000,('TABLA DE PAGOS'!E45*C45*F45)/36000),0)</f>
        <v>0</v>
      </c>
      <c r="I45" s="8">
        <f>IF('TABLA DE PAGOS'!$J45&lt;='VALORES DE LIQUIDACIÓN'!A$4,0,'TABLA DE PAGOS'!$J45-'VALORES DE LIQUIDACIÓN'!A$4)</f>
        <v>1113</v>
      </c>
      <c r="J45" s="8">
        <f>IF(AND(I45&gt;0,I44=0),'VALORES DE LIQUIDACIÓN'!A$4-'TABLA DE PAGOS'!J44,0)</f>
        <v>0</v>
      </c>
      <c r="K45" s="8">
        <f>IF(AND(AND('TABLA DE PAGOS'!J44&lt;='VALORES DE LIQUIDACIÓN'!A$4,'TABLA DE PAGOS'!J45&gt;='VALORES DE LIQUIDACIÓN'!A$4),'TABLA DE PAGOS'!K45='TABLA DE PAGOS'!A$10),'TABLA DE PAGOS'!C44,IF(AND('TABLA DE PAGOS'!K45='TABLA DE PAGOS'!A$10,'TABLA DE PAGOS'!K46='TABLA DE PAGOS'!A$9),'TABLA DE PAGOS'!C45,IF(AND('TABLA DE PAGOS'!K45='TABLA DE PAGOS'!A$11,'TABLA DE PAGOS'!K46='TABLA DE PAGOS'!A$9),'TABLA DE PAGOS'!C44,0)))</f>
        <v>0</v>
      </c>
      <c r="L45" s="14"/>
      <c r="M45" s="11">
        <f>IF(I45=0,IF('TABLA DE PAGOS'!J45&lt;='TABLA DE PAGOS'!A$4,0,IF('TABLA DE PAGOS'!K45='TABLA DE PAGOS'!A$9,'TABLA DE PAGOS'!F45,IF('TABLA DE PAGOS'!K45='TABLA DE PAGOS'!A$11,(INDEX(SALDOS!B$3:G$200,MATCH('TABLA DE PAGOS'!A$12,SALDOS!E$3:E$200,0),6))-(INDEX(SALDOS!B$3:H$200,MATCH('TABLA DE PAGOS'!A$12,SALDOS!E$3:E$200,0),7)),0))),0)</f>
        <v>0</v>
      </c>
      <c r="N45" s="11">
        <f>IF(AND(I45&gt;0,I44=0),J45*MAX(SALDOS!J$3:J$200),0)</f>
        <v>0</v>
      </c>
      <c r="P45" s="8">
        <f>IF(I45=0,IF('TABLA DE PAGOS'!J45&lt;='TABLA DE PAGOS'!A$4,0,IF('TABLA DE PAGOS'!K45='TABLA DE PAGOS'!A$9,'TABLA DE PAGOS'!E45,IF('TABLA DE PAGOS'!K45='TABLA DE PAGOS'!A$11,INDEX(SALDOS!B$3:G$200,MATCH('TABLA DE PAGOS'!A$13,SALDOS!E$3:E$200,0),6),0))),0)</f>
        <v>0</v>
      </c>
      <c r="Q45" s="8">
        <f>IF(AND(I45&gt;0,I44&gt;0),'TABLA DE PAGOS'!E45,0)</f>
        <v>1040.76</v>
      </c>
      <c r="R45" s="8">
        <f t="shared" si="1"/>
        <v>0</v>
      </c>
      <c r="T45" s="8">
        <f>IF(AND(I45&gt;0,I44=0),'TABLA DE PAGOS'!H45,0)</f>
        <v>0</v>
      </c>
      <c r="U45" s="8">
        <f>IF(AND('TABLA DE PAGOS'!K45='TABLA DE PAGOS'!A$11,VLOOKUP('TABLA DE PAGOS'!A$7,SALDOS!B$3:E$200,4)='TABLA DE PAGOS'!A$14),INDEX(SALDOS!B$3:G$200,MATCH('TABLA DE PAGOS'!A$14,SALDOS!E$3:E$200,0),6),IF(AND(P45&gt;0.001,M45&gt;0.001),'TABLA DE PAGOS'!H45,0))</f>
        <v>0</v>
      </c>
      <c r="W45" s="8">
        <f>IF(AND('TABLA DE PAGOS'!K45='TABLA DE PAGOS'!A$11,VLOOKUP('TABLA DE PAGOS'!A$7,SALDOS!B$3:E$200,4)='TABLA DE PAGOS'!A$16),INDEX(SALDOS!B$3:G$200,MATCH('TABLA DE PAGOS'!A$16,SALDOS!E$3:E$200,0),6),IF(AND(P45&gt;0.001,M45&gt;0.001),'TABLA DE PAGOS'!I45,0))</f>
        <v>0</v>
      </c>
    </row>
    <row r="46" spans="2:23">
      <c r="B46" s="33">
        <v>45</v>
      </c>
      <c r="C46" s="8">
        <f>IF('TABLA DE PAGOS'!K46='TABLA DE PAGOS'!A$12,0,IF('TABLA DE PAGOS'!K46='TABLA DE PAGOS'!A$11,'VALORES DE LIQUIDACIÓN'!A$4-'TABLA DE PAGOS'!M46,IF(AND('TABLA DE PAGOS'!J46&lt;'VALORES DE LIQUIDACIÓN'!A$4,'TABLA DE PAGOS'!K46='TABLA DE PAGOS'!A$9),'VALORES DE LIQUIDACIÓN'!A$4-'TABLA DE PAGOS'!J46,0)))</f>
        <v>0</v>
      </c>
      <c r="D46" s="8">
        <f>IF(P46&gt;0,'VALORES DE LIQUIDACIÓN'!A$4-'TABLA DE PAGOS'!J46,0)</f>
        <v>0</v>
      </c>
      <c r="E46" s="35">
        <f t="shared" si="0"/>
        <v>0</v>
      </c>
      <c r="F46" s="11">
        <f>IF(E46&gt;0,('DATOS GENERALES'!K$3+('DATOS GENERALES'!K$3*E46)),0)</f>
        <v>0</v>
      </c>
      <c r="G46" s="11">
        <f>IF(E46&gt;0,IF('TABLA DE PAGOS'!K46='TABLA DE PAGOS'!A$11,(P46*C46*F46)/36000,('TABLA DE PAGOS'!E46*C46*F46)/36000),0)</f>
        <v>0</v>
      </c>
      <c r="I46" s="8">
        <f>IF('TABLA DE PAGOS'!$J46&lt;='VALORES DE LIQUIDACIÓN'!A$4,0,'TABLA DE PAGOS'!$J46-'VALORES DE LIQUIDACIÓN'!A$4)</f>
        <v>1143</v>
      </c>
      <c r="J46" s="8">
        <f>IF(AND(I46&gt;0,I45=0),'VALORES DE LIQUIDACIÓN'!A$4-'TABLA DE PAGOS'!J45,0)</f>
        <v>0</v>
      </c>
      <c r="K46" s="8">
        <f>IF(AND(AND('TABLA DE PAGOS'!J45&lt;='VALORES DE LIQUIDACIÓN'!A$4,'TABLA DE PAGOS'!J46&gt;='VALORES DE LIQUIDACIÓN'!A$4),'TABLA DE PAGOS'!K46='TABLA DE PAGOS'!A$10),'TABLA DE PAGOS'!C45,IF(AND('TABLA DE PAGOS'!K46='TABLA DE PAGOS'!A$10,'TABLA DE PAGOS'!K47='TABLA DE PAGOS'!A$9),'TABLA DE PAGOS'!C46,IF(AND('TABLA DE PAGOS'!K46='TABLA DE PAGOS'!A$11,'TABLA DE PAGOS'!K47='TABLA DE PAGOS'!A$9),'TABLA DE PAGOS'!C45,0)))</f>
        <v>0</v>
      </c>
      <c r="L46" s="14"/>
      <c r="M46" s="11">
        <f>IF(I46=0,IF('TABLA DE PAGOS'!J46&lt;='TABLA DE PAGOS'!A$4,0,IF('TABLA DE PAGOS'!K46='TABLA DE PAGOS'!A$9,'TABLA DE PAGOS'!F46,IF('TABLA DE PAGOS'!K46='TABLA DE PAGOS'!A$11,(INDEX(SALDOS!B$3:G$200,MATCH('TABLA DE PAGOS'!A$12,SALDOS!E$3:E$200,0),6))-(INDEX(SALDOS!B$3:H$200,MATCH('TABLA DE PAGOS'!A$12,SALDOS!E$3:E$200,0),7)),0))),0)</f>
        <v>0</v>
      </c>
      <c r="N46" s="11">
        <f>IF(AND(I46&gt;0,I45=0),J46*MAX(SALDOS!J$3:J$200),0)</f>
        <v>0</v>
      </c>
      <c r="P46" s="8">
        <f>IF(I46=0,IF('TABLA DE PAGOS'!J46&lt;='TABLA DE PAGOS'!A$4,0,IF('TABLA DE PAGOS'!K46='TABLA DE PAGOS'!A$9,'TABLA DE PAGOS'!E46,IF('TABLA DE PAGOS'!K46='TABLA DE PAGOS'!A$11,INDEX(SALDOS!B$3:G$200,MATCH('TABLA DE PAGOS'!A$13,SALDOS!E$3:E$200,0),6),0))),0)</f>
        <v>0</v>
      </c>
      <c r="Q46" s="8">
        <f>IF(AND(I46&gt;0,I45&gt;0),'TABLA DE PAGOS'!E46,0)</f>
        <v>1113.42</v>
      </c>
      <c r="R46" s="8">
        <f t="shared" si="1"/>
        <v>0</v>
      </c>
      <c r="T46" s="8">
        <f>IF(AND(I46&gt;0,I45=0),'TABLA DE PAGOS'!H46,0)</f>
        <v>0</v>
      </c>
      <c r="U46" s="8">
        <f>IF(AND('TABLA DE PAGOS'!K46='TABLA DE PAGOS'!A$11,VLOOKUP('TABLA DE PAGOS'!A$7,SALDOS!B$3:E$200,4)='TABLA DE PAGOS'!A$14),INDEX(SALDOS!B$3:G$200,MATCH('TABLA DE PAGOS'!A$14,SALDOS!E$3:E$200,0),6),IF(AND(P46&gt;0.001,M46&gt;0.001),'TABLA DE PAGOS'!H46,0))</f>
        <v>0</v>
      </c>
      <c r="W46" s="8">
        <f>IF(AND('TABLA DE PAGOS'!K46='TABLA DE PAGOS'!A$11,VLOOKUP('TABLA DE PAGOS'!A$7,SALDOS!B$3:E$200,4)='TABLA DE PAGOS'!A$16),INDEX(SALDOS!B$3:G$200,MATCH('TABLA DE PAGOS'!A$16,SALDOS!E$3:E$200,0),6),IF(AND(P46&gt;0.001,M46&gt;0.001),'TABLA DE PAGOS'!I46,0))</f>
        <v>0</v>
      </c>
    </row>
    <row r="47" spans="2:23">
      <c r="B47" s="33">
        <v>46</v>
      </c>
      <c r="C47" s="8">
        <f>IF('TABLA DE PAGOS'!K47='TABLA DE PAGOS'!A$12,0,IF('TABLA DE PAGOS'!K47='TABLA DE PAGOS'!A$11,'VALORES DE LIQUIDACIÓN'!A$4-'TABLA DE PAGOS'!M47,IF(AND('TABLA DE PAGOS'!J47&lt;'VALORES DE LIQUIDACIÓN'!A$4,'TABLA DE PAGOS'!K47='TABLA DE PAGOS'!A$9),'VALORES DE LIQUIDACIÓN'!A$4-'TABLA DE PAGOS'!J47,0)))</f>
        <v>0</v>
      </c>
      <c r="D47" s="8">
        <f>IF(P47&gt;0,'VALORES DE LIQUIDACIÓN'!A$4-'TABLA DE PAGOS'!J47,0)</f>
        <v>0</v>
      </c>
      <c r="E47" s="35">
        <f t="shared" si="0"/>
        <v>0</v>
      </c>
      <c r="F47" s="11">
        <f>IF(E47&gt;0,('DATOS GENERALES'!K$3+('DATOS GENERALES'!K$3*E47)),0)</f>
        <v>0</v>
      </c>
      <c r="G47" s="11">
        <f>IF(E47&gt;0,IF('TABLA DE PAGOS'!K47='TABLA DE PAGOS'!A$11,(P47*C47*F47)/36000,('TABLA DE PAGOS'!E47*C47*F47)/36000),0)</f>
        <v>0</v>
      </c>
      <c r="I47" s="8">
        <f>IF('TABLA DE PAGOS'!$J47&lt;='VALORES DE LIQUIDACIÓN'!A$4,0,'TABLA DE PAGOS'!$J47-'VALORES DE LIQUIDACIÓN'!A$4)</f>
        <v>1173</v>
      </c>
      <c r="J47" s="8">
        <f>IF(AND(I47&gt;0,I46=0),'VALORES DE LIQUIDACIÓN'!A$4-'TABLA DE PAGOS'!J46,0)</f>
        <v>0</v>
      </c>
      <c r="K47" s="8">
        <f>IF(AND(AND('TABLA DE PAGOS'!J46&lt;='VALORES DE LIQUIDACIÓN'!A$4,'TABLA DE PAGOS'!J47&gt;='VALORES DE LIQUIDACIÓN'!A$4),'TABLA DE PAGOS'!K47='TABLA DE PAGOS'!A$10),'TABLA DE PAGOS'!C46,IF(AND('TABLA DE PAGOS'!K47='TABLA DE PAGOS'!A$10,'TABLA DE PAGOS'!K48='TABLA DE PAGOS'!A$9),'TABLA DE PAGOS'!C47,IF(AND('TABLA DE PAGOS'!K47='TABLA DE PAGOS'!A$11,'TABLA DE PAGOS'!K48='TABLA DE PAGOS'!A$9),'TABLA DE PAGOS'!C46,0)))</f>
        <v>0</v>
      </c>
      <c r="L47" s="14"/>
      <c r="M47" s="11">
        <f>IF(I47=0,IF('TABLA DE PAGOS'!J47&lt;='TABLA DE PAGOS'!A$4,0,IF('TABLA DE PAGOS'!K47='TABLA DE PAGOS'!A$9,'TABLA DE PAGOS'!F47,IF('TABLA DE PAGOS'!K47='TABLA DE PAGOS'!A$11,(INDEX(SALDOS!B$3:G$200,MATCH('TABLA DE PAGOS'!A$12,SALDOS!E$3:E$200,0),6))-(INDEX(SALDOS!B$3:H$200,MATCH('TABLA DE PAGOS'!A$12,SALDOS!E$3:E$200,0),7)),0))),0)</f>
        <v>0</v>
      </c>
      <c r="N47" s="11">
        <f>IF(AND(I47&gt;0,I46=0),J47*MAX(SALDOS!J$3:J$200),0)</f>
        <v>0</v>
      </c>
      <c r="P47" s="8">
        <f>IF(I47=0,IF('TABLA DE PAGOS'!J47&lt;='TABLA DE PAGOS'!A$4,0,IF('TABLA DE PAGOS'!K47='TABLA DE PAGOS'!A$9,'TABLA DE PAGOS'!E47,IF('TABLA DE PAGOS'!K47='TABLA DE PAGOS'!A$11,INDEX(SALDOS!B$3:G$200,MATCH('TABLA DE PAGOS'!A$13,SALDOS!E$3:E$200,0),6),0))),0)</f>
        <v>0</v>
      </c>
      <c r="Q47" s="8">
        <f>IF(AND(I47&gt;0,I46&gt;0),'TABLA DE PAGOS'!E47,0)</f>
        <v>1123.42</v>
      </c>
      <c r="R47" s="8">
        <f t="shared" si="1"/>
        <v>0</v>
      </c>
      <c r="T47" s="8">
        <f>IF(AND(I47&gt;0,I46=0),'TABLA DE PAGOS'!H47,0)</f>
        <v>0</v>
      </c>
      <c r="U47" s="8">
        <f>IF(AND('TABLA DE PAGOS'!K47='TABLA DE PAGOS'!A$11,VLOOKUP('TABLA DE PAGOS'!A$7,SALDOS!B$3:E$200,4)='TABLA DE PAGOS'!A$14),INDEX(SALDOS!B$3:G$200,MATCH('TABLA DE PAGOS'!A$14,SALDOS!E$3:E$200,0),6),IF(AND(P47&gt;0.001,M47&gt;0.001),'TABLA DE PAGOS'!H47,0))</f>
        <v>0</v>
      </c>
      <c r="W47" s="8">
        <f>IF(AND('TABLA DE PAGOS'!K47='TABLA DE PAGOS'!A$11,VLOOKUP('TABLA DE PAGOS'!A$7,SALDOS!B$3:E$200,4)='TABLA DE PAGOS'!A$16),INDEX(SALDOS!B$3:G$200,MATCH('TABLA DE PAGOS'!A$16,SALDOS!E$3:E$200,0),6),IF(AND(P47&gt;0.001,M47&gt;0.001),'TABLA DE PAGOS'!I47,0))</f>
        <v>0</v>
      </c>
    </row>
    <row r="48" spans="2:23">
      <c r="B48" s="33">
        <v>47</v>
      </c>
      <c r="C48" s="8">
        <f>IF('TABLA DE PAGOS'!K48='TABLA DE PAGOS'!A$12,0,IF('TABLA DE PAGOS'!K48='TABLA DE PAGOS'!A$11,'VALORES DE LIQUIDACIÓN'!A$4-'TABLA DE PAGOS'!M48,IF(AND('TABLA DE PAGOS'!J48&lt;'VALORES DE LIQUIDACIÓN'!A$4,'TABLA DE PAGOS'!K48='TABLA DE PAGOS'!A$9),'VALORES DE LIQUIDACIÓN'!A$4-'TABLA DE PAGOS'!J48,0)))</f>
        <v>0</v>
      </c>
      <c r="D48" s="8">
        <f>IF(P48&gt;0,'VALORES DE LIQUIDACIÓN'!A$4-'TABLA DE PAGOS'!J48,0)</f>
        <v>0</v>
      </c>
      <c r="E48" s="35">
        <f t="shared" si="0"/>
        <v>0</v>
      </c>
      <c r="F48" s="11">
        <f>IF(E48&gt;0,('DATOS GENERALES'!K$3+('DATOS GENERALES'!K$3*E48)),0)</f>
        <v>0</v>
      </c>
      <c r="G48" s="11">
        <f>IF(E48&gt;0,IF('TABLA DE PAGOS'!K48='TABLA DE PAGOS'!A$11,(P48*C48*F48)/36000,('TABLA DE PAGOS'!E48*C48*F48)/36000),0)</f>
        <v>0</v>
      </c>
      <c r="I48" s="8">
        <f>IF('TABLA DE PAGOS'!$J48&lt;='VALORES DE LIQUIDACIÓN'!A$4,0,'TABLA DE PAGOS'!$J48-'VALORES DE LIQUIDACIÓN'!A$4)</f>
        <v>1204</v>
      </c>
      <c r="J48" s="8">
        <f>IF(AND(I48&gt;0,I47=0),'VALORES DE LIQUIDACIÓN'!A$4-'TABLA DE PAGOS'!J47,0)</f>
        <v>0</v>
      </c>
      <c r="K48" s="8">
        <f>IF(AND(AND('TABLA DE PAGOS'!J47&lt;='VALORES DE LIQUIDACIÓN'!A$4,'TABLA DE PAGOS'!J48&gt;='VALORES DE LIQUIDACIÓN'!A$4),'TABLA DE PAGOS'!K48='TABLA DE PAGOS'!A$10),'TABLA DE PAGOS'!C47,IF(AND('TABLA DE PAGOS'!K48='TABLA DE PAGOS'!A$10,'TABLA DE PAGOS'!K49='TABLA DE PAGOS'!A$9),'TABLA DE PAGOS'!C48,IF(AND('TABLA DE PAGOS'!K48='TABLA DE PAGOS'!A$11,'TABLA DE PAGOS'!K49='TABLA DE PAGOS'!A$9),'TABLA DE PAGOS'!C47,0)))</f>
        <v>0</v>
      </c>
      <c r="L48" s="14"/>
      <c r="M48" s="11">
        <f>IF(I48=0,IF('TABLA DE PAGOS'!J48&lt;='TABLA DE PAGOS'!A$4,0,IF('TABLA DE PAGOS'!K48='TABLA DE PAGOS'!A$9,'TABLA DE PAGOS'!F48,IF('TABLA DE PAGOS'!K48='TABLA DE PAGOS'!A$11,(INDEX(SALDOS!B$3:G$200,MATCH('TABLA DE PAGOS'!A$12,SALDOS!E$3:E$200,0),6))-(INDEX(SALDOS!B$3:H$200,MATCH('TABLA DE PAGOS'!A$12,SALDOS!E$3:E$200,0),7)),0))),0)</f>
        <v>0</v>
      </c>
      <c r="N48" s="11">
        <f>IF(AND(I48&gt;0,I47=0),J48*MAX(SALDOS!J$3:J$200),0)</f>
        <v>0</v>
      </c>
      <c r="P48" s="8">
        <f>IF(I48=0,IF('TABLA DE PAGOS'!J48&lt;='TABLA DE PAGOS'!A$4,0,IF('TABLA DE PAGOS'!K48='TABLA DE PAGOS'!A$9,'TABLA DE PAGOS'!E48,IF('TABLA DE PAGOS'!K48='TABLA DE PAGOS'!A$11,INDEX(SALDOS!B$3:G$200,MATCH('TABLA DE PAGOS'!A$13,SALDOS!E$3:E$200,0),6),0))),0)</f>
        <v>0</v>
      </c>
      <c r="Q48" s="8">
        <f>IF(AND(I48&gt;0,I47&gt;0),'TABLA DE PAGOS'!E48,0)</f>
        <v>1071.22</v>
      </c>
      <c r="R48" s="8">
        <f t="shared" si="1"/>
        <v>0</v>
      </c>
      <c r="T48" s="8">
        <f>IF(AND(I48&gt;0,I47=0),'TABLA DE PAGOS'!H48,0)</f>
        <v>0</v>
      </c>
      <c r="U48" s="8">
        <f>IF(AND('TABLA DE PAGOS'!K48='TABLA DE PAGOS'!A$11,VLOOKUP('TABLA DE PAGOS'!A$7,SALDOS!B$3:E$200,4)='TABLA DE PAGOS'!A$14),INDEX(SALDOS!B$3:G$200,MATCH('TABLA DE PAGOS'!A$14,SALDOS!E$3:E$200,0),6),IF(AND(P48&gt;0.001,M48&gt;0.001),'TABLA DE PAGOS'!H48,0))</f>
        <v>0</v>
      </c>
      <c r="W48" s="8">
        <f>IF(AND('TABLA DE PAGOS'!K48='TABLA DE PAGOS'!A$11,VLOOKUP('TABLA DE PAGOS'!A$7,SALDOS!B$3:E$200,4)='TABLA DE PAGOS'!A$16),INDEX(SALDOS!B$3:G$200,MATCH('TABLA DE PAGOS'!A$16,SALDOS!E$3:E$200,0),6),IF(AND(P48&gt;0.001,M48&gt;0.001),'TABLA DE PAGOS'!I48,0))</f>
        <v>0</v>
      </c>
    </row>
    <row r="49" spans="2:23">
      <c r="B49" s="33">
        <v>48</v>
      </c>
      <c r="C49" s="8">
        <f>IF('TABLA DE PAGOS'!K49='TABLA DE PAGOS'!A$12,0,IF('TABLA DE PAGOS'!K49='TABLA DE PAGOS'!A$11,'VALORES DE LIQUIDACIÓN'!A$4-'TABLA DE PAGOS'!M49,IF(AND('TABLA DE PAGOS'!J49&lt;'VALORES DE LIQUIDACIÓN'!A$4,'TABLA DE PAGOS'!K49='TABLA DE PAGOS'!A$9),'VALORES DE LIQUIDACIÓN'!A$4-'TABLA DE PAGOS'!J49,0)))</f>
        <v>0</v>
      </c>
      <c r="D49" s="8">
        <f>IF(P49&gt;0,'VALORES DE LIQUIDACIÓN'!A$4-'TABLA DE PAGOS'!J49,0)</f>
        <v>0</v>
      </c>
      <c r="E49" s="35">
        <f t="shared" si="0"/>
        <v>0</v>
      </c>
      <c r="F49" s="11">
        <f>IF(E49&gt;0,('DATOS GENERALES'!K$3+('DATOS GENERALES'!K$3*E49)),0)</f>
        <v>0</v>
      </c>
      <c r="G49" s="11">
        <f>IF(E49&gt;0,IF('TABLA DE PAGOS'!K49='TABLA DE PAGOS'!A$11,(P49*C49*F49)/36000,('TABLA DE PAGOS'!E49*C49*F49)/36000),0)</f>
        <v>0</v>
      </c>
      <c r="I49" s="8">
        <f>IF('TABLA DE PAGOS'!$J49&lt;='VALORES DE LIQUIDACIÓN'!A$4,0,'TABLA DE PAGOS'!$J49-'VALORES DE LIQUIDACIÓN'!A$4)</f>
        <v>1235</v>
      </c>
      <c r="J49" s="8">
        <f>IF(AND(I49&gt;0,I48=0),'VALORES DE LIQUIDACIÓN'!A$4-'TABLA DE PAGOS'!J48,0)</f>
        <v>0</v>
      </c>
      <c r="K49" s="8">
        <f>IF(AND(AND('TABLA DE PAGOS'!J48&lt;='VALORES DE LIQUIDACIÓN'!A$4,'TABLA DE PAGOS'!J49&gt;='VALORES DE LIQUIDACIÓN'!A$4),'TABLA DE PAGOS'!K49='TABLA DE PAGOS'!A$10),'TABLA DE PAGOS'!C48,IF(AND('TABLA DE PAGOS'!K49='TABLA DE PAGOS'!A$10,'TABLA DE PAGOS'!K50='TABLA DE PAGOS'!A$9),'TABLA DE PAGOS'!C49,IF(AND('TABLA DE PAGOS'!K49='TABLA DE PAGOS'!A$11,'TABLA DE PAGOS'!K50='TABLA DE PAGOS'!A$9),'TABLA DE PAGOS'!C48,0)))</f>
        <v>0</v>
      </c>
      <c r="L49" s="14"/>
      <c r="M49" s="11">
        <f>IF(I49=0,IF('TABLA DE PAGOS'!J49&lt;='TABLA DE PAGOS'!A$4,0,IF('TABLA DE PAGOS'!K49='TABLA DE PAGOS'!A$9,'TABLA DE PAGOS'!F49,IF('TABLA DE PAGOS'!K49='TABLA DE PAGOS'!A$11,(INDEX(SALDOS!B$3:G$200,MATCH('TABLA DE PAGOS'!A$12,SALDOS!E$3:E$200,0),6))-(INDEX(SALDOS!B$3:H$200,MATCH('TABLA DE PAGOS'!A$12,SALDOS!E$3:E$200,0),7)),0))),0)</f>
        <v>0</v>
      </c>
      <c r="N49" s="11">
        <f>IF(AND(I49&gt;0,I48=0),J49*MAX(SALDOS!J$3:J$200),0)</f>
        <v>0</v>
      </c>
      <c r="P49" s="8">
        <f>IF(I49=0,IF('TABLA DE PAGOS'!J49&lt;='TABLA DE PAGOS'!A$4,0,IF('TABLA DE PAGOS'!K49='TABLA DE PAGOS'!A$9,'TABLA DE PAGOS'!E49,IF('TABLA DE PAGOS'!K49='TABLA DE PAGOS'!A$11,INDEX(SALDOS!B$3:G$200,MATCH('TABLA DE PAGOS'!A$13,SALDOS!E$3:E$200,0),6),0))),0)</f>
        <v>0</v>
      </c>
      <c r="Q49" s="8">
        <f>IF(AND(I49&gt;0,I48&gt;0),'TABLA DE PAGOS'!E49,0)</f>
        <v>1081.17</v>
      </c>
      <c r="R49" s="8">
        <f t="shared" si="1"/>
        <v>0</v>
      </c>
      <c r="T49" s="8">
        <f>IF(AND(I49&gt;0,I48=0),'TABLA DE PAGOS'!H49,0)</f>
        <v>0</v>
      </c>
      <c r="U49" s="8">
        <f>IF(AND('TABLA DE PAGOS'!K49='TABLA DE PAGOS'!A$11,VLOOKUP('TABLA DE PAGOS'!A$7,SALDOS!B$3:E$200,4)='TABLA DE PAGOS'!A$14),INDEX(SALDOS!B$3:G$200,MATCH('TABLA DE PAGOS'!A$14,SALDOS!E$3:E$200,0),6),IF(AND(P49&gt;0.001,M49&gt;0.001),'TABLA DE PAGOS'!H49,0))</f>
        <v>0</v>
      </c>
      <c r="W49" s="8">
        <f>IF(AND('TABLA DE PAGOS'!K49='TABLA DE PAGOS'!A$11,VLOOKUP('TABLA DE PAGOS'!A$7,SALDOS!B$3:E$200,4)='TABLA DE PAGOS'!A$16),INDEX(SALDOS!B$3:G$200,MATCH('TABLA DE PAGOS'!A$16,SALDOS!E$3:E$200,0),6),IF(AND(P49&gt;0.001,M49&gt;0.001),'TABLA DE PAGOS'!I49,0))</f>
        <v>0</v>
      </c>
    </row>
    <row r="50" spans="2:23">
      <c r="B50" s="33">
        <v>49</v>
      </c>
      <c r="C50" s="8">
        <f>IF('TABLA DE PAGOS'!K50='TABLA DE PAGOS'!A$12,0,IF('TABLA DE PAGOS'!K50='TABLA DE PAGOS'!A$11,'VALORES DE LIQUIDACIÓN'!A$4-'TABLA DE PAGOS'!M50,IF(AND('TABLA DE PAGOS'!J50&lt;'VALORES DE LIQUIDACIÓN'!A$4,'TABLA DE PAGOS'!K50='TABLA DE PAGOS'!A$9),'VALORES DE LIQUIDACIÓN'!A$4-'TABLA DE PAGOS'!J50,0)))</f>
        <v>0</v>
      </c>
      <c r="D50" s="8">
        <f>IF(P50&gt;0,'VALORES DE LIQUIDACIÓN'!A$4-'TABLA DE PAGOS'!J50,0)</f>
        <v>0</v>
      </c>
      <c r="E50" s="35">
        <f t="shared" si="0"/>
        <v>0</v>
      </c>
      <c r="F50" s="11">
        <f>IF(E50&gt;0,('DATOS GENERALES'!K$3+('DATOS GENERALES'!K$3*E50)),0)</f>
        <v>0</v>
      </c>
      <c r="G50" s="11">
        <f>IF(E50&gt;0,IF('TABLA DE PAGOS'!K50='TABLA DE PAGOS'!A$11,(P50*C50*F50)/36000,('TABLA DE PAGOS'!E50*C50*F50)/36000),0)</f>
        <v>0</v>
      </c>
      <c r="I50" s="8">
        <f>IF('TABLA DE PAGOS'!$J50&lt;='VALORES DE LIQUIDACIÓN'!A$4,0,'TABLA DE PAGOS'!$J50-'VALORES DE LIQUIDACIÓN'!A$4)</f>
        <v>1267</v>
      </c>
      <c r="J50" s="8">
        <f>IF(AND(I50&gt;0,I49=0),'VALORES DE LIQUIDACIÓN'!A$4-'TABLA DE PAGOS'!J49,0)</f>
        <v>0</v>
      </c>
      <c r="K50" s="8">
        <f>IF(AND(AND('TABLA DE PAGOS'!J49&lt;='VALORES DE LIQUIDACIÓN'!A$4,'TABLA DE PAGOS'!J50&gt;='VALORES DE LIQUIDACIÓN'!A$4),'TABLA DE PAGOS'!K50='TABLA DE PAGOS'!A$10),'TABLA DE PAGOS'!C49,IF(AND('TABLA DE PAGOS'!K50='TABLA DE PAGOS'!A$10,'TABLA DE PAGOS'!K51='TABLA DE PAGOS'!A$9),'TABLA DE PAGOS'!C50,IF(AND('TABLA DE PAGOS'!K50='TABLA DE PAGOS'!A$11,'TABLA DE PAGOS'!K51='TABLA DE PAGOS'!A$9),'TABLA DE PAGOS'!C49,0)))</f>
        <v>0</v>
      </c>
      <c r="L50" s="14"/>
      <c r="M50" s="11">
        <f>IF(I50=0,IF('TABLA DE PAGOS'!J50&lt;='TABLA DE PAGOS'!A$4,0,IF('TABLA DE PAGOS'!K50='TABLA DE PAGOS'!A$9,'TABLA DE PAGOS'!F50,IF('TABLA DE PAGOS'!K50='TABLA DE PAGOS'!A$11,(INDEX(SALDOS!B$3:G$200,MATCH('TABLA DE PAGOS'!A$12,SALDOS!E$3:E$200,0),6))-(INDEX(SALDOS!B$3:H$200,MATCH('TABLA DE PAGOS'!A$12,SALDOS!E$3:E$200,0),7)),0))),0)</f>
        <v>0</v>
      </c>
      <c r="N50" s="11">
        <f>IF(AND(I50&gt;0,I49=0),J50*MAX(SALDOS!J$3:J$200),0)</f>
        <v>0</v>
      </c>
      <c r="P50" s="8">
        <f>IF(I50=0,IF('TABLA DE PAGOS'!J50&lt;='TABLA DE PAGOS'!A$4,0,IF('TABLA DE PAGOS'!K50='TABLA DE PAGOS'!A$9,'TABLA DE PAGOS'!E50,IF('TABLA DE PAGOS'!K50='TABLA DE PAGOS'!A$11,INDEX(SALDOS!B$3:G$200,MATCH('TABLA DE PAGOS'!A$13,SALDOS!E$3:E$200,0),6),0))),0)</f>
        <v>0</v>
      </c>
      <c r="Q50" s="8">
        <f>IF(AND(I50&gt;0,I49&gt;0),'TABLA DE PAGOS'!E50,0)</f>
        <v>1029.55</v>
      </c>
      <c r="R50" s="8">
        <f t="shared" si="1"/>
        <v>0</v>
      </c>
      <c r="T50" s="8">
        <f>IF(AND(I50&gt;0,I49=0),'TABLA DE PAGOS'!H50,0)</f>
        <v>0</v>
      </c>
      <c r="U50" s="8">
        <f>IF(AND('TABLA DE PAGOS'!K50='TABLA DE PAGOS'!A$11,VLOOKUP('TABLA DE PAGOS'!A$7,SALDOS!B$3:E$200,4)='TABLA DE PAGOS'!A$14),INDEX(SALDOS!B$3:G$200,MATCH('TABLA DE PAGOS'!A$14,SALDOS!E$3:E$200,0),6),IF(AND(P50&gt;0.001,M50&gt;0.001),'TABLA DE PAGOS'!H50,0))</f>
        <v>0</v>
      </c>
      <c r="W50" s="8">
        <f>IF(AND('TABLA DE PAGOS'!K50='TABLA DE PAGOS'!A$11,VLOOKUP('TABLA DE PAGOS'!A$7,SALDOS!B$3:E$200,4)='TABLA DE PAGOS'!A$16),INDEX(SALDOS!B$3:G$200,MATCH('TABLA DE PAGOS'!A$16,SALDOS!E$3:E$200,0),6),IF(AND(P50&gt;0.001,M50&gt;0.001),'TABLA DE PAGOS'!I50,0))</f>
        <v>0</v>
      </c>
    </row>
    <row r="51" spans="2:23">
      <c r="B51" s="33">
        <v>50</v>
      </c>
      <c r="C51" s="8">
        <f>IF('TABLA DE PAGOS'!K51='TABLA DE PAGOS'!A$12,0,IF('TABLA DE PAGOS'!K51='TABLA DE PAGOS'!A$11,'VALORES DE LIQUIDACIÓN'!A$4-'TABLA DE PAGOS'!M51,IF(AND('TABLA DE PAGOS'!J51&lt;'VALORES DE LIQUIDACIÓN'!A$4,'TABLA DE PAGOS'!K51='TABLA DE PAGOS'!A$9),'VALORES DE LIQUIDACIÓN'!A$4-'TABLA DE PAGOS'!J51,0)))</f>
        <v>0</v>
      </c>
      <c r="D51" s="8">
        <f>IF(P51&gt;0,'VALORES DE LIQUIDACIÓN'!A$4-'TABLA DE PAGOS'!J51,0)</f>
        <v>0</v>
      </c>
      <c r="E51" s="35">
        <f t="shared" si="0"/>
        <v>0</v>
      </c>
      <c r="F51" s="11">
        <f>IF(E51&gt;0,('DATOS GENERALES'!K$3+('DATOS GENERALES'!K$3*E51)),0)</f>
        <v>0</v>
      </c>
      <c r="G51" s="11">
        <f>IF(E51&gt;0,IF('TABLA DE PAGOS'!K51='TABLA DE PAGOS'!A$11,(P51*C51*F51)/36000,('TABLA DE PAGOS'!E51*C51*F51)/36000),0)</f>
        <v>0</v>
      </c>
      <c r="I51" s="8">
        <f>IF('TABLA DE PAGOS'!$J51&lt;='VALORES DE LIQUIDACIÓN'!A$4,0,'TABLA DE PAGOS'!$J51-'VALORES DE LIQUIDACIÓN'!A$4)</f>
        <v>1296</v>
      </c>
      <c r="J51" s="8">
        <f>IF(AND(I51&gt;0,I50=0),'VALORES DE LIQUIDACIÓN'!A$4-'TABLA DE PAGOS'!J50,0)</f>
        <v>0</v>
      </c>
      <c r="K51" s="8">
        <f>IF(AND(AND('TABLA DE PAGOS'!J50&lt;='VALORES DE LIQUIDACIÓN'!A$4,'TABLA DE PAGOS'!J51&gt;='VALORES DE LIQUIDACIÓN'!A$4),'TABLA DE PAGOS'!K51='TABLA DE PAGOS'!A$10),'TABLA DE PAGOS'!C50,IF(AND('TABLA DE PAGOS'!K51='TABLA DE PAGOS'!A$10,'TABLA DE PAGOS'!K52='TABLA DE PAGOS'!A$9),'TABLA DE PAGOS'!C51,IF(AND('TABLA DE PAGOS'!K51='TABLA DE PAGOS'!A$11,'TABLA DE PAGOS'!K52='TABLA DE PAGOS'!A$9),'TABLA DE PAGOS'!C50,0)))</f>
        <v>0</v>
      </c>
      <c r="L51" s="14"/>
      <c r="M51" s="11">
        <f>IF(I51=0,IF('TABLA DE PAGOS'!J51&lt;='TABLA DE PAGOS'!A$4,0,IF('TABLA DE PAGOS'!K51='TABLA DE PAGOS'!A$9,'TABLA DE PAGOS'!F51,IF('TABLA DE PAGOS'!K51='TABLA DE PAGOS'!A$11,(INDEX(SALDOS!B$3:G$200,MATCH('TABLA DE PAGOS'!A$12,SALDOS!E$3:E$200,0),6))-(INDEX(SALDOS!B$3:H$200,MATCH('TABLA DE PAGOS'!A$12,SALDOS!E$3:E$200,0),7)),0))),0)</f>
        <v>0</v>
      </c>
      <c r="N51" s="11">
        <f>IF(AND(I51&gt;0,I50=0),J51*MAX(SALDOS!J$3:J$200),0)</f>
        <v>0</v>
      </c>
      <c r="P51" s="8">
        <f>IF(I51=0,IF('TABLA DE PAGOS'!J51&lt;='TABLA DE PAGOS'!A$4,0,IF('TABLA DE PAGOS'!K51='TABLA DE PAGOS'!A$9,'TABLA DE PAGOS'!E51,IF('TABLA DE PAGOS'!K51='TABLA DE PAGOS'!A$11,INDEX(SALDOS!B$3:G$200,MATCH('TABLA DE PAGOS'!A$13,SALDOS!E$3:E$200,0),6),0))),0)</f>
        <v>0</v>
      </c>
      <c r="Q51" s="8">
        <f>IF(AND(I51&gt;0,I50&gt;0),'TABLA DE PAGOS'!E51,0)</f>
        <v>1223.5</v>
      </c>
      <c r="R51" s="8">
        <f t="shared" si="1"/>
        <v>0</v>
      </c>
      <c r="T51" s="8">
        <f>IF(AND(I51&gt;0,I50=0),'TABLA DE PAGOS'!H51,0)</f>
        <v>0</v>
      </c>
      <c r="U51" s="8">
        <f>IF(AND('TABLA DE PAGOS'!K51='TABLA DE PAGOS'!A$11,VLOOKUP('TABLA DE PAGOS'!A$7,SALDOS!B$3:E$200,4)='TABLA DE PAGOS'!A$14),INDEX(SALDOS!B$3:G$200,MATCH('TABLA DE PAGOS'!A$14,SALDOS!E$3:E$200,0),6),IF(AND(P51&gt;0.001,M51&gt;0.001),'TABLA DE PAGOS'!H51,0))</f>
        <v>0</v>
      </c>
      <c r="W51" s="8">
        <f>IF(AND('TABLA DE PAGOS'!K51='TABLA DE PAGOS'!A$11,VLOOKUP('TABLA DE PAGOS'!A$7,SALDOS!B$3:E$200,4)='TABLA DE PAGOS'!A$16),INDEX(SALDOS!B$3:G$200,MATCH('TABLA DE PAGOS'!A$16,SALDOS!E$3:E$200,0),6),IF(AND(P51&gt;0.001,M51&gt;0.001),'TABLA DE PAGOS'!I51,0))</f>
        <v>0</v>
      </c>
    </row>
    <row r="52" spans="2:23">
      <c r="B52" s="33">
        <v>51</v>
      </c>
      <c r="C52" s="8">
        <f>IF('TABLA DE PAGOS'!K52='TABLA DE PAGOS'!A$12,0,IF('TABLA DE PAGOS'!K52='TABLA DE PAGOS'!A$11,'VALORES DE LIQUIDACIÓN'!A$4-'TABLA DE PAGOS'!M52,IF(AND('TABLA DE PAGOS'!J52&lt;'VALORES DE LIQUIDACIÓN'!A$4,'TABLA DE PAGOS'!K52='TABLA DE PAGOS'!A$9),'VALORES DE LIQUIDACIÓN'!A$4-'TABLA DE PAGOS'!J52,0)))</f>
        <v>0</v>
      </c>
      <c r="D52" s="8">
        <f>IF(P52&gt;0,'VALORES DE LIQUIDACIÓN'!A$4-'TABLA DE PAGOS'!J52,0)</f>
        <v>0</v>
      </c>
      <c r="E52" s="35">
        <f t="shared" si="0"/>
        <v>0</v>
      </c>
      <c r="F52" s="11">
        <f>IF(E52&gt;0,('DATOS GENERALES'!K$3+('DATOS GENERALES'!K$3*E52)),0)</f>
        <v>0</v>
      </c>
      <c r="G52" s="11">
        <f>IF(E52&gt;0,IF('TABLA DE PAGOS'!K52='TABLA DE PAGOS'!A$11,(P52*C52*F52)/36000,('TABLA DE PAGOS'!E52*C52*F52)/36000),0)</f>
        <v>0</v>
      </c>
      <c r="I52" s="8">
        <f>IF('TABLA DE PAGOS'!$J52&lt;='VALORES DE LIQUIDACIÓN'!A$4,0,'TABLA DE PAGOS'!$J52-'VALORES DE LIQUIDACIÓN'!A$4)</f>
        <v>1326</v>
      </c>
      <c r="J52" s="8">
        <f>IF(AND(I52&gt;0,I51=0),'VALORES DE LIQUIDACIÓN'!A$4-'TABLA DE PAGOS'!J51,0)</f>
        <v>0</v>
      </c>
      <c r="K52" s="8">
        <f>IF(AND(AND('TABLA DE PAGOS'!J51&lt;='VALORES DE LIQUIDACIÓN'!A$4,'TABLA DE PAGOS'!J52&gt;='VALORES DE LIQUIDACIÓN'!A$4),'TABLA DE PAGOS'!K52='TABLA DE PAGOS'!A$10),'TABLA DE PAGOS'!C51,IF(AND('TABLA DE PAGOS'!K52='TABLA DE PAGOS'!A$10,'TABLA DE PAGOS'!K53='TABLA DE PAGOS'!A$9),'TABLA DE PAGOS'!C52,IF(AND('TABLA DE PAGOS'!K52='TABLA DE PAGOS'!A$11,'TABLA DE PAGOS'!K53='TABLA DE PAGOS'!A$9),'TABLA DE PAGOS'!C51,0)))</f>
        <v>0</v>
      </c>
      <c r="L52" s="14"/>
      <c r="M52" s="11">
        <f>IF(I52=0,IF('TABLA DE PAGOS'!J52&lt;='TABLA DE PAGOS'!A$4,0,IF('TABLA DE PAGOS'!K52='TABLA DE PAGOS'!A$9,'TABLA DE PAGOS'!F52,IF('TABLA DE PAGOS'!K52='TABLA DE PAGOS'!A$11,(INDEX(SALDOS!B$3:G$200,MATCH('TABLA DE PAGOS'!A$12,SALDOS!E$3:E$200,0),6))-(INDEX(SALDOS!B$3:H$200,MATCH('TABLA DE PAGOS'!A$12,SALDOS!E$3:E$200,0),7)),0))),0)</f>
        <v>0</v>
      </c>
      <c r="N52" s="11">
        <f>IF(AND(I52&gt;0,I51=0),J52*MAX(SALDOS!J$3:J$200),0)</f>
        <v>0</v>
      </c>
      <c r="P52" s="8">
        <f>IF(I52=0,IF('TABLA DE PAGOS'!J52&lt;='TABLA DE PAGOS'!A$4,0,IF('TABLA DE PAGOS'!K52='TABLA DE PAGOS'!A$9,'TABLA DE PAGOS'!E52,IF('TABLA DE PAGOS'!K52='TABLA DE PAGOS'!A$11,INDEX(SALDOS!B$3:G$200,MATCH('TABLA DE PAGOS'!A$13,SALDOS!E$3:E$200,0),6),0))),0)</f>
        <v>0</v>
      </c>
      <c r="Q52" s="8">
        <f>IF(AND(I52&gt;0,I51&gt;0),'TABLA DE PAGOS'!E52,0)</f>
        <v>1173.14</v>
      </c>
      <c r="R52" s="8">
        <f t="shared" si="1"/>
        <v>0</v>
      </c>
      <c r="T52" s="8">
        <f>IF(AND(I52&gt;0,I51=0),'TABLA DE PAGOS'!H52,0)</f>
        <v>0</v>
      </c>
      <c r="U52" s="8">
        <f>IF(AND('TABLA DE PAGOS'!K52='TABLA DE PAGOS'!A$11,VLOOKUP('TABLA DE PAGOS'!A$7,SALDOS!B$3:E$200,4)='TABLA DE PAGOS'!A$14),INDEX(SALDOS!B$3:G$200,MATCH('TABLA DE PAGOS'!A$14,SALDOS!E$3:E$200,0),6),IF(AND(P52&gt;0.001,M52&gt;0.001),'TABLA DE PAGOS'!H52,0))</f>
        <v>0</v>
      </c>
      <c r="W52" s="8">
        <f>IF(AND('TABLA DE PAGOS'!K52='TABLA DE PAGOS'!A$11,VLOOKUP('TABLA DE PAGOS'!A$7,SALDOS!B$3:E$200,4)='TABLA DE PAGOS'!A$16),INDEX(SALDOS!B$3:G$200,MATCH('TABLA DE PAGOS'!A$16,SALDOS!E$3:E$200,0),6),IF(AND(P52&gt;0.001,M52&gt;0.001),'TABLA DE PAGOS'!I52,0))</f>
        <v>0</v>
      </c>
    </row>
    <row r="53" spans="2:23">
      <c r="B53" s="33">
        <v>52</v>
      </c>
      <c r="C53" s="8">
        <f>IF('TABLA DE PAGOS'!K53='TABLA DE PAGOS'!A$12,0,IF('TABLA DE PAGOS'!K53='TABLA DE PAGOS'!A$11,'VALORES DE LIQUIDACIÓN'!A$4-'TABLA DE PAGOS'!M53,IF(AND('TABLA DE PAGOS'!J53&lt;'VALORES DE LIQUIDACIÓN'!A$4,'TABLA DE PAGOS'!K53='TABLA DE PAGOS'!A$9),'VALORES DE LIQUIDACIÓN'!A$4-'TABLA DE PAGOS'!J53,0)))</f>
        <v>0</v>
      </c>
      <c r="D53" s="8">
        <f>IF(P53&gt;0,'VALORES DE LIQUIDACIÓN'!A$4-'TABLA DE PAGOS'!J53,0)</f>
        <v>0</v>
      </c>
      <c r="E53" s="35">
        <f t="shared" si="0"/>
        <v>0</v>
      </c>
      <c r="F53" s="11">
        <f>IF(E53&gt;0,('DATOS GENERALES'!K$3+('DATOS GENERALES'!K$3*E53)),0)</f>
        <v>0</v>
      </c>
      <c r="G53" s="11">
        <f>IF(E53&gt;0,IF('TABLA DE PAGOS'!K53='TABLA DE PAGOS'!A$11,(P53*C53*F53)/36000,('TABLA DE PAGOS'!E53*C53*F53)/36000),0)</f>
        <v>0</v>
      </c>
      <c r="I53" s="8">
        <f>IF('TABLA DE PAGOS'!$J53&lt;='VALORES DE LIQUIDACIÓN'!A$4,0,'TABLA DE PAGOS'!$J53-'VALORES DE LIQUIDACIÓN'!A$4)</f>
        <v>1358</v>
      </c>
      <c r="J53" s="8">
        <f>IF(AND(I53&gt;0,I52=0),'VALORES DE LIQUIDACIÓN'!A$4-'TABLA DE PAGOS'!J52,0)</f>
        <v>0</v>
      </c>
      <c r="K53" s="8">
        <f>IF(AND(AND('TABLA DE PAGOS'!J52&lt;='VALORES DE LIQUIDACIÓN'!A$4,'TABLA DE PAGOS'!J53&gt;='VALORES DE LIQUIDACIÓN'!A$4),'TABLA DE PAGOS'!K53='TABLA DE PAGOS'!A$10),'TABLA DE PAGOS'!C52,IF(AND('TABLA DE PAGOS'!K53='TABLA DE PAGOS'!A$10,'TABLA DE PAGOS'!K54='TABLA DE PAGOS'!A$9),'TABLA DE PAGOS'!C53,IF(AND('TABLA DE PAGOS'!K53='TABLA DE PAGOS'!A$11,'TABLA DE PAGOS'!K54='TABLA DE PAGOS'!A$9),'TABLA DE PAGOS'!C52,0)))</f>
        <v>0</v>
      </c>
      <c r="L53" s="14"/>
      <c r="M53" s="11">
        <f>IF(I53=0,IF('TABLA DE PAGOS'!J53&lt;='TABLA DE PAGOS'!A$4,0,IF('TABLA DE PAGOS'!K53='TABLA DE PAGOS'!A$9,'TABLA DE PAGOS'!F53,IF('TABLA DE PAGOS'!K53='TABLA DE PAGOS'!A$11,(INDEX(SALDOS!B$3:G$200,MATCH('TABLA DE PAGOS'!A$12,SALDOS!E$3:E$200,0),6))-(INDEX(SALDOS!B$3:H$200,MATCH('TABLA DE PAGOS'!A$12,SALDOS!E$3:E$200,0),7)),0))),0)</f>
        <v>0</v>
      </c>
      <c r="N53" s="11">
        <f>IF(AND(I53&gt;0,I52=0),J53*MAX(SALDOS!J$3:J$200),0)</f>
        <v>0</v>
      </c>
      <c r="P53" s="8">
        <f>IF(I53=0,IF('TABLA DE PAGOS'!J53&lt;='TABLA DE PAGOS'!A$4,0,IF('TABLA DE PAGOS'!K53='TABLA DE PAGOS'!A$9,'TABLA DE PAGOS'!E53,IF('TABLA DE PAGOS'!K53='TABLA DE PAGOS'!A$11,INDEX(SALDOS!B$3:G$200,MATCH('TABLA DE PAGOS'!A$13,SALDOS!E$3:E$200,0),6),0))),0)</f>
        <v>0</v>
      </c>
      <c r="Q53" s="8">
        <f>IF(AND(I53&gt;0,I52&gt;0),'TABLA DE PAGOS'!E53,0)</f>
        <v>1062.42</v>
      </c>
      <c r="R53" s="8">
        <f t="shared" si="1"/>
        <v>0</v>
      </c>
      <c r="T53" s="8">
        <f>IF(AND(I53&gt;0,I52=0),'TABLA DE PAGOS'!H53,0)</f>
        <v>0</v>
      </c>
      <c r="U53" s="8">
        <f>IF(AND('TABLA DE PAGOS'!K53='TABLA DE PAGOS'!A$11,VLOOKUP('TABLA DE PAGOS'!A$7,SALDOS!B$3:E$200,4)='TABLA DE PAGOS'!A$14),INDEX(SALDOS!B$3:G$200,MATCH('TABLA DE PAGOS'!A$14,SALDOS!E$3:E$200,0),6),IF(AND(P53&gt;0.001,M53&gt;0.001),'TABLA DE PAGOS'!H53,0))</f>
        <v>0</v>
      </c>
      <c r="W53" s="8">
        <f>IF(AND('TABLA DE PAGOS'!K53='TABLA DE PAGOS'!A$11,VLOOKUP('TABLA DE PAGOS'!A$7,SALDOS!B$3:E$200,4)='TABLA DE PAGOS'!A$16),INDEX(SALDOS!B$3:G$200,MATCH('TABLA DE PAGOS'!A$16,SALDOS!E$3:E$200,0),6),IF(AND(P53&gt;0.001,M53&gt;0.001),'TABLA DE PAGOS'!I53,0))</f>
        <v>0</v>
      </c>
    </row>
    <row r="54" spans="2:23">
      <c r="B54" s="33">
        <v>53</v>
      </c>
      <c r="C54" s="8">
        <f>IF('TABLA DE PAGOS'!K54='TABLA DE PAGOS'!A$12,0,IF('TABLA DE PAGOS'!K54='TABLA DE PAGOS'!A$11,'VALORES DE LIQUIDACIÓN'!A$4-'TABLA DE PAGOS'!M54,IF(AND('TABLA DE PAGOS'!J54&lt;'VALORES DE LIQUIDACIÓN'!A$4,'TABLA DE PAGOS'!K54='TABLA DE PAGOS'!A$9),'VALORES DE LIQUIDACIÓN'!A$4-'TABLA DE PAGOS'!J54,0)))</f>
        <v>0</v>
      </c>
      <c r="D54" s="8">
        <f>IF(P54&gt;0,'VALORES DE LIQUIDACIÓN'!A$4-'TABLA DE PAGOS'!J54,0)</f>
        <v>0</v>
      </c>
      <c r="E54" s="35">
        <f t="shared" si="0"/>
        <v>0</v>
      </c>
      <c r="F54" s="11">
        <f>IF(E54&gt;0,('DATOS GENERALES'!K$3+('DATOS GENERALES'!K$3*E54)),0)</f>
        <v>0</v>
      </c>
      <c r="G54" s="11">
        <f>IF(E54&gt;0,IF('TABLA DE PAGOS'!K54='TABLA DE PAGOS'!A$11,(P54*C54*F54)/36000,('TABLA DE PAGOS'!E54*C54*F54)/36000),0)</f>
        <v>0</v>
      </c>
      <c r="I54" s="8">
        <f>IF('TABLA DE PAGOS'!$J54&lt;='VALORES DE LIQUIDACIÓN'!A$4,0,'TABLA DE PAGOS'!$J54-'VALORES DE LIQUIDACIÓN'!A$4)</f>
        <v>1388</v>
      </c>
      <c r="J54" s="8">
        <f>IF(AND(I54&gt;0,I53=0),'VALORES DE LIQUIDACIÓN'!A$4-'TABLA DE PAGOS'!J53,0)</f>
        <v>0</v>
      </c>
      <c r="K54" s="8">
        <f>IF(AND(AND('TABLA DE PAGOS'!J53&lt;='VALORES DE LIQUIDACIÓN'!A$4,'TABLA DE PAGOS'!J54&gt;='VALORES DE LIQUIDACIÓN'!A$4),'TABLA DE PAGOS'!K54='TABLA DE PAGOS'!A$10),'TABLA DE PAGOS'!C53,IF(AND('TABLA DE PAGOS'!K54='TABLA DE PAGOS'!A$10,'TABLA DE PAGOS'!K55='TABLA DE PAGOS'!A$9),'TABLA DE PAGOS'!C54,IF(AND('TABLA DE PAGOS'!K54='TABLA DE PAGOS'!A$11,'TABLA DE PAGOS'!K55='TABLA DE PAGOS'!A$9),'TABLA DE PAGOS'!C53,0)))</f>
        <v>0</v>
      </c>
      <c r="L54" s="14"/>
      <c r="M54" s="11">
        <f>IF(I54=0,IF('TABLA DE PAGOS'!J54&lt;='TABLA DE PAGOS'!A$4,0,IF('TABLA DE PAGOS'!K54='TABLA DE PAGOS'!A$9,'TABLA DE PAGOS'!F54,IF('TABLA DE PAGOS'!K54='TABLA DE PAGOS'!A$11,(INDEX(SALDOS!B$3:G$200,MATCH('TABLA DE PAGOS'!A$12,SALDOS!E$3:E$200,0),6))-(INDEX(SALDOS!B$3:H$200,MATCH('TABLA DE PAGOS'!A$12,SALDOS!E$3:E$200,0),7)),0))),0)</f>
        <v>0</v>
      </c>
      <c r="N54" s="11">
        <f>IF(AND(I54&gt;0,I53=0),J54*MAX(SALDOS!J$3:J$200),0)</f>
        <v>0</v>
      </c>
      <c r="P54" s="8">
        <f>IF(I54=0,IF('TABLA DE PAGOS'!J54&lt;='TABLA DE PAGOS'!A$4,0,IF('TABLA DE PAGOS'!K54='TABLA DE PAGOS'!A$9,'TABLA DE PAGOS'!E54,IF('TABLA DE PAGOS'!K54='TABLA DE PAGOS'!A$11,INDEX(SALDOS!B$3:G$200,MATCH('TABLA DE PAGOS'!A$13,SALDOS!E$3:E$200,0),6),0))),0)</f>
        <v>0</v>
      </c>
      <c r="Q54" s="8">
        <f>IF(AND(I54&gt;0,I53&gt;0),'TABLA DE PAGOS'!E54,0)</f>
        <v>1193.25</v>
      </c>
      <c r="R54" s="8">
        <f t="shared" si="1"/>
        <v>0</v>
      </c>
      <c r="T54" s="8">
        <f>IF(AND(I54&gt;0,I53=0),'TABLA DE PAGOS'!H54,0)</f>
        <v>0</v>
      </c>
      <c r="U54" s="8">
        <f>IF(AND('TABLA DE PAGOS'!K54='TABLA DE PAGOS'!A$11,VLOOKUP('TABLA DE PAGOS'!A$7,SALDOS!B$3:E$200,4)='TABLA DE PAGOS'!A$14),INDEX(SALDOS!B$3:G$200,MATCH('TABLA DE PAGOS'!A$14,SALDOS!E$3:E$200,0),6),IF(AND(P54&gt;0.001,M54&gt;0.001),'TABLA DE PAGOS'!H54,0))</f>
        <v>0</v>
      </c>
      <c r="W54" s="8">
        <f>IF(AND('TABLA DE PAGOS'!K54='TABLA DE PAGOS'!A$11,VLOOKUP('TABLA DE PAGOS'!A$7,SALDOS!B$3:E$200,4)='TABLA DE PAGOS'!A$16),INDEX(SALDOS!B$3:G$200,MATCH('TABLA DE PAGOS'!A$16,SALDOS!E$3:E$200,0),6),IF(AND(P54&gt;0.001,M54&gt;0.001),'TABLA DE PAGOS'!I54,0))</f>
        <v>0</v>
      </c>
    </row>
    <row r="55" spans="2:23">
      <c r="B55" s="33">
        <v>54</v>
      </c>
      <c r="C55" s="8">
        <f>IF('TABLA DE PAGOS'!K55='TABLA DE PAGOS'!A$12,0,IF('TABLA DE PAGOS'!K55='TABLA DE PAGOS'!A$11,'VALORES DE LIQUIDACIÓN'!A$4-'TABLA DE PAGOS'!M55,IF(AND('TABLA DE PAGOS'!J55&lt;'VALORES DE LIQUIDACIÓN'!A$4,'TABLA DE PAGOS'!K55='TABLA DE PAGOS'!A$9),'VALORES DE LIQUIDACIÓN'!A$4-'TABLA DE PAGOS'!J55,0)))</f>
        <v>0</v>
      </c>
      <c r="D55" s="8">
        <f>IF(P55&gt;0,'VALORES DE LIQUIDACIÓN'!A$4-'TABLA DE PAGOS'!J55,0)</f>
        <v>0</v>
      </c>
      <c r="E55" s="35">
        <f t="shared" si="0"/>
        <v>0</v>
      </c>
      <c r="F55" s="11">
        <f>IF(E55&gt;0,('DATOS GENERALES'!K$3+('DATOS GENERALES'!K$3*E55)),0)</f>
        <v>0</v>
      </c>
      <c r="G55" s="11">
        <f>IF(E55&gt;0,IF('TABLA DE PAGOS'!K55='TABLA DE PAGOS'!A$11,(P55*C55*F55)/36000,('TABLA DE PAGOS'!E55*C55*F55)/36000),0)</f>
        <v>0</v>
      </c>
      <c r="I55" s="8">
        <f>IF('TABLA DE PAGOS'!$J55&lt;='VALORES DE LIQUIDACIÓN'!A$4,0,'TABLA DE PAGOS'!$J55-'VALORES DE LIQUIDACIÓN'!A$4)</f>
        <v>1416</v>
      </c>
      <c r="J55" s="8">
        <f>IF(AND(I55&gt;0,I54=0),'VALORES DE LIQUIDACIÓN'!A$4-'TABLA DE PAGOS'!J54,0)</f>
        <v>0</v>
      </c>
      <c r="K55" s="8">
        <f>IF(AND(AND('TABLA DE PAGOS'!J54&lt;='VALORES DE LIQUIDACIÓN'!A$4,'TABLA DE PAGOS'!J55&gt;='VALORES DE LIQUIDACIÓN'!A$4),'TABLA DE PAGOS'!K55='TABLA DE PAGOS'!A$10),'TABLA DE PAGOS'!C54,IF(AND('TABLA DE PAGOS'!K55='TABLA DE PAGOS'!A$10,'TABLA DE PAGOS'!K56='TABLA DE PAGOS'!A$9),'TABLA DE PAGOS'!C55,IF(AND('TABLA DE PAGOS'!K55='TABLA DE PAGOS'!A$11,'TABLA DE PAGOS'!K56='TABLA DE PAGOS'!A$9),'TABLA DE PAGOS'!C54,0)))</f>
        <v>0</v>
      </c>
      <c r="L55" s="14"/>
      <c r="M55" s="11">
        <f>IF(I55=0,IF('TABLA DE PAGOS'!J55&lt;='TABLA DE PAGOS'!A$4,0,IF('TABLA DE PAGOS'!K55='TABLA DE PAGOS'!A$9,'TABLA DE PAGOS'!F55,IF('TABLA DE PAGOS'!K55='TABLA DE PAGOS'!A$11,(INDEX(SALDOS!B$3:G$200,MATCH('TABLA DE PAGOS'!A$12,SALDOS!E$3:E$200,0),6))-(INDEX(SALDOS!B$3:H$200,MATCH('TABLA DE PAGOS'!A$12,SALDOS!E$3:E$200,0),7)),0))),0)</f>
        <v>0</v>
      </c>
      <c r="N55" s="11">
        <f>IF(AND(I55&gt;0,I54=0),J55*MAX(SALDOS!J$3:J$200),0)</f>
        <v>0</v>
      </c>
      <c r="P55" s="8">
        <f>IF(I55=0,IF('TABLA DE PAGOS'!J55&lt;='TABLA DE PAGOS'!A$4,0,IF('TABLA DE PAGOS'!K55='TABLA DE PAGOS'!A$9,'TABLA DE PAGOS'!E55,IF('TABLA DE PAGOS'!K55='TABLA DE PAGOS'!A$11,INDEX(SALDOS!B$3:G$200,MATCH('TABLA DE PAGOS'!A$13,SALDOS!E$3:E$200,0),6),0))),0)</f>
        <v>0</v>
      </c>
      <c r="Q55" s="8">
        <f>IF(AND(I55&gt;0,I54&gt;0),'TABLA DE PAGOS'!E55,0)</f>
        <v>1323.9</v>
      </c>
      <c r="R55" s="8">
        <f t="shared" si="1"/>
        <v>0</v>
      </c>
      <c r="T55" s="8">
        <f>IF(AND(I55&gt;0,I54=0),'TABLA DE PAGOS'!H55,0)</f>
        <v>0</v>
      </c>
      <c r="U55" s="8">
        <f>IF(AND('TABLA DE PAGOS'!K55='TABLA DE PAGOS'!A$11,VLOOKUP('TABLA DE PAGOS'!A$7,SALDOS!B$3:E$200,4)='TABLA DE PAGOS'!A$14),INDEX(SALDOS!B$3:G$200,MATCH('TABLA DE PAGOS'!A$14,SALDOS!E$3:E$200,0),6),IF(AND(P55&gt;0.001,M55&gt;0.001),'TABLA DE PAGOS'!H55,0))</f>
        <v>0</v>
      </c>
      <c r="W55" s="8">
        <f>IF(AND('TABLA DE PAGOS'!K55='TABLA DE PAGOS'!A$11,VLOOKUP('TABLA DE PAGOS'!A$7,SALDOS!B$3:E$200,4)='TABLA DE PAGOS'!A$16),INDEX(SALDOS!B$3:G$200,MATCH('TABLA DE PAGOS'!A$16,SALDOS!E$3:E$200,0),6),IF(AND(P55&gt;0.001,M55&gt;0.001),'TABLA DE PAGOS'!I55,0))</f>
        <v>0</v>
      </c>
    </row>
    <row r="56" spans="2:23">
      <c r="B56" s="33">
        <v>55</v>
      </c>
      <c r="C56" s="8">
        <f>IF('TABLA DE PAGOS'!K56='TABLA DE PAGOS'!A$12,0,IF('TABLA DE PAGOS'!K56='TABLA DE PAGOS'!A$11,'VALORES DE LIQUIDACIÓN'!A$4-'TABLA DE PAGOS'!M56,IF(AND('TABLA DE PAGOS'!J56&lt;'VALORES DE LIQUIDACIÓN'!A$4,'TABLA DE PAGOS'!K56='TABLA DE PAGOS'!A$9),'VALORES DE LIQUIDACIÓN'!A$4-'TABLA DE PAGOS'!J56,0)))</f>
        <v>0</v>
      </c>
      <c r="D56" s="8">
        <f>IF(P56&gt;0,'VALORES DE LIQUIDACIÓN'!A$4-'TABLA DE PAGOS'!J56,0)</f>
        <v>0</v>
      </c>
      <c r="E56" s="35">
        <f t="shared" si="0"/>
        <v>0</v>
      </c>
      <c r="F56" s="11">
        <f>IF(E56&gt;0,('DATOS GENERALES'!K$3+('DATOS GENERALES'!K$3*E56)),0)</f>
        <v>0</v>
      </c>
      <c r="G56" s="11">
        <f>IF(E56&gt;0,IF('TABLA DE PAGOS'!K56='TABLA DE PAGOS'!A$11,(P56*C56*F56)/36000,('TABLA DE PAGOS'!E56*C56*F56)/36000),0)</f>
        <v>0</v>
      </c>
      <c r="I56" s="8">
        <f>IF('TABLA DE PAGOS'!$J56&lt;='VALORES DE LIQUIDACIÓN'!A$4,0,'TABLA DE PAGOS'!$J56-'VALORES DE LIQUIDACIÓN'!A$4)</f>
        <v>1449</v>
      </c>
      <c r="J56" s="8">
        <f>IF(AND(I56&gt;0,I55=0),'VALORES DE LIQUIDACIÓN'!A$4-'TABLA DE PAGOS'!J55,0)</f>
        <v>0</v>
      </c>
      <c r="K56" s="8">
        <f>IF(AND(AND('TABLA DE PAGOS'!J55&lt;='VALORES DE LIQUIDACIÓN'!A$4,'TABLA DE PAGOS'!J56&gt;='VALORES DE LIQUIDACIÓN'!A$4),'TABLA DE PAGOS'!K56='TABLA DE PAGOS'!A$10),'TABLA DE PAGOS'!C55,IF(AND('TABLA DE PAGOS'!K56='TABLA DE PAGOS'!A$10,'TABLA DE PAGOS'!K57='TABLA DE PAGOS'!A$9),'TABLA DE PAGOS'!C56,IF(AND('TABLA DE PAGOS'!K56='TABLA DE PAGOS'!A$11,'TABLA DE PAGOS'!K57='TABLA DE PAGOS'!A$9),'TABLA DE PAGOS'!C55,0)))</f>
        <v>0</v>
      </c>
      <c r="L56" s="14"/>
      <c r="M56" s="11">
        <f>IF(I56=0,IF('TABLA DE PAGOS'!J56&lt;='TABLA DE PAGOS'!A$4,0,IF('TABLA DE PAGOS'!K56='TABLA DE PAGOS'!A$9,'TABLA DE PAGOS'!F56,IF('TABLA DE PAGOS'!K56='TABLA DE PAGOS'!A$11,(INDEX(SALDOS!B$3:G$200,MATCH('TABLA DE PAGOS'!A$12,SALDOS!E$3:E$200,0),6))-(INDEX(SALDOS!B$3:H$200,MATCH('TABLA DE PAGOS'!A$12,SALDOS!E$3:E$200,0),7)),0))),0)</f>
        <v>0</v>
      </c>
      <c r="N56" s="11">
        <f>IF(AND(I56&gt;0,I55=0),J56*MAX(SALDOS!J$3:J$200),0)</f>
        <v>0</v>
      </c>
      <c r="P56" s="8">
        <f>IF(I56=0,IF('TABLA DE PAGOS'!J56&lt;='TABLA DE PAGOS'!A$4,0,IF('TABLA DE PAGOS'!K56='TABLA DE PAGOS'!A$9,'TABLA DE PAGOS'!E56,IF('TABLA DE PAGOS'!K56='TABLA DE PAGOS'!A$11,INDEX(SALDOS!B$3:G$200,MATCH('TABLA DE PAGOS'!A$13,SALDOS!E$3:E$200,0),6),0))),0)</f>
        <v>0</v>
      </c>
      <c r="Q56" s="8">
        <f>IF(AND(I56&gt;0,I55&gt;0),'TABLA DE PAGOS'!E56,0)</f>
        <v>1037.18</v>
      </c>
      <c r="R56" s="8">
        <f t="shared" si="1"/>
        <v>0</v>
      </c>
      <c r="T56" s="8">
        <f>IF(AND(I56&gt;0,I55=0),'TABLA DE PAGOS'!H56,0)</f>
        <v>0</v>
      </c>
      <c r="U56" s="8">
        <f>IF(AND('TABLA DE PAGOS'!K56='TABLA DE PAGOS'!A$11,VLOOKUP('TABLA DE PAGOS'!A$7,SALDOS!B$3:E$200,4)='TABLA DE PAGOS'!A$14),INDEX(SALDOS!B$3:G$200,MATCH('TABLA DE PAGOS'!A$14,SALDOS!E$3:E$200,0),6),IF(AND(P56&gt;0.001,M56&gt;0.001),'TABLA DE PAGOS'!H56,0))</f>
        <v>0</v>
      </c>
      <c r="W56" s="8">
        <f>IF(AND('TABLA DE PAGOS'!K56='TABLA DE PAGOS'!A$11,VLOOKUP('TABLA DE PAGOS'!A$7,SALDOS!B$3:E$200,4)='TABLA DE PAGOS'!A$16),INDEX(SALDOS!B$3:G$200,MATCH('TABLA DE PAGOS'!A$16,SALDOS!E$3:E$200,0),6),IF(AND(P56&gt;0.001,M56&gt;0.001),'TABLA DE PAGOS'!I56,0))</f>
        <v>0</v>
      </c>
    </row>
    <row r="57" spans="2:23">
      <c r="B57" s="33">
        <v>56</v>
      </c>
      <c r="C57" s="8">
        <f>IF('TABLA DE PAGOS'!K57='TABLA DE PAGOS'!A$12,0,IF('TABLA DE PAGOS'!K57='TABLA DE PAGOS'!A$11,'VALORES DE LIQUIDACIÓN'!A$4-'TABLA DE PAGOS'!M57,IF(AND('TABLA DE PAGOS'!J57&lt;'VALORES DE LIQUIDACIÓN'!A$4,'TABLA DE PAGOS'!K57='TABLA DE PAGOS'!A$9),'VALORES DE LIQUIDACIÓN'!A$4-'TABLA DE PAGOS'!J57,0)))</f>
        <v>0</v>
      </c>
      <c r="D57" s="8">
        <f>IF(P57&gt;0,'VALORES DE LIQUIDACIÓN'!A$4-'TABLA DE PAGOS'!J57,0)</f>
        <v>0</v>
      </c>
      <c r="E57" s="35">
        <f t="shared" si="0"/>
        <v>0</v>
      </c>
      <c r="F57" s="11">
        <f>IF(E57&gt;0,('DATOS GENERALES'!K$3+('DATOS GENERALES'!K$3*E57)),0)</f>
        <v>0</v>
      </c>
      <c r="G57" s="11">
        <f>IF(E57&gt;0,IF('TABLA DE PAGOS'!K57='TABLA DE PAGOS'!A$11,(P57*C57*F57)/36000,('TABLA DE PAGOS'!E57*C57*F57)/36000),0)</f>
        <v>0</v>
      </c>
      <c r="I57" s="8">
        <f>IF('TABLA DE PAGOS'!$J57&lt;='VALORES DE LIQUIDACIÓN'!A$4,0,'TABLA DE PAGOS'!$J57-'VALORES DE LIQUIDACIÓN'!A$4)</f>
        <v>1477</v>
      </c>
      <c r="J57" s="8">
        <f>IF(AND(I57&gt;0,I56=0),'VALORES DE LIQUIDACIÓN'!A$4-'TABLA DE PAGOS'!J56,0)</f>
        <v>0</v>
      </c>
      <c r="K57" s="8">
        <f>IF(AND(AND('TABLA DE PAGOS'!J56&lt;='VALORES DE LIQUIDACIÓN'!A$4,'TABLA DE PAGOS'!J57&gt;='VALORES DE LIQUIDACIÓN'!A$4),'TABLA DE PAGOS'!K57='TABLA DE PAGOS'!A$10),'TABLA DE PAGOS'!C56,IF(AND('TABLA DE PAGOS'!K57='TABLA DE PAGOS'!A$10,'TABLA DE PAGOS'!K58='TABLA DE PAGOS'!A$9),'TABLA DE PAGOS'!C57,IF(AND('TABLA DE PAGOS'!K57='TABLA DE PAGOS'!A$11,'TABLA DE PAGOS'!K58='TABLA DE PAGOS'!A$9),'TABLA DE PAGOS'!C56,0)))</f>
        <v>0</v>
      </c>
      <c r="L57" s="14"/>
      <c r="M57" s="11">
        <f>IF(I57=0,IF('TABLA DE PAGOS'!J57&lt;='TABLA DE PAGOS'!A$4,0,IF('TABLA DE PAGOS'!K57='TABLA DE PAGOS'!A$9,'TABLA DE PAGOS'!F57,IF('TABLA DE PAGOS'!K57='TABLA DE PAGOS'!A$11,(INDEX(SALDOS!B$3:G$200,MATCH('TABLA DE PAGOS'!A$12,SALDOS!E$3:E$200,0),6))-(INDEX(SALDOS!B$3:H$200,MATCH('TABLA DE PAGOS'!A$12,SALDOS!E$3:E$200,0),7)),0))),0)</f>
        <v>0</v>
      </c>
      <c r="N57" s="11">
        <f>IF(AND(I57&gt;0,I56=0),J57*MAX(SALDOS!J$3:J$200),0)</f>
        <v>0</v>
      </c>
      <c r="P57" s="8">
        <f>IF(I57=0,IF('TABLA DE PAGOS'!J57&lt;='TABLA DE PAGOS'!A$4,0,IF('TABLA DE PAGOS'!K57='TABLA DE PAGOS'!A$9,'TABLA DE PAGOS'!E57,IF('TABLA DE PAGOS'!K57='TABLA DE PAGOS'!A$11,INDEX(SALDOS!B$3:G$200,MATCH('TABLA DE PAGOS'!A$13,SALDOS!E$3:E$200,0),6),0))),0)</f>
        <v>0</v>
      </c>
      <c r="Q57" s="8">
        <f>IF(AND(I57&gt;0,I56&gt;0),'TABLA DE PAGOS'!E57,0)</f>
        <v>1343.72</v>
      </c>
      <c r="R57" s="8">
        <f t="shared" si="1"/>
        <v>0</v>
      </c>
      <c r="T57" s="8">
        <f>IF(AND(I57&gt;0,I56=0),'TABLA DE PAGOS'!H57,0)</f>
        <v>0</v>
      </c>
      <c r="U57" s="8">
        <f>IF(AND('TABLA DE PAGOS'!K57='TABLA DE PAGOS'!A$11,VLOOKUP('TABLA DE PAGOS'!A$7,SALDOS!B$3:E$200,4)='TABLA DE PAGOS'!A$14),INDEX(SALDOS!B$3:G$200,MATCH('TABLA DE PAGOS'!A$14,SALDOS!E$3:E$200,0),6),IF(AND(P57&gt;0.001,M57&gt;0.001),'TABLA DE PAGOS'!H57,0))</f>
        <v>0</v>
      </c>
      <c r="W57" s="8">
        <f>IF(AND('TABLA DE PAGOS'!K57='TABLA DE PAGOS'!A$11,VLOOKUP('TABLA DE PAGOS'!A$7,SALDOS!B$3:E$200,4)='TABLA DE PAGOS'!A$16),INDEX(SALDOS!B$3:G$200,MATCH('TABLA DE PAGOS'!A$16,SALDOS!E$3:E$200,0),6),IF(AND(P57&gt;0.001,M57&gt;0.001),'TABLA DE PAGOS'!I57,0))</f>
        <v>0</v>
      </c>
    </row>
    <row r="58" spans="2:23">
      <c r="B58" s="33">
        <v>57</v>
      </c>
      <c r="C58" s="8">
        <f>IF('TABLA DE PAGOS'!K58='TABLA DE PAGOS'!A$12,0,IF('TABLA DE PAGOS'!K58='TABLA DE PAGOS'!A$11,'VALORES DE LIQUIDACIÓN'!A$4-'TABLA DE PAGOS'!M58,IF(AND('TABLA DE PAGOS'!J58&lt;'VALORES DE LIQUIDACIÓN'!A$4,'TABLA DE PAGOS'!K58='TABLA DE PAGOS'!A$9),'VALORES DE LIQUIDACIÓN'!A$4-'TABLA DE PAGOS'!J58,0)))</f>
        <v>0</v>
      </c>
      <c r="D58" s="8">
        <f>IF(P58&gt;0,'VALORES DE LIQUIDACIÓN'!A$4-'TABLA DE PAGOS'!J58,0)</f>
        <v>0</v>
      </c>
      <c r="E58" s="35">
        <f t="shared" si="0"/>
        <v>0</v>
      </c>
      <c r="F58" s="11">
        <f>IF(E58&gt;0,('DATOS GENERALES'!K$3+('DATOS GENERALES'!K$3*E58)),0)</f>
        <v>0</v>
      </c>
      <c r="G58" s="11">
        <f>IF(E58&gt;0,IF('TABLA DE PAGOS'!K58='TABLA DE PAGOS'!A$11,(P58*C58*F58)/36000,('TABLA DE PAGOS'!E58*C58*F58)/36000),0)</f>
        <v>0</v>
      </c>
      <c r="I58" s="8">
        <f>IF('TABLA DE PAGOS'!$J58&lt;='VALORES DE LIQUIDACIÓN'!A$4,0,'TABLA DE PAGOS'!$J58-'VALORES DE LIQUIDACIÓN'!A$4)</f>
        <v>1508</v>
      </c>
      <c r="J58" s="8">
        <f>IF(AND(I58&gt;0,I57=0),'VALORES DE LIQUIDACIÓN'!A$4-'TABLA DE PAGOS'!J57,0)</f>
        <v>0</v>
      </c>
      <c r="K58" s="8">
        <f>IF(AND(AND('TABLA DE PAGOS'!J57&lt;='VALORES DE LIQUIDACIÓN'!A$4,'TABLA DE PAGOS'!J58&gt;='VALORES DE LIQUIDACIÓN'!A$4),'TABLA DE PAGOS'!K58='TABLA DE PAGOS'!A$10),'TABLA DE PAGOS'!C57,IF(AND('TABLA DE PAGOS'!K58='TABLA DE PAGOS'!A$10,'TABLA DE PAGOS'!K59='TABLA DE PAGOS'!A$9),'TABLA DE PAGOS'!C58,IF(AND('TABLA DE PAGOS'!K58='TABLA DE PAGOS'!A$11,'TABLA DE PAGOS'!K59='TABLA DE PAGOS'!A$9),'TABLA DE PAGOS'!C57,0)))</f>
        <v>0</v>
      </c>
      <c r="L58" s="14"/>
      <c r="M58" s="11">
        <f>IF(I58=0,IF('TABLA DE PAGOS'!J58&lt;='TABLA DE PAGOS'!A$4,0,IF('TABLA DE PAGOS'!K58='TABLA DE PAGOS'!A$9,'TABLA DE PAGOS'!F58,IF('TABLA DE PAGOS'!K58='TABLA DE PAGOS'!A$11,(INDEX(SALDOS!B$3:G$200,MATCH('TABLA DE PAGOS'!A$12,SALDOS!E$3:E$200,0),6))-(INDEX(SALDOS!B$3:H$200,MATCH('TABLA DE PAGOS'!A$12,SALDOS!E$3:E$200,0),7)),0))),0)</f>
        <v>0</v>
      </c>
      <c r="N58" s="11">
        <f>IF(AND(I58&gt;0,I57=0),J58*MAX(SALDOS!J$3:J$200),0)</f>
        <v>0</v>
      </c>
      <c r="P58" s="8">
        <f>IF(I58=0,IF('TABLA DE PAGOS'!J58&lt;='TABLA DE PAGOS'!A$4,0,IF('TABLA DE PAGOS'!K58='TABLA DE PAGOS'!A$9,'TABLA DE PAGOS'!E58,IF('TABLA DE PAGOS'!K58='TABLA DE PAGOS'!A$11,INDEX(SALDOS!B$3:G$200,MATCH('TABLA DE PAGOS'!A$13,SALDOS!E$3:E$200,0),6),0))),0)</f>
        <v>0</v>
      </c>
      <c r="Q58" s="8">
        <f>IF(AND(I58&gt;0,I57&gt;0),'TABLA DE PAGOS'!E58,0)</f>
        <v>1178.45</v>
      </c>
      <c r="R58" s="8">
        <f t="shared" si="1"/>
        <v>0</v>
      </c>
      <c r="T58" s="8">
        <f>IF(AND(I58&gt;0,I57=0),'TABLA DE PAGOS'!H58,0)</f>
        <v>0</v>
      </c>
      <c r="U58" s="8">
        <f>IF(AND('TABLA DE PAGOS'!K58='TABLA DE PAGOS'!A$11,VLOOKUP('TABLA DE PAGOS'!A$7,SALDOS!B$3:E$200,4)='TABLA DE PAGOS'!A$14),INDEX(SALDOS!B$3:G$200,MATCH('TABLA DE PAGOS'!A$14,SALDOS!E$3:E$200,0),6),IF(AND(P58&gt;0.001,M58&gt;0.001),'TABLA DE PAGOS'!H58,0))</f>
        <v>0</v>
      </c>
      <c r="W58" s="8">
        <f>IF(AND('TABLA DE PAGOS'!K58='TABLA DE PAGOS'!A$11,VLOOKUP('TABLA DE PAGOS'!A$7,SALDOS!B$3:E$200,4)='TABLA DE PAGOS'!A$16),INDEX(SALDOS!B$3:G$200,MATCH('TABLA DE PAGOS'!A$16,SALDOS!E$3:E$200,0),6),IF(AND(P58&gt;0.001,M58&gt;0.001),'TABLA DE PAGOS'!I58,0))</f>
        <v>0</v>
      </c>
    </row>
    <row r="59" spans="2:23">
      <c r="B59" s="33">
        <v>58</v>
      </c>
      <c r="C59" s="8">
        <f>IF('TABLA DE PAGOS'!K59='TABLA DE PAGOS'!A$12,0,IF('TABLA DE PAGOS'!K59='TABLA DE PAGOS'!A$11,'VALORES DE LIQUIDACIÓN'!A$4-'TABLA DE PAGOS'!M59,IF(AND('TABLA DE PAGOS'!J59&lt;'VALORES DE LIQUIDACIÓN'!A$4,'TABLA DE PAGOS'!K59='TABLA DE PAGOS'!A$9),'VALORES DE LIQUIDACIÓN'!A$4-'TABLA DE PAGOS'!J59,0)))</f>
        <v>0</v>
      </c>
      <c r="D59" s="8">
        <f>IF(P59&gt;0,'VALORES DE LIQUIDACIÓN'!A$4-'TABLA DE PAGOS'!J59,0)</f>
        <v>0</v>
      </c>
      <c r="E59" s="35">
        <f t="shared" si="0"/>
        <v>0</v>
      </c>
      <c r="F59" s="11">
        <f>IF(E59&gt;0,('DATOS GENERALES'!K$3+('DATOS GENERALES'!K$3*E59)),0)</f>
        <v>0</v>
      </c>
      <c r="G59" s="11">
        <f>IF(E59&gt;0,IF('TABLA DE PAGOS'!K59='TABLA DE PAGOS'!A$11,(P59*C59*F59)/36000,('TABLA DE PAGOS'!E59*C59*F59)/36000),0)</f>
        <v>0</v>
      </c>
      <c r="I59" s="8">
        <f>IF('TABLA DE PAGOS'!$J59&lt;='VALORES DE LIQUIDACIÓN'!A$4,0,'TABLA DE PAGOS'!$J59-'VALORES DE LIQUIDACIÓN'!A$4)</f>
        <v>1540</v>
      </c>
      <c r="J59" s="8">
        <f>IF(AND(I59&gt;0,I58=0),'VALORES DE LIQUIDACIÓN'!A$4-'TABLA DE PAGOS'!J58,0)</f>
        <v>0</v>
      </c>
      <c r="K59" s="8">
        <f>IF(AND(AND('TABLA DE PAGOS'!J58&lt;='VALORES DE LIQUIDACIÓN'!A$4,'TABLA DE PAGOS'!J59&gt;='VALORES DE LIQUIDACIÓN'!A$4),'TABLA DE PAGOS'!K59='TABLA DE PAGOS'!A$10),'TABLA DE PAGOS'!C58,IF(AND('TABLA DE PAGOS'!K59='TABLA DE PAGOS'!A$10,'TABLA DE PAGOS'!K60='TABLA DE PAGOS'!A$9),'TABLA DE PAGOS'!C59,IF(AND('TABLA DE PAGOS'!K59='TABLA DE PAGOS'!A$11,'TABLA DE PAGOS'!K60='TABLA DE PAGOS'!A$9),'TABLA DE PAGOS'!C58,0)))</f>
        <v>0</v>
      </c>
      <c r="L59" s="14"/>
      <c r="M59" s="11">
        <f>IF(I59=0,IF('TABLA DE PAGOS'!J59&lt;='TABLA DE PAGOS'!A$4,0,IF('TABLA DE PAGOS'!K59='TABLA DE PAGOS'!A$9,'TABLA DE PAGOS'!F59,IF('TABLA DE PAGOS'!K59='TABLA DE PAGOS'!A$11,(INDEX(SALDOS!B$3:G$200,MATCH('TABLA DE PAGOS'!A$12,SALDOS!E$3:E$200,0),6))-(INDEX(SALDOS!B$3:H$200,MATCH('TABLA DE PAGOS'!A$12,SALDOS!E$3:E$200,0),7)),0))),0)</f>
        <v>0</v>
      </c>
      <c r="N59" s="11">
        <f>IF(AND(I59&gt;0,I58=0),J59*MAX(SALDOS!J$3:J$200),0)</f>
        <v>0</v>
      </c>
      <c r="P59" s="8">
        <f>IF(I59=0,IF('TABLA DE PAGOS'!J59&lt;='TABLA DE PAGOS'!A$4,0,IF('TABLA DE PAGOS'!K59='TABLA DE PAGOS'!A$9,'TABLA DE PAGOS'!E59,IF('TABLA DE PAGOS'!K59='TABLA DE PAGOS'!A$11,INDEX(SALDOS!B$3:G$200,MATCH('TABLA DE PAGOS'!A$13,SALDOS!E$3:E$200,0),6),0))),0)</f>
        <v>0</v>
      </c>
      <c r="Q59" s="8">
        <f>IF(AND(I59&gt;0,I58&gt;0),'TABLA DE PAGOS'!E59,0)</f>
        <v>1130.89</v>
      </c>
      <c r="R59" s="8">
        <f t="shared" si="1"/>
        <v>0</v>
      </c>
      <c r="T59" s="8">
        <f>IF(AND(I59&gt;0,I58=0),'TABLA DE PAGOS'!H59,0)</f>
        <v>0</v>
      </c>
      <c r="U59" s="8">
        <f>IF(AND('TABLA DE PAGOS'!K59='TABLA DE PAGOS'!A$11,VLOOKUP('TABLA DE PAGOS'!A$7,SALDOS!B$3:E$200,4)='TABLA DE PAGOS'!A$14),INDEX(SALDOS!B$3:G$200,MATCH('TABLA DE PAGOS'!A$14,SALDOS!E$3:E$200,0),6),IF(AND(P59&gt;0.001,M59&gt;0.001),'TABLA DE PAGOS'!H59,0))</f>
        <v>0</v>
      </c>
      <c r="W59" s="8">
        <f>IF(AND('TABLA DE PAGOS'!K59='TABLA DE PAGOS'!A$11,VLOOKUP('TABLA DE PAGOS'!A$7,SALDOS!B$3:E$200,4)='TABLA DE PAGOS'!A$16),INDEX(SALDOS!B$3:G$200,MATCH('TABLA DE PAGOS'!A$16,SALDOS!E$3:E$200,0),6),IF(AND(P59&gt;0.001,M59&gt;0.001),'TABLA DE PAGOS'!I59,0))</f>
        <v>0</v>
      </c>
    </row>
    <row r="60" spans="2:23">
      <c r="B60" s="33">
        <v>59</v>
      </c>
      <c r="C60" s="8">
        <f>IF('TABLA DE PAGOS'!K60='TABLA DE PAGOS'!A$12,0,IF('TABLA DE PAGOS'!K60='TABLA DE PAGOS'!A$11,'VALORES DE LIQUIDACIÓN'!A$4-'TABLA DE PAGOS'!M60,IF(AND('TABLA DE PAGOS'!J60&lt;'VALORES DE LIQUIDACIÓN'!A$4,'TABLA DE PAGOS'!K60='TABLA DE PAGOS'!A$9),'VALORES DE LIQUIDACIÓN'!A$4-'TABLA DE PAGOS'!J60,0)))</f>
        <v>0</v>
      </c>
      <c r="D60" s="8">
        <f>IF(P60&gt;0,'VALORES DE LIQUIDACIÓN'!A$4-'TABLA DE PAGOS'!J60,0)</f>
        <v>0</v>
      </c>
      <c r="E60" s="35">
        <f t="shared" si="0"/>
        <v>0</v>
      </c>
      <c r="F60" s="11">
        <f>IF(E60&gt;0,('DATOS GENERALES'!K$3+('DATOS GENERALES'!K$3*E60)),0)</f>
        <v>0</v>
      </c>
      <c r="G60" s="11">
        <f>IF(E60&gt;0,IF('TABLA DE PAGOS'!K60='TABLA DE PAGOS'!A$11,(P60*C60*F60)/36000,('TABLA DE PAGOS'!E60*C60*F60)/36000),0)</f>
        <v>0</v>
      </c>
      <c r="I60" s="8">
        <f>IF('TABLA DE PAGOS'!$J60&lt;='VALORES DE LIQUIDACIÓN'!A$4,0,'TABLA DE PAGOS'!$J60-'VALORES DE LIQUIDACIÓN'!A$4)</f>
        <v>1569</v>
      </c>
      <c r="J60" s="8">
        <f>IF(AND(I60&gt;0,I59=0),'VALORES DE LIQUIDACIÓN'!A$4-'TABLA DE PAGOS'!J59,0)</f>
        <v>0</v>
      </c>
      <c r="K60" s="8">
        <f>IF(AND(AND('TABLA DE PAGOS'!J59&lt;='VALORES DE LIQUIDACIÓN'!A$4,'TABLA DE PAGOS'!J60&gt;='VALORES DE LIQUIDACIÓN'!A$4),'TABLA DE PAGOS'!K60='TABLA DE PAGOS'!A$10),'TABLA DE PAGOS'!C59,IF(AND('TABLA DE PAGOS'!K60='TABLA DE PAGOS'!A$10,'TABLA DE PAGOS'!K61='TABLA DE PAGOS'!A$9),'TABLA DE PAGOS'!C60,IF(AND('TABLA DE PAGOS'!K60='TABLA DE PAGOS'!A$11,'TABLA DE PAGOS'!K61='TABLA DE PAGOS'!A$9),'TABLA DE PAGOS'!C59,0)))</f>
        <v>0</v>
      </c>
      <c r="L60" s="14"/>
      <c r="M60" s="11">
        <f>IF(I60=0,IF('TABLA DE PAGOS'!J60&lt;='TABLA DE PAGOS'!A$4,0,IF('TABLA DE PAGOS'!K60='TABLA DE PAGOS'!A$9,'TABLA DE PAGOS'!F60,IF('TABLA DE PAGOS'!K60='TABLA DE PAGOS'!A$11,(INDEX(SALDOS!B$3:G$200,MATCH('TABLA DE PAGOS'!A$12,SALDOS!E$3:E$200,0),6))-(INDEX(SALDOS!B$3:H$200,MATCH('TABLA DE PAGOS'!A$12,SALDOS!E$3:E$200,0),7)),0))),0)</f>
        <v>0</v>
      </c>
      <c r="N60" s="11">
        <f>IF(AND(I60&gt;0,I59=0),J60*MAX(SALDOS!J$3:J$200),0)</f>
        <v>0</v>
      </c>
      <c r="P60" s="8">
        <f>IF(I60=0,IF('TABLA DE PAGOS'!J60&lt;='TABLA DE PAGOS'!A$4,0,IF('TABLA DE PAGOS'!K60='TABLA DE PAGOS'!A$9,'TABLA DE PAGOS'!E60,IF('TABLA DE PAGOS'!K60='TABLA DE PAGOS'!A$11,INDEX(SALDOS!B$3:G$200,MATCH('TABLA DE PAGOS'!A$13,SALDOS!E$3:E$200,0),6),0))),0)</f>
        <v>0</v>
      </c>
      <c r="Q60" s="8">
        <f>IF(AND(I60&gt;0,I59&gt;0),'TABLA DE PAGOS'!E60,0)</f>
        <v>1316.22</v>
      </c>
      <c r="R60" s="8">
        <f t="shared" si="1"/>
        <v>0</v>
      </c>
      <c r="T60" s="8">
        <f>IF(AND(I60&gt;0,I59=0),'TABLA DE PAGOS'!H60,0)</f>
        <v>0</v>
      </c>
      <c r="U60" s="8">
        <f>IF(AND('TABLA DE PAGOS'!K60='TABLA DE PAGOS'!A$11,VLOOKUP('TABLA DE PAGOS'!A$7,SALDOS!B$3:E$200,4)='TABLA DE PAGOS'!A$14),INDEX(SALDOS!B$3:G$200,MATCH('TABLA DE PAGOS'!A$14,SALDOS!E$3:E$200,0),6),IF(AND(P60&gt;0.001,M60&gt;0.001),'TABLA DE PAGOS'!H60,0))</f>
        <v>0</v>
      </c>
      <c r="W60" s="8">
        <f>IF(AND('TABLA DE PAGOS'!K60='TABLA DE PAGOS'!A$11,VLOOKUP('TABLA DE PAGOS'!A$7,SALDOS!B$3:E$200,4)='TABLA DE PAGOS'!A$16),INDEX(SALDOS!B$3:G$200,MATCH('TABLA DE PAGOS'!A$16,SALDOS!E$3:E$200,0),6),IF(AND(P60&gt;0.001,M60&gt;0.001),'TABLA DE PAGOS'!I60,0))</f>
        <v>0</v>
      </c>
    </row>
    <row r="61" spans="2:23">
      <c r="B61" s="33">
        <v>60</v>
      </c>
      <c r="C61" s="8">
        <f>IF('TABLA DE PAGOS'!K61='TABLA DE PAGOS'!A$12,0,IF('TABLA DE PAGOS'!K61='TABLA DE PAGOS'!A$11,'VALORES DE LIQUIDACIÓN'!A$4-'TABLA DE PAGOS'!M61,IF(AND('TABLA DE PAGOS'!J61&lt;'VALORES DE LIQUIDACIÓN'!A$4,'TABLA DE PAGOS'!K61='TABLA DE PAGOS'!A$9),'VALORES DE LIQUIDACIÓN'!A$4-'TABLA DE PAGOS'!J61,0)))</f>
        <v>0</v>
      </c>
      <c r="D61" s="8">
        <f>IF(P61&gt;0,'VALORES DE LIQUIDACIÓN'!A$4-'TABLA DE PAGOS'!J61,0)</f>
        <v>0</v>
      </c>
      <c r="E61" s="35">
        <f t="shared" si="0"/>
        <v>0</v>
      </c>
      <c r="F61" s="11">
        <f>IF(E61&gt;0,('DATOS GENERALES'!K$3+('DATOS GENERALES'!K$3*E61)),0)</f>
        <v>0</v>
      </c>
      <c r="G61" s="11">
        <f>IF(E61&gt;0,IF('TABLA DE PAGOS'!K61='TABLA DE PAGOS'!A$11,(P61*C61*F61)/36000,('TABLA DE PAGOS'!E61*C61*F61)/36000),0)</f>
        <v>0</v>
      </c>
      <c r="I61" s="8">
        <f>IF('TABLA DE PAGOS'!$J61&lt;='VALORES DE LIQUIDACIÓN'!A$4,0,'TABLA DE PAGOS'!$J61-'VALORES DE LIQUIDACIÓN'!A$4)</f>
        <v>1600</v>
      </c>
      <c r="J61" s="8">
        <f>IF(AND(I61&gt;0,I60=0),'VALORES DE LIQUIDACIÓN'!A$4-'TABLA DE PAGOS'!J60,0)</f>
        <v>0</v>
      </c>
      <c r="K61" s="8">
        <f>IF(AND(AND('TABLA DE PAGOS'!J60&lt;='VALORES DE LIQUIDACIÓN'!A$4,'TABLA DE PAGOS'!J61&gt;='VALORES DE LIQUIDACIÓN'!A$4),'TABLA DE PAGOS'!K61='TABLA DE PAGOS'!A$10),'TABLA DE PAGOS'!C60,IF(AND('TABLA DE PAGOS'!K61='TABLA DE PAGOS'!A$10,'TABLA DE PAGOS'!K62='TABLA DE PAGOS'!A$9),'TABLA DE PAGOS'!C61,IF(AND('TABLA DE PAGOS'!K61='TABLA DE PAGOS'!A$11,'TABLA DE PAGOS'!K62='TABLA DE PAGOS'!A$9),'TABLA DE PAGOS'!C60,0)))</f>
        <v>0</v>
      </c>
      <c r="L61" s="14"/>
      <c r="M61" s="11">
        <f>IF(I61=0,IF('TABLA DE PAGOS'!J61&lt;='TABLA DE PAGOS'!A$4,0,IF('TABLA DE PAGOS'!K61='TABLA DE PAGOS'!A$9,'TABLA DE PAGOS'!F61,IF('TABLA DE PAGOS'!K61='TABLA DE PAGOS'!A$11,(INDEX(SALDOS!B$3:G$200,MATCH('TABLA DE PAGOS'!A$12,SALDOS!E$3:E$200,0),6))-(INDEX(SALDOS!B$3:H$200,MATCH('TABLA DE PAGOS'!A$12,SALDOS!E$3:E$200,0),7)),0))),0)</f>
        <v>0</v>
      </c>
      <c r="N61" s="11">
        <f>IF(AND(I61&gt;0,I60=0),J61*MAX(SALDOS!J$3:J$200),0)</f>
        <v>0</v>
      </c>
      <c r="P61" s="8">
        <f>IF(I61=0,IF('TABLA DE PAGOS'!J61&lt;='TABLA DE PAGOS'!A$4,0,IF('TABLA DE PAGOS'!K61='TABLA DE PAGOS'!A$9,'TABLA DE PAGOS'!E61,IF('TABLA DE PAGOS'!K61='TABLA DE PAGOS'!A$11,INDEX(SALDOS!B$3:G$200,MATCH('TABLA DE PAGOS'!A$13,SALDOS!E$3:E$200,0),6),0))),0)</f>
        <v>0</v>
      </c>
      <c r="Q61" s="8">
        <f>IF(AND(I61&gt;0,I60&gt;0),'TABLA DE PAGOS'!E61,0)</f>
        <v>1212.13</v>
      </c>
      <c r="R61" s="8">
        <f t="shared" si="1"/>
        <v>0</v>
      </c>
      <c r="T61" s="8">
        <f>IF(AND(I61&gt;0,I60=0),'TABLA DE PAGOS'!H61,0)</f>
        <v>0</v>
      </c>
      <c r="U61" s="8">
        <f>IF(AND('TABLA DE PAGOS'!K61='TABLA DE PAGOS'!A$11,VLOOKUP('TABLA DE PAGOS'!A$7,SALDOS!B$3:E$200,4)='TABLA DE PAGOS'!A$14),INDEX(SALDOS!B$3:G$200,MATCH('TABLA DE PAGOS'!A$14,SALDOS!E$3:E$200,0),6),IF(AND(P61&gt;0.001,M61&gt;0.001),'TABLA DE PAGOS'!H61,0))</f>
        <v>0</v>
      </c>
      <c r="W61" s="8">
        <f>IF(AND('TABLA DE PAGOS'!K61='TABLA DE PAGOS'!A$11,VLOOKUP('TABLA DE PAGOS'!A$7,SALDOS!B$3:E$200,4)='TABLA DE PAGOS'!A$16),INDEX(SALDOS!B$3:G$200,MATCH('TABLA DE PAGOS'!A$16,SALDOS!E$3:E$200,0),6),IF(AND(P61&gt;0.001,M61&gt;0.001),'TABLA DE PAGOS'!I61,0))</f>
        <v>0</v>
      </c>
    </row>
    <row r="62" spans="2:23">
      <c r="B62" s="33">
        <v>61</v>
      </c>
      <c r="C62" s="8">
        <f>IF('TABLA DE PAGOS'!K62='TABLA DE PAGOS'!A$12,0,IF('TABLA DE PAGOS'!K62='TABLA DE PAGOS'!A$11,'VALORES DE LIQUIDACIÓN'!A$4-'TABLA DE PAGOS'!M62,IF(AND('TABLA DE PAGOS'!J62&lt;'VALORES DE LIQUIDACIÓN'!A$4,'TABLA DE PAGOS'!K62='TABLA DE PAGOS'!A$9),'VALORES DE LIQUIDACIÓN'!A$4-'TABLA DE PAGOS'!J62,0)))</f>
        <v>0</v>
      </c>
      <c r="D62" s="8">
        <f>IF(P62&gt;0,'VALORES DE LIQUIDACIÓN'!A$4-'TABLA DE PAGOS'!J62,0)</f>
        <v>0</v>
      </c>
      <c r="E62" s="35">
        <f t="shared" si="0"/>
        <v>0</v>
      </c>
      <c r="F62" s="11">
        <f>IF(E62&gt;0,('DATOS GENERALES'!K$3+('DATOS GENERALES'!K$3*E62)),0)</f>
        <v>0</v>
      </c>
      <c r="G62" s="11">
        <f>IF(E62&gt;0,IF('TABLA DE PAGOS'!K62='TABLA DE PAGOS'!A$11,(P62*C62*F62)/36000,('TABLA DE PAGOS'!E62*C62*F62)/36000),0)</f>
        <v>0</v>
      </c>
      <c r="I62" s="8">
        <f>IF('TABLA DE PAGOS'!$J62&lt;='VALORES DE LIQUIDACIÓN'!A$4,0,'TABLA DE PAGOS'!$J62-'VALORES DE LIQUIDACIÓN'!A$4)</f>
        <v>1631</v>
      </c>
      <c r="J62" s="8">
        <f>IF(AND(I62&gt;0,I61=0),'VALORES DE LIQUIDACIÓN'!A$4-'TABLA DE PAGOS'!J61,0)</f>
        <v>0</v>
      </c>
      <c r="K62" s="8">
        <f>IF(AND(AND('TABLA DE PAGOS'!J61&lt;='VALORES DE LIQUIDACIÓN'!A$4,'TABLA DE PAGOS'!J62&gt;='VALORES DE LIQUIDACIÓN'!A$4),'TABLA DE PAGOS'!K62='TABLA DE PAGOS'!A$10),'TABLA DE PAGOS'!C61,IF(AND('TABLA DE PAGOS'!K62='TABLA DE PAGOS'!A$10,'TABLA DE PAGOS'!K63='TABLA DE PAGOS'!A$9),'TABLA DE PAGOS'!C62,IF(AND('TABLA DE PAGOS'!K62='TABLA DE PAGOS'!A$11,'TABLA DE PAGOS'!K63='TABLA DE PAGOS'!A$9),'TABLA DE PAGOS'!C61,0)))</f>
        <v>0</v>
      </c>
      <c r="L62" s="14"/>
      <c r="M62" s="11">
        <f>IF(I62=0,IF('TABLA DE PAGOS'!J62&lt;='TABLA DE PAGOS'!A$4,0,IF('TABLA DE PAGOS'!K62='TABLA DE PAGOS'!A$9,'TABLA DE PAGOS'!F62,IF('TABLA DE PAGOS'!K62='TABLA DE PAGOS'!A$11,(INDEX(SALDOS!B$3:G$200,MATCH('TABLA DE PAGOS'!A$12,SALDOS!E$3:E$200,0),6))-(INDEX(SALDOS!B$3:H$200,MATCH('TABLA DE PAGOS'!A$12,SALDOS!E$3:E$200,0),7)),0))),0)</f>
        <v>0</v>
      </c>
      <c r="N62" s="11">
        <f>IF(AND(I62&gt;0,I61=0),J62*MAX(SALDOS!J$3:J$200),0)</f>
        <v>0</v>
      </c>
      <c r="P62" s="8">
        <f>IF(I62=0,IF('TABLA DE PAGOS'!J62&lt;='TABLA DE PAGOS'!A$4,0,IF('TABLA DE PAGOS'!K62='TABLA DE PAGOS'!A$9,'TABLA DE PAGOS'!E62,IF('TABLA DE PAGOS'!K62='TABLA DE PAGOS'!A$11,INDEX(SALDOS!B$3:G$200,MATCH('TABLA DE PAGOS'!A$13,SALDOS!E$3:E$200,0),6),0))),0)</f>
        <v>0</v>
      </c>
      <c r="Q62" s="8">
        <f>IF(AND(I62&gt;0,I61&gt;0),'TABLA DE PAGOS'!E62,0)</f>
        <v>1223.39</v>
      </c>
      <c r="R62" s="8">
        <f t="shared" si="1"/>
        <v>0</v>
      </c>
      <c r="T62" s="8">
        <f>IF(AND(I62&gt;0,I61=0),'TABLA DE PAGOS'!H62,0)</f>
        <v>0</v>
      </c>
      <c r="U62" s="8">
        <f>IF(AND('TABLA DE PAGOS'!K62='TABLA DE PAGOS'!A$11,VLOOKUP('TABLA DE PAGOS'!A$7,SALDOS!B$3:E$200,4)='TABLA DE PAGOS'!A$14),INDEX(SALDOS!B$3:G$200,MATCH('TABLA DE PAGOS'!A$14,SALDOS!E$3:E$200,0),6),IF(AND(P62&gt;0.001,M62&gt;0.001),'TABLA DE PAGOS'!H62,0))</f>
        <v>0</v>
      </c>
      <c r="W62" s="8">
        <f>IF(AND('TABLA DE PAGOS'!K62='TABLA DE PAGOS'!A$11,VLOOKUP('TABLA DE PAGOS'!A$7,SALDOS!B$3:E$200,4)='TABLA DE PAGOS'!A$16),INDEX(SALDOS!B$3:G$200,MATCH('TABLA DE PAGOS'!A$16,SALDOS!E$3:E$200,0),6),IF(AND(P62&gt;0.001,M62&gt;0.001),'TABLA DE PAGOS'!I62,0))</f>
        <v>0</v>
      </c>
    </row>
    <row r="63" spans="2:23">
      <c r="B63" s="33">
        <v>62</v>
      </c>
      <c r="C63" s="8">
        <f>IF('TABLA DE PAGOS'!K63='TABLA DE PAGOS'!A$12,0,IF('TABLA DE PAGOS'!K63='TABLA DE PAGOS'!A$11,'VALORES DE LIQUIDACIÓN'!A$4-'TABLA DE PAGOS'!M63,IF(AND('TABLA DE PAGOS'!J63&lt;'VALORES DE LIQUIDACIÓN'!A$4,'TABLA DE PAGOS'!K63='TABLA DE PAGOS'!A$9),'VALORES DE LIQUIDACIÓN'!A$4-'TABLA DE PAGOS'!J63,0)))</f>
        <v>0</v>
      </c>
      <c r="D63" s="8">
        <f>IF(P63&gt;0,'VALORES DE LIQUIDACIÓN'!A$4-'TABLA DE PAGOS'!J63,0)</f>
        <v>0</v>
      </c>
      <c r="E63" s="35">
        <f t="shared" si="0"/>
        <v>0</v>
      </c>
      <c r="F63" s="11">
        <f>IF(E63&gt;0,('DATOS GENERALES'!K$3+('DATOS GENERALES'!K$3*E63)),0)</f>
        <v>0</v>
      </c>
      <c r="G63" s="11">
        <f>IF(E63&gt;0,IF('TABLA DE PAGOS'!K63='TABLA DE PAGOS'!A$11,(P63*C63*F63)/36000,('TABLA DE PAGOS'!E63*C63*F63)/36000),0)</f>
        <v>0</v>
      </c>
      <c r="I63" s="8">
        <f>IF('TABLA DE PAGOS'!$J63&lt;='VALORES DE LIQUIDACIÓN'!A$4,0,'TABLA DE PAGOS'!$J63-'VALORES DE LIQUIDACIÓN'!A$4)</f>
        <v>1661</v>
      </c>
      <c r="J63" s="8">
        <f>IF(AND(I63&gt;0,I62=0),'VALORES DE LIQUIDACIÓN'!A$4-'TABLA DE PAGOS'!J62,0)</f>
        <v>0</v>
      </c>
      <c r="K63" s="8">
        <f>IF(AND(AND('TABLA DE PAGOS'!J62&lt;='VALORES DE LIQUIDACIÓN'!A$4,'TABLA DE PAGOS'!J63&gt;='VALORES DE LIQUIDACIÓN'!A$4),'TABLA DE PAGOS'!K63='TABLA DE PAGOS'!A$10),'TABLA DE PAGOS'!C62,IF(AND('TABLA DE PAGOS'!K63='TABLA DE PAGOS'!A$10,'TABLA DE PAGOS'!K64='TABLA DE PAGOS'!A$9),'TABLA DE PAGOS'!C63,IF(AND('TABLA DE PAGOS'!K63='TABLA DE PAGOS'!A$11,'TABLA DE PAGOS'!K64='TABLA DE PAGOS'!A$9),'TABLA DE PAGOS'!C62,0)))</f>
        <v>0</v>
      </c>
      <c r="L63" s="14"/>
      <c r="M63" s="11">
        <f>IF(I63=0,IF('TABLA DE PAGOS'!J63&lt;='TABLA DE PAGOS'!A$4,0,IF('TABLA DE PAGOS'!K63='TABLA DE PAGOS'!A$9,'TABLA DE PAGOS'!F63,IF('TABLA DE PAGOS'!K63='TABLA DE PAGOS'!A$11,(INDEX(SALDOS!B$3:G$200,MATCH('TABLA DE PAGOS'!A$12,SALDOS!E$3:E$200,0),6))-(INDEX(SALDOS!B$3:H$200,MATCH('TABLA DE PAGOS'!A$12,SALDOS!E$3:E$200,0),7)),0))),0)</f>
        <v>0</v>
      </c>
      <c r="N63" s="11">
        <f>IF(AND(I63&gt;0,I62=0),J63*MAX(SALDOS!J$3:J$200),0)</f>
        <v>0</v>
      </c>
      <c r="P63" s="8">
        <f>IF(I63=0,IF('TABLA DE PAGOS'!J63&lt;='TABLA DE PAGOS'!A$4,0,IF('TABLA DE PAGOS'!K63='TABLA DE PAGOS'!A$9,'TABLA DE PAGOS'!E63,IF('TABLA DE PAGOS'!K63='TABLA DE PAGOS'!A$11,INDEX(SALDOS!B$3:G$200,MATCH('TABLA DE PAGOS'!A$13,SALDOS!E$3:E$200,0),6),0))),0)</f>
        <v>0</v>
      </c>
      <c r="Q63" s="8">
        <f>IF(AND(I63&gt;0,I62&gt;0),'TABLA DE PAGOS'!E63,0)</f>
        <v>1291.8</v>
      </c>
      <c r="R63" s="8">
        <f t="shared" si="1"/>
        <v>0</v>
      </c>
      <c r="T63" s="8">
        <f>IF(AND(I63&gt;0,I62=0),'TABLA DE PAGOS'!H63,0)</f>
        <v>0</v>
      </c>
      <c r="U63" s="8">
        <f>IF(AND('TABLA DE PAGOS'!K63='TABLA DE PAGOS'!A$11,VLOOKUP('TABLA DE PAGOS'!A$7,SALDOS!B$3:E$200,4)='TABLA DE PAGOS'!A$14),INDEX(SALDOS!B$3:G$200,MATCH('TABLA DE PAGOS'!A$14,SALDOS!E$3:E$200,0),6),IF(AND(P63&gt;0.001,M63&gt;0.001),'TABLA DE PAGOS'!H63,0))</f>
        <v>0</v>
      </c>
      <c r="W63" s="8">
        <f>IF(AND('TABLA DE PAGOS'!K63='TABLA DE PAGOS'!A$11,VLOOKUP('TABLA DE PAGOS'!A$7,SALDOS!B$3:E$200,4)='TABLA DE PAGOS'!A$16),INDEX(SALDOS!B$3:G$200,MATCH('TABLA DE PAGOS'!A$16,SALDOS!E$3:E$200,0),6),IF(AND(P63&gt;0.001,M63&gt;0.001),'TABLA DE PAGOS'!I63,0))</f>
        <v>0</v>
      </c>
    </row>
    <row r="64" spans="2:23">
      <c r="B64" s="33">
        <v>63</v>
      </c>
      <c r="C64" s="8">
        <f>IF('TABLA DE PAGOS'!K64='TABLA DE PAGOS'!A$12,0,IF('TABLA DE PAGOS'!K64='TABLA DE PAGOS'!A$11,'VALORES DE LIQUIDACIÓN'!A$4-'TABLA DE PAGOS'!M64,IF(AND('TABLA DE PAGOS'!J64&lt;'VALORES DE LIQUIDACIÓN'!A$4,'TABLA DE PAGOS'!K64='TABLA DE PAGOS'!A$9),'VALORES DE LIQUIDACIÓN'!A$4-'TABLA DE PAGOS'!J64,0)))</f>
        <v>0</v>
      </c>
      <c r="D64" s="8">
        <f>IF(P64&gt;0,'VALORES DE LIQUIDACIÓN'!A$4-'TABLA DE PAGOS'!J64,0)</f>
        <v>0</v>
      </c>
      <c r="E64" s="35">
        <f t="shared" si="0"/>
        <v>0</v>
      </c>
      <c r="F64" s="11">
        <f>IF(E64&gt;0,('DATOS GENERALES'!K$3+('DATOS GENERALES'!K$3*E64)),0)</f>
        <v>0</v>
      </c>
      <c r="G64" s="11">
        <f>IF(E64&gt;0,IF('TABLA DE PAGOS'!K64='TABLA DE PAGOS'!A$11,(P64*C64*F64)/36000,('TABLA DE PAGOS'!E64*C64*F64)/36000),0)</f>
        <v>0</v>
      </c>
      <c r="I64" s="8">
        <f>IF('TABLA DE PAGOS'!$J64&lt;='VALORES DE LIQUIDACIÓN'!A$4,0,'TABLA DE PAGOS'!$J64-'VALORES DE LIQUIDACIÓN'!A$4)</f>
        <v>1691</v>
      </c>
      <c r="J64" s="8">
        <f>IF(AND(I64&gt;0,I63=0),'VALORES DE LIQUIDACIÓN'!A$4-'TABLA DE PAGOS'!J63,0)</f>
        <v>0</v>
      </c>
      <c r="K64" s="8">
        <f>IF(AND(AND('TABLA DE PAGOS'!J63&lt;='VALORES DE LIQUIDACIÓN'!A$4,'TABLA DE PAGOS'!J64&gt;='VALORES DE LIQUIDACIÓN'!A$4),'TABLA DE PAGOS'!K64='TABLA DE PAGOS'!A$10),'TABLA DE PAGOS'!C63,IF(AND('TABLA DE PAGOS'!K64='TABLA DE PAGOS'!A$10,'TABLA DE PAGOS'!K65='TABLA DE PAGOS'!A$9),'TABLA DE PAGOS'!C64,IF(AND('TABLA DE PAGOS'!K64='TABLA DE PAGOS'!A$11,'TABLA DE PAGOS'!K65='TABLA DE PAGOS'!A$9),'TABLA DE PAGOS'!C63,0)))</f>
        <v>0</v>
      </c>
      <c r="L64" s="14"/>
      <c r="M64" s="11">
        <f>IF(I64=0,IF('TABLA DE PAGOS'!J64&lt;='TABLA DE PAGOS'!A$4,0,IF('TABLA DE PAGOS'!K64='TABLA DE PAGOS'!A$9,'TABLA DE PAGOS'!F64,IF('TABLA DE PAGOS'!K64='TABLA DE PAGOS'!A$11,(INDEX(SALDOS!B$3:G$200,MATCH('TABLA DE PAGOS'!A$12,SALDOS!E$3:E$200,0),6))-(INDEX(SALDOS!B$3:H$200,MATCH('TABLA DE PAGOS'!A$12,SALDOS!E$3:E$200,0),7)),0))),0)</f>
        <v>0</v>
      </c>
      <c r="N64" s="11">
        <f>IF(AND(I64&gt;0,I63=0),J64*MAX(SALDOS!J$3:J$200),0)</f>
        <v>0</v>
      </c>
      <c r="P64" s="8">
        <f>IF(I64=0,IF('TABLA DE PAGOS'!J64&lt;='TABLA DE PAGOS'!A$4,0,IF('TABLA DE PAGOS'!K64='TABLA DE PAGOS'!A$9,'TABLA DE PAGOS'!E64,IF('TABLA DE PAGOS'!K64='TABLA DE PAGOS'!A$11,INDEX(SALDOS!B$3:G$200,MATCH('TABLA DE PAGOS'!A$13,SALDOS!E$3:E$200,0),6),0))),0)</f>
        <v>0</v>
      </c>
      <c r="Q64" s="8">
        <f>IF(AND(I64&gt;0,I63&gt;0),'TABLA DE PAGOS'!E64,0)</f>
        <v>1303.42</v>
      </c>
      <c r="R64" s="8">
        <f t="shared" si="1"/>
        <v>0</v>
      </c>
      <c r="T64" s="8">
        <f>IF(AND(I64&gt;0,I63=0),'TABLA DE PAGOS'!H64,0)</f>
        <v>0</v>
      </c>
      <c r="U64" s="8">
        <f>IF(AND('TABLA DE PAGOS'!K64='TABLA DE PAGOS'!A$11,VLOOKUP('TABLA DE PAGOS'!A$7,SALDOS!B$3:E$200,4)='TABLA DE PAGOS'!A$14),INDEX(SALDOS!B$3:G$200,MATCH('TABLA DE PAGOS'!A$14,SALDOS!E$3:E$200,0),6),IF(AND(P64&gt;0.001,M64&gt;0.001),'TABLA DE PAGOS'!H64,0))</f>
        <v>0</v>
      </c>
      <c r="W64" s="8">
        <f>IF(AND('TABLA DE PAGOS'!K64='TABLA DE PAGOS'!A$11,VLOOKUP('TABLA DE PAGOS'!A$7,SALDOS!B$3:E$200,4)='TABLA DE PAGOS'!A$16),INDEX(SALDOS!B$3:G$200,MATCH('TABLA DE PAGOS'!A$16,SALDOS!E$3:E$200,0),6),IF(AND(P64&gt;0.001,M64&gt;0.001),'TABLA DE PAGOS'!I64,0))</f>
        <v>0</v>
      </c>
    </row>
    <row r="65" spans="2:23">
      <c r="B65" s="33">
        <v>64</v>
      </c>
      <c r="C65" s="8">
        <f>IF('TABLA DE PAGOS'!K65='TABLA DE PAGOS'!A$12,0,IF('TABLA DE PAGOS'!K65='TABLA DE PAGOS'!A$11,'VALORES DE LIQUIDACIÓN'!A$4-'TABLA DE PAGOS'!M65,IF(AND('TABLA DE PAGOS'!J65&lt;'VALORES DE LIQUIDACIÓN'!A$4,'TABLA DE PAGOS'!K65='TABLA DE PAGOS'!A$9),'VALORES DE LIQUIDACIÓN'!A$4-'TABLA DE PAGOS'!J65,0)))</f>
        <v>0</v>
      </c>
      <c r="D65" s="8">
        <f>IF(P65&gt;0,'VALORES DE LIQUIDACIÓN'!A$4-'TABLA DE PAGOS'!J65,0)</f>
        <v>0</v>
      </c>
      <c r="E65" s="35">
        <f t="shared" si="0"/>
        <v>0</v>
      </c>
      <c r="F65" s="11">
        <f>IF(E65&gt;0,('DATOS GENERALES'!K$3+('DATOS GENERALES'!K$3*E65)),0)</f>
        <v>0</v>
      </c>
      <c r="G65" s="11">
        <f>IF(E65&gt;0,IF('TABLA DE PAGOS'!K65='TABLA DE PAGOS'!A$11,(P65*C65*F65)/36000,('TABLA DE PAGOS'!E65*C65*F65)/36000),0)</f>
        <v>0</v>
      </c>
      <c r="I65" s="8">
        <f>IF('TABLA DE PAGOS'!$J65&lt;='VALORES DE LIQUIDACIÓN'!A$4,0,'TABLA DE PAGOS'!$J65-'VALORES DE LIQUIDACIÓN'!A$4)</f>
        <v>1722</v>
      </c>
      <c r="J65" s="8">
        <f>IF(AND(I65&gt;0,I64=0),'VALORES DE LIQUIDACIÓN'!A$4-'TABLA DE PAGOS'!J64,0)</f>
        <v>0</v>
      </c>
      <c r="K65" s="8">
        <f>IF(AND(AND('TABLA DE PAGOS'!J64&lt;='VALORES DE LIQUIDACIÓN'!A$4,'TABLA DE PAGOS'!J65&gt;='VALORES DE LIQUIDACIÓN'!A$4),'TABLA DE PAGOS'!K65='TABLA DE PAGOS'!A$10),'TABLA DE PAGOS'!C64,IF(AND('TABLA DE PAGOS'!K65='TABLA DE PAGOS'!A$10,'TABLA DE PAGOS'!K66='TABLA DE PAGOS'!A$9),'TABLA DE PAGOS'!C65,IF(AND('TABLA DE PAGOS'!K65='TABLA DE PAGOS'!A$11,'TABLA DE PAGOS'!K66='TABLA DE PAGOS'!A$9),'TABLA DE PAGOS'!C64,0)))</f>
        <v>0</v>
      </c>
      <c r="L65" s="14"/>
      <c r="M65" s="11">
        <f>IF(I65=0,IF('TABLA DE PAGOS'!J65&lt;='TABLA DE PAGOS'!A$4,0,IF('TABLA DE PAGOS'!K65='TABLA DE PAGOS'!A$9,'TABLA DE PAGOS'!F65,IF('TABLA DE PAGOS'!K65='TABLA DE PAGOS'!A$11,(INDEX(SALDOS!B$3:G$200,MATCH('TABLA DE PAGOS'!A$12,SALDOS!E$3:E$200,0),6))-(INDEX(SALDOS!B$3:H$200,MATCH('TABLA DE PAGOS'!A$12,SALDOS!E$3:E$200,0),7)),0))),0)</f>
        <v>0</v>
      </c>
      <c r="N65" s="11">
        <f>IF(AND(I65&gt;0,I64=0),J65*MAX(SALDOS!J$3:J$200),0)</f>
        <v>0</v>
      </c>
      <c r="P65" s="8">
        <f>IF(I65=0,IF('TABLA DE PAGOS'!J65&lt;='TABLA DE PAGOS'!A$4,0,IF('TABLA DE PAGOS'!K65='TABLA DE PAGOS'!A$9,'TABLA DE PAGOS'!E65,IF('TABLA DE PAGOS'!K65='TABLA DE PAGOS'!A$11,INDEX(SALDOS!B$3:G$200,MATCH('TABLA DE PAGOS'!A$13,SALDOS!E$3:E$200,0),6),0))),0)</f>
        <v>0</v>
      </c>
      <c r="Q65" s="8">
        <f>IF(AND(I65&gt;0,I64&gt;0),'TABLA DE PAGOS'!E65,0)</f>
        <v>1258.88</v>
      </c>
      <c r="R65" s="8">
        <f t="shared" si="1"/>
        <v>0</v>
      </c>
      <c r="T65" s="8">
        <f>IF(AND(I65&gt;0,I64=0),'TABLA DE PAGOS'!H65,0)</f>
        <v>0</v>
      </c>
      <c r="U65" s="8">
        <f>IF(AND('TABLA DE PAGOS'!K65='TABLA DE PAGOS'!A$11,VLOOKUP('TABLA DE PAGOS'!A$7,SALDOS!B$3:E$200,4)='TABLA DE PAGOS'!A$14),INDEX(SALDOS!B$3:G$200,MATCH('TABLA DE PAGOS'!A$14,SALDOS!E$3:E$200,0),6),IF(AND(P65&gt;0.001,M65&gt;0.001),'TABLA DE PAGOS'!H65,0))</f>
        <v>0</v>
      </c>
      <c r="W65" s="8">
        <f>IF(AND('TABLA DE PAGOS'!K65='TABLA DE PAGOS'!A$11,VLOOKUP('TABLA DE PAGOS'!A$7,SALDOS!B$3:E$200,4)='TABLA DE PAGOS'!A$16),INDEX(SALDOS!B$3:G$200,MATCH('TABLA DE PAGOS'!A$16,SALDOS!E$3:E$200,0),6),IF(AND(P65&gt;0.001,M65&gt;0.001),'TABLA DE PAGOS'!I65,0))</f>
        <v>0</v>
      </c>
    </row>
    <row r="66" spans="2:23">
      <c r="B66" s="33">
        <v>65</v>
      </c>
      <c r="C66" s="8">
        <f>IF('TABLA DE PAGOS'!K66='TABLA DE PAGOS'!A$12,0,IF('TABLA DE PAGOS'!K66='TABLA DE PAGOS'!A$11,'VALORES DE LIQUIDACIÓN'!A$4-'TABLA DE PAGOS'!M66,IF(AND('TABLA DE PAGOS'!J66&lt;'VALORES DE LIQUIDACIÓN'!A$4,'TABLA DE PAGOS'!K66='TABLA DE PAGOS'!A$9),'VALORES DE LIQUIDACIÓN'!A$4-'TABLA DE PAGOS'!J66,0)))</f>
        <v>0</v>
      </c>
      <c r="D66" s="8">
        <f>IF(P66&gt;0,'VALORES DE LIQUIDACIÓN'!A$4-'TABLA DE PAGOS'!J66,0)</f>
        <v>0</v>
      </c>
      <c r="E66" s="35">
        <f t="shared" ref="E66:E129" si="2">IF(AND(D66&gt;=1,D66&lt;=15),5%,IF(AND(D66&gt;=16,D66&lt;=30),7%,IF(AND(D66&gt;=31,D66&lt;=60),9%,IF(D66&gt;=61,10%,0))))</f>
        <v>0</v>
      </c>
      <c r="F66" s="11">
        <f>IF(E66&gt;0,('DATOS GENERALES'!K$3+('DATOS GENERALES'!K$3*E66)),0)</f>
        <v>0</v>
      </c>
      <c r="G66" s="11">
        <f>IF(E66&gt;0,IF('TABLA DE PAGOS'!K66='TABLA DE PAGOS'!A$11,(P66*C66*F66)/36000,('TABLA DE PAGOS'!E66*C66*F66)/36000),0)</f>
        <v>0</v>
      </c>
      <c r="I66" s="8">
        <f>IF('TABLA DE PAGOS'!$J66&lt;='VALORES DE LIQUIDACIÓN'!A$4,0,'TABLA DE PAGOS'!$J66-'VALORES DE LIQUIDACIÓN'!A$4)</f>
        <v>1753</v>
      </c>
      <c r="J66" s="8">
        <f>IF(AND(I66&gt;0,I65=0),'VALORES DE LIQUIDACIÓN'!A$4-'TABLA DE PAGOS'!J65,0)</f>
        <v>0</v>
      </c>
      <c r="K66" s="8">
        <f>IF(AND(AND('TABLA DE PAGOS'!J65&lt;='VALORES DE LIQUIDACIÓN'!A$4,'TABLA DE PAGOS'!J66&gt;='VALORES DE LIQUIDACIÓN'!A$4),'TABLA DE PAGOS'!K66='TABLA DE PAGOS'!A$10),'TABLA DE PAGOS'!C65,IF(AND('TABLA DE PAGOS'!K66='TABLA DE PAGOS'!A$10,'TABLA DE PAGOS'!K67='TABLA DE PAGOS'!A$9),'TABLA DE PAGOS'!C66,IF(AND('TABLA DE PAGOS'!K66='TABLA DE PAGOS'!A$11,'TABLA DE PAGOS'!K67='TABLA DE PAGOS'!A$9),'TABLA DE PAGOS'!C65,0)))</f>
        <v>0</v>
      </c>
      <c r="L66" s="14"/>
      <c r="M66" s="11">
        <f>IF(I66=0,IF('TABLA DE PAGOS'!J66&lt;='TABLA DE PAGOS'!A$4,0,IF('TABLA DE PAGOS'!K66='TABLA DE PAGOS'!A$9,'TABLA DE PAGOS'!F66,IF('TABLA DE PAGOS'!K66='TABLA DE PAGOS'!A$11,(INDEX(SALDOS!B$3:G$200,MATCH('TABLA DE PAGOS'!A$12,SALDOS!E$3:E$200,0),6))-(INDEX(SALDOS!B$3:H$200,MATCH('TABLA DE PAGOS'!A$12,SALDOS!E$3:E$200,0),7)),0))),0)</f>
        <v>0</v>
      </c>
      <c r="N66" s="11">
        <f>IF(AND(I66&gt;0,I65=0),J66*MAX(SALDOS!J$3:J$200),0)</f>
        <v>0</v>
      </c>
      <c r="P66" s="8">
        <f>IF(I66=0,IF('TABLA DE PAGOS'!J66&lt;='TABLA DE PAGOS'!A$4,0,IF('TABLA DE PAGOS'!K66='TABLA DE PAGOS'!A$9,'TABLA DE PAGOS'!E66,IF('TABLA DE PAGOS'!K66='TABLA DE PAGOS'!A$11,INDEX(SALDOS!B$3:G$200,MATCH('TABLA DE PAGOS'!A$13,SALDOS!E$3:E$200,0),6),0))),0)</f>
        <v>0</v>
      </c>
      <c r="Q66" s="8">
        <f>IF(AND(I66&gt;0,I65&gt;0),'TABLA DE PAGOS'!E66,0)</f>
        <v>1270.58</v>
      </c>
      <c r="R66" s="8">
        <f t="shared" ref="R66:R129" si="3">IF(AND(I66&gt;0,J66&gt;0),B66,0)</f>
        <v>0</v>
      </c>
      <c r="T66" s="8">
        <f>IF(AND(I66&gt;0,I65=0),'TABLA DE PAGOS'!H66,0)</f>
        <v>0</v>
      </c>
      <c r="U66" s="8">
        <f>IF(AND('TABLA DE PAGOS'!K66='TABLA DE PAGOS'!A$11,VLOOKUP('TABLA DE PAGOS'!A$7,SALDOS!B$3:E$200,4)='TABLA DE PAGOS'!A$14),INDEX(SALDOS!B$3:G$200,MATCH('TABLA DE PAGOS'!A$14,SALDOS!E$3:E$200,0),6),IF(AND(P66&gt;0.001,M66&gt;0.001),'TABLA DE PAGOS'!H66,0))</f>
        <v>0</v>
      </c>
      <c r="W66" s="8">
        <v>0</v>
      </c>
    </row>
    <row r="67" spans="2:23">
      <c r="B67" s="33">
        <v>66</v>
      </c>
      <c r="C67" s="8">
        <f>IF('TABLA DE PAGOS'!K67='TABLA DE PAGOS'!A$12,0,IF('TABLA DE PAGOS'!K67='TABLA DE PAGOS'!A$11,'VALORES DE LIQUIDACIÓN'!A$4-'TABLA DE PAGOS'!M67,IF(AND('TABLA DE PAGOS'!J67&lt;'VALORES DE LIQUIDACIÓN'!A$4,'TABLA DE PAGOS'!K67='TABLA DE PAGOS'!A$9),'VALORES DE LIQUIDACIÓN'!A$4-'TABLA DE PAGOS'!J67,0)))</f>
        <v>0</v>
      </c>
      <c r="D67" s="8">
        <f>IF(P67&gt;0,'VALORES DE LIQUIDACIÓN'!A$4-'TABLA DE PAGOS'!J67,0)</f>
        <v>0</v>
      </c>
      <c r="E67" s="35">
        <f t="shared" si="2"/>
        <v>0</v>
      </c>
      <c r="F67" s="11">
        <f>IF(E67&gt;0,('DATOS GENERALES'!K$3+('DATOS GENERALES'!K$3*E67)),0)</f>
        <v>0</v>
      </c>
      <c r="G67" s="11">
        <f>IF(E67&gt;0,IF('TABLA DE PAGOS'!K67='TABLA DE PAGOS'!A$11,(P67*C67*F67)/36000,('TABLA DE PAGOS'!E67*C67*F67)/36000),0)</f>
        <v>0</v>
      </c>
      <c r="I67" s="8">
        <f>IF('TABLA DE PAGOS'!$J67&lt;='VALORES DE LIQUIDACIÓN'!A$4,0,'TABLA DE PAGOS'!$J67-'VALORES DE LIQUIDACIÓN'!A$4)</f>
        <v>1781</v>
      </c>
      <c r="J67" s="8">
        <f>IF(AND(I67&gt;0,I66=0),'VALORES DE LIQUIDACIÓN'!A$4-'TABLA DE PAGOS'!J66,0)</f>
        <v>0</v>
      </c>
      <c r="K67" s="8">
        <f>IF(AND(AND('TABLA DE PAGOS'!J66&lt;='VALORES DE LIQUIDACIÓN'!A$4,'TABLA DE PAGOS'!J67&gt;='VALORES DE LIQUIDACIÓN'!A$4),'TABLA DE PAGOS'!K67='TABLA DE PAGOS'!A$10),'TABLA DE PAGOS'!C66,IF(AND('TABLA DE PAGOS'!K67='TABLA DE PAGOS'!A$10,'TABLA DE PAGOS'!K68='TABLA DE PAGOS'!A$9),'TABLA DE PAGOS'!C67,IF(AND('TABLA DE PAGOS'!K67='TABLA DE PAGOS'!A$11,'TABLA DE PAGOS'!K68='TABLA DE PAGOS'!A$9),'TABLA DE PAGOS'!C66,0)))</f>
        <v>0</v>
      </c>
      <c r="L67" s="14"/>
      <c r="M67" s="11">
        <f>IF(I67=0,IF('TABLA DE PAGOS'!J67&lt;='TABLA DE PAGOS'!A$4,0,IF('TABLA DE PAGOS'!K67='TABLA DE PAGOS'!A$9,'TABLA DE PAGOS'!F67,IF('TABLA DE PAGOS'!K67='TABLA DE PAGOS'!A$11,(INDEX(SALDOS!B$3:G$200,MATCH('TABLA DE PAGOS'!A$12,SALDOS!E$3:E$200,0),6))-(INDEX(SALDOS!B$3:H$200,MATCH('TABLA DE PAGOS'!A$12,SALDOS!E$3:E$200,0),7)),0))),0)</f>
        <v>0</v>
      </c>
      <c r="N67" s="11">
        <f>IF(AND(I67&gt;0,I66=0),J67*MAX(SALDOS!J$3:J$200),0)</f>
        <v>0</v>
      </c>
      <c r="P67" s="8">
        <f>IF(I67=0,IF('TABLA DE PAGOS'!J67&lt;='TABLA DE PAGOS'!A$4,0,IF('TABLA DE PAGOS'!K67='TABLA DE PAGOS'!A$9,'TABLA DE PAGOS'!E67,IF('TABLA DE PAGOS'!K67='TABLA DE PAGOS'!A$11,INDEX(SALDOS!B$3:G$200,MATCH('TABLA DE PAGOS'!A$13,SALDOS!E$3:E$200,0),6),0))),0)</f>
        <v>0</v>
      </c>
      <c r="Q67" s="8">
        <f>IF(AND(I67&gt;0,I66&gt;0),'TABLA DE PAGOS'!E67,0)</f>
        <v>1448.88</v>
      </c>
      <c r="R67" s="8">
        <f t="shared" si="3"/>
        <v>0</v>
      </c>
      <c r="T67" s="8">
        <f>IF(AND(I67&gt;0,I66=0),'TABLA DE PAGOS'!H67,0)</f>
        <v>0</v>
      </c>
      <c r="U67" s="8">
        <v>0</v>
      </c>
      <c r="W67" s="8">
        <f>IF(AND('TABLA DE PAGOS'!K67='TABLA DE PAGOS'!A$11,VLOOKUP('TABLA DE PAGOS'!A$7,SALDOS!B$3:E$200,4)='TABLA DE PAGOS'!A$16),INDEX(SALDOS!B$3:G$200,MATCH('TABLA DE PAGOS'!A$16,SALDOS!E$3:E$200,0),6),IF(AND(P67&gt;0.001,M67&gt;0.001),'TABLA DE PAGOS'!I67,0))</f>
        <v>0</v>
      </c>
    </row>
    <row r="68" spans="2:23">
      <c r="B68" s="33">
        <v>67</v>
      </c>
      <c r="C68" s="8">
        <f>IF('TABLA DE PAGOS'!K68='TABLA DE PAGOS'!A$12,0,IF('TABLA DE PAGOS'!K68='TABLA DE PAGOS'!A$11,'VALORES DE LIQUIDACIÓN'!A$4-'TABLA DE PAGOS'!M68,IF(AND('TABLA DE PAGOS'!J68&lt;'VALORES DE LIQUIDACIÓN'!A$4,'TABLA DE PAGOS'!K68='TABLA DE PAGOS'!A$9),'VALORES DE LIQUIDACIÓN'!A$4-'TABLA DE PAGOS'!J68,0)))</f>
        <v>0</v>
      </c>
      <c r="D68" s="8">
        <f>IF(P68&gt;0,'VALORES DE LIQUIDACIÓN'!A$4-'TABLA DE PAGOS'!J68,0)</f>
        <v>0</v>
      </c>
      <c r="E68" s="35">
        <f t="shared" si="2"/>
        <v>0</v>
      </c>
      <c r="F68" s="11">
        <f>IF(E68&gt;0,('DATOS GENERALES'!K$3+('DATOS GENERALES'!K$3*E68)),0)</f>
        <v>0</v>
      </c>
      <c r="G68" s="11">
        <f>IF(E68&gt;0,IF('TABLA DE PAGOS'!K68='TABLA DE PAGOS'!A$11,(P68*C68*F68)/36000,('TABLA DE PAGOS'!E68*C68*F68)/36000),0)</f>
        <v>0</v>
      </c>
      <c r="I68" s="8">
        <f>IF('TABLA DE PAGOS'!$J68&lt;='VALORES DE LIQUIDACIÓN'!A$4,0,'TABLA DE PAGOS'!$J68-'VALORES DE LIQUIDACIÓN'!A$4)</f>
        <v>1813</v>
      </c>
      <c r="J68" s="8">
        <f>IF(AND(I68&gt;0,I67=0),'VALORES DE LIQUIDACIÓN'!A$4-'TABLA DE PAGOS'!J67,0)</f>
        <v>0</v>
      </c>
      <c r="K68" s="8">
        <f>IF(AND(AND('TABLA DE PAGOS'!J67&lt;='VALORES DE LIQUIDACIÓN'!A$4,'TABLA DE PAGOS'!J68&gt;='VALORES DE LIQUIDACIÓN'!A$4),'TABLA DE PAGOS'!K68='TABLA DE PAGOS'!A$10),'TABLA DE PAGOS'!C67,IF(AND('TABLA DE PAGOS'!K68='TABLA DE PAGOS'!A$10,'TABLA DE PAGOS'!K69='TABLA DE PAGOS'!A$9),'TABLA DE PAGOS'!C68,IF(AND('TABLA DE PAGOS'!K68='TABLA DE PAGOS'!A$11,'TABLA DE PAGOS'!K69='TABLA DE PAGOS'!A$9),'TABLA DE PAGOS'!C67,0)))</f>
        <v>0</v>
      </c>
      <c r="L68" s="14"/>
      <c r="M68" s="11">
        <f>IF(I68=0,IF('TABLA DE PAGOS'!J68&lt;='TABLA DE PAGOS'!A$4,0,IF('TABLA DE PAGOS'!K68='TABLA DE PAGOS'!A$9,'TABLA DE PAGOS'!F68,IF('TABLA DE PAGOS'!K68='TABLA DE PAGOS'!A$11,(INDEX(SALDOS!B$3:G$200,MATCH('TABLA DE PAGOS'!A$12,SALDOS!E$3:E$200,0),6))-(INDEX(SALDOS!B$3:H$200,MATCH('TABLA DE PAGOS'!A$12,SALDOS!E$3:E$200,0),7)),0))),0)</f>
        <v>0</v>
      </c>
      <c r="N68" s="11">
        <f>IF(AND(I68&gt;0,I67=0),J68*MAX(SALDOS!J$3:J$200),0)</f>
        <v>0</v>
      </c>
      <c r="P68" s="8">
        <f>IF(I68=0,IF('TABLA DE PAGOS'!J68&lt;='TABLA DE PAGOS'!A$4,0,IF('TABLA DE PAGOS'!K68='TABLA DE PAGOS'!A$9,'TABLA DE PAGOS'!E68,IF('TABLA DE PAGOS'!K68='TABLA DE PAGOS'!A$11,INDEX(SALDOS!B$3:G$200,MATCH('TABLA DE PAGOS'!A$13,SALDOS!E$3:E$200,0),6),0))),0)</f>
        <v>0</v>
      </c>
      <c r="Q68" s="8">
        <f>IF(AND(I68&gt;0,I67&gt;0),'TABLA DE PAGOS'!E68,0)</f>
        <v>1240.78</v>
      </c>
      <c r="R68" s="8">
        <f t="shared" si="3"/>
        <v>0</v>
      </c>
      <c r="T68" s="8">
        <f>IF(AND(I68&gt;0,I67=0),'TABLA DE PAGOS'!H68,0)</f>
        <v>0</v>
      </c>
      <c r="U68" s="8">
        <f>IF(AND('TABLA DE PAGOS'!K68='TABLA DE PAGOS'!A$11,VLOOKUP('TABLA DE PAGOS'!A$7,SALDOS!B$3:E$200,4)='TABLA DE PAGOS'!A$14),INDEX(SALDOS!B$3:G$200,MATCH('TABLA DE PAGOS'!A$14,SALDOS!E$3:E$200,0),6),IF(AND(P68&gt;0.001,M68&gt;0.001),'TABLA DE PAGOS'!H68,0))</f>
        <v>0</v>
      </c>
      <c r="W68" s="8">
        <f>IF(AND('TABLA DE PAGOS'!K68='TABLA DE PAGOS'!A$11,VLOOKUP('TABLA DE PAGOS'!A$7,SALDOS!B$3:E$200,4)='TABLA DE PAGOS'!A$16),INDEX(SALDOS!B$3:G$200,MATCH('TABLA DE PAGOS'!A$16,SALDOS!E$3:E$200,0),6),IF(AND(P68&gt;0.001,M68&gt;0.001),'TABLA DE PAGOS'!I68,0))</f>
        <v>0</v>
      </c>
    </row>
    <row r="69" spans="2:23">
      <c r="B69" s="33">
        <v>68</v>
      </c>
      <c r="C69" s="8">
        <f>IF('TABLA DE PAGOS'!K69='TABLA DE PAGOS'!A$12,0,IF('TABLA DE PAGOS'!K69='TABLA DE PAGOS'!A$11,'VALORES DE LIQUIDACIÓN'!A$4-'TABLA DE PAGOS'!M69,IF(AND('TABLA DE PAGOS'!J69&lt;'VALORES DE LIQUIDACIÓN'!A$4,'TABLA DE PAGOS'!K69='TABLA DE PAGOS'!A$9),'VALORES DE LIQUIDACIÓN'!A$4-'TABLA DE PAGOS'!J69,0)))</f>
        <v>0</v>
      </c>
      <c r="D69" s="8">
        <f>IF(P69&gt;0,'VALORES DE LIQUIDACIÓN'!A$4-'TABLA DE PAGOS'!J69,0)</f>
        <v>0</v>
      </c>
      <c r="E69" s="35">
        <f t="shared" si="2"/>
        <v>0</v>
      </c>
      <c r="F69" s="11">
        <f>IF(E69&gt;0,('DATOS GENERALES'!K$3+('DATOS GENERALES'!K$3*E69)),0)</f>
        <v>0</v>
      </c>
      <c r="G69" s="11">
        <f>IF(E69&gt;0,IF('TABLA DE PAGOS'!K69='TABLA DE PAGOS'!A$11,(P69*C69*F69)/36000,('TABLA DE PAGOS'!E69*C69*F69)/36000),0)</f>
        <v>0</v>
      </c>
      <c r="I69" s="8">
        <f>IF('TABLA DE PAGOS'!$J69&lt;='VALORES DE LIQUIDACIÓN'!A$4,0,'TABLA DE PAGOS'!$J69-'VALORES DE LIQUIDACIÓN'!A$4)</f>
        <v>1842</v>
      </c>
      <c r="J69" s="8">
        <f>IF(AND(I69&gt;0,I68=0),'VALORES DE LIQUIDACIÓN'!A$4-'TABLA DE PAGOS'!J68,0)</f>
        <v>0</v>
      </c>
      <c r="K69" s="8">
        <f>IF(AND(AND('TABLA DE PAGOS'!J68&lt;='VALORES DE LIQUIDACIÓN'!A$4,'TABLA DE PAGOS'!J69&gt;='VALORES DE LIQUIDACIÓN'!A$4),'TABLA DE PAGOS'!K69='TABLA DE PAGOS'!A$10),'TABLA DE PAGOS'!C68,IF(AND('TABLA DE PAGOS'!K69='TABLA DE PAGOS'!A$10,'TABLA DE PAGOS'!K70='TABLA DE PAGOS'!A$9),'TABLA DE PAGOS'!C69,IF(AND('TABLA DE PAGOS'!K69='TABLA DE PAGOS'!A$11,'TABLA DE PAGOS'!K70='TABLA DE PAGOS'!A$9),'TABLA DE PAGOS'!C68,0)))</f>
        <v>0</v>
      </c>
      <c r="L69" s="14"/>
      <c r="M69" s="11">
        <f>IF(I69=0,IF('TABLA DE PAGOS'!J69&lt;='TABLA DE PAGOS'!A$4,0,IF('TABLA DE PAGOS'!K69='TABLA DE PAGOS'!A$9,'TABLA DE PAGOS'!F69,IF('TABLA DE PAGOS'!K69='TABLA DE PAGOS'!A$11,(INDEX(SALDOS!B$3:G$200,MATCH('TABLA DE PAGOS'!A$12,SALDOS!E$3:E$200,0),6))-(INDEX(SALDOS!B$3:H$200,MATCH('TABLA DE PAGOS'!A$12,SALDOS!E$3:E$200,0),7)),0))),0)</f>
        <v>0</v>
      </c>
      <c r="N69" s="11">
        <f>IF(AND(I69&gt;0,I68=0),J69*MAX(SALDOS!J$3:J$200),0)</f>
        <v>0</v>
      </c>
      <c r="P69" s="8">
        <f>IF(I69=0,IF('TABLA DE PAGOS'!J69&lt;='TABLA DE PAGOS'!A$4,0,IF('TABLA DE PAGOS'!K69='TABLA DE PAGOS'!A$9,'TABLA DE PAGOS'!E69,IF('TABLA DE PAGOS'!K69='TABLA DE PAGOS'!A$11,INDEX(SALDOS!B$3:G$200,MATCH('TABLA DE PAGOS'!A$13,SALDOS!E$3:E$200,0),6),0))),0)</f>
        <v>0</v>
      </c>
      <c r="Q69" s="8">
        <f>IF(AND(I69&gt;0,I68&gt;0),'TABLA DE PAGOS'!E69,0)</f>
        <v>1416.76</v>
      </c>
      <c r="R69" s="8">
        <f t="shared" si="3"/>
        <v>0</v>
      </c>
      <c r="T69" s="8">
        <f>IF(AND(I69&gt;0,I68=0),'TABLA DE PAGOS'!H69,0)</f>
        <v>0</v>
      </c>
      <c r="U69" s="8">
        <f>IF(AND('TABLA DE PAGOS'!K69='TABLA DE PAGOS'!A$11,VLOOKUP('TABLA DE PAGOS'!A$7,SALDOS!B$3:E$200,4)='TABLA DE PAGOS'!A$14),INDEX(SALDOS!B$3:G$200,MATCH('TABLA DE PAGOS'!A$14,SALDOS!E$3:E$200,0),6),IF(AND(P69&gt;0.001,M69&gt;0.001),'TABLA DE PAGOS'!H69,0))</f>
        <v>0</v>
      </c>
      <c r="W69" s="8">
        <f>IF(AND('TABLA DE PAGOS'!K69='TABLA DE PAGOS'!A$11,VLOOKUP('TABLA DE PAGOS'!A$7,SALDOS!B$3:E$200,4)='TABLA DE PAGOS'!A$16),INDEX(SALDOS!B$3:G$200,MATCH('TABLA DE PAGOS'!A$16,SALDOS!E$3:E$200,0),6),IF(AND(P69&gt;0.001,M69&gt;0.001),'TABLA DE PAGOS'!I69,0))</f>
        <v>0</v>
      </c>
    </row>
    <row r="70" spans="2:23">
      <c r="B70" s="33">
        <v>69</v>
      </c>
      <c r="C70" s="8">
        <f>IF('TABLA DE PAGOS'!K70='TABLA DE PAGOS'!A$12,0,IF('TABLA DE PAGOS'!K70='TABLA DE PAGOS'!A$11,'VALORES DE LIQUIDACIÓN'!A$4-'TABLA DE PAGOS'!M70,IF(AND('TABLA DE PAGOS'!J70&lt;'VALORES DE LIQUIDACIÓN'!A$4,'TABLA DE PAGOS'!K70='TABLA DE PAGOS'!A$9),'VALORES DE LIQUIDACIÓN'!A$4-'TABLA DE PAGOS'!J70,0)))</f>
        <v>0</v>
      </c>
      <c r="D70" s="8">
        <v>0</v>
      </c>
      <c r="E70" s="35">
        <f t="shared" si="2"/>
        <v>0</v>
      </c>
      <c r="F70" s="11">
        <f>IF(E70&gt;0,('DATOS GENERALES'!K$3+('DATOS GENERALES'!K$3*E70)),0)</f>
        <v>0</v>
      </c>
      <c r="G70" s="11">
        <f>IF(E70&gt;0,IF('TABLA DE PAGOS'!K70='TABLA DE PAGOS'!A$11,(P70*C70*F70)/36000,('TABLA DE PAGOS'!E70*C70*F70)/36000),0)</f>
        <v>0</v>
      </c>
      <c r="I70" s="8">
        <f>IF('TABLA DE PAGOS'!$J70&lt;='VALORES DE LIQUIDACIÓN'!A$4,0,'TABLA DE PAGOS'!$J70-'VALORES DE LIQUIDACIÓN'!A$4)</f>
        <v>1873</v>
      </c>
      <c r="J70" s="8">
        <f>IF(AND(I70&gt;0,I69=0),'VALORES DE LIQUIDACIÓN'!A$4-'TABLA DE PAGOS'!J69,0)</f>
        <v>0</v>
      </c>
      <c r="K70" s="8">
        <f>IF(AND(AND('TABLA DE PAGOS'!J69&lt;='VALORES DE LIQUIDACIÓN'!A$4,'TABLA DE PAGOS'!J70&gt;='VALORES DE LIQUIDACIÓN'!A$4),'TABLA DE PAGOS'!K70='TABLA DE PAGOS'!A$10),'TABLA DE PAGOS'!C69,IF(AND('TABLA DE PAGOS'!K70='TABLA DE PAGOS'!A$10,'TABLA DE PAGOS'!K71='TABLA DE PAGOS'!A$9),'TABLA DE PAGOS'!C70,IF(AND('TABLA DE PAGOS'!K70='TABLA DE PAGOS'!A$11,'TABLA DE PAGOS'!K71='TABLA DE PAGOS'!A$9),'TABLA DE PAGOS'!C69,0)))</f>
        <v>0</v>
      </c>
      <c r="L70" s="14"/>
      <c r="M70" s="11">
        <f>IF(I70=0,IF('TABLA DE PAGOS'!J70&lt;='TABLA DE PAGOS'!A$4,0,IF('TABLA DE PAGOS'!K70='TABLA DE PAGOS'!A$9,'TABLA DE PAGOS'!F70,IF('TABLA DE PAGOS'!K70='TABLA DE PAGOS'!A$11,(INDEX(SALDOS!B$3:G$200,MATCH('TABLA DE PAGOS'!A$12,SALDOS!E$3:E$200,0),6))-(INDEX(SALDOS!B$3:H$200,MATCH('TABLA DE PAGOS'!A$12,SALDOS!E$3:E$200,0),7)),0))),0)</f>
        <v>0</v>
      </c>
      <c r="N70" s="11">
        <f>IF(AND(I70&gt;0,I69=0),J70*MAX(SALDOS!J$3:J$200),0)</f>
        <v>0</v>
      </c>
      <c r="P70" s="8">
        <f>IF(I70=0,IF('TABLA DE PAGOS'!J70&lt;='TABLA DE PAGOS'!A$4,0,IF('TABLA DE PAGOS'!K70='TABLA DE PAGOS'!A$9,'TABLA DE PAGOS'!E70,IF('TABLA DE PAGOS'!K70='TABLA DE PAGOS'!A$11,INDEX(SALDOS!B$3:G$200,MATCH('TABLA DE PAGOS'!A$13,SALDOS!E$3:E$200,0),6),0))),0)</f>
        <v>0</v>
      </c>
      <c r="Q70" s="8">
        <f>IF(AND(I70&gt;0,I69&gt;0),'TABLA DE PAGOS'!E70,0)</f>
        <v>1320.54</v>
      </c>
      <c r="R70" s="8">
        <f t="shared" si="3"/>
        <v>0</v>
      </c>
      <c r="T70" s="8">
        <f>IF(AND(I70&gt;0,I69=0),'TABLA DE PAGOS'!H70,0)</f>
        <v>0</v>
      </c>
      <c r="U70" s="8">
        <v>0</v>
      </c>
      <c r="W70" s="8">
        <f>IF(AND('TABLA DE PAGOS'!K70='TABLA DE PAGOS'!A$11,VLOOKUP('TABLA DE PAGOS'!A$7,SALDOS!B$3:E$200,4)='TABLA DE PAGOS'!A$16),INDEX(SALDOS!B$3:G$200,MATCH('TABLA DE PAGOS'!A$16,SALDOS!E$3:E$200,0),6),IF(AND(P70&gt;0.001,M70&gt;0.001),'TABLA DE PAGOS'!I70,0))</f>
        <v>0</v>
      </c>
    </row>
    <row r="71" spans="2:23">
      <c r="B71" s="33">
        <v>70</v>
      </c>
      <c r="C71" s="8">
        <f>IF('TABLA DE PAGOS'!K71='TABLA DE PAGOS'!A$12,0,IF('TABLA DE PAGOS'!K71='TABLA DE PAGOS'!A$11,'VALORES DE LIQUIDACIÓN'!A$4-'TABLA DE PAGOS'!M71,IF(AND('TABLA DE PAGOS'!J71&lt;'VALORES DE LIQUIDACIÓN'!A$4,'TABLA DE PAGOS'!K71='TABLA DE PAGOS'!A$9),'VALORES DE LIQUIDACIÓN'!A$4-'TABLA DE PAGOS'!J71,0)))</f>
        <v>0</v>
      </c>
      <c r="D71" s="8">
        <f>IF(P71&gt;0,'VALORES DE LIQUIDACIÓN'!A$4-'TABLA DE PAGOS'!J71,0)</f>
        <v>0</v>
      </c>
      <c r="E71" s="35">
        <f t="shared" si="2"/>
        <v>0</v>
      </c>
      <c r="F71" s="11">
        <v>0</v>
      </c>
      <c r="G71" s="11">
        <f>IF(E71&gt;0,IF('TABLA DE PAGOS'!K71='TABLA DE PAGOS'!A$11,(P71*C71*F71)/36000,('TABLA DE PAGOS'!E71*C71*F71)/36000),0)</f>
        <v>0</v>
      </c>
      <c r="I71" s="8">
        <f>IF('TABLA DE PAGOS'!$J71&lt;='VALORES DE LIQUIDACIÓN'!A$4,0,'TABLA DE PAGOS'!$J71-'VALORES DE LIQUIDACIÓN'!A$4)</f>
        <v>1904</v>
      </c>
      <c r="J71" s="8">
        <f>IF(AND(I71&gt;0,I70=0),'VALORES DE LIQUIDACIÓN'!A$4-'TABLA DE PAGOS'!J70,0)</f>
        <v>0</v>
      </c>
      <c r="K71" s="8">
        <f>IF(AND(AND('TABLA DE PAGOS'!J70&lt;='VALORES DE LIQUIDACIÓN'!A$4,'TABLA DE PAGOS'!J71&gt;='VALORES DE LIQUIDACIÓN'!A$4),'TABLA DE PAGOS'!K71='TABLA DE PAGOS'!A$10),'TABLA DE PAGOS'!C70,IF(AND('TABLA DE PAGOS'!K71='TABLA DE PAGOS'!A$10,'TABLA DE PAGOS'!K72='TABLA DE PAGOS'!A$9),'TABLA DE PAGOS'!C71,IF(AND('TABLA DE PAGOS'!K71='TABLA DE PAGOS'!A$11,'TABLA DE PAGOS'!K72='TABLA DE PAGOS'!A$9),'TABLA DE PAGOS'!C70,0)))</f>
        <v>0</v>
      </c>
      <c r="L71" s="14"/>
      <c r="M71" s="11">
        <f>IF(I71=0,IF('TABLA DE PAGOS'!J71&lt;='TABLA DE PAGOS'!A$4,0,IF('TABLA DE PAGOS'!K71='TABLA DE PAGOS'!A$9,'TABLA DE PAGOS'!F71,IF('TABLA DE PAGOS'!K71='TABLA DE PAGOS'!A$11,(INDEX(SALDOS!B$3:G$200,MATCH('TABLA DE PAGOS'!A$12,SALDOS!E$3:E$200,0),6))-(INDEX(SALDOS!B$3:H$200,MATCH('TABLA DE PAGOS'!A$12,SALDOS!E$3:E$200,0),7)),0))),0)</f>
        <v>0</v>
      </c>
      <c r="N71" s="11">
        <f>IF(AND(I71&gt;0,I70=0),J71*MAX(SALDOS!J$3:J$200),0)</f>
        <v>0</v>
      </c>
      <c r="P71" s="8">
        <f>IF(I71=0,IF('TABLA DE PAGOS'!J71&lt;='TABLA DE PAGOS'!A$4,0,IF('TABLA DE PAGOS'!K71='TABLA DE PAGOS'!A$9,'TABLA DE PAGOS'!E71,IF('TABLA DE PAGOS'!K71='TABLA DE PAGOS'!A$11,INDEX(SALDOS!B$3:G$200,MATCH('TABLA DE PAGOS'!A$13,SALDOS!E$3:E$200,0),6),0))),0)</f>
        <v>0</v>
      </c>
      <c r="Q71" s="8">
        <f>IF(AND(I71&gt;0,I70&gt;0),'TABLA DE PAGOS'!E71,0)</f>
        <v>1332.81</v>
      </c>
      <c r="R71" s="8">
        <f t="shared" si="3"/>
        <v>0</v>
      </c>
      <c r="T71" s="8">
        <f>IF(AND(I71&gt;0,I70=0),'TABLA DE PAGOS'!H71,0)</f>
        <v>0</v>
      </c>
      <c r="U71" s="8">
        <f>IF(AND('TABLA DE PAGOS'!K71='TABLA DE PAGOS'!A$11,VLOOKUP('TABLA DE PAGOS'!A$7,SALDOS!B$3:E$200,4)='TABLA DE PAGOS'!A$14),INDEX(SALDOS!B$3:G$200,MATCH('TABLA DE PAGOS'!A$14,SALDOS!E$3:E$200,0),6),IF(AND(P71&gt;0.001,M71&gt;0.001),'TABLA DE PAGOS'!H71,0))</f>
        <v>0</v>
      </c>
      <c r="W71" s="8">
        <f>IF(AND('TABLA DE PAGOS'!K71='TABLA DE PAGOS'!A$11,VLOOKUP('TABLA DE PAGOS'!A$7,SALDOS!B$3:E$200,4)='TABLA DE PAGOS'!A$16),INDEX(SALDOS!B$3:G$200,MATCH('TABLA DE PAGOS'!A$16,SALDOS!E$3:E$200,0),6),IF(AND(P71&gt;0.001,M71&gt;0.001),'TABLA DE PAGOS'!I71,0))</f>
        <v>0</v>
      </c>
    </row>
    <row r="72" spans="2:23">
      <c r="B72" s="33">
        <v>71</v>
      </c>
      <c r="C72" s="8">
        <f>IF('TABLA DE PAGOS'!K72='TABLA DE PAGOS'!A$12,0,IF('TABLA DE PAGOS'!K72='TABLA DE PAGOS'!A$11,'VALORES DE LIQUIDACIÓN'!A$4-'TABLA DE PAGOS'!M72,IF(AND('TABLA DE PAGOS'!J72&lt;'VALORES DE LIQUIDACIÓN'!A$4,'TABLA DE PAGOS'!K72='TABLA DE PAGOS'!A$9),'VALORES DE LIQUIDACIÓN'!A$4-'TABLA DE PAGOS'!J72,0)))</f>
        <v>0</v>
      </c>
      <c r="D72" s="8">
        <f>IF(P72&gt;0,'VALORES DE LIQUIDACIÓN'!A$4-'TABLA DE PAGOS'!J72,0)</f>
        <v>0</v>
      </c>
      <c r="E72" s="35">
        <f t="shared" si="2"/>
        <v>0</v>
      </c>
      <c r="F72" s="11">
        <f>IF(E72&gt;0,('DATOS GENERALES'!K$3+('DATOS GENERALES'!K$3*E72)),0)</f>
        <v>0</v>
      </c>
      <c r="G72" s="11">
        <f>IF(E72&gt;0,IF('TABLA DE PAGOS'!K72='TABLA DE PAGOS'!A$11,(P72*C72*F72)/36000,('TABLA DE PAGOS'!E72*C72*F72)/36000),0)</f>
        <v>0</v>
      </c>
      <c r="I72" s="8">
        <f>IF('TABLA DE PAGOS'!$J72&lt;='VALORES DE LIQUIDACIÓN'!A$4,0,'TABLA DE PAGOS'!$J72-'VALORES DE LIQUIDACIÓN'!A$4)</f>
        <v>1934</v>
      </c>
      <c r="J72" s="8">
        <f>IF(AND(I72&gt;0,I71=0),'VALORES DE LIQUIDACIÓN'!A$4-'TABLA DE PAGOS'!J71,0)</f>
        <v>0</v>
      </c>
      <c r="K72" s="8">
        <f>IF(AND(AND('TABLA DE PAGOS'!J71&lt;='VALORES DE LIQUIDACIÓN'!A$4,'TABLA DE PAGOS'!J72&gt;='VALORES DE LIQUIDACIÓN'!A$4),'TABLA DE PAGOS'!K72='TABLA DE PAGOS'!A$10),'TABLA DE PAGOS'!C71,IF(AND('TABLA DE PAGOS'!K72='TABLA DE PAGOS'!A$10,'TABLA DE PAGOS'!K73='TABLA DE PAGOS'!A$9),'TABLA DE PAGOS'!C72,IF(AND('TABLA DE PAGOS'!K72='TABLA DE PAGOS'!A$11,'TABLA DE PAGOS'!K73='TABLA DE PAGOS'!A$9),'TABLA DE PAGOS'!C71,0)))</f>
        <v>0</v>
      </c>
      <c r="L72" s="14"/>
      <c r="M72" s="11">
        <f>IF(I72=0,IF('TABLA DE PAGOS'!J72&lt;='TABLA DE PAGOS'!A$4,0,IF('TABLA DE PAGOS'!K72='TABLA DE PAGOS'!A$9,'TABLA DE PAGOS'!F72,IF('TABLA DE PAGOS'!K72='TABLA DE PAGOS'!A$11,(INDEX(SALDOS!B$3:G$200,MATCH('TABLA DE PAGOS'!A$12,SALDOS!E$3:E$200,0),6))-(INDEX(SALDOS!B$3:H$200,MATCH('TABLA DE PAGOS'!A$12,SALDOS!E$3:E$200,0),7)),0))),0)</f>
        <v>0</v>
      </c>
      <c r="N72" s="11">
        <f>IF(AND(I72&gt;0,I71=0),J72*MAX(SALDOS!J$3:J$200),0)</f>
        <v>0</v>
      </c>
      <c r="P72" s="8">
        <f>IF(I72=0,IF('TABLA DE PAGOS'!J72&lt;='TABLA DE PAGOS'!A$4,0,IF('TABLA DE PAGOS'!K72='TABLA DE PAGOS'!A$9,'TABLA DE PAGOS'!E72,IF('TABLA DE PAGOS'!K72='TABLA DE PAGOS'!A$11,INDEX(SALDOS!B$3:G$200,MATCH('TABLA DE PAGOS'!A$13,SALDOS!E$3:E$200,0),6),0))),0)</f>
        <v>0</v>
      </c>
      <c r="Q72" s="8">
        <f>IF(AND(I72&gt;0,I71&gt;0),'TABLA DE PAGOS'!E72,0)</f>
        <v>1398.67</v>
      </c>
      <c r="R72" s="8">
        <f t="shared" si="3"/>
        <v>0</v>
      </c>
      <c r="T72" s="8">
        <f>IF(AND(I72&gt;0,I71=0),'TABLA DE PAGOS'!H72,0)</f>
        <v>0</v>
      </c>
      <c r="U72" s="8">
        <f>IF(AND('TABLA DE PAGOS'!K72='TABLA DE PAGOS'!A$11,VLOOKUP('TABLA DE PAGOS'!A$7,SALDOS!B$3:E$200,4)='TABLA DE PAGOS'!A$14),INDEX(SALDOS!B$3:G$200,MATCH('TABLA DE PAGOS'!A$14,SALDOS!E$3:E$200,0),6),IF(AND(P72&gt;0.001,M72&gt;0.001),'TABLA DE PAGOS'!H72,0))</f>
        <v>0</v>
      </c>
      <c r="W72" s="8">
        <f>IF(AND('TABLA DE PAGOS'!K72='TABLA DE PAGOS'!A$11,VLOOKUP('TABLA DE PAGOS'!A$7,SALDOS!B$3:E$200,4)='TABLA DE PAGOS'!A$16),INDEX(SALDOS!B$3:G$200,MATCH('TABLA DE PAGOS'!A$16,SALDOS!E$3:E$200,0),6),IF(AND(P72&gt;0.001,M72&gt;0.001),'TABLA DE PAGOS'!I72,0))</f>
        <v>0</v>
      </c>
    </row>
    <row r="73" spans="2:23">
      <c r="B73" s="33">
        <v>72</v>
      </c>
      <c r="C73" s="8">
        <f>IF('TABLA DE PAGOS'!K73='TABLA DE PAGOS'!A$12,0,IF('TABLA DE PAGOS'!K73='TABLA DE PAGOS'!A$11,'VALORES DE LIQUIDACIÓN'!A$4-'TABLA DE PAGOS'!M73,IF(AND('TABLA DE PAGOS'!J73&lt;'VALORES DE LIQUIDACIÓN'!A$4,'TABLA DE PAGOS'!K73='TABLA DE PAGOS'!A$9),'VALORES DE LIQUIDACIÓN'!A$4-'TABLA DE PAGOS'!J73,0)))</f>
        <v>0</v>
      </c>
      <c r="D73" s="8">
        <f>IF(P73&gt;0,'VALORES DE LIQUIDACIÓN'!A$4-'TABLA DE PAGOS'!J73,0)</f>
        <v>0</v>
      </c>
      <c r="E73" s="35">
        <f t="shared" si="2"/>
        <v>0</v>
      </c>
      <c r="F73" s="11">
        <f>IF(E73&gt;0,('DATOS GENERALES'!K$3+('DATOS GENERALES'!K$3*E73)),0)</f>
        <v>0</v>
      </c>
      <c r="G73" s="11">
        <f>IF(E73&gt;0,IF('TABLA DE PAGOS'!K73='TABLA DE PAGOS'!A$11,(P73*C73*F73)/36000,('TABLA DE PAGOS'!E73*C73*F73)/36000),0)</f>
        <v>0</v>
      </c>
      <c r="I73" s="8">
        <f>IF('TABLA DE PAGOS'!$J73&lt;='VALORES DE LIQUIDACIÓN'!A$4,0,'TABLA DE PAGOS'!$J73-'VALORES DE LIQUIDACIÓN'!A$4)</f>
        <v>1967</v>
      </c>
      <c r="J73" s="8">
        <f>IF(AND(I73&gt;0,I72=0),'VALORES DE LIQUIDACIÓN'!A$4-'TABLA DE PAGOS'!J72,0)</f>
        <v>0</v>
      </c>
      <c r="K73" s="8">
        <f>IF(AND(AND('TABLA DE PAGOS'!J72&lt;='VALORES DE LIQUIDACIÓN'!A$4,'TABLA DE PAGOS'!J73&gt;='VALORES DE LIQUIDACIÓN'!A$4),'TABLA DE PAGOS'!K73='TABLA DE PAGOS'!A$10),'TABLA DE PAGOS'!C72,IF(AND('TABLA DE PAGOS'!K73='TABLA DE PAGOS'!A$10,'TABLA DE PAGOS'!K74='TABLA DE PAGOS'!A$9),'TABLA DE PAGOS'!C73,IF(AND('TABLA DE PAGOS'!K73='TABLA DE PAGOS'!A$11,'TABLA DE PAGOS'!K74='TABLA DE PAGOS'!A$9),'TABLA DE PAGOS'!C72,0)))</f>
        <v>0</v>
      </c>
      <c r="L73" s="14"/>
      <c r="M73" s="11">
        <f>IF(I73=0,IF('TABLA DE PAGOS'!J73&lt;='TABLA DE PAGOS'!A$4,0,IF('TABLA DE PAGOS'!K73='TABLA DE PAGOS'!A$9,'TABLA DE PAGOS'!F73,IF('TABLA DE PAGOS'!K73='TABLA DE PAGOS'!A$11,(INDEX(SALDOS!B$3:G$200,MATCH('TABLA DE PAGOS'!A$12,SALDOS!E$3:E$200,0),6))-(INDEX(SALDOS!B$3:H$200,MATCH('TABLA DE PAGOS'!A$12,SALDOS!E$3:E$200,0),7)),0))),0)</f>
        <v>0</v>
      </c>
      <c r="N73" s="11">
        <f>IF(AND(I73&gt;0,I72=0),J73*MAX(SALDOS!J$3:J$200),0)</f>
        <v>0</v>
      </c>
      <c r="P73" s="8">
        <f>IF(I73=0,IF('TABLA DE PAGOS'!J73&lt;='TABLA DE PAGOS'!A$4,0,IF('TABLA DE PAGOS'!K73='TABLA DE PAGOS'!A$9,'TABLA DE PAGOS'!E73,IF('TABLA DE PAGOS'!K73='TABLA DE PAGOS'!A$11,INDEX(SALDOS!B$3:G$200,MATCH('TABLA DE PAGOS'!A$13,SALDOS!E$3:E$200,0),6),0))),0)</f>
        <v>0</v>
      </c>
      <c r="Q73" s="8">
        <f>IF(AND(I73&gt;0,I72&gt;0),'TABLA DE PAGOS'!E73,0)</f>
        <v>1252.09</v>
      </c>
      <c r="R73" s="8">
        <f t="shared" si="3"/>
        <v>0</v>
      </c>
      <c r="T73" s="8">
        <f>IF(AND(I73&gt;0,I72=0),'TABLA DE PAGOS'!H73,0)</f>
        <v>0</v>
      </c>
      <c r="U73" s="8">
        <f>IF(AND('TABLA DE PAGOS'!K73='TABLA DE PAGOS'!A$11,VLOOKUP('TABLA DE PAGOS'!A$7,SALDOS!B$3:E$200,4)='TABLA DE PAGOS'!A$14),INDEX(SALDOS!B$3:G$200,MATCH('TABLA DE PAGOS'!A$14,SALDOS!E$3:E$200,0),6),IF(AND(P73&gt;0.001,M73&gt;0.001),'TABLA DE PAGOS'!H73,0))</f>
        <v>0</v>
      </c>
      <c r="W73" s="8">
        <v>0</v>
      </c>
    </row>
    <row r="74" spans="2:23">
      <c r="B74" s="33">
        <v>73</v>
      </c>
      <c r="C74" s="8">
        <f>IF('TABLA DE PAGOS'!K74='TABLA DE PAGOS'!A$12,0,IF('TABLA DE PAGOS'!K74='TABLA DE PAGOS'!A$11,'VALORES DE LIQUIDACIÓN'!A$4-'TABLA DE PAGOS'!M74,IF(AND('TABLA DE PAGOS'!J74&lt;'VALORES DE LIQUIDACIÓN'!A$4,'TABLA DE PAGOS'!K74='TABLA DE PAGOS'!A$9),'VALORES DE LIQUIDACIÓN'!A$4-'TABLA DE PAGOS'!J74,0)))</f>
        <v>0</v>
      </c>
      <c r="D74" s="8">
        <f>IF(P74&gt;0,'VALORES DE LIQUIDACIÓN'!A$4-'TABLA DE PAGOS'!J74,0)</f>
        <v>0</v>
      </c>
      <c r="E74" s="35">
        <f t="shared" si="2"/>
        <v>0</v>
      </c>
      <c r="F74" s="11">
        <f>IF(E74&gt;0,('DATOS GENERALES'!K$3+('DATOS GENERALES'!K$3*E74)),0)</f>
        <v>0</v>
      </c>
      <c r="G74" s="11">
        <f>IF(E74&gt;0,IF('TABLA DE PAGOS'!K74='TABLA DE PAGOS'!A$11,(P74*C74*F74)/36000,('TABLA DE PAGOS'!E74*C74*F74)/36000),0)</f>
        <v>0</v>
      </c>
      <c r="I74" s="8">
        <f>IF('TABLA DE PAGOS'!$J74&lt;='VALORES DE LIQUIDACIÓN'!A$4,0,'TABLA DE PAGOS'!$J74-'VALORES DE LIQUIDACIÓN'!A$4)</f>
        <v>1995</v>
      </c>
      <c r="J74" s="8">
        <f>IF(AND(I74&gt;0,I73=0),'VALORES DE LIQUIDACIÓN'!A$4-'TABLA DE PAGOS'!J73,0)</f>
        <v>0</v>
      </c>
      <c r="K74" s="8">
        <f>IF(AND(AND('TABLA DE PAGOS'!J73&lt;='VALORES DE LIQUIDACIÓN'!A$4,'TABLA DE PAGOS'!J74&gt;='VALORES DE LIQUIDACIÓN'!A$4),'TABLA DE PAGOS'!K74='TABLA DE PAGOS'!A$10),'TABLA DE PAGOS'!C73,IF(AND('TABLA DE PAGOS'!K74='TABLA DE PAGOS'!A$10,'TABLA DE PAGOS'!K75='TABLA DE PAGOS'!A$9),'TABLA DE PAGOS'!C74,IF(AND('TABLA DE PAGOS'!K74='TABLA DE PAGOS'!A$11,'TABLA DE PAGOS'!K75='TABLA DE PAGOS'!A$9),'TABLA DE PAGOS'!C73,0)))</f>
        <v>0</v>
      </c>
      <c r="L74" s="14"/>
      <c r="M74" s="11">
        <f>IF(I74=0,IF('TABLA DE PAGOS'!J74&lt;='TABLA DE PAGOS'!A$4,0,IF('TABLA DE PAGOS'!K74='TABLA DE PAGOS'!A$9,'TABLA DE PAGOS'!F74,IF('TABLA DE PAGOS'!K74='TABLA DE PAGOS'!A$11,(INDEX(SALDOS!B$3:G$200,MATCH('TABLA DE PAGOS'!A$12,SALDOS!E$3:E$200,0),6))-(INDEX(SALDOS!B$3:H$200,MATCH('TABLA DE PAGOS'!A$12,SALDOS!E$3:E$200,0),7)),0))),0)</f>
        <v>0</v>
      </c>
      <c r="N74" s="11">
        <f>IF(AND(I74&gt;0,I73=0),J74*MAX(SALDOS!J$3:J$200),0)</f>
        <v>0</v>
      </c>
      <c r="P74" s="8">
        <f>IF(I74=0,IF('TABLA DE PAGOS'!J74&lt;='TABLA DE PAGOS'!A$4,0,IF('TABLA DE PAGOS'!K74='TABLA DE PAGOS'!A$9,'TABLA DE PAGOS'!E74,IF('TABLA DE PAGOS'!K74='TABLA DE PAGOS'!A$11,INDEX(SALDOS!B$3:G$200,MATCH('TABLA DE PAGOS'!A$13,SALDOS!E$3:E$200,0),6),0))),0)</f>
        <v>0</v>
      </c>
      <c r="Q74" s="8">
        <f>IF(AND(I74&gt;0,I73&gt;0),'TABLA DE PAGOS'!E74,0)</f>
        <v>1527.87</v>
      </c>
      <c r="R74" s="8">
        <f t="shared" si="3"/>
        <v>0</v>
      </c>
      <c r="T74" s="8">
        <f>IF(AND(I74&gt;0,I73=0),'TABLA DE PAGOS'!H74,0)</f>
        <v>0</v>
      </c>
      <c r="U74" s="8">
        <f>IF(AND('TABLA DE PAGOS'!K74='TABLA DE PAGOS'!A$11,VLOOKUP('TABLA DE PAGOS'!A$7,SALDOS!B$3:E$200,4)='TABLA DE PAGOS'!A$14),INDEX(SALDOS!B$3:G$200,MATCH('TABLA DE PAGOS'!A$14,SALDOS!E$3:E$200,0),6),IF(AND(P74&gt;0.001,M74&gt;0.001),'TABLA DE PAGOS'!H74,0))</f>
        <v>0</v>
      </c>
      <c r="W74" s="8">
        <f>IF(AND('TABLA DE PAGOS'!K74='TABLA DE PAGOS'!A$11,VLOOKUP('TABLA DE PAGOS'!A$7,SALDOS!B$3:E$200,4)='TABLA DE PAGOS'!A$16),INDEX(SALDOS!B$3:G$200,MATCH('TABLA DE PAGOS'!A$16,SALDOS!E$3:E$200,0),6),IF(AND(P74&gt;0.001,M74&gt;0.001),'TABLA DE PAGOS'!I74,0))</f>
        <v>0</v>
      </c>
    </row>
    <row r="75" spans="2:23">
      <c r="B75" s="33">
        <v>74</v>
      </c>
      <c r="C75" s="8">
        <f>IF('TABLA DE PAGOS'!K75='TABLA DE PAGOS'!A$12,0,IF('TABLA DE PAGOS'!K75='TABLA DE PAGOS'!A$11,'VALORES DE LIQUIDACIÓN'!A$4-'TABLA DE PAGOS'!M75,IF(AND('TABLA DE PAGOS'!J75&lt;'VALORES DE LIQUIDACIÓN'!A$4,'TABLA DE PAGOS'!K75='TABLA DE PAGOS'!A$9),'VALORES DE LIQUIDACIÓN'!A$4-'TABLA DE PAGOS'!J75,0)))</f>
        <v>0</v>
      </c>
      <c r="D75" s="8">
        <f>IF(P75&gt;0,'VALORES DE LIQUIDACIÓN'!A$4-'TABLA DE PAGOS'!J75,0)</f>
        <v>0</v>
      </c>
      <c r="E75" s="35">
        <f t="shared" si="2"/>
        <v>0</v>
      </c>
      <c r="F75" s="11">
        <f>IF(E75&gt;0,('DATOS GENERALES'!K$3+('DATOS GENERALES'!K$3*E75)),0)</f>
        <v>0</v>
      </c>
      <c r="G75" s="11">
        <f>IF(E75&gt;0,IF('TABLA DE PAGOS'!K75='TABLA DE PAGOS'!A$11,(P75*C75*F75)/36000,('TABLA DE PAGOS'!E75*C75*F75)/36000),0)</f>
        <v>0</v>
      </c>
      <c r="I75" s="8">
        <f>IF('TABLA DE PAGOS'!$J75&lt;='VALORES DE LIQUIDACIÓN'!A$4,0,'TABLA DE PAGOS'!$J75-'VALORES DE LIQUIDACIÓN'!A$4)</f>
        <v>2026</v>
      </c>
      <c r="J75" s="8">
        <f>IF(AND(I75&gt;0,I74=0),'VALORES DE LIQUIDACIÓN'!A$4-'TABLA DE PAGOS'!J74,0)</f>
        <v>0</v>
      </c>
      <c r="K75" s="8">
        <f>IF(AND(AND('TABLA DE PAGOS'!J74&lt;='VALORES DE LIQUIDACIÓN'!A$4,'TABLA DE PAGOS'!J75&gt;='VALORES DE LIQUIDACIÓN'!A$4),'TABLA DE PAGOS'!K75='TABLA DE PAGOS'!A$10),'TABLA DE PAGOS'!C74,IF(AND('TABLA DE PAGOS'!K75='TABLA DE PAGOS'!A$10,'TABLA DE PAGOS'!K76='TABLA DE PAGOS'!A$9),'TABLA DE PAGOS'!C75,IF(AND('TABLA DE PAGOS'!K75='TABLA DE PAGOS'!A$11,'TABLA DE PAGOS'!K76='TABLA DE PAGOS'!A$9),'TABLA DE PAGOS'!C74,0)))</f>
        <v>0</v>
      </c>
      <c r="L75" s="14"/>
      <c r="M75" s="11">
        <f>IF(I75=0,IF('TABLA DE PAGOS'!J75&lt;='TABLA DE PAGOS'!A$4,0,IF('TABLA DE PAGOS'!K75='TABLA DE PAGOS'!A$9,'TABLA DE PAGOS'!F75,IF('TABLA DE PAGOS'!K75='TABLA DE PAGOS'!A$11,(INDEX(SALDOS!B$3:G$200,MATCH('TABLA DE PAGOS'!A$12,SALDOS!E$3:E$200,0),6))-(INDEX(SALDOS!B$3:H$200,MATCH('TABLA DE PAGOS'!A$12,SALDOS!E$3:E$200,0),7)),0))),0)</f>
        <v>0</v>
      </c>
      <c r="N75" s="11">
        <f>IF(AND(I75&gt;0,I74=0),J75*MAX(SALDOS!J$3:J$200),0)</f>
        <v>0</v>
      </c>
      <c r="P75" s="8">
        <f>IF(I75=0,IF('TABLA DE PAGOS'!J75&lt;='TABLA DE PAGOS'!A$4,0,IF('TABLA DE PAGOS'!K75='TABLA DE PAGOS'!A$9,'TABLA DE PAGOS'!E75,IF('TABLA DE PAGOS'!K75='TABLA DE PAGOS'!A$11,INDEX(SALDOS!B$3:G$200,MATCH('TABLA DE PAGOS'!A$13,SALDOS!E$3:E$200,0),6),0))),0)</f>
        <v>0</v>
      </c>
      <c r="Q75" s="8">
        <f>IF(AND(I75&gt;0,I74&gt;0),'TABLA DE PAGOS'!E75,0)</f>
        <v>1384.03</v>
      </c>
      <c r="R75" s="8">
        <f t="shared" si="3"/>
        <v>0</v>
      </c>
      <c r="T75" s="8">
        <f>IF(AND(I75&gt;0,I74=0),'TABLA DE PAGOS'!H75,0)</f>
        <v>0</v>
      </c>
      <c r="U75" s="8">
        <f>IF(AND('TABLA DE PAGOS'!K75='TABLA DE PAGOS'!A$11,VLOOKUP('TABLA DE PAGOS'!A$7,SALDOS!B$3:E$200,4)='TABLA DE PAGOS'!A$14),INDEX(SALDOS!B$3:G$200,MATCH('TABLA DE PAGOS'!A$14,SALDOS!E$3:E$200,0),6),IF(AND(P75&gt;0.001,M75&gt;0.001),'TABLA DE PAGOS'!H75,0))</f>
        <v>0</v>
      </c>
      <c r="W75" s="8">
        <f>IF(AND('TABLA DE PAGOS'!K75='TABLA DE PAGOS'!A$11,VLOOKUP('TABLA DE PAGOS'!A$7,SALDOS!B$3:E$200,4)='TABLA DE PAGOS'!A$16),INDEX(SALDOS!B$3:G$200,MATCH('TABLA DE PAGOS'!A$16,SALDOS!E$3:E$200,0),6),IF(AND(P75&gt;0.001,M75&gt;0.001),'TABLA DE PAGOS'!I75,0))</f>
        <v>0</v>
      </c>
    </row>
    <row r="76" spans="2:23">
      <c r="B76" s="33">
        <v>75</v>
      </c>
      <c r="C76" s="8">
        <f>IF('TABLA DE PAGOS'!K76='TABLA DE PAGOS'!A$12,0,IF('TABLA DE PAGOS'!K76='TABLA DE PAGOS'!A$11,'VALORES DE LIQUIDACIÓN'!A$4-'TABLA DE PAGOS'!M76,IF(AND('TABLA DE PAGOS'!J76&lt;'VALORES DE LIQUIDACIÓN'!A$4,'TABLA DE PAGOS'!K76='TABLA DE PAGOS'!A$9),'VALORES DE LIQUIDACIÓN'!A$4-'TABLA DE PAGOS'!J76,0)))</f>
        <v>0</v>
      </c>
      <c r="D76" s="8">
        <f>IF(P76&gt;0,'VALORES DE LIQUIDACIÓN'!A$4-'TABLA DE PAGOS'!J76,0)</f>
        <v>0</v>
      </c>
      <c r="E76" s="35">
        <f t="shared" si="2"/>
        <v>0</v>
      </c>
      <c r="F76" s="11">
        <f>IF(E76&gt;0,('DATOS GENERALES'!K$3+('DATOS GENERALES'!K$3*E76)),0)</f>
        <v>0</v>
      </c>
      <c r="G76" s="11">
        <f>IF(E76&gt;0,IF('TABLA DE PAGOS'!K76='TABLA DE PAGOS'!A$11,(P76*C76*F76)/36000,('TABLA DE PAGOS'!E76*C76*F76)/36000),0)</f>
        <v>0</v>
      </c>
      <c r="I76" s="8">
        <f>IF('TABLA DE PAGOS'!$J76&lt;='VALORES DE LIQUIDACIÓN'!A$4,0,'TABLA DE PAGOS'!$J76-'VALORES DE LIQUIDACIÓN'!A$4)</f>
        <v>2058</v>
      </c>
      <c r="J76" s="8">
        <f>IF(AND(I76&gt;0,I75=0),'VALORES DE LIQUIDACIÓN'!A$4-'TABLA DE PAGOS'!J75,0)</f>
        <v>0</v>
      </c>
      <c r="K76" s="8">
        <f>IF(AND(AND('TABLA DE PAGOS'!J75&lt;='VALORES DE LIQUIDACIÓN'!A$4,'TABLA DE PAGOS'!J76&gt;='VALORES DE LIQUIDACIÓN'!A$4),'TABLA DE PAGOS'!K76='TABLA DE PAGOS'!A$10),'TABLA DE PAGOS'!C75,IF(AND('TABLA DE PAGOS'!K76='TABLA DE PAGOS'!A$10,'TABLA DE PAGOS'!K77='TABLA DE PAGOS'!A$9),'TABLA DE PAGOS'!C76,IF(AND('TABLA DE PAGOS'!K76='TABLA DE PAGOS'!A$11,'TABLA DE PAGOS'!K77='TABLA DE PAGOS'!A$9),'TABLA DE PAGOS'!C75,0)))</f>
        <v>0</v>
      </c>
      <c r="L76" s="14"/>
      <c r="M76" s="11">
        <f>IF(I76=0,IF('TABLA DE PAGOS'!J76&lt;='TABLA DE PAGOS'!A$4,0,IF('TABLA DE PAGOS'!K76='TABLA DE PAGOS'!A$9,'TABLA DE PAGOS'!F76,IF('TABLA DE PAGOS'!K76='TABLA DE PAGOS'!A$11,(INDEX(SALDOS!B$3:G$200,MATCH('TABLA DE PAGOS'!A$12,SALDOS!E$3:E$200,0),6))-(INDEX(SALDOS!B$3:H$200,MATCH('TABLA DE PAGOS'!A$12,SALDOS!E$3:E$200,0),7)),0))),0)</f>
        <v>0</v>
      </c>
      <c r="N76" s="11">
        <f>IF(AND(I76&gt;0,I75=0),J76*MAX(SALDOS!J$3:J$200),0)</f>
        <v>0</v>
      </c>
      <c r="P76" s="8">
        <f>IF(I76=0,IF('TABLA DE PAGOS'!J76&lt;='TABLA DE PAGOS'!A$4,0,IF('TABLA DE PAGOS'!K76='TABLA DE PAGOS'!A$9,'TABLA DE PAGOS'!E76,IF('TABLA DE PAGOS'!K76='TABLA DE PAGOS'!A$11,INDEX(SALDOS!B$3:G$200,MATCH('TABLA DE PAGOS'!A$13,SALDOS!E$3:E$200,0),6),0))),0)</f>
        <v>0</v>
      </c>
      <c r="Q76" s="8">
        <f>IF(AND(I76&gt;0,I75&gt;0),'TABLA DE PAGOS'!E76,0)</f>
        <v>1345.08</v>
      </c>
      <c r="R76" s="8">
        <f t="shared" si="3"/>
        <v>0</v>
      </c>
      <c r="T76" s="8">
        <f>IF(AND(I76&gt;0,I75=0),'TABLA DE PAGOS'!H76,0)</f>
        <v>0</v>
      </c>
      <c r="U76" s="8">
        <f>IF(AND('TABLA DE PAGOS'!K76='TABLA DE PAGOS'!A$11,VLOOKUP('TABLA DE PAGOS'!A$7,SALDOS!B$3:E$200,4)='TABLA DE PAGOS'!A$14),INDEX(SALDOS!B$3:G$200,MATCH('TABLA DE PAGOS'!A$14,SALDOS!E$3:E$200,0),6),IF(AND(P76&gt;0.001,M76&gt;0.001),'TABLA DE PAGOS'!H76,0))</f>
        <v>0</v>
      </c>
      <c r="W76" s="8">
        <f>IF(AND('TABLA DE PAGOS'!K76='TABLA DE PAGOS'!A$11,VLOOKUP('TABLA DE PAGOS'!A$7,SALDOS!B$3:E$200,4)='TABLA DE PAGOS'!A$16),INDEX(SALDOS!B$3:G$200,MATCH('TABLA DE PAGOS'!A$16,SALDOS!E$3:E$200,0),6),IF(AND(P76&gt;0.001,M76&gt;0.001),'TABLA DE PAGOS'!I76,0))</f>
        <v>0</v>
      </c>
    </row>
    <row r="77" spans="2:23">
      <c r="B77" s="33">
        <v>76</v>
      </c>
      <c r="C77" s="8">
        <f>IF('TABLA DE PAGOS'!K77='TABLA DE PAGOS'!A$12,0,IF('TABLA DE PAGOS'!K77='TABLA DE PAGOS'!A$11,'VALORES DE LIQUIDACIÓN'!A$4-'TABLA DE PAGOS'!M77,IF(AND('TABLA DE PAGOS'!J77&lt;'VALORES DE LIQUIDACIÓN'!A$4,'TABLA DE PAGOS'!K77='TABLA DE PAGOS'!A$9),'VALORES DE LIQUIDACIÓN'!A$4-'TABLA DE PAGOS'!J77,0)))</f>
        <v>0</v>
      </c>
      <c r="D77" s="8">
        <f>IF(P77&gt;0,'VALORES DE LIQUIDACIÓN'!A$4-'TABLA DE PAGOS'!J77,0)</f>
        <v>0</v>
      </c>
      <c r="E77" s="35">
        <f t="shared" si="2"/>
        <v>0</v>
      </c>
      <c r="F77" s="11">
        <f>IF(E77&gt;0,('DATOS GENERALES'!K$3+('DATOS GENERALES'!K$3*E77)),0)</f>
        <v>0</v>
      </c>
      <c r="G77" s="11">
        <f>IF(E77&gt;0,IF('TABLA DE PAGOS'!K77='TABLA DE PAGOS'!A$11,(P77*C77*F77)/36000,('TABLA DE PAGOS'!E77*C77*F77)/36000),0)</f>
        <v>0</v>
      </c>
      <c r="I77" s="8">
        <f>IF('TABLA DE PAGOS'!$J77&lt;='VALORES DE LIQUIDACIÓN'!A$4,0,'TABLA DE PAGOS'!$J77-'VALORES DE LIQUIDACIÓN'!A$4)</f>
        <v>2087</v>
      </c>
      <c r="J77" s="8">
        <f>IF(AND(I77&gt;0,I76=0),'VALORES DE LIQUIDACIÓN'!A$4-'TABLA DE PAGOS'!J76,0)</f>
        <v>0</v>
      </c>
      <c r="K77" s="8">
        <f>IF(AND(AND('TABLA DE PAGOS'!J76&lt;='VALORES DE LIQUIDACIÓN'!A$4,'TABLA DE PAGOS'!J77&gt;='VALORES DE LIQUIDACIÓN'!A$4),'TABLA DE PAGOS'!K77='TABLA DE PAGOS'!A$10),'TABLA DE PAGOS'!C76,IF(AND('TABLA DE PAGOS'!K77='TABLA DE PAGOS'!A$10,'TABLA DE PAGOS'!K78='TABLA DE PAGOS'!A$9),'TABLA DE PAGOS'!C77,IF(AND('TABLA DE PAGOS'!K77='TABLA DE PAGOS'!A$11,'TABLA DE PAGOS'!K78='TABLA DE PAGOS'!A$9),'TABLA DE PAGOS'!C76,0)))</f>
        <v>0</v>
      </c>
      <c r="L77" s="14"/>
      <c r="M77" s="11">
        <f>IF(I77=0,IF('TABLA DE PAGOS'!J77&lt;='TABLA DE PAGOS'!A$4,0,IF('TABLA DE PAGOS'!K77='TABLA DE PAGOS'!A$9,'TABLA DE PAGOS'!F77,IF('TABLA DE PAGOS'!K77='TABLA DE PAGOS'!A$11,(INDEX(SALDOS!B$3:G$200,MATCH('TABLA DE PAGOS'!A$12,SALDOS!E$3:E$200,0),6))-(INDEX(SALDOS!B$3:H$200,MATCH('TABLA DE PAGOS'!A$12,SALDOS!E$3:E$200,0),7)),0))),0)</f>
        <v>0</v>
      </c>
      <c r="N77" s="11">
        <f>IF(AND(I77&gt;0,I76=0),J77*MAX(SALDOS!J$3:J$200),0)</f>
        <v>0</v>
      </c>
      <c r="P77" s="8">
        <f>IF(I77=0,IF('TABLA DE PAGOS'!J77&lt;='TABLA DE PAGOS'!A$4,0,IF('TABLA DE PAGOS'!K77='TABLA DE PAGOS'!A$9,'TABLA DE PAGOS'!E77,IF('TABLA DE PAGOS'!K77='TABLA DE PAGOS'!A$11,INDEX(SALDOS!B$3:G$200,MATCH('TABLA DE PAGOS'!A$13,SALDOS!E$3:E$200,0),6),0))),0)</f>
        <v>0</v>
      </c>
      <c r="Q77" s="8">
        <f>IF(AND(I77&gt;0,I76&gt;0),'TABLA DE PAGOS'!E77,0)</f>
        <v>1512.19</v>
      </c>
      <c r="R77" s="8">
        <f t="shared" si="3"/>
        <v>0</v>
      </c>
      <c r="T77" s="8">
        <f>IF(AND(I77&gt;0,I76=0),'TABLA DE PAGOS'!H77,0)</f>
        <v>0</v>
      </c>
      <c r="U77" s="8">
        <f>IF(AND('TABLA DE PAGOS'!K77='TABLA DE PAGOS'!A$11,VLOOKUP('TABLA DE PAGOS'!A$7,SALDOS!B$3:E$200,4)='TABLA DE PAGOS'!A$14),INDEX(SALDOS!B$3:G$200,MATCH('TABLA DE PAGOS'!A$14,SALDOS!E$3:E$200,0),6),IF(AND(P77&gt;0.001,M77&gt;0.001),'TABLA DE PAGOS'!H77,0))</f>
        <v>0</v>
      </c>
      <c r="W77" s="8">
        <v>0</v>
      </c>
    </row>
    <row r="78" spans="2:23">
      <c r="B78" s="33">
        <v>77</v>
      </c>
      <c r="C78" s="8">
        <f>IF('TABLA DE PAGOS'!K78='TABLA DE PAGOS'!A$12,0,IF('TABLA DE PAGOS'!K78='TABLA DE PAGOS'!A$11,'VALORES DE LIQUIDACIÓN'!A$4-'TABLA DE PAGOS'!M78,IF(AND('TABLA DE PAGOS'!J78&lt;'VALORES DE LIQUIDACIÓN'!A$4,'TABLA DE PAGOS'!K78='TABLA DE PAGOS'!A$9),'VALORES DE LIQUIDACIÓN'!A$4-'TABLA DE PAGOS'!J78,0)))</f>
        <v>0</v>
      </c>
      <c r="D78" s="8">
        <f>IF(P78&gt;0,'VALORES DE LIQUIDACIÓN'!A$4-'TABLA DE PAGOS'!J78,0)</f>
        <v>0</v>
      </c>
      <c r="E78" s="35">
        <f t="shared" si="2"/>
        <v>0</v>
      </c>
      <c r="F78" s="11">
        <f>IF(E78&gt;0,('DATOS GENERALES'!K$3+('DATOS GENERALES'!K$3*E78)),0)</f>
        <v>0</v>
      </c>
      <c r="G78" s="11">
        <f>IF(E78&gt;0,IF('TABLA DE PAGOS'!K78='TABLA DE PAGOS'!A$11,(P78*C78*F78)/36000,('TABLA DE PAGOS'!E78*C78*F78)/36000),0)</f>
        <v>0</v>
      </c>
      <c r="I78" s="8">
        <f>IF('TABLA DE PAGOS'!$J78&lt;='VALORES DE LIQUIDACIÓN'!A$4,0,'TABLA DE PAGOS'!$J78-'VALORES DE LIQUIDACIÓN'!A$4)</f>
        <v>2118</v>
      </c>
      <c r="J78" s="8">
        <f>IF(AND(I78&gt;0,I77=0),'VALORES DE LIQUIDACIÓN'!A$4-'TABLA DE PAGOS'!J77,0)</f>
        <v>0</v>
      </c>
      <c r="K78" s="8">
        <f>IF(AND(AND('TABLA DE PAGOS'!J77&lt;='VALORES DE LIQUIDACIÓN'!A$4,'TABLA DE PAGOS'!J78&gt;='VALORES DE LIQUIDACIÓN'!A$4),'TABLA DE PAGOS'!K78='TABLA DE PAGOS'!A$10),'TABLA DE PAGOS'!C77,IF(AND('TABLA DE PAGOS'!K78='TABLA DE PAGOS'!A$10,'TABLA DE PAGOS'!K79='TABLA DE PAGOS'!A$9),'TABLA DE PAGOS'!C78,IF(AND('TABLA DE PAGOS'!K78='TABLA DE PAGOS'!A$11,'TABLA DE PAGOS'!K79='TABLA DE PAGOS'!A$9),'TABLA DE PAGOS'!C77,0)))</f>
        <v>0</v>
      </c>
      <c r="L78" s="14"/>
      <c r="M78" s="11">
        <f>IF(I78=0,IF('TABLA DE PAGOS'!J78&lt;='TABLA DE PAGOS'!A$4,0,IF('TABLA DE PAGOS'!K78='TABLA DE PAGOS'!A$9,'TABLA DE PAGOS'!F78,IF('TABLA DE PAGOS'!K78='TABLA DE PAGOS'!A$11,(INDEX(SALDOS!B$3:G$200,MATCH('TABLA DE PAGOS'!A$12,SALDOS!E$3:E$200,0),6))-(INDEX(SALDOS!B$3:H$200,MATCH('TABLA DE PAGOS'!A$12,SALDOS!E$3:E$200,0),7)),0))),0)</f>
        <v>0</v>
      </c>
      <c r="N78" s="11">
        <f>IF(AND(I78&gt;0,I77=0),J78*MAX(SALDOS!J$3:J$200),0)</f>
        <v>0</v>
      </c>
      <c r="P78" s="8">
        <f>IF(I78=0,IF('TABLA DE PAGOS'!J78&lt;='TABLA DE PAGOS'!A$4,0,IF('TABLA DE PAGOS'!K78='TABLA DE PAGOS'!A$9,'TABLA DE PAGOS'!E78,IF('TABLA DE PAGOS'!K78='TABLA DE PAGOS'!A$11,INDEX(SALDOS!B$3:G$200,MATCH('TABLA DE PAGOS'!A$13,SALDOS!E$3:E$200,0),6),0))),0)</f>
        <v>0</v>
      </c>
      <c r="Q78" s="8">
        <f>IF(AND(I78&gt;0,I77&gt;0),'TABLA DE PAGOS'!E78,0)</f>
        <v>1423.44</v>
      </c>
      <c r="R78" s="8">
        <f t="shared" si="3"/>
        <v>0</v>
      </c>
      <c r="T78" s="8">
        <f>IF(AND(I78&gt;0,I77=0),'TABLA DE PAGOS'!H78,0)</f>
        <v>0</v>
      </c>
      <c r="U78" s="8">
        <v>0</v>
      </c>
      <c r="W78" s="8">
        <f>IF(AND('TABLA DE PAGOS'!K78='TABLA DE PAGOS'!A$11,VLOOKUP('TABLA DE PAGOS'!A$7,SALDOS!B$3:E$200,4)='TABLA DE PAGOS'!A$16),INDEX(SALDOS!B$3:G$200,MATCH('TABLA DE PAGOS'!A$16,SALDOS!E$3:E$200,0),6),IF(AND(P78&gt;0.001,M78&gt;0.001),'TABLA DE PAGOS'!I78,0))</f>
        <v>0</v>
      </c>
    </row>
    <row r="79" spans="2:23">
      <c r="B79" s="33">
        <v>78</v>
      </c>
      <c r="C79" s="8">
        <f>IF('TABLA DE PAGOS'!K79='TABLA DE PAGOS'!A$12,0,IF('TABLA DE PAGOS'!K79='TABLA DE PAGOS'!A$11,'VALORES DE LIQUIDACIÓN'!A$4-'TABLA DE PAGOS'!M79,IF(AND('TABLA DE PAGOS'!J79&lt;'VALORES DE LIQUIDACIÓN'!A$4,'TABLA DE PAGOS'!K79='TABLA DE PAGOS'!A$9),'VALORES DE LIQUIDACIÓN'!A$4-'TABLA DE PAGOS'!J79,0)))</f>
        <v>0</v>
      </c>
      <c r="D79" s="8">
        <f>IF(P79&gt;0,'VALORES DE LIQUIDACIÓN'!A$4-'TABLA DE PAGOS'!J79,0)</f>
        <v>0</v>
      </c>
      <c r="E79" s="35">
        <f t="shared" si="2"/>
        <v>0</v>
      </c>
      <c r="F79" s="11">
        <f>IF(E79&gt;0,('DATOS GENERALES'!K$3+('DATOS GENERALES'!K$3*E79)),0)</f>
        <v>0</v>
      </c>
      <c r="G79" s="11">
        <f>IF(E79&gt;0,IF('TABLA DE PAGOS'!K79='TABLA DE PAGOS'!A$11,(P79*C79*F79)/36000,('TABLA DE PAGOS'!E79*C79*F79)/36000),0)</f>
        <v>0</v>
      </c>
      <c r="I79" s="8">
        <f>IF('TABLA DE PAGOS'!$J79&lt;='VALORES DE LIQUIDACIÓN'!A$4,0,'TABLA DE PAGOS'!$J79-'VALORES DE LIQUIDACIÓN'!A$4)</f>
        <v>2149</v>
      </c>
      <c r="J79" s="8">
        <f>IF(AND(I79&gt;0,I78=0),'VALORES DE LIQUIDACIÓN'!A$4-'TABLA DE PAGOS'!J78,0)</f>
        <v>0</v>
      </c>
      <c r="K79" s="8">
        <f>IF(AND(AND('TABLA DE PAGOS'!J78&lt;='VALORES DE LIQUIDACIÓN'!A$4,'TABLA DE PAGOS'!J79&gt;='VALORES DE LIQUIDACIÓN'!A$4),'TABLA DE PAGOS'!K79='TABLA DE PAGOS'!A$10),'TABLA DE PAGOS'!C78,IF(AND('TABLA DE PAGOS'!K79='TABLA DE PAGOS'!A$10,'TABLA DE PAGOS'!K80='TABLA DE PAGOS'!A$9),'TABLA DE PAGOS'!C79,IF(AND('TABLA DE PAGOS'!K79='TABLA DE PAGOS'!A$11,'TABLA DE PAGOS'!K80='TABLA DE PAGOS'!A$9),'TABLA DE PAGOS'!C78,0)))</f>
        <v>0</v>
      </c>
      <c r="L79" s="14"/>
      <c r="M79" s="11">
        <f>IF(I79=0,IF('TABLA DE PAGOS'!J79&lt;='TABLA DE PAGOS'!A$4,0,IF('TABLA DE PAGOS'!K79='TABLA DE PAGOS'!A$9,'TABLA DE PAGOS'!F79,IF('TABLA DE PAGOS'!K79='TABLA DE PAGOS'!A$11,(INDEX(SALDOS!B$3:G$200,MATCH('TABLA DE PAGOS'!A$12,SALDOS!E$3:E$200,0),6))-(INDEX(SALDOS!B$3:H$200,MATCH('TABLA DE PAGOS'!A$12,SALDOS!E$3:E$200,0),7)),0))),0)</f>
        <v>0</v>
      </c>
      <c r="N79" s="11">
        <f>IF(AND(I79&gt;0,I78=0),J79*MAX(SALDOS!J$3:J$200),0)</f>
        <v>0</v>
      </c>
      <c r="P79" s="8">
        <f>IF(I79=0,IF('TABLA DE PAGOS'!J79&lt;='TABLA DE PAGOS'!A$4,0,IF('TABLA DE PAGOS'!K79='TABLA DE PAGOS'!A$9,'TABLA DE PAGOS'!E79,IF('TABLA DE PAGOS'!K79='TABLA DE PAGOS'!A$11,INDEX(SALDOS!B$3:G$200,MATCH('TABLA DE PAGOS'!A$13,SALDOS!E$3:E$200,0),6),0))),0)</f>
        <v>0</v>
      </c>
      <c r="Q79" s="8">
        <f>IF(AND(I79&gt;0,I78&gt;0),'TABLA DE PAGOS'!E79,0)</f>
        <v>1436.67</v>
      </c>
      <c r="R79" s="8">
        <f t="shared" si="3"/>
        <v>0</v>
      </c>
      <c r="T79" s="8">
        <f>IF(AND(I79&gt;0,I78=0),'TABLA DE PAGOS'!H79,0)</f>
        <v>0</v>
      </c>
      <c r="U79" s="8">
        <v>0</v>
      </c>
      <c r="W79" s="8">
        <f>IF(AND('TABLA DE PAGOS'!K79='TABLA DE PAGOS'!A$11,VLOOKUP('TABLA DE PAGOS'!A$7,SALDOS!B$3:E$200,4)='TABLA DE PAGOS'!A$16),INDEX(SALDOS!B$3:G$200,MATCH('TABLA DE PAGOS'!A$16,SALDOS!E$3:E$200,0),6),IF(AND(P79&gt;0.001,M79&gt;0.001),'TABLA DE PAGOS'!I79,0))</f>
        <v>0</v>
      </c>
    </row>
    <row r="80" spans="2:23">
      <c r="B80" s="33">
        <v>79</v>
      </c>
      <c r="C80" s="8">
        <f>IF('TABLA DE PAGOS'!K80='TABLA DE PAGOS'!A$12,0,IF('TABLA DE PAGOS'!K80='TABLA DE PAGOS'!A$11,'VALORES DE LIQUIDACIÓN'!A$4-'TABLA DE PAGOS'!M80,IF(AND('TABLA DE PAGOS'!J80&lt;'VALORES DE LIQUIDACIÓN'!A$4,'TABLA DE PAGOS'!K80='TABLA DE PAGOS'!A$9),'VALORES DE LIQUIDACIÓN'!A$4-'TABLA DE PAGOS'!J80,0)))</f>
        <v>0</v>
      </c>
      <c r="D80" s="8">
        <f>IF(P80&gt;0,'VALORES DE LIQUIDACIÓN'!A$4-'TABLA DE PAGOS'!J80,0)</f>
        <v>0</v>
      </c>
      <c r="E80" s="35">
        <f t="shared" si="2"/>
        <v>0</v>
      </c>
      <c r="F80" s="11">
        <f>IF(E80&gt;0,('DATOS GENERALES'!K$3+('DATOS GENERALES'!K$3*E80)),0)</f>
        <v>0</v>
      </c>
      <c r="G80" s="11">
        <f>IF(E80&gt;0,IF('TABLA DE PAGOS'!K80='TABLA DE PAGOS'!A$11,(P80*C80*F80)/36000,('TABLA DE PAGOS'!E80*C80*F80)/36000),0)</f>
        <v>0</v>
      </c>
      <c r="I80" s="8">
        <f>IF('TABLA DE PAGOS'!$J80&lt;='VALORES DE LIQUIDACIÓN'!A$4,0,'TABLA DE PAGOS'!$J80-'VALORES DE LIQUIDACIÓN'!A$4)</f>
        <v>2178</v>
      </c>
      <c r="J80" s="8">
        <f>IF(AND(I80&gt;0,I79=0),'VALORES DE LIQUIDACIÓN'!A$4-'TABLA DE PAGOS'!J79,0)</f>
        <v>0</v>
      </c>
      <c r="K80" s="8">
        <f>IF(AND(AND('TABLA DE PAGOS'!J79&lt;='VALORES DE LIQUIDACIÓN'!A$4,'TABLA DE PAGOS'!J80&gt;='VALORES DE LIQUIDACIÓN'!A$4),'TABLA DE PAGOS'!K80='TABLA DE PAGOS'!A$10),'TABLA DE PAGOS'!C79,IF(AND('TABLA DE PAGOS'!K80='TABLA DE PAGOS'!A$10,'TABLA DE PAGOS'!K81='TABLA DE PAGOS'!A$9),'TABLA DE PAGOS'!C80,IF(AND('TABLA DE PAGOS'!K80='TABLA DE PAGOS'!A$11,'TABLA DE PAGOS'!K81='TABLA DE PAGOS'!A$9),'TABLA DE PAGOS'!C79,0)))</f>
        <v>0</v>
      </c>
      <c r="L80" s="14"/>
      <c r="M80" s="11">
        <f>IF(I80=0,IF('TABLA DE PAGOS'!J80&lt;='TABLA DE PAGOS'!A$4,0,IF('TABLA DE PAGOS'!K80='TABLA DE PAGOS'!A$9,'TABLA DE PAGOS'!F80,IF('TABLA DE PAGOS'!K80='TABLA DE PAGOS'!A$11,(INDEX(SALDOS!B$3:G$200,MATCH('TABLA DE PAGOS'!A$12,SALDOS!E$3:E$200,0),6))-(INDEX(SALDOS!B$3:H$200,MATCH('TABLA DE PAGOS'!A$12,SALDOS!E$3:E$200,0),7)),0))),0)</f>
        <v>0</v>
      </c>
      <c r="N80" s="11">
        <f>IF(AND(I80&gt;0,I79=0),J80*MAX(SALDOS!J$3:J$200),0)</f>
        <v>0</v>
      </c>
      <c r="P80" s="8">
        <f>IF(I80=0,IF('TABLA DE PAGOS'!J80&lt;='TABLA DE PAGOS'!A$4,0,IF('TABLA DE PAGOS'!K80='TABLA DE PAGOS'!A$9,'TABLA DE PAGOS'!E80,IF('TABLA DE PAGOS'!K80='TABLA DE PAGOS'!A$11,INDEX(SALDOS!B$3:G$200,MATCH('TABLA DE PAGOS'!A$13,SALDOS!E$3:E$200,0),6),0))),0)</f>
        <v>0</v>
      </c>
      <c r="Q80" s="8">
        <f>IF(AND(I80&gt;0,I79&gt;0),'TABLA DE PAGOS'!E80,0)</f>
        <v>1550.2</v>
      </c>
      <c r="R80" s="8">
        <f t="shared" si="3"/>
        <v>0</v>
      </c>
      <c r="T80" s="8">
        <f>IF(AND(I80&gt;0,I79=0),'TABLA DE PAGOS'!H80,0)</f>
        <v>0</v>
      </c>
      <c r="U80" s="8">
        <f>IF(AND('TABLA DE PAGOS'!K80='TABLA DE PAGOS'!A$11,VLOOKUP('TABLA DE PAGOS'!A$7,SALDOS!B$3:E$200,4)='TABLA DE PAGOS'!A$14),INDEX(SALDOS!B$3:G$200,MATCH('TABLA DE PAGOS'!A$14,SALDOS!E$3:E$200,0),6),IF(AND(P80&gt;0.001,M80&gt;0.001),'TABLA DE PAGOS'!H80,0))</f>
        <v>0</v>
      </c>
      <c r="W80" s="8">
        <f>IF(AND('TABLA DE PAGOS'!K80='TABLA DE PAGOS'!A$11,VLOOKUP('TABLA DE PAGOS'!A$7,SALDOS!B$3:E$200,4)='TABLA DE PAGOS'!A$16),INDEX(SALDOS!B$3:G$200,MATCH('TABLA DE PAGOS'!A$16,SALDOS!E$3:E$200,0),6),IF(AND(P80&gt;0.001,M80&gt;0.001),'TABLA DE PAGOS'!I80,0))</f>
        <v>0</v>
      </c>
    </row>
    <row r="81" spans="2:23">
      <c r="B81" s="33">
        <v>80</v>
      </c>
      <c r="C81" s="8">
        <f>IF('TABLA DE PAGOS'!K81='TABLA DE PAGOS'!A$12,0,IF('TABLA DE PAGOS'!K81='TABLA DE PAGOS'!A$11,'VALORES DE LIQUIDACIÓN'!A$4-'TABLA DE PAGOS'!M81,IF(AND('TABLA DE PAGOS'!J81&lt;'VALORES DE LIQUIDACIÓN'!A$4,'TABLA DE PAGOS'!K81='TABLA DE PAGOS'!A$9),'VALORES DE LIQUIDACIÓN'!A$4-'TABLA DE PAGOS'!J81,0)))</f>
        <v>0</v>
      </c>
      <c r="D81" s="8">
        <f>IF(P81&gt;0,'VALORES DE LIQUIDACIÓN'!A$4-'TABLA DE PAGOS'!J81,0)</f>
        <v>0</v>
      </c>
      <c r="E81" s="35">
        <f t="shared" si="2"/>
        <v>0</v>
      </c>
      <c r="F81" s="11">
        <f>IF(E81&gt;0,('DATOS GENERALES'!K$3+('DATOS GENERALES'!K$3*E81)),0)</f>
        <v>0</v>
      </c>
      <c r="G81" s="11">
        <f>IF(E81&gt;0,IF('TABLA DE PAGOS'!K81='TABLA DE PAGOS'!A$11,(P81*C81*F81)/36000,('TABLA DE PAGOS'!E81*C81*F81)/36000),0)</f>
        <v>0</v>
      </c>
      <c r="I81" s="8">
        <f>IF('TABLA DE PAGOS'!$J81&lt;='VALORES DE LIQUIDACIÓN'!A$4,0,'TABLA DE PAGOS'!$J81-'VALORES DE LIQUIDACIÓN'!A$4)</f>
        <v>2208</v>
      </c>
      <c r="J81" s="8">
        <f>IF(AND(I81&gt;0,I80=0),'VALORES DE LIQUIDACIÓN'!A$4-'TABLA DE PAGOS'!J80,0)</f>
        <v>0</v>
      </c>
      <c r="K81" s="8">
        <f>IF(AND(AND('TABLA DE PAGOS'!J80&lt;='VALORES DE LIQUIDACIÓN'!A$4,'TABLA DE PAGOS'!J81&gt;='VALORES DE LIQUIDACIÓN'!A$4),'TABLA DE PAGOS'!K81='TABLA DE PAGOS'!A$10),'TABLA DE PAGOS'!C80,IF(AND('TABLA DE PAGOS'!K81='TABLA DE PAGOS'!A$10,'TABLA DE PAGOS'!K82='TABLA DE PAGOS'!A$9),'TABLA DE PAGOS'!C81,IF(AND('TABLA DE PAGOS'!K81='TABLA DE PAGOS'!A$11,'TABLA DE PAGOS'!K82='TABLA DE PAGOS'!A$9),'TABLA DE PAGOS'!C80,0)))</f>
        <v>0</v>
      </c>
      <c r="L81" s="14"/>
      <c r="M81" s="11">
        <f>IF(I81=0,IF('TABLA DE PAGOS'!J81&lt;='TABLA DE PAGOS'!A$4,0,IF('TABLA DE PAGOS'!K81='TABLA DE PAGOS'!A$9,'TABLA DE PAGOS'!F81,IF('TABLA DE PAGOS'!K81='TABLA DE PAGOS'!A$11,(INDEX(SALDOS!B$3:G$200,MATCH('TABLA DE PAGOS'!A$12,SALDOS!E$3:E$200,0),6))-(INDEX(SALDOS!B$3:H$200,MATCH('TABLA DE PAGOS'!A$12,SALDOS!E$3:E$200,0),7)),0))),0)</f>
        <v>0</v>
      </c>
      <c r="N81" s="11">
        <f>IF(AND(I81&gt;0,I80=0),J81*MAX(SALDOS!J$3:J$200),0)</f>
        <v>0</v>
      </c>
      <c r="P81" s="8">
        <f>IF(I81=0,IF('TABLA DE PAGOS'!J81&lt;='TABLA DE PAGOS'!A$4,0,IF('TABLA DE PAGOS'!K81='TABLA DE PAGOS'!A$9,'TABLA DE PAGOS'!E81,IF('TABLA DE PAGOS'!K81='TABLA DE PAGOS'!A$11,INDEX(SALDOS!B$3:G$200,MATCH('TABLA DE PAGOS'!A$13,SALDOS!E$3:E$200,0),6),0))),0)</f>
        <v>0</v>
      </c>
      <c r="Q81" s="8">
        <f>IF(AND(I81&gt;0,I80&gt;0),'TABLA DE PAGOS'!E81,0)</f>
        <v>1514.05</v>
      </c>
      <c r="R81" s="8">
        <f t="shared" si="3"/>
        <v>0</v>
      </c>
      <c r="T81" s="8">
        <f>IF(AND(I81&gt;0,I80=0),'TABLA DE PAGOS'!H81,0)</f>
        <v>0</v>
      </c>
      <c r="U81" s="8">
        <f>IF(AND('TABLA DE PAGOS'!K81='TABLA DE PAGOS'!A$11,VLOOKUP('TABLA DE PAGOS'!A$7,SALDOS!B$3:E$200,4)='TABLA DE PAGOS'!A$14),INDEX(SALDOS!B$3:G$200,MATCH('TABLA DE PAGOS'!A$14,SALDOS!E$3:E$200,0),6),IF(AND(P81&gt;0.001,M81&gt;0.001),'TABLA DE PAGOS'!H81,0))</f>
        <v>0</v>
      </c>
      <c r="W81" s="8">
        <f>IF(AND('TABLA DE PAGOS'!K81='TABLA DE PAGOS'!A$11,VLOOKUP('TABLA DE PAGOS'!A$7,SALDOS!B$3:E$200,4)='TABLA DE PAGOS'!A$16),INDEX(SALDOS!B$3:G$200,MATCH('TABLA DE PAGOS'!A$16,SALDOS!E$3:E$200,0),6),IF(AND(P81&gt;0.001,M81&gt;0.001),'TABLA DE PAGOS'!I81,0))</f>
        <v>0</v>
      </c>
    </row>
    <row r="82" spans="2:23">
      <c r="B82" s="33">
        <v>81</v>
      </c>
      <c r="C82" s="8">
        <f>IF('TABLA DE PAGOS'!K82='TABLA DE PAGOS'!A$12,0,IF('TABLA DE PAGOS'!K82='TABLA DE PAGOS'!A$11,'VALORES DE LIQUIDACIÓN'!A$4-'TABLA DE PAGOS'!M82,IF(AND('TABLA DE PAGOS'!J82&lt;'VALORES DE LIQUIDACIÓN'!A$4,'TABLA DE PAGOS'!K82='TABLA DE PAGOS'!A$9),'VALORES DE LIQUIDACIÓN'!A$4-'TABLA DE PAGOS'!J82,0)))</f>
        <v>0</v>
      </c>
      <c r="D82" s="8">
        <f>IF(P82&gt;0,'VALORES DE LIQUIDACIÓN'!A$4-'TABLA DE PAGOS'!J82,0)</f>
        <v>0</v>
      </c>
      <c r="E82" s="35">
        <f t="shared" si="2"/>
        <v>0</v>
      </c>
      <c r="F82" s="11">
        <f>IF(E82&gt;0,('DATOS GENERALES'!K$3+('DATOS GENERALES'!K$3*E82)),0)</f>
        <v>0</v>
      </c>
      <c r="G82" s="11">
        <f>IF(E82&gt;0,IF('TABLA DE PAGOS'!K82='TABLA DE PAGOS'!A$11,(P82*C82*F82)/36000,('TABLA DE PAGOS'!E82*C82*F82)/36000),0)</f>
        <v>0</v>
      </c>
      <c r="I82" s="8">
        <f>IF('TABLA DE PAGOS'!$J82&lt;='VALORES DE LIQUIDACIÓN'!A$4,0,'TABLA DE PAGOS'!$J82-'VALORES DE LIQUIDACIÓN'!A$4)</f>
        <v>2240</v>
      </c>
      <c r="J82" s="8">
        <f>IF(AND(I82&gt;0,I81=0),'VALORES DE LIQUIDACIÓN'!A$4-'TABLA DE PAGOS'!J81,0)</f>
        <v>0</v>
      </c>
      <c r="K82" s="8">
        <f>IF(AND(AND('TABLA DE PAGOS'!J81&lt;='VALORES DE LIQUIDACIÓN'!A$4,'TABLA DE PAGOS'!J82&gt;='VALORES DE LIQUIDACIÓN'!A$4),'TABLA DE PAGOS'!K82='TABLA DE PAGOS'!A$10),'TABLA DE PAGOS'!C81,IF(AND('TABLA DE PAGOS'!K82='TABLA DE PAGOS'!A$10,'TABLA DE PAGOS'!K83='TABLA DE PAGOS'!A$9),'TABLA DE PAGOS'!C82,IF(AND('TABLA DE PAGOS'!K82='TABLA DE PAGOS'!A$11,'TABLA DE PAGOS'!K83='TABLA DE PAGOS'!A$9),'TABLA DE PAGOS'!C81,0)))</f>
        <v>0</v>
      </c>
      <c r="L82" s="14"/>
      <c r="M82" s="11">
        <f>IF(I82=0,IF('TABLA DE PAGOS'!J82&lt;='TABLA DE PAGOS'!A$4,0,IF('TABLA DE PAGOS'!K82='TABLA DE PAGOS'!A$9,'TABLA DE PAGOS'!F82,IF('TABLA DE PAGOS'!K82='TABLA DE PAGOS'!A$11,(INDEX(SALDOS!B$3:G$200,MATCH('TABLA DE PAGOS'!A$12,SALDOS!E$3:E$200,0),6))-(INDEX(SALDOS!B$3:H$200,MATCH('TABLA DE PAGOS'!A$12,SALDOS!E$3:E$200,0),7)),0))),0)</f>
        <v>0</v>
      </c>
      <c r="N82" s="11">
        <f>IF(AND(I82&gt;0,I81=0),J82*MAX(SALDOS!J$3:J$200),0)</f>
        <v>0</v>
      </c>
      <c r="P82" s="8">
        <f>IF(I82=0,IF('TABLA DE PAGOS'!J82&lt;='TABLA DE PAGOS'!A$4,0,IF('TABLA DE PAGOS'!K82='TABLA DE PAGOS'!A$9,'TABLA DE PAGOS'!E82,IF('TABLA DE PAGOS'!K82='TABLA DE PAGOS'!A$11,INDEX(SALDOS!B$3:G$200,MATCH('TABLA DE PAGOS'!A$13,SALDOS!E$3:E$200,0),6),0))),0)</f>
        <v>0</v>
      </c>
      <c r="Q82" s="8">
        <f>IF(AND(I82&gt;0,I81&gt;0),'TABLA DE PAGOS'!E82,0)</f>
        <v>1429.31</v>
      </c>
      <c r="R82" s="8">
        <f t="shared" si="3"/>
        <v>0</v>
      </c>
      <c r="T82" s="8">
        <f>IF(AND(I82&gt;0,I81=0),'TABLA DE PAGOS'!H82,0)</f>
        <v>0</v>
      </c>
      <c r="U82" s="8">
        <v>0</v>
      </c>
      <c r="W82" s="8">
        <f>IF(AND('TABLA DE PAGOS'!K82='TABLA DE PAGOS'!A$11,VLOOKUP('TABLA DE PAGOS'!A$7,SALDOS!B$3:E$200,4)='TABLA DE PAGOS'!A$16),INDEX(SALDOS!B$3:G$200,MATCH('TABLA DE PAGOS'!A$16,SALDOS!E$3:E$200,0),6),IF(AND(P82&gt;0.001,M82&gt;0.001),'TABLA DE PAGOS'!I82,0))</f>
        <v>0</v>
      </c>
    </row>
    <row r="83" spans="2:23">
      <c r="B83" s="33">
        <v>82</v>
      </c>
      <c r="C83" s="8">
        <v>0</v>
      </c>
      <c r="D83" s="8">
        <f>IF(P83&gt;0,'VALORES DE LIQUIDACIÓN'!A$4-'TABLA DE PAGOS'!J83,0)</f>
        <v>0</v>
      </c>
      <c r="E83" s="35">
        <f t="shared" si="2"/>
        <v>0</v>
      </c>
      <c r="F83" s="11">
        <f>IF(E83&gt;0,('DATOS GENERALES'!K$3+('DATOS GENERALES'!K$3*E83)),0)</f>
        <v>0</v>
      </c>
      <c r="G83" s="11">
        <f>IF(E83&gt;0,IF('TABLA DE PAGOS'!K83='TABLA DE PAGOS'!A$11,(P83*C83*F83)/36000,('TABLA DE PAGOS'!E83*C83*F83)/36000),0)</f>
        <v>0</v>
      </c>
      <c r="I83" s="8">
        <f>IF('TABLA DE PAGOS'!$J83&lt;='VALORES DE LIQUIDACIÓN'!A$4,0,'TABLA DE PAGOS'!$J83-'VALORES DE LIQUIDACIÓN'!A$4)</f>
        <v>2269</v>
      </c>
      <c r="J83" s="8">
        <f>IF(AND(I83&gt;0,I82=0),'VALORES DE LIQUIDACIÓN'!A$4-'TABLA DE PAGOS'!J82,0)</f>
        <v>0</v>
      </c>
      <c r="K83" s="8">
        <f>IF(AND(AND('TABLA DE PAGOS'!J82&lt;='VALORES DE LIQUIDACIÓN'!A$4,'TABLA DE PAGOS'!J83&gt;='VALORES DE LIQUIDACIÓN'!A$4),'TABLA DE PAGOS'!K83='TABLA DE PAGOS'!A$10),'TABLA DE PAGOS'!C82,IF(AND('TABLA DE PAGOS'!K83='TABLA DE PAGOS'!A$10,'TABLA DE PAGOS'!K84='TABLA DE PAGOS'!A$9),'TABLA DE PAGOS'!C83,IF(AND('TABLA DE PAGOS'!K83='TABLA DE PAGOS'!A$11,'TABLA DE PAGOS'!K84='TABLA DE PAGOS'!A$9),'TABLA DE PAGOS'!C82,0)))</f>
        <v>0</v>
      </c>
      <c r="L83" s="14"/>
      <c r="M83" s="11">
        <f>IF(I83=0,IF('TABLA DE PAGOS'!J83&lt;='TABLA DE PAGOS'!A$4,0,IF('TABLA DE PAGOS'!K83='TABLA DE PAGOS'!A$9,'TABLA DE PAGOS'!F83,IF('TABLA DE PAGOS'!K83='TABLA DE PAGOS'!A$11,(INDEX(SALDOS!B$3:G$200,MATCH('TABLA DE PAGOS'!A$12,SALDOS!E$3:E$200,0),6))-(INDEX(SALDOS!B$3:H$200,MATCH('TABLA DE PAGOS'!A$12,SALDOS!E$3:E$200,0),7)),0))),0)</f>
        <v>0</v>
      </c>
      <c r="N83" s="11">
        <f>IF(AND(I83&gt;0,I82=0),J83*MAX(SALDOS!J$3:J$200),0)</f>
        <v>0</v>
      </c>
      <c r="P83" s="8">
        <f>IF(I83=0,IF('TABLA DE PAGOS'!J83&lt;='TABLA DE PAGOS'!A$4,0,IF('TABLA DE PAGOS'!K83='TABLA DE PAGOS'!A$9,'TABLA DE PAGOS'!E83,IF('TABLA DE PAGOS'!K83='TABLA DE PAGOS'!A$11,INDEX(SALDOS!B$3:G$200,MATCH('TABLA DE PAGOS'!A$13,SALDOS!E$3:E$200,0),6),0))),0)</f>
        <v>0</v>
      </c>
      <c r="Q83" s="8">
        <f>IF(AND(I83&gt;0,I82&gt;0),'TABLA DE PAGOS'!E83,0)</f>
        <v>1589.26</v>
      </c>
      <c r="R83" s="8">
        <f t="shared" si="3"/>
        <v>0</v>
      </c>
      <c r="T83" s="8">
        <v>0</v>
      </c>
      <c r="U83" s="8">
        <f>IF(AND('TABLA DE PAGOS'!K83='TABLA DE PAGOS'!A$11,VLOOKUP('TABLA DE PAGOS'!A$7,SALDOS!B$3:E$200,4)='TABLA DE PAGOS'!A$14),INDEX(SALDOS!B$3:G$200,MATCH('TABLA DE PAGOS'!A$14,SALDOS!E$3:E$200,0),6),IF(AND(P83&gt;0.001,M83&gt;0.001),'TABLA DE PAGOS'!H83,0))</f>
        <v>0</v>
      </c>
      <c r="W83" s="8">
        <f>IF(AND('TABLA DE PAGOS'!K83='TABLA DE PAGOS'!A$11,VLOOKUP('TABLA DE PAGOS'!A$7,SALDOS!B$3:E$200,4)='TABLA DE PAGOS'!A$16),INDEX(SALDOS!B$3:G$200,MATCH('TABLA DE PAGOS'!A$16,SALDOS!E$3:E$200,0),6),IF(AND(P83&gt;0.001,M83&gt;0.001),'TABLA DE PAGOS'!I83,0))</f>
        <v>0</v>
      </c>
    </row>
    <row r="84" spans="2:23">
      <c r="B84" s="33">
        <v>83</v>
      </c>
      <c r="C84" s="8">
        <f>IF('TABLA DE PAGOS'!K84='TABLA DE PAGOS'!A$12,0,IF('TABLA DE PAGOS'!K84='TABLA DE PAGOS'!A$11,'VALORES DE LIQUIDACIÓN'!A$4-'TABLA DE PAGOS'!M84,IF(AND('TABLA DE PAGOS'!J84&lt;'VALORES DE LIQUIDACIÓN'!A$4,'TABLA DE PAGOS'!K84='TABLA DE PAGOS'!A$9),'VALORES DE LIQUIDACIÓN'!A$4-'TABLA DE PAGOS'!J84,0)))</f>
        <v>0</v>
      </c>
      <c r="D84" s="8">
        <f>IF(P84&gt;0,'VALORES DE LIQUIDACIÓN'!A$4-'TABLA DE PAGOS'!J84,0)</f>
        <v>0</v>
      </c>
      <c r="E84" s="35">
        <f t="shared" si="2"/>
        <v>0</v>
      </c>
      <c r="F84" s="11">
        <f>IF(E84&gt;0,('DATOS GENERALES'!K$3+('DATOS GENERALES'!K$3*E84)),0)</f>
        <v>0</v>
      </c>
      <c r="G84" s="11">
        <f>IF(E84&gt;0,IF('TABLA DE PAGOS'!K84='TABLA DE PAGOS'!A$11,(P84*C84*F84)/36000,('TABLA DE PAGOS'!E84*C84*F84)/36000),0)</f>
        <v>0</v>
      </c>
      <c r="I84" s="8">
        <f>IF('TABLA DE PAGOS'!$J84&lt;='VALORES DE LIQUIDACIÓN'!A$4,0,'TABLA DE PAGOS'!$J84-'VALORES DE LIQUIDACIÓN'!A$4)</f>
        <v>2300</v>
      </c>
      <c r="J84" s="8">
        <f>IF(AND(I84&gt;0,I83=0),'VALORES DE LIQUIDACIÓN'!A$4-'TABLA DE PAGOS'!J83,0)</f>
        <v>0</v>
      </c>
      <c r="K84" s="8">
        <f>IF(AND(AND('TABLA DE PAGOS'!J83&lt;='VALORES DE LIQUIDACIÓN'!A$4,'TABLA DE PAGOS'!J84&gt;='VALORES DE LIQUIDACIÓN'!A$4),'TABLA DE PAGOS'!K84='TABLA DE PAGOS'!A$10),'TABLA DE PAGOS'!C83,IF(AND('TABLA DE PAGOS'!K84='TABLA DE PAGOS'!A$10,'TABLA DE PAGOS'!K85='TABLA DE PAGOS'!A$9),'TABLA DE PAGOS'!C84,IF(AND('TABLA DE PAGOS'!K84='TABLA DE PAGOS'!A$11,'TABLA DE PAGOS'!K85='TABLA DE PAGOS'!A$9),'TABLA DE PAGOS'!C83,0)))</f>
        <v>0</v>
      </c>
      <c r="L84" s="14"/>
      <c r="M84" s="11">
        <f>IF(I84=0,IF('TABLA DE PAGOS'!J84&lt;='TABLA DE PAGOS'!A$4,0,IF('TABLA DE PAGOS'!K84='TABLA DE PAGOS'!A$9,'TABLA DE PAGOS'!F84,IF('TABLA DE PAGOS'!K84='TABLA DE PAGOS'!A$11,(INDEX(SALDOS!B$3:G$200,MATCH('TABLA DE PAGOS'!A$12,SALDOS!E$3:E$200,0),6))-(INDEX(SALDOS!B$3:H$200,MATCH('TABLA DE PAGOS'!A$12,SALDOS!E$3:E$200,0),7)),0))),0)</f>
        <v>0</v>
      </c>
      <c r="N84" s="11">
        <f>IF(AND(I84&gt;0,I83=0),J84*MAX(SALDOS!J$3:J$200),0)</f>
        <v>0</v>
      </c>
      <c r="P84" s="8">
        <f>IF(I84=0,IF('TABLA DE PAGOS'!J84&lt;='TABLA DE PAGOS'!A$4,0,IF('TABLA DE PAGOS'!K84='TABLA DE PAGOS'!A$9,'TABLA DE PAGOS'!E84,IF('TABLA DE PAGOS'!K84='TABLA DE PAGOS'!A$11,INDEX(SALDOS!B$3:G$200,MATCH('TABLA DE PAGOS'!A$13,SALDOS!E$3:E$200,0),6),0))),0)</f>
        <v>0</v>
      </c>
      <c r="Q84" s="8">
        <f>IF(AND(I84&gt;0,I83&gt;0),'TABLA DE PAGOS'!E84,0)</f>
        <v>1506.54</v>
      </c>
      <c r="R84" s="8">
        <f t="shared" si="3"/>
        <v>0</v>
      </c>
      <c r="T84" s="8">
        <f>IF(AND(I84&gt;0,I83=0),'TABLA DE PAGOS'!H84,0)</f>
        <v>0</v>
      </c>
      <c r="U84" s="8">
        <f>IF(AND('TABLA DE PAGOS'!K84='TABLA DE PAGOS'!A$11,VLOOKUP('TABLA DE PAGOS'!A$7,SALDOS!B$3:E$200,4)='TABLA DE PAGOS'!A$14),INDEX(SALDOS!B$3:G$200,MATCH('TABLA DE PAGOS'!A$14,SALDOS!E$3:E$200,0),6),IF(AND(P84&gt;0.001,M84&gt;0.001),'TABLA DE PAGOS'!H84,0))</f>
        <v>0</v>
      </c>
      <c r="W84" s="8">
        <f>IF(AND('TABLA DE PAGOS'!K84='TABLA DE PAGOS'!A$11,VLOOKUP('TABLA DE PAGOS'!A$7,SALDOS!B$3:E$200,4)='TABLA DE PAGOS'!A$16),INDEX(SALDOS!B$3:G$200,MATCH('TABLA DE PAGOS'!A$16,SALDOS!E$3:E$200,0),6),IF(AND(P84&gt;0.001,M84&gt;0.001),'TABLA DE PAGOS'!I84,0))</f>
        <v>0</v>
      </c>
    </row>
    <row r="85" spans="2:23">
      <c r="B85" s="33">
        <v>84</v>
      </c>
      <c r="C85" s="8">
        <f>IF('TABLA DE PAGOS'!K85='TABLA DE PAGOS'!A$12,0,IF('TABLA DE PAGOS'!K85='TABLA DE PAGOS'!A$11,'VALORES DE LIQUIDACIÓN'!A$4-'TABLA DE PAGOS'!M85,IF(AND('TABLA DE PAGOS'!J85&lt;'VALORES DE LIQUIDACIÓN'!A$4,'TABLA DE PAGOS'!K85='TABLA DE PAGOS'!A$9),'VALORES DE LIQUIDACIÓN'!A$4-'TABLA DE PAGOS'!J85,0)))</f>
        <v>0</v>
      </c>
      <c r="D85" s="8">
        <f>IF(P85&gt;0,'VALORES DE LIQUIDACIÓN'!A$4-'TABLA DE PAGOS'!J85,0)</f>
        <v>0</v>
      </c>
      <c r="E85" s="35">
        <f t="shared" si="2"/>
        <v>0</v>
      </c>
      <c r="F85" s="11">
        <f>IF(E85&gt;0,('DATOS GENERALES'!K$3+('DATOS GENERALES'!K$3*E85)),0)</f>
        <v>0</v>
      </c>
      <c r="G85" s="11">
        <f>IF(E85&gt;0,IF('TABLA DE PAGOS'!K85='TABLA DE PAGOS'!A$11,(P85*C85*F85)/36000,('TABLA DE PAGOS'!E85*C85*F85)/36000),0)</f>
        <v>0</v>
      </c>
      <c r="I85" s="8">
        <f>IF('TABLA DE PAGOS'!$J85&lt;='VALORES DE LIQUIDACIÓN'!A$4,0,'TABLA DE PAGOS'!$J85-'VALORES DE LIQUIDACIÓN'!A$4)</f>
        <v>2331</v>
      </c>
      <c r="J85" s="8">
        <f>IF(AND(I85&gt;0,I84=0),'VALORES DE LIQUIDACIÓN'!A$4-'TABLA DE PAGOS'!J84,0)</f>
        <v>0</v>
      </c>
      <c r="K85" s="8">
        <f>IF(AND(AND('TABLA DE PAGOS'!J84&lt;='VALORES DE LIQUIDACIÓN'!A$4,'TABLA DE PAGOS'!J85&gt;='VALORES DE LIQUIDACIÓN'!A$4),'TABLA DE PAGOS'!K85='TABLA DE PAGOS'!A$10),'TABLA DE PAGOS'!C84,IF(AND('TABLA DE PAGOS'!K85='TABLA DE PAGOS'!A$10,'TABLA DE PAGOS'!K86='TABLA DE PAGOS'!A$9),'TABLA DE PAGOS'!C85,IF(AND('TABLA DE PAGOS'!K85='TABLA DE PAGOS'!A$11,'TABLA DE PAGOS'!K86='TABLA DE PAGOS'!A$9),'TABLA DE PAGOS'!C84,0)))</f>
        <v>0</v>
      </c>
      <c r="L85" s="14"/>
      <c r="M85" s="11">
        <f>IF(I85=0,IF('TABLA DE PAGOS'!J85&lt;='TABLA DE PAGOS'!A$4,0,IF('TABLA DE PAGOS'!K85='TABLA DE PAGOS'!A$9,'TABLA DE PAGOS'!F85,IF('TABLA DE PAGOS'!K85='TABLA DE PAGOS'!A$11,(INDEX(SALDOS!B$3:G$200,MATCH('TABLA DE PAGOS'!A$12,SALDOS!E$3:E$200,0),6))-(INDEX(SALDOS!B$3:H$200,MATCH('TABLA DE PAGOS'!A$12,SALDOS!E$3:E$200,0),7)),0))),0)</f>
        <v>0</v>
      </c>
      <c r="N85" s="11">
        <f>IF(AND(I85&gt;0,I84=0),J85*MAX(SALDOS!J$3:J$200),0)</f>
        <v>0</v>
      </c>
      <c r="P85" s="8">
        <f>IF(I85=0,IF('TABLA DE PAGOS'!J85&lt;='TABLA DE PAGOS'!A$4,0,IF('TABLA DE PAGOS'!K85='TABLA DE PAGOS'!A$9,'TABLA DE PAGOS'!E85,IF('TABLA DE PAGOS'!K85='TABLA DE PAGOS'!A$11,INDEX(SALDOS!B$3:G$200,MATCH('TABLA DE PAGOS'!A$13,SALDOS!E$3:E$200,0),6),0))),0)</f>
        <v>0</v>
      </c>
      <c r="Q85" s="8">
        <f>IF(AND(I85&gt;0,I84&gt;0),'TABLA DE PAGOS'!E85,0)</f>
        <v>1520.54</v>
      </c>
      <c r="R85" s="8">
        <f t="shared" si="3"/>
        <v>0</v>
      </c>
      <c r="T85" s="8">
        <f>IF(AND(I85&gt;0,I84=0),'TABLA DE PAGOS'!H85,0)</f>
        <v>0</v>
      </c>
      <c r="U85" s="8">
        <f>IF(AND('TABLA DE PAGOS'!K85='TABLA DE PAGOS'!A$11,VLOOKUP('TABLA DE PAGOS'!A$7,SALDOS!B$3:E$200,4)='TABLA DE PAGOS'!A$14),INDEX(SALDOS!B$3:G$200,MATCH('TABLA DE PAGOS'!A$14,SALDOS!E$3:E$200,0),6),IF(AND(P85&gt;0.001,M85&gt;0.001),'TABLA DE PAGOS'!H85,0))</f>
        <v>0</v>
      </c>
      <c r="W85" s="8">
        <f>IF(AND('TABLA DE PAGOS'!K85='TABLA DE PAGOS'!A$11,VLOOKUP('TABLA DE PAGOS'!A$7,SALDOS!B$3:E$200,4)='TABLA DE PAGOS'!A$16),INDEX(SALDOS!B$3:G$200,MATCH('TABLA DE PAGOS'!A$16,SALDOS!E$3:E$200,0),6),IF(AND(P85&gt;0.001,M85&gt;0.001),'TABLA DE PAGOS'!I85,0))</f>
        <v>0</v>
      </c>
    </row>
    <row r="86" spans="2:23">
      <c r="B86" s="33">
        <v>85</v>
      </c>
      <c r="C86" s="8">
        <f>IF('TABLA DE PAGOS'!K86='TABLA DE PAGOS'!A$12,0,IF('TABLA DE PAGOS'!K86='TABLA DE PAGOS'!A$11,'VALORES DE LIQUIDACIÓN'!A$4-'TABLA DE PAGOS'!M86,IF(AND('TABLA DE PAGOS'!J86&lt;'VALORES DE LIQUIDACIÓN'!A$4,'TABLA DE PAGOS'!K86='TABLA DE PAGOS'!A$9),'VALORES DE LIQUIDACIÓN'!A$4-'TABLA DE PAGOS'!J86,0)))</f>
        <v>0</v>
      </c>
      <c r="D86" s="8">
        <f>IF(P86&gt;0,'VALORES DE LIQUIDACIÓN'!A$4-'TABLA DE PAGOS'!J86,0)</f>
        <v>0</v>
      </c>
      <c r="E86" s="35">
        <f t="shared" si="2"/>
        <v>0</v>
      </c>
      <c r="F86" s="11">
        <f>IF(E86&gt;0,('DATOS GENERALES'!K$3+('DATOS GENERALES'!K$3*E86)),0)</f>
        <v>0</v>
      </c>
      <c r="G86" s="11">
        <f>IF(E86&gt;0,IF('TABLA DE PAGOS'!K86='TABLA DE PAGOS'!A$11,(P86*C86*F86)/36000,('TABLA DE PAGOS'!E86*C86*F86)/36000),0)</f>
        <v>0</v>
      </c>
      <c r="I86" s="8">
        <f>IF('TABLA DE PAGOS'!$J86&lt;='VALORES DE LIQUIDACIÓN'!A$4,0,'TABLA DE PAGOS'!$J86-'VALORES DE LIQUIDACIÓN'!A$4)</f>
        <v>2361</v>
      </c>
      <c r="J86" s="8">
        <f>IF(AND(I86&gt;0,I85=0),'VALORES DE LIQUIDACIÓN'!A$4-'TABLA DE PAGOS'!J85,0)</f>
        <v>0</v>
      </c>
      <c r="K86" s="8">
        <f>IF(AND(AND('TABLA DE PAGOS'!J85&lt;='VALORES DE LIQUIDACIÓN'!A$4,'TABLA DE PAGOS'!J86&gt;='VALORES DE LIQUIDACIÓN'!A$4),'TABLA DE PAGOS'!K86='TABLA DE PAGOS'!A$10),'TABLA DE PAGOS'!C85,IF(AND('TABLA DE PAGOS'!K86='TABLA DE PAGOS'!A$10,'TABLA DE PAGOS'!K87='TABLA DE PAGOS'!A$9),'TABLA DE PAGOS'!C86,IF(AND('TABLA DE PAGOS'!K86='TABLA DE PAGOS'!A$11,'TABLA DE PAGOS'!K87='TABLA DE PAGOS'!A$9),'TABLA DE PAGOS'!C85,0)))</f>
        <v>0</v>
      </c>
      <c r="L86" s="14"/>
      <c r="M86" s="11">
        <f>IF(I86=0,IF('TABLA DE PAGOS'!J86&lt;='TABLA DE PAGOS'!A$4,0,IF('TABLA DE PAGOS'!K86='TABLA DE PAGOS'!A$9,'TABLA DE PAGOS'!F86,IF('TABLA DE PAGOS'!K86='TABLA DE PAGOS'!A$11,(INDEX(SALDOS!B$3:G$200,MATCH('TABLA DE PAGOS'!A$12,SALDOS!E$3:E$200,0),6))-(INDEX(SALDOS!B$3:H$200,MATCH('TABLA DE PAGOS'!A$12,SALDOS!E$3:E$200,0),7)),0))),0)</f>
        <v>0</v>
      </c>
      <c r="N86" s="11">
        <f>IF(AND(I86&gt;0,I85=0),J86*MAX(SALDOS!J$3:J$200),0)</f>
        <v>0</v>
      </c>
      <c r="P86" s="8">
        <f>IF(I86=0,IF('TABLA DE PAGOS'!J86&lt;='TABLA DE PAGOS'!A$4,0,IF('TABLA DE PAGOS'!K86='TABLA DE PAGOS'!A$9,'TABLA DE PAGOS'!E86,IF('TABLA DE PAGOS'!K86='TABLA DE PAGOS'!A$11,INDEX(SALDOS!B$3:G$200,MATCH('TABLA DE PAGOS'!A$13,SALDOS!E$3:E$200,0),6),0))),0)</f>
        <v>0</v>
      </c>
      <c r="Q86" s="8">
        <f>IF(AND(I86&gt;0,I85&gt;0),'TABLA DE PAGOS'!E86,0)</f>
        <v>1582.03</v>
      </c>
      <c r="R86" s="8">
        <f t="shared" si="3"/>
        <v>0</v>
      </c>
      <c r="T86" s="8">
        <f>IF(AND(I86&gt;0,I85=0),'TABLA DE PAGOS'!H86,0)</f>
        <v>0</v>
      </c>
      <c r="U86" s="8">
        <f>IF(AND('TABLA DE PAGOS'!K86='TABLA DE PAGOS'!A$11,VLOOKUP('TABLA DE PAGOS'!A$7,SALDOS!B$3:E$200,4)='TABLA DE PAGOS'!A$14),INDEX(SALDOS!B$3:G$200,MATCH('TABLA DE PAGOS'!A$14,SALDOS!E$3:E$200,0),6),IF(AND(P86&gt;0.001,M86&gt;0.001),'TABLA DE PAGOS'!H86,0))</f>
        <v>0</v>
      </c>
      <c r="W86" s="8">
        <f>IF(AND('TABLA DE PAGOS'!K86='TABLA DE PAGOS'!A$11,VLOOKUP('TABLA DE PAGOS'!A$7,SALDOS!B$3:E$200,4)='TABLA DE PAGOS'!A$16),INDEX(SALDOS!B$3:G$200,MATCH('TABLA DE PAGOS'!A$16,SALDOS!E$3:E$200,0),6),IF(AND(P86&gt;0.001,M86&gt;0.001),'TABLA DE PAGOS'!I86,0))</f>
        <v>0</v>
      </c>
    </row>
    <row r="87" spans="2:23">
      <c r="B87" s="33">
        <v>86</v>
      </c>
      <c r="C87" s="8">
        <f>IF('TABLA DE PAGOS'!K87='TABLA DE PAGOS'!A$12,0,IF('TABLA DE PAGOS'!K87='TABLA DE PAGOS'!A$11,'VALORES DE LIQUIDACIÓN'!A$4-'TABLA DE PAGOS'!M87,IF(AND('TABLA DE PAGOS'!J87&lt;'VALORES DE LIQUIDACIÓN'!A$4,'TABLA DE PAGOS'!K87='TABLA DE PAGOS'!A$9),'VALORES DE LIQUIDACIÓN'!A$4-'TABLA DE PAGOS'!J87,0)))</f>
        <v>0</v>
      </c>
      <c r="D87" s="8">
        <f>IF(P87&gt;0,'VALORES DE LIQUIDACIÓN'!A$4-'TABLA DE PAGOS'!J87,0)</f>
        <v>0</v>
      </c>
      <c r="E87" s="35">
        <f t="shared" si="2"/>
        <v>0</v>
      </c>
      <c r="F87" s="11">
        <f>IF(E87&gt;0,('DATOS GENERALES'!K$3+('DATOS GENERALES'!K$3*E87)),0)</f>
        <v>0</v>
      </c>
      <c r="G87" s="11">
        <f>IF(E87&gt;0,IF('TABLA DE PAGOS'!K87='TABLA DE PAGOS'!A$11,(P87*C87*F87)/36000,('TABLA DE PAGOS'!E87*C87*F87)/36000),0)</f>
        <v>0</v>
      </c>
      <c r="I87" s="8">
        <f>IF('TABLA DE PAGOS'!$J87&lt;='VALORES DE LIQUIDACIÓN'!A$4,0,'TABLA DE PAGOS'!$J87-'VALORES DE LIQUIDACIÓN'!A$4)</f>
        <v>2394</v>
      </c>
      <c r="J87" s="8">
        <f>IF(AND(I87&gt;0,I86=0),'VALORES DE LIQUIDACIÓN'!A$4-'TABLA DE PAGOS'!J86,0)</f>
        <v>0</v>
      </c>
      <c r="K87" s="8">
        <f>IF(AND(AND('TABLA DE PAGOS'!J86&lt;='VALORES DE LIQUIDACIÓN'!A$4,'TABLA DE PAGOS'!J87&gt;='VALORES DE LIQUIDACIÓN'!A$4),'TABLA DE PAGOS'!K87='TABLA DE PAGOS'!A$10),'TABLA DE PAGOS'!C86,IF(AND('TABLA DE PAGOS'!K87='TABLA DE PAGOS'!A$10,'TABLA DE PAGOS'!K88='TABLA DE PAGOS'!A$9),'TABLA DE PAGOS'!C87,IF(AND('TABLA DE PAGOS'!K87='TABLA DE PAGOS'!A$11,'TABLA DE PAGOS'!K88='TABLA DE PAGOS'!A$9),'TABLA DE PAGOS'!C86,0)))</f>
        <v>0</v>
      </c>
      <c r="L87" s="14"/>
      <c r="M87" s="11">
        <f>IF(I87=0,IF('TABLA DE PAGOS'!J87&lt;='TABLA DE PAGOS'!A$4,0,IF('TABLA DE PAGOS'!K87='TABLA DE PAGOS'!A$9,'TABLA DE PAGOS'!F87,IF('TABLA DE PAGOS'!K87='TABLA DE PAGOS'!A$11,(INDEX(SALDOS!B$3:G$200,MATCH('TABLA DE PAGOS'!A$12,SALDOS!E$3:E$200,0),6))-(INDEX(SALDOS!B$3:H$200,MATCH('TABLA DE PAGOS'!A$12,SALDOS!E$3:E$200,0),7)),0))),0)</f>
        <v>0</v>
      </c>
      <c r="N87" s="11">
        <f>IF(AND(I87&gt;0,I86=0),J87*MAX(SALDOS!J$3:J$200),0)</f>
        <v>0</v>
      </c>
      <c r="P87" s="8">
        <f>IF(I87=0,IF('TABLA DE PAGOS'!J87&lt;='TABLA DE PAGOS'!A$4,0,IF('TABLA DE PAGOS'!K87='TABLA DE PAGOS'!A$9,'TABLA DE PAGOS'!E87,IF('TABLA DE PAGOS'!K87='TABLA DE PAGOS'!A$11,INDEX(SALDOS!B$3:G$200,MATCH('TABLA DE PAGOS'!A$13,SALDOS!E$3:E$200,0),6),0))),0)</f>
        <v>0</v>
      </c>
      <c r="Q87" s="8">
        <f>IF(AND(I87&gt;0,I86&gt;0),'TABLA DE PAGOS'!E87,0)</f>
        <v>1455.6</v>
      </c>
      <c r="R87" s="8">
        <f t="shared" si="3"/>
        <v>0</v>
      </c>
      <c r="T87" s="8">
        <f>IF(AND(I87&gt;0,I86=0),'TABLA DE PAGOS'!H87,0)</f>
        <v>0</v>
      </c>
      <c r="U87" s="8">
        <f>IF(AND('TABLA DE PAGOS'!K87='TABLA DE PAGOS'!A$11,VLOOKUP('TABLA DE PAGOS'!A$7,SALDOS!B$3:E$200,4)='TABLA DE PAGOS'!A$14),INDEX(SALDOS!B$3:G$200,MATCH('TABLA DE PAGOS'!A$14,SALDOS!E$3:E$200,0),6),IF(AND(P87&gt;0.001,M87&gt;0.001),'TABLA DE PAGOS'!H87,0))</f>
        <v>0</v>
      </c>
      <c r="W87" s="8">
        <f>IF(AND('TABLA DE PAGOS'!K87='TABLA DE PAGOS'!A$11,VLOOKUP('TABLA DE PAGOS'!A$7,SALDOS!B$3:E$200,4)='TABLA DE PAGOS'!A$16),INDEX(SALDOS!B$3:G$200,MATCH('TABLA DE PAGOS'!A$16,SALDOS!E$3:E$200,0),6),IF(AND(P87&gt;0.001,M87&gt;0.001),'TABLA DE PAGOS'!I87,0))</f>
        <v>0</v>
      </c>
    </row>
    <row r="88" spans="2:23">
      <c r="B88" s="33">
        <v>87</v>
      </c>
      <c r="C88" s="8">
        <f>IF('TABLA DE PAGOS'!K88='TABLA DE PAGOS'!A$12,0,IF('TABLA DE PAGOS'!K88='TABLA DE PAGOS'!A$11,'VALORES DE LIQUIDACIÓN'!A$4-'TABLA DE PAGOS'!M88,IF(AND('TABLA DE PAGOS'!J88&lt;'VALORES DE LIQUIDACIÓN'!A$4,'TABLA DE PAGOS'!K88='TABLA DE PAGOS'!A$9),'VALORES DE LIQUIDACIÓN'!A$4-'TABLA DE PAGOS'!J88,0)))</f>
        <v>0</v>
      </c>
      <c r="D88" s="8">
        <f>IF(P88&gt;0,'VALORES DE LIQUIDACIÓN'!A$4-'TABLA DE PAGOS'!J88,0)</f>
        <v>0</v>
      </c>
      <c r="E88" s="35">
        <f t="shared" si="2"/>
        <v>0</v>
      </c>
      <c r="F88" s="11">
        <f>IF(E88&gt;0,('DATOS GENERALES'!K$3+('DATOS GENERALES'!K$3*E88)),0)</f>
        <v>0</v>
      </c>
      <c r="G88" s="11">
        <f>IF(E88&gt;0,IF('TABLA DE PAGOS'!K88='TABLA DE PAGOS'!A$11,(P88*C88*F88)/36000,('TABLA DE PAGOS'!E88*C88*F88)/36000),0)</f>
        <v>0</v>
      </c>
      <c r="I88" s="8">
        <f>IF('TABLA DE PAGOS'!$J88&lt;='VALORES DE LIQUIDACIÓN'!A$4,0,'TABLA DE PAGOS'!$J88-'VALORES DE LIQUIDACIÓN'!A$4)</f>
        <v>2422</v>
      </c>
      <c r="J88" s="8">
        <f>IF(AND(I88&gt;0,I87=0),'VALORES DE LIQUIDACIÓN'!A$4-'TABLA DE PAGOS'!J87,0)</f>
        <v>0</v>
      </c>
      <c r="K88" s="8">
        <f>IF(AND(AND('TABLA DE PAGOS'!J87&lt;='VALORES DE LIQUIDACIÓN'!A$4,'TABLA DE PAGOS'!J88&gt;='VALORES DE LIQUIDACIÓN'!A$4),'TABLA DE PAGOS'!K88='TABLA DE PAGOS'!A$10),'TABLA DE PAGOS'!C87,IF(AND('TABLA DE PAGOS'!K88='TABLA DE PAGOS'!A$10,'TABLA DE PAGOS'!K89='TABLA DE PAGOS'!A$9),'TABLA DE PAGOS'!C88,IF(AND('TABLA DE PAGOS'!K88='TABLA DE PAGOS'!A$11,'TABLA DE PAGOS'!K89='TABLA DE PAGOS'!A$9),'TABLA DE PAGOS'!C87,0)))</f>
        <v>0</v>
      </c>
      <c r="L88" s="14"/>
      <c r="M88" s="11">
        <f>IF(I88=0,IF('TABLA DE PAGOS'!J88&lt;='TABLA DE PAGOS'!A$4,0,IF('TABLA DE PAGOS'!K88='TABLA DE PAGOS'!A$9,'TABLA DE PAGOS'!F88,IF('TABLA DE PAGOS'!K88='TABLA DE PAGOS'!A$11,(INDEX(SALDOS!B$3:G$200,MATCH('TABLA DE PAGOS'!A$12,SALDOS!E$3:E$200,0),6))-(INDEX(SALDOS!B$3:H$200,MATCH('TABLA DE PAGOS'!A$12,SALDOS!E$3:E$200,0),7)),0))),0)</f>
        <v>0</v>
      </c>
      <c r="N88" s="11">
        <f>IF(AND(I88&gt;0,I87=0),J88*MAX(SALDOS!J$3:J$200),0)</f>
        <v>0</v>
      </c>
      <c r="P88" s="8">
        <f>IF(I88=0,IF('TABLA DE PAGOS'!J88&lt;='TABLA DE PAGOS'!A$4,0,IF('TABLA DE PAGOS'!K88='TABLA DE PAGOS'!A$9,'TABLA DE PAGOS'!E88,IF('TABLA DE PAGOS'!K88='TABLA DE PAGOS'!A$11,INDEX(SALDOS!B$3:G$200,MATCH('TABLA DE PAGOS'!A$13,SALDOS!E$3:E$200,0),6),0))),0)</f>
        <v>0</v>
      </c>
      <c r="Q88" s="8">
        <f>IF(AND(I88&gt;0,I87&gt;0),'TABLA DE PAGOS'!E88,0)</f>
        <v>1702.24</v>
      </c>
      <c r="R88" s="8">
        <f t="shared" si="3"/>
        <v>0</v>
      </c>
      <c r="T88" s="8">
        <f>IF(AND(I88&gt;0,I87=0),'TABLA DE PAGOS'!H88,0)</f>
        <v>0</v>
      </c>
      <c r="U88" s="8">
        <f>IF(AND('TABLA DE PAGOS'!K88='TABLA DE PAGOS'!A$11,VLOOKUP('TABLA DE PAGOS'!A$7,SALDOS!B$3:E$200,4)='TABLA DE PAGOS'!A$14),INDEX(SALDOS!B$3:G$200,MATCH('TABLA DE PAGOS'!A$14,SALDOS!E$3:E$200,0),6),IF(AND(P88&gt;0.001,M88&gt;0.001),'TABLA DE PAGOS'!H88,0))</f>
        <v>0</v>
      </c>
      <c r="W88" s="8">
        <f>IF(AND('TABLA DE PAGOS'!K88='TABLA DE PAGOS'!A$11,VLOOKUP('TABLA DE PAGOS'!A$7,SALDOS!B$3:E$200,4)='TABLA DE PAGOS'!A$16),INDEX(SALDOS!B$3:G$200,MATCH('TABLA DE PAGOS'!A$16,SALDOS!E$3:E$200,0),6),IF(AND(P88&gt;0.001,M88&gt;0.001),'TABLA DE PAGOS'!I88,0))</f>
        <v>0</v>
      </c>
    </row>
    <row r="89" spans="2:23">
      <c r="B89" s="33">
        <v>88</v>
      </c>
      <c r="C89" s="8">
        <f>IF('TABLA DE PAGOS'!K89='TABLA DE PAGOS'!A$12,0,IF('TABLA DE PAGOS'!K89='TABLA DE PAGOS'!A$11,'VALORES DE LIQUIDACIÓN'!A$4-'TABLA DE PAGOS'!M89,IF(AND('TABLA DE PAGOS'!J89&lt;'VALORES DE LIQUIDACIÓN'!A$4,'TABLA DE PAGOS'!K89='TABLA DE PAGOS'!A$9),'VALORES DE LIQUIDACIÓN'!A$4-'TABLA DE PAGOS'!J89,0)))</f>
        <v>0</v>
      </c>
      <c r="D89" s="8">
        <f>IF(P89&gt;0,'VALORES DE LIQUIDACIÓN'!A$4-'TABLA DE PAGOS'!J89,0)</f>
        <v>0</v>
      </c>
      <c r="E89" s="35">
        <f t="shared" si="2"/>
        <v>0</v>
      </c>
      <c r="F89" s="11">
        <f>IF(E89&gt;0,('DATOS GENERALES'!K$3+('DATOS GENERALES'!K$3*E89)),0)</f>
        <v>0</v>
      </c>
      <c r="G89" s="11">
        <f>IF(E89&gt;0,IF('TABLA DE PAGOS'!K89='TABLA DE PAGOS'!A$11,(P89*C89*F89)/36000,('TABLA DE PAGOS'!E89*C89*F89)/36000),0)</f>
        <v>0</v>
      </c>
      <c r="I89" s="8">
        <f>IF('TABLA DE PAGOS'!$J89&lt;='VALORES DE LIQUIDACIÓN'!A$4,0,'TABLA DE PAGOS'!$J89-'VALORES DE LIQUIDACIÓN'!A$4)</f>
        <v>2453</v>
      </c>
      <c r="J89" s="8">
        <f>IF(AND(I89&gt;0,I88=0),'VALORES DE LIQUIDACIÓN'!A$4-'TABLA DE PAGOS'!J88,0)</f>
        <v>0</v>
      </c>
      <c r="K89" s="8">
        <f>IF(AND(AND('TABLA DE PAGOS'!J88&lt;='VALORES DE LIQUIDACIÓN'!A$4,'TABLA DE PAGOS'!J89&gt;='VALORES DE LIQUIDACIÓN'!A$4),'TABLA DE PAGOS'!K89='TABLA DE PAGOS'!A$10),'TABLA DE PAGOS'!C88,IF(AND('TABLA DE PAGOS'!K89='TABLA DE PAGOS'!A$10,'TABLA DE PAGOS'!K90='TABLA DE PAGOS'!A$9),'TABLA DE PAGOS'!C89,IF(AND('TABLA DE PAGOS'!K89='TABLA DE PAGOS'!A$11,'TABLA DE PAGOS'!K90='TABLA DE PAGOS'!A$9),'TABLA DE PAGOS'!C88,0)))</f>
        <v>0</v>
      </c>
      <c r="L89" s="14"/>
      <c r="M89" s="11">
        <f>IF(I89=0,IF('TABLA DE PAGOS'!J89&lt;='TABLA DE PAGOS'!A$4,0,IF('TABLA DE PAGOS'!K89='TABLA DE PAGOS'!A$9,'TABLA DE PAGOS'!F89,IF('TABLA DE PAGOS'!K89='TABLA DE PAGOS'!A$11,(INDEX(SALDOS!B$3:G$200,MATCH('TABLA DE PAGOS'!A$12,SALDOS!E$3:E$200,0),6))-(INDEX(SALDOS!B$3:H$200,MATCH('TABLA DE PAGOS'!A$12,SALDOS!E$3:E$200,0),7)),0))),0)</f>
        <v>0</v>
      </c>
      <c r="N89" s="11">
        <f>IF(AND(I89&gt;0,I88=0),J89*MAX(SALDOS!J$3:J$200),0)</f>
        <v>0</v>
      </c>
      <c r="P89" s="8">
        <f>IF(I89=0,IF('TABLA DE PAGOS'!J89&lt;='TABLA DE PAGOS'!A$4,0,IF('TABLA DE PAGOS'!K89='TABLA DE PAGOS'!A$9,'TABLA DE PAGOS'!E89,IF('TABLA DE PAGOS'!K89='TABLA DE PAGOS'!A$11,INDEX(SALDOS!B$3:G$200,MATCH('TABLA DE PAGOS'!A$13,SALDOS!E$3:E$200,0),6),0))),0)</f>
        <v>0</v>
      </c>
      <c r="Q89" s="8">
        <f>IF(AND(I89&gt;0,I88&gt;0),'TABLA DE PAGOS'!E89,0)</f>
        <v>1578.72</v>
      </c>
      <c r="R89" s="8">
        <f t="shared" si="3"/>
        <v>0</v>
      </c>
      <c r="T89" s="8">
        <f>IF(AND(I89&gt;0,I88=0),'TABLA DE PAGOS'!H89,0)</f>
        <v>0</v>
      </c>
      <c r="U89" s="8">
        <f>IF(AND('TABLA DE PAGOS'!K89='TABLA DE PAGOS'!A$11,VLOOKUP('TABLA DE PAGOS'!A$7,SALDOS!B$3:E$200,4)='TABLA DE PAGOS'!A$14),INDEX(SALDOS!B$3:G$200,MATCH('TABLA DE PAGOS'!A$14,SALDOS!E$3:E$200,0),6),IF(AND(P89&gt;0.001,M89&gt;0.001),'TABLA DE PAGOS'!H89,0))</f>
        <v>0</v>
      </c>
      <c r="W89" s="8">
        <f>IF(AND('TABLA DE PAGOS'!K89='TABLA DE PAGOS'!A$11,VLOOKUP('TABLA DE PAGOS'!A$7,SALDOS!B$3:E$200,4)='TABLA DE PAGOS'!A$16),INDEX(SALDOS!B$3:G$200,MATCH('TABLA DE PAGOS'!A$16,SALDOS!E$3:E$200,0),6),IF(AND(P89&gt;0.001,M89&gt;0.001),'TABLA DE PAGOS'!I89,0))</f>
        <v>0</v>
      </c>
    </row>
    <row r="90" spans="2:23">
      <c r="B90" s="33">
        <v>89</v>
      </c>
      <c r="C90" s="8">
        <f>IF('TABLA DE PAGOS'!K90='TABLA DE PAGOS'!A$12,0,IF('TABLA DE PAGOS'!K90='TABLA DE PAGOS'!A$11,'VALORES DE LIQUIDACIÓN'!A$4-'TABLA DE PAGOS'!M90,IF(AND('TABLA DE PAGOS'!J90&lt;'VALORES DE LIQUIDACIÓN'!A$4,'TABLA DE PAGOS'!K90='TABLA DE PAGOS'!A$9),'VALORES DE LIQUIDACIÓN'!A$4-'TABLA DE PAGOS'!J90,0)))</f>
        <v>0</v>
      </c>
      <c r="D90" s="8">
        <f>IF(P90&gt;0,'VALORES DE LIQUIDACIÓN'!A$4-'TABLA DE PAGOS'!J90,0)</f>
        <v>0</v>
      </c>
      <c r="E90" s="35">
        <f t="shared" si="2"/>
        <v>0</v>
      </c>
      <c r="F90" s="11">
        <f>IF(E90&gt;0,('DATOS GENERALES'!K$3+('DATOS GENERALES'!K$3*E90)),0)</f>
        <v>0</v>
      </c>
      <c r="G90" s="11">
        <f>IF(E90&gt;0,IF('TABLA DE PAGOS'!K90='TABLA DE PAGOS'!A$11,(P90*C90*F90)/36000,('TABLA DE PAGOS'!E90*C90*F90)/36000),0)</f>
        <v>0</v>
      </c>
      <c r="I90" s="8">
        <f>IF('TABLA DE PAGOS'!$J90&lt;='VALORES DE LIQUIDACIÓN'!A$4,0,'TABLA DE PAGOS'!$J90-'VALORES DE LIQUIDACIÓN'!A$4)</f>
        <v>2485</v>
      </c>
      <c r="J90" s="8">
        <f>IF(AND(I90&gt;0,I89=0),'VALORES DE LIQUIDACIÓN'!A$4-'TABLA DE PAGOS'!J89,0)</f>
        <v>0</v>
      </c>
      <c r="K90" s="8">
        <f>IF(AND(AND('TABLA DE PAGOS'!J89&lt;='VALORES DE LIQUIDACIÓN'!A$4,'TABLA DE PAGOS'!J90&gt;='VALORES DE LIQUIDACIÓN'!A$4),'TABLA DE PAGOS'!K90='TABLA DE PAGOS'!A$10),'TABLA DE PAGOS'!C89,IF(AND('TABLA DE PAGOS'!K90='TABLA DE PAGOS'!A$10,'TABLA DE PAGOS'!K91='TABLA DE PAGOS'!A$9),'TABLA DE PAGOS'!C90,IF(AND('TABLA DE PAGOS'!K90='TABLA DE PAGOS'!A$11,'TABLA DE PAGOS'!K91='TABLA DE PAGOS'!A$9),'TABLA DE PAGOS'!C89,0)))</f>
        <v>0</v>
      </c>
      <c r="L90" s="14"/>
      <c r="M90" s="11">
        <f>IF(I90=0,IF('TABLA DE PAGOS'!J90&lt;='TABLA DE PAGOS'!A$4,0,IF('TABLA DE PAGOS'!K90='TABLA DE PAGOS'!A$9,'TABLA DE PAGOS'!F90,IF('TABLA DE PAGOS'!K90='TABLA DE PAGOS'!A$11,(INDEX(SALDOS!B$3:G$200,MATCH('TABLA DE PAGOS'!A$12,SALDOS!E$3:E$200,0),6))-(INDEX(SALDOS!B$3:H$200,MATCH('TABLA DE PAGOS'!A$12,SALDOS!E$3:E$200,0),7)),0))),0)</f>
        <v>0</v>
      </c>
      <c r="N90" s="11">
        <f>IF(AND(I90&gt;0,I89=0),J90*MAX(SALDOS!J$3:J$200),0)</f>
        <v>0</v>
      </c>
      <c r="P90" s="8">
        <f>IF(I90=0,IF('TABLA DE PAGOS'!J90&lt;='TABLA DE PAGOS'!A$4,0,IF('TABLA DE PAGOS'!K90='TABLA DE PAGOS'!A$9,'TABLA DE PAGOS'!E90,IF('TABLA DE PAGOS'!K90='TABLA DE PAGOS'!A$11,INDEX(SALDOS!B$3:G$200,MATCH('TABLA DE PAGOS'!A$13,SALDOS!E$3:E$200,0),6),0))),0)</f>
        <v>0</v>
      </c>
      <c r="Q90" s="8">
        <f>IF(AND(I90&gt;0,I89&gt;0),'TABLA DE PAGOS'!E90,0)</f>
        <v>1547.92</v>
      </c>
      <c r="R90" s="8">
        <f t="shared" si="3"/>
        <v>0</v>
      </c>
      <c r="T90" s="8">
        <f>IF(AND(I90&gt;0,I89=0),'TABLA DE PAGOS'!H90,0)</f>
        <v>0</v>
      </c>
      <c r="U90" s="8">
        <f>IF(AND('TABLA DE PAGOS'!K90='TABLA DE PAGOS'!A$11,VLOOKUP('TABLA DE PAGOS'!A$7,SALDOS!B$3:E$200,4)='TABLA DE PAGOS'!A$14),INDEX(SALDOS!B$3:G$200,MATCH('TABLA DE PAGOS'!A$14,SALDOS!E$3:E$200,0),6),IF(AND(P90&gt;0.001,M90&gt;0.001),'TABLA DE PAGOS'!H90,0))</f>
        <v>0</v>
      </c>
      <c r="W90" s="8">
        <f>IF(AND('TABLA DE PAGOS'!K90='TABLA DE PAGOS'!A$11,VLOOKUP('TABLA DE PAGOS'!A$7,SALDOS!B$3:E$200,4)='TABLA DE PAGOS'!A$16),INDEX(SALDOS!B$3:G$200,MATCH('TABLA DE PAGOS'!A$16,SALDOS!E$3:E$200,0),6),IF(AND(P90&gt;0.001,M90&gt;0.001),'TABLA DE PAGOS'!I90,0))</f>
        <v>0</v>
      </c>
    </row>
    <row r="91" spans="2:23">
      <c r="B91" s="33">
        <v>90</v>
      </c>
      <c r="C91" s="8">
        <f>IF('TABLA DE PAGOS'!K91='TABLA DE PAGOS'!A$12,0,IF('TABLA DE PAGOS'!K91='TABLA DE PAGOS'!A$11,'VALORES DE LIQUIDACIÓN'!A$4-'TABLA DE PAGOS'!M91,IF(AND('TABLA DE PAGOS'!J91&lt;'VALORES DE LIQUIDACIÓN'!A$4,'TABLA DE PAGOS'!K91='TABLA DE PAGOS'!A$9),'VALORES DE LIQUIDACIÓN'!A$4-'TABLA DE PAGOS'!J91,0)))</f>
        <v>0</v>
      </c>
      <c r="D91" s="8">
        <f>IF(P91&gt;0,'VALORES DE LIQUIDACIÓN'!A$4-'TABLA DE PAGOS'!J91,0)</f>
        <v>0</v>
      </c>
      <c r="E91" s="35">
        <f t="shared" si="2"/>
        <v>0</v>
      </c>
      <c r="F91" s="11">
        <f>IF(E91&gt;0,('DATOS GENERALES'!K$3+('DATOS GENERALES'!K$3*E91)),0)</f>
        <v>0</v>
      </c>
      <c r="G91" s="11">
        <f>IF(E91&gt;0,IF('TABLA DE PAGOS'!K91='TABLA DE PAGOS'!A$11,(P91*C91*F91)/36000,('TABLA DE PAGOS'!E91*C91*F91)/36000),0)</f>
        <v>0</v>
      </c>
      <c r="I91" s="8">
        <f>IF('TABLA DE PAGOS'!$J91&lt;='VALORES DE LIQUIDACIÓN'!A$4,0,'TABLA DE PAGOS'!$J91-'VALORES DE LIQUIDACIÓN'!A$4)</f>
        <v>2513</v>
      </c>
      <c r="J91" s="8">
        <f>IF(AND(I91&gt;0,I90=0),'VALORES DE LIQUIDACIÓN'!A$4-'TABLA DE PAGOS'!J90,0)</f>
        <v>0</v>
      </c>
      <c r="K91" s="8">
        <f>IF(AND(AND('TABLA DE PAGOS'!J90&lt;='VALORES DE LIQUIDACIÓN'!A$4,'TABLA DE PAGOS'!J91&gt;='VALORES DE LIQUIDACIÓN'!A$4),'TABLA DE PAGOS'!K91='TABLA DE PAGOS'!A$10),'TABLA DE PAGOS'!C90,IF(AND('TABLA DE PAGOS'!K91='TABLA DE PAGOS'!A$10,'TABLA DE PAGOS'!K92='TABLA DE PAGOS'!A$9),'TABLA DE PAGOS'!C91,IF(AND('TABLA DE PAGOS'!K91='TABLA DE PAGOS'!A$11,'TABLA DE PAGOS'!K92='TABLA DE PAGOS'!A$9),'TABLA DE PAGOS'!C90,0)))</f>
        <v>0</v>
      </c>
      <c r="L91" s="14"/>
      <c r="M91" s="11">
        <f>IF(I91=0,IF('TABLA DE PAGOS'!J91&lt;='TABLA DE PAGOS'!A$4,0,IF('TABLA DE PAGOS'!K91='TABLA DE PAGOS'!A$9,'TABLA DE PAGOS'!F91,IF('TABLA DE PAGOS'!K91='TABLA DE PAGOS'!A$11,(INDEX(SALDOS!B$3:G$200,MATCH('TABLA DE PAGOS'!A$12,SALDOS!E$3:E$200,0),6))-(INDEX(SALDOS!B$3:H$200,MATCH('TABLA DE PAGOS'!A$12,SALDOS!E$3:E$200,0),7)),0))),0)</f>
        <v>0</v>
      </c>
      <c r="N91" s="11">
        <f>IF(AND(I91&gt;0,I90=0),J91*MAX(SALDOS!J$3:J$200),0)</f>
        <v>0</v>
      </c>
      <c r="P91" s="8">
        <f>IF(I91=0,IF('TABLA DE PAGOS'!J91&lt;='TABLA DE PAGOS'!A$4,0,IF('TABLA DE PAGOS'!K91='TABLA DE PAGOS'!A$9,'TABLA DE PAGOS'!E91,IF('TABLA DE PAGOS'!K91='TABLA DE PAGOS'!A$11,INDEX(SALDOS!B$3:G$200,MATCH('TABLA DE PAGOS'!A$13,SALDOS!E$3:E$200,0),6),0))),0)</f>
        <v>0</v>
      </c>
      <c r="Q91" s="8">
        <f>IF(AND(I91&gt;0,I90&gt;0),'TABLA DE PAGOS'!E91,0)</f>
        <v>1742.78</v>
      </c>
      <c r="R91" s="8">
        <f t="shared" si="3"/>
        <v>0</v>
      </c>
      <c r="T91" s="8">
        <f>IF(AND(I91&gt;0,I90=0),'TABLA DE PAGOS'!H91,0)</f>
        <v>0</v>
      </c>
      <c r="U91" s="8">
        <f>IF(AND('TABLA DE PAGOS'!K91='TABLA DE PAGOS'!A$11,VLOOKUP('TABLA DE PAGOS'!A$7,SALDOS!B$3:E$200,4)='TABLA DE PAGOS'!A$14),INDEX(SALDOS!B$3:G$200,MATCH('TABLA DE PAGOS'!A$14,SALDOS!E$3:E$200,0),6),IF(AND(P91&gt;0.001,M91&gt;0.001),'TABLA DE PAGOS'!H91,0))</f>
        <v>0</v>
      </c>
      <c r="W91" s="8">
        <f>IF(AND('TABLA DE PAGOS'!K91='TABLA DE PAGOS'!A$11,VLOOKUP('TABLA DE PAGOS'!A$7,SALDOS!B$3:E$200,4)='TABLA DE PAGOS'!A$16),INDEX(SALDOS!B$3:G$200,MATCH('TABLA DE PAGOS'!A$16,SALDOS!E$3:E$200,0),6),IF(AND(P91&gt;0.001,M91&gt;0.001),'TABLA DE PAGOS'!I91,0))</f>
        <v>0</v>
      </c>
    </row>
    <row r="92" spans="2:23">
      <c r="B92" s="33">
        <v>91</v>
      </c>
      <c r="C92" s="8">
        <f>IF('TABLA DE PAGOS'!K92='TABLA DE PAGOS'!A$12,0,IF('TABLA DE PAGOS'!K92='TABLA DE PAGOS'!A$11,'VALORES DE LIQUIDACIÓN'!A$4-'TABLA DE PAGOS'!M92,IF(AND('TABLA DE PAGOS'!J92&lt;'VALORES DE LIQUIDACIÓN'!A$4,'TABLA DE PAGOS'!K92='TABLA DE PAGOS'!A$9),'VALORES DE LIQUIDACIÓN'!A$4-'TABLA DE PAGOS'!J92,0)))</f>
        <v>0</v>
      </c>
      <c r="D92" s="8">
        <f>IF(P92&gt;0,'VALORES DE LIQUIDACIÓN'!A$4-'TABLA DE PAGOS'!J92,0)</f>
        <v>0</v>
      </c>
      <c r="E92" s="35">
        <f t="shared" si="2"/>
        <v>0</v>
      </c>
      <c r="F92" s="11">
        <f>IF(E92&gt;0,('DATOS GENERALES'!K$3+('DATOS GENERALES'!K$3*E92)),0)</f>
        <v>0</v>
      </c>
      <c r="G92" s="11">
        <f>IF(E92&gt;0,IF('TABLA DE PAGOS'!K92='TABLA DE PAGOS'!A$11,(P92*C92*F92)/36000,('TABLA DE PAGOS'!E92*C92*F92)/36000),0)</f>
        <v>0</v>
      </c>
      <c r="I92" s="8">
        <f>IF('TABLA DE PAGOS'!$J92&lt;='VALORES DE LIQUIDACIÓN'!A$4,0,'TABLA DE PAGOS'!$J92-'VALORES DE LIQUIDACIÓN'!A$4)</f>
        <v>2543</v>
      </c>
      <c r="J92" s="8">
        <f>IF(AND(I92&gt;0,I91=0),'VALORES DE LIQUIDACIÓN'!A$4-'TABLA DE PAGOS'!J91,0)</f>
        <v>0</v>
      </c>
      <c r="K92" s="8">
        <f>IF(AND(AND('TABLA DE PAGOS'!J91&lt;='VALORES DE LIQUIDACIÓN'!A$4,'TABLA DE PAGOS'!J92&gt;='VALORES DE LIQUIDACIÓN'!A$4),'TABLA DE PAGOS'!K92='TABLA DE PAGOS'!A$10),'TABLA DE PAGOS'!C91,IF(AND('TABLA DE PAGOS'!K92='TABLA DE PAGOS'!A$10,'TABLA DE PAGOS'!K93='TABLA DE PAGOS'!A$9),'TABLA DE PAGOS'!C92,IF(AND('TABLA DE PAGOS'!K92='TABLA DE PAGOS'!A$11,'TABLA DE PAGOS'!K93='TABLA DE PAGOS'!A$9),'TABLA DE PAGOS'!C91,0)))</f>
        <v>0</v>
      </c>
      <c r="L92" s="14"/>
      <c r="M92" s="11">
        <f>IF(I92=0,IF('TABLA DE PAGOS'!J92&lt;='TABLA DE PAGOS'!A$4,0,IF('TABLA DE PAGOS'!K92='TABLA DE PAGOS'!A$9,'TABLA DE PAGOS'!F92,IF('TABLA DE PAGOS'!K92='TABLA DE PAGOS'!A$11,(INDEX(SALDOS!B$3:G$200,MATCH('TABLA DE PAGOS'!A$12,SALDOS!E$3:E$200,0),6))-(INDEX(SALDOS!B$3:H$200,MATCH('TABLA DE PAGOS'!A$12,SALDOS!E$3:E$200,0),7)),0))),0)</f>
        <v>0</v>
      </c>
      <c r="N92" s="11">
        <f>IF(AND(I92&gt;0,I91=0),J92*MAX(SALDOS!J$3:J$200),0)</f>
        <v>0</v>
      </c>
      <c r="P92" s="8">
        <f>IF(I92=0,IF('TABLA DE PAGOS'!J92&lt;='TABLA DE PAGOS'!A$4,0,IF('TABLA DE PAGOS'!K92='TABLA DE PAGOS'!A$9,'TABLA DE PAGOS'!E92,IF('TABLA DE PAGOS'!K92='TABLA DE PAGOS'!A$11,INDEX(SALDOS!B$3:G$200,MATCH('TABLA DE PAGOS'!A$13,SALDOS!E$3:E$200,0),6),0))),0)</f>
        <v>0</v>
      </c>
      <c r="Q92" s="8">
        <f>IF(AND(I92&gt;0,I91&gt;0),'TABLA DE PAGOS'!E92,0)</f>
        <v>1668.45</v>
      </c>
      <c r="R92" s="8">
        <f t="shared" si="3"/>
        <v>0</v>
      </c>
      <c r="T92" s="8">
        <f>IF(AND(I92&gt;0,I91=0),'TABLA DE PAGOS'!H92,0)</f>
        <v>0</v>
      </c>
      <c r="U92" s="8">
        <f>IF(AND('TABLA DE PAGOS'!K92='TABLA DE PAGOS'!A$11,VLOOKUP('TABLA DE PAGOS'!A$7,SALDOS!B$3:E$200,4)='TABLA DE PAGOS'!A$14),INDEX(SALDOS!B$3:G$200,MATCH('TABLA DE PAGOS'!A$14,SALDOS!E$3:E$200,0),6),IF(AND(P92&gt;0.001,M92&gt;0.001),'TABLA DE PAGOS'!H92,0))</f>
        <v>0</v>
      </c>
      <c r="W92" s="8">
        <f>IF(AND('TABLA DE PAGOS'!K92='TABLA DE PAGOS'!A$11,VLOOKUP('TABLA DE PAGOS'!A$7,SALDOS!B$3:E$200,4)='TABLA DE PAGOS'!A$16),INDEX(SALDOS!B$3:G$200,MATCH('TABLA DE PAGOS'!A$16,SALDOS!E$3:E$200,0),6),IF(AND(P92&gt;0.001,M92&gt;0.001),'TABLA DE PAGOS'!I92,0))</f>
        <v>0</v>
      </c>
    </row>
    <row r="93" spans="2:23">
      <c r="B93" s="33">
        <v>92</v>
      </c>
      <c r="C93" s="8">
        <f>IF('TABLA DE PAGOS'!K93='TABLA DE PAGOS'!A$12,0,IF('TABLA DE PAGOS'!K93='TABLA DE PAGOS'!A$11,'VALORES DE LIQUIDACIÓN'!A$4-'TABLA DE PAGOS'!M93,IF(AND('TABLA DE PAGOS'!J93&lt;'VALORES DE LIQUIDACIÓN'!A$4,'TABLA DE PAGOS'!K93='TABLA DE PAGOS'!A$9),'VALORES DE LIQUIDACIÓN'!A$4-'TABLA DE PAGOS'!J93,0)))</f>
        <v>0</v>
      </c>
      <c r="D93" s="8">
        <f>IF(P93&gt;0,'VALORES DE LIQUIDACIÓN'!A$4-'TABLA DE PAGOS'!J93,0)</f>
        <v>0</v>
      </c>
      <c r="E93" s="35">
        <f t="shared" si="2"/>
        <v>0</v>
      </c>
      <c r="F93" s="11">
        <f>IF(E93&gt;0,('DATOS GENERALES'!K$3+('DATOS GENERALES'!K$3*E93)),0)</f>
        <v>0</v>
      </c>
      <c r="G93" s="11">
        <f>IF(E93&gt;0,IF('TABLA DE PAGOS'!K93='TABLA DE PAGOS'!A$11,(P93*C93*F93)/36000,('TABLA DE PAGOS'!E93*C93*F93)/36000),0)</f>
        <v>0</v>
      </c>
      <c r="I93" s="8">
        <f>IF('TABLA DE PAGOS'!$J93&lt;='VALORES DE LIQUIDACIÓN'!A$4,0,'TABLA DE PAGOS'!$J93-'VALORES DE LIQUIDACIÓN'!A$4)</f>
        <v>2573</v>
      </c>
      <c r="J93" s="8">
        <f>IF(AND(I93&gt;0,I92=0),'VALORES DE LIQUIDACIÓN'!A$4-'TABLA DE PAGOS'!J92,0)</f>
        <v>0</v>
      </c>
      <c r="K93" s="8">
        <f>IF(AND(AND('TABLA DE PAGOS'!J92&lt;='VALORES DE LIQUIDACIÓN'!A$4,'TABLA DE PAGOS'!J93&gt;='VALORES DE LIQUIDACIÓN'!A$4),'TABLA DE PAGOS'!K93='TABLA DE PAGOS'!A$10),'TABLA DE PAGOS'!C92,IF(AND('TABLA DE PAGOS'!K93='TABLA DE PAGOS'!A$10,'TABLA DE PAGOS'!K94='TABLA DE PAGOS'!A$9),'TABLA DE PAGOS'!C93,IF(AND('TABLA DE PAGOS'!K93='TABLA DE PAGOS'!A$11,'TABLA DE PAGOS'!K94='TABLA DE PAGOS'!A$9),'TABLA DE PAGOS'!C92,0)))</f>
        <v>0</v>
      </c>
      <c r="L93" s="14"/>
      <c r="M93" s="11">
        <f>IF(I93=0,IF('TABLA DE PAGOS'!J93&lt;='TABLA DE PAGOS'!A$4,0,IF('TABLA DE PAGOS'!K93='TABLA DE PAGOS'!A$9,'TABLA DE PAGOS'!F93,IF('TABLA DE PAGOS'!K93='TABLA DE PAGOS'!A$11,(INDEX(SALDOS!B$3:G$200,MATCH('TABLA DE PAGOS'!A$12,SALDOS!E$3:E$200,0),6))-(INDEX(SALDOS!B$3:H$200,MATCH('TABLA DE PAGOS'!A$12,SALDOS!E$3:E$200,0),7)),0))),0)</f>
        <v>0</v>
      </c>
      <c r="N93" s="11">
        <f>IF(AND(I93&gt;0,I92=0),J93*MAX(SALDOS!J$3:J$200),0)</f>
        <v>0</v>
      </c>
      <c r="P93" s="8">
        <f>IF(I93=0,IF('TABLA DE PAGOS'!J93&lt;='TABLA DE PAGOS'!A$4,0,IF('TABLA DE PAGOS'!K93='TABLA DE PAGOS'!A$9,'TABLA DE PAGOS'!E93,IF('TABLA DE PAGOS'!K93='TABLA DE PAGOS'!A$11,INDEX(SALDOS!B$3:G$200,MATCH('TABLA DE PAGOS'!A$13,SALDOS!E$3:E$200,0),6),0))),0)</f>
        <v>0</v>
      </c>
      <c r="Q93" s="8">
        <f>IF(AND(I93&gt;0,I92&gt;0),'TABLA DE PAGOS'!E93,0)</f>
        <v>1683.44</v>
      </c>
      <c r="R93" s="8">
        <f t="shared" si="3"/>
        <v>0</v>
      </c>
      <c r="T93" s="8">
        <f>IF(AND(I93&gt;0,I92=0),'TABLA DE PAGOS'!H93,0)</f>
        <v>0</v>
      </c>
      <c r="U93" s="8">
        <f>IF(AND('TABLA DE PAGOS'!K93='TABLA DE PAGOS'!A$11,VLOOKUP('TABLA DE PAGOS'!A$7,SALDOS!B$3:E$200,4)='TABLA DE PAGOS'!A$14),INDEX(SALDOS!B$3:G$200,MATCH('TABLA DE PAGOS'!A$14,SALDOS!E$3:E$200,0),6),IF(AND(P93&gt;0.001,M93&gt;0.001),'TABLA DE PAGOS'!H93,0))</f>
        <v>0</v>
      </c>
      <c r="W93" s="8">
        <f>IF(AND('TABLA DE PAGOS'!K93='TABLA DE PAGOS'!A$11,VLOOKUP('TABLA DE PAGOS'!A$7,SALDOS!B$3:E$200,4)='TABLA DE PAGOS'!A$16),INDEX(SALDOS!B$3:G$200,MATCH('TABLA DE PAGOS'!A$16,SALDOS!E$3:E$200,0),6),IF(AND(P93&gt;0.001,M93&gt;0.001),'TABLA DE PAGOS'!I93,0))</f>
        <v>0</v>
      </c>
    </row>
    <row r="94" spans="2:23">
      <c r="B94" s="33">
        <v>93</v>
      </c>
      <c r="C94" s="8">
        <f>IF('TABLA DE PAGOS'!K94='TABLA DE PAGOS'!A$12,0,IF('TABLA DE PAGOS'!K94='TABLA DE PAGOS'!A$11,'VALORES DE LIQUIDACIÓN'!A$4-'TABLA DE PAGOS'!M94,IF(AND('TABLA DE PAGOS'!J94&lt;'VALORES DE LIQUIDACIÓN'!A$4,'TABLA DE PAGOS'!K94='TABLA DE PAGOS'!A$9),'VALORES DE LIQUIDACIÓN'!A$4-'TABLA DE PAGOS'!J94,0)))</f>
        <v>0</v>
      </c>
      <c r="D94" s="8">
        <f>IF(P94&gt;0,'VALORES DE LIQUIDACIÓN'!A$4-'TABLA DE PAGOS'!J94,0)</f>
        <v>0</v>
      </c>
      <c r="E94" s="35">
        <f t="shared" si="2"/>
        <v>0</v>
      </c>
      <c r="F94" s="11">
        <f>IF(E94&gt;0,('DATOS GENERALES'!K$3+('DATOS GENERALES'!K$3*E94)),0)</f>
        <v>0</v>
      </c>
      <c r="G94" s="11">
        <f>IF(E94&gt;0,IF('TABLA DE PAGOS'!K94='TABLA DE PAGOS'!A$11,(P94*C94*F94)/36000,('TABLA DE PAGOS'!E94*C94*F94)/36000),0)</f>
        <v>0</v>
      </c>
      <c r="I94" s="8">
        <f>IF('TABLA DE PAGOS'!$J94&lt;='VALORES DE LIQUIDACIÓN'!A$4,0,'TABLA DE PAGOS'!$J94-'VALORES DE LIQUIDACIÓN'!A$4)</f>
        <v>2604</v>
      </c>
      <c r="J94" s="8">
        <f>IF(AND(I94&gt;0,I93=0),'VALORES DE LIQUIDACIÓN'!A$4-'TABLA DE PAGOS'!J93,0)</f>
        <v>0</v>
      </c>
      <c r="K94" s="8">
        <f>IF(AND(AND('TABLA DE PAGOS'!J93&lt;='VALORES DE LIQUIDACIÓN'!A$4,'TABLA DE PAGOS'!J94&gt;='VALORES DE LIQUIDACIÓN'!A$4),'TABLA DE PAGOS'!K94='TABLA DE PAGOS'!A$10),'TABLA DE PAGOS'!C93,IF(AND('TABLA DE PAGOS'!K94='TABLA DE PAGOS'!A$10,'TABLA DE PAGOS'!K95='TABLA DE PAGOS'!A$9),'TABLA DE PAGOS'!C94,IF(AND('TABLA DE PAGOS'!K94='TABLA DE PAGOS'!A$11,'TABLA DE PAGOS'!K95='TABLA DE PAGOS'!A$9),'TABLA DE PAGOS'!C93,0)))</f>
        <v>0</v>
      </c>
      <c r="L94" s="14"/>
      <c r="M94" s="11">
        <f>IF(I94=0,IF('TABLA DE PAGOS'!J94&lt;='TABLA DE PAGOS'!A$4,0,IF('TABLA DE PAGOS'!K94='TABLA DE PAGOS'!A$9,'TABLA DE PAGOS'!F94,IF('TABLA DE PAGOS'!K94='TABLA DE PAGOS'!A$11,(INDEX(SALDOS!B$3:G$200,MATCH('TABLA DE PAGOS'!A$12,SALDOS!E$3:E$200,0),6))-(INDEX(SALDOS!B$3:H$200,MATCH('TABLA DE PAGOS'!A$12,SALDOS!E$3:E$200,0),7)),0))),0)</f>
        <v>0</v>
      </c>
      <c r="N94" s="11">
        <f>IF(AND(I94&gt;0,I93=0),J94*MAX(SALDOS!J$3:J$200),0)</f>
        <v>0</v>
      </c>
      <c r="P94" s="8">
        <f>IF(I94=0,IF('TABLA DE PAGOS'!J94&lt;='TABLA DE PAGOS'!A$4,0,IF('TABLA DE PAGOS'!K94='TABLA DE PAGOS'!A$9,'TABLA DE PAGOS'!E94,IF('TABLA DE PAGOS'!K94='TABLA DE PAGOS'!A$11,INDEX(SALDOS!B$3:G$200,MATCH('TABLA DE PAGOS'!A$13,SALDOS!E$3:E$200,0),6),0))),0)</f>
        <v>0</v>
      </c>
      <c r="Q94" s="8">
        <f>IF(AND(I94&gt;0,I93&gt;0),'TABLA DE PAGOS'!E94,0)</f>
        <v>1655.11</v>
      </c>
      <c r="R94" s="8">
        <f t="shared" si="3"/>
        <v>0</v>
      </c>
      <c r="T94" s="8">
        <f>IF(AND(I94&gt;0,I93=0),'TABLA DE PAGOS'!H94,0)</f>
        <v>0</v>
      </c>
      <c r="U94" s="8">
        <f>IF(AND('TABLA DE PAGOS'!K94='TABLA DE PAGOS'!A$11,VLOOKUP('TABLA DE PAGOS'!A$7,SALDOS!B$3:E$200,4)='TABLA DE PAGOS'!A$14),INDEX(SALDOS!B$3:G$200,MATCH('TABLA DE PAGOS'!A$14,SALDOS!E$3:E$200,0),6),IF(AND(P94&gt;0.001,M94&gt;0.001),'TABLA DE PAGOS'!H94,0))</f>
        <v>0</v>
      </c>
      <c r="W94" s="8">
        <f>IF(AND('TABLA DE PAGOS'!K94='TABLA DE PAGOS'!A$11,VLOOKUP('TABLA DE PAGOS'!A$7,SALDOS!B$3:E$200,4)='TABLA DE PAGOS'!A$16),INDEX(SALDOS!B$3:G$200,MATCH('TABLA DE PAGOS'!A$16,SALDOS!E$3:E$200,0),6),IF(AND(P94&gt;0.001,M94&gt;0.001),'TABLA DE PAGOS'!I94,0))</f>
        <v>0</v>
      </c>
    </row>
    <row r="95" spans="2:23">
      <c r="B95" s="33">
        <v>94</v>
      </c>
      <c r="C95" s="8">
        <f>IF('TABLA DE PAGOS'!K95='TABLA DE PAGOS'!A$12,0,IF('TABLA DE PAGOS'!K95='TABLA DE PAGOS'!A$11,'VALORES DE LIQUIDACIÓN'!A$4-'TABLA DE PAGOS'!M95,IF(AND('TABLA DE PAGOS'!J95&lt;'VALORES DE LIQUIDACIÓN'!A$4,'TABLA DE PAGOS'!K95='TABLA DE PAGOS'!A$9),'VALORES DE LIQUIDACIÓN'!A$4-'TABLA DE PAGOS'!J95,0)))</f>
        <v>0</v>
      </c>
      <c r="D95" s="8">
        <f>IF(P95&gt;0,'VALORES DE LIQUIDACIÓN'!A$4-'TABLA DE PAGOS'!J95,0)</f>
        <v>0</v>
      </c>
      <c r="E95" s="35">
        <f t="shared" si="2"/>
        <v>0</v>
      </c>
      <c r="F95" s="11">
        <f>IF(E95&gt;0,('DATOS GENERALES'!K$3+('DATOS GENERALES'!K$3*E95)),0)</f>
        <v>0</v>
      </c>
      <c r="G95" s="11">
        <f>IF(E95&gt;0,IF('TABLA DE PAGOS'!K95='TABLA DE PAGOS'!A$11,(P95*C95*F95)/36000,('TABLA DE PAGOS'!E95*C95*F95)/36000),0)</f>
        <v>0</v>
      </c>
      <c r="I95" s="8">
        <f>IF('TABLA DE PAGOS'!$J95&lt;='VALORES DE LIQUIDACIÓN'!A$4,0,'TABLA DE PAGOS'!$J95-'VALORES DE LIQUIDACIÓN'!A$4)</f>
        <v>2634</v>
      </c>
      <c r="J95" s="8">
        <f>IF(AND(I95&gt;0,I94=0),'VALORES DE LIQUIDACIÓN'!A$4-'TABLA DE PAGOS'!J94,0)</f>
        <v>0</v>
      </c>
      <c r="K95" s="8">
        <f>IF(AND(AND('TABLA DE PAGOS'!J94&lt;='VALORES DE LIQUIDACIÓN'!A$4,'TABLA DE PAGOS'!J95&gt;='VALORES DE LIQUIDACIÓN'!A$4),'TABLA DE PAGOS'!K95='TABLA DE PAGOS'!A$10),'TABLA DE PAGOS'!C94,IF(AND('TABLA DE PAGOS'!K95='TABLA DE PAGOS'!A$10,'TABLA DE PAGOS'!K96='TABLA DE PAGOS'!A$9),'TABLA DE PAGOS'!C95,IF(AND('TABLA DE PAGOS'!K95='TABLA DE PAGOS'!A$11,'TABLA DE PAGOS'!K96='TABLA DE PAGOS'!A$9),'TABLA DE PAGOS'!C94,0)))</f>
        <v>0</v>
      </c>
      <c r="L95" s="14"/>
      <c r="M95" s="11">
        <f>IF(I95=0,IF('TABLA DE PAGOS'!J95&lt;='TABLA DE PAGOS'!A$4,0,IF('TABLA DE PAGOS'!K95='TABLA DE PAGOS'!A$9,'TABLA DE PAGOS'!F95,IF('TABLA DE PAGOS'!K95='TABLA DE PAGOS'!A$11,(INDEX(SALDOS!B$3:G$200,MATCH('TABLA DE PAGOS'!A$12,SALDOS!E$3:E$200,0),6))-(INDEX(SALDOS!B$3:H$200,MATCH('TABLA DE PAGOS'!A$12,SALDOS!E$3:E$200,0),7)),0))),0)</f>
        <v>0</v>
      </c>
      <c r="N95" s="11">
        <f>IF(AND(I95&gt;0,I94=0),J95*MAX(SALDOS!J$3:J$200),0)</f>
        <v>0</v>
      </c>
      <c r="P95" s="8">
        <f>IF(I95=0,IF('TABLA DE PAGOS'!J95&lt;='TABLA DE PAGOS'!A$4,0,IF('TABLA DE PAGOS'!K95='TABLA DE PAGOS'!A$9,'TABLA DE PAGOS'!E95,IF('TABLA DE PAGOS'!K95='TABLA DE PAGOS'!A$11,INDEX(SALDOS!B$3:G$200,MATCH('TABLA DE PAGOS'!A$13,SALDOS!E$3:E$200,0),6),0))),0)</f>
        <v>0</v>
      </c>
      <c r="Q95" s="8">
        <f>IF(AND(I95&gt;0,I94&gt;0),'TABLA DE PAGOS'!E95,0)</f>
        <v>1713.47</v>
      </c>
      <c r="R95" s="8">
        <f t="shared" si="3"/>
        <v>0</v>
      </c>
      <c r="T95" s="8">
        <f>IF(AND(I95&gt;0,I94=0),'TABLA DE PAGOS'!H95,0)</f>
        <v>0</v>
      </c>
      <c r="U95" s="8">
        <f>IF(AND('TABLA DE PAGOS'!K95='TABLA DE PAGOS'!A$11,VLOOKUP('TABLA DE PAGOS'!A$7,SALDOS!B$3:E$200,4)='TABLA DE PAGOS'!A$14),INDEX(SALDOS!B$3:G$200,MATCH('TABLA DE PAGOS'!A$14,SALDOS!E$3:E$200,0),6),IF(AND(P95&gt;0.001,M95&gt;0.001),'TABLA DE PAGOS'!H95,0))</f>
        <v>0</v>
      </c>
      <c r="W95" s="8">
        <f>IF(AND('TABLA DE PAGOS'!K95='TABLA DE PAGOS'!A$11,VLOOKUP('TABLA DE PAGOS'!A$7,SALDOS!B$3:E$200,4)='TABLA DE PAGOS'!A$16),INDEX(SALDOS!B$3:G$200,MATCH('TABLA DE PAGOS'!A$16,SALDOS!E$3:E$200,0),6),IF(AND(P95&gt;0.001,M95&gt;0.001),'TABLA DE PAGOS'!I95,0))</f>
        <v>0</v>
      </c>
    </row>
    <row r="96" spans="2:23">
      <c r="B96" s="33">
        <v>95</v>
      </c>
      <c r="C96" s="8">
        <f>IF('TABLA DE PAGOS'!K96='TABLA DE PAGOS'!A$12,0,IF('TABLA DE PAGOS'!K96='TABLA DE PAGOS'!A$11,'VALORES DE LIQUIDACIÓN'!A$4-'TABLA DE PAGOS'!M96,IF(AND('TABLA DE PAGOS'!J96&lt;'VALORES DE LIQUIDACIÓN'!A$4,'TABLA DE PAGOS'!K96='TABLA DE PAGOS'!A$9),'VALORES DE LIQUIDACIÓN'!A$4-'TABLA DE PAGOS'!J96,0)))</f>
        <v>0</v>
      </c>
      <c r="D96" s="8">
        <f>IF(P96&gt;0,'VALORES DE LIQUIDACIÓN'!A$4-'TABLA DE PAGOS'!J96,0)</f>
        <v>0</v>
      </c>
      <c r="E96" s="35">
        <f t="shared" si="2"/>
        <v>0</v>
      </c>
      <c r="F96" s="11">
        <f>IF(E96&gt;0,('DATOS GENERALES'!K$3+('DATOS GENERALES'!K$3*E96)),0)</f>
        <v>0</v>
      </c>
      <c r="G96" s="11">
        <f>IF(E96&gt;0,IF('TABLA DE PAGOS'!K96='TABLA DE PAGOS'!A$11,(P96*C96*F96)/36000,('TABLA DE PAGOS'!E96*C96*F96)/36000),0)</f>
        <v>0</v>
      </c>
      <c r="I96" s="8">
        <f>IF('TABLA DE PAGOS'!$J96&lt;='VALORES DE LIQUIDACIÓN'!A$4,0,'TABLA DE PAGOS'!$J96-'VALORES DE LIQUIDACIÓN'!A$4)</f>
        <v>2667</v>
      </c>
      <c r="J96" s="8">
        <f>IF(AND(I96&gt;0,I95=0),'VALORES DE LIQUIDACIÓN'!A$4-'TABLA DE PAGOS'!J95,0)</f>
        <v>0</v>
      </c>
      <c r="K96" s="8">
        <f>IF(AND(AND('TABLA DE PAGOS'!J95&lt;='VALORES DE LIQUIDACIÓN'!A$4,'TABLA DE PAGOS'!J96&gt;='VALORES DE LIQUIDACIÓN'!A$4),'TABLA DE PAGOS'!K96='TABLA DE PAGOS'!A$10),'TABLA DE PAGOS'!C95,IF(AND('TABLA DE PAGOS'!K96='TABLA DE PAGOS'!A$10,'TABLA DE PAGOS'!K97='TABLA DE PAGOS'!A$9),'TABLA DE PAGOS'!C96,IF(AND('TABLA DE PAGOS'!K96='TABLA DE PAGOS'!A$11,'TABLA DE PAGOS'!K97='TABLA DE PAGOS'!A$9),'TABLA DE PAGOS'!C95,0)))</f>
        <v>0</v>
      </c>
      <c r="L96" s="14"/>
      <c r="M96" s="11">
        <f>IF(I96=0,IF('TABLA DE PAGOS'!J96&lt;='TABLA DE PAGOS'!A$4,0,IF('TABLA DE PAGOS'!K96='TABLA DE PAGOS'!A$9,'TABLA DE PAGOS'!F96,IF('TABLA DE PAGOS'!K96='TABLA DE PAGOS'!A$11,(INDEX(SALDOS!B$3:G$200,MATCH('TABLA DE PAGOS'!A$12,SALDOS!E$3:E$200,0),6))-(INDEX(SALDOS!B$3:H$200,MATCH('TABLA DE PAGOS'!A$12,SALDOS!E$3:E$200,0),7)),0))),0)</f>
        <v>0</v>
      </c>
      <c r="N96" s="11">
        <f>IF(AND(I96&gt;0,I95=0),J96*MAX(SALDOS!J$3:J$200),0)</f>
        <v>0</v>
      </c>
      <c r="P96" s="8">
        <f>IF(I96=0,IF('TABLA DE PAGOS'!J96&lt;='TABLA DE PAGOS'!A$4,0,IF('TABLA DE PAGOS'!K96='TABLA DE PAGOS'!A$9,'TABLA DE PAGOS'!E96,IF('TABLA DE PAGOS'!K96='TABLA DE PAGOS'!A$11,INDEX(SALDOS!B$3:G$200,MATCH('TABLA DE PAGOS'!A$13,SALDOS!E$3:E$200,0),6),0))),0)</f>
        <v>0</v>
      </c>
      <c r="Q96" s="8">
        <f>IF(AND(I96&gt;0,I95&gt;0),'TABLA DE PAGOS'!E96,0)</f>
        <v>1601.48</v>
      </c>
      <c r="R96" s="8">
        <f t="shared" si="3"/>
        <v>0</v>
      </c>
      <c r="T96" s="8">
        <f>IF(AND(I96&gt;0,I95=0),'TABLA DE PAGOS'!H96,0)</f>
        <v>0</v>
      </c>
      <c r="U96" s="8">
        <f>IF(AND('TABLA DE PAGOS'!K96='TABLA DE PAGOS'!A$11,VLOOKUP('TABLA DE PAGOS'!A$7,SALDOS!B$3:E$200,4)='TABLA DE PAGOS'!A$14),INDEX(SALDOS!B$3:G$200,MATCH('TABLA DE PAGOS'!A$14,SALDOS!E$3:E$200,0),6),IF(AND(P96&gt;0.001,M96&gt;0.001),'TABLA DE PAGOS'!H96,0))</f>
        <v>0</v>
      </c>
      <c r="W96" s="8">
        <f>IF(AND('TABLA DE PAGOS'!K96='TABLA DE PAGOS'!A$11,VLOOKUP('TABLA DE PAGOS'!A$7,SALDOS!B$3:E$200,4)='TABLA DE PAGOS'!A$16),INDEX(SALDOS!B$3:G$200,MATCH('TABLA DE PAGOS'!A$16,SALDOS!E$3:E$200,0),6),IF(AND(P96&gt;0.001,M96&gt;0.001),'TABLA DE PAGOS'!I96,0))</f>
        <v>0</v>
      </c>
    </row>
    <row r="97" spans="2:23">
      <c r="B97" s="33">
        <v>96</v>
      </c>
      <c r="C97" s="8">
        <f>IF('TABLA DE PAGOS'!K97='TABLA DE PAGOS'!A$12,0,IF('TABLA DE PAGOS'!K97='TABLA DE PAGOS'!A$11,'VALORES DE LIQUIDACIÓN'!A$4-'TABLA DE PAGOS'!M97,IF(AND('TABLA DE PAGOS'!J97&lt;'VALORES DE LIQUIDACIÓN'!A$4,'TABLA DE PAGOS'!K97='TABLA DE PAGOS'!A$9),'VALORES DE LIQUIDACIÓN'!A$4-'TABLA DE PAGOS'!J97,0)))</f>
        <v>0</v>
      </c>
      <c r="D97" s="8">
        <f>IF(P97&gt;0,'VALORES DE LIQUIDACIÓN'!A$4-'TABLA DE PAGOS'!J97,0)</f>
        <v>0</v>
      </c>
      <c r="E97" s="35">
        <f t="shared" si="2"/>
        <v>0</v>
      </c>
      <c r="F97" s="11">
        <f>IF(E97&gt;0,('DATOS GENERALES'!K$3+('DATOS GENERALES'!K$3*E97)),0)</f>
        <v>0</v>
      </c>
      <c r="G97" s="11">
        <f>IF(E97&gt;0,IF('TABLA DE PAGOS'!K97='TABLA DE PAGOS'!A$11,(P97*C97*F97)/36000,('TABLA DE PAGOS'!E97*C97*F97)/36000),0)</f>
        <v>0</v>
      </c>
      <c r="I97" s="8">
        <f>IF('TABLA DE PAGOS'!$J97&lt;='VALORES DE LIQUIDACIÓN'!A$4,0,'TABLA DE PAGOS'!$J97-'VALORES DE LIQUIDACIÓN'!A$4)</f>
        <v>2696</v>
      </c>
      <c r="J97" s="8">
        <f>IF(AND(I97&gt;0,I96=0),'VALORES DE LIQUIDACIÓN'!A$4-'TABLA DE PAGOS'!J96,0)</f>
        <v>0</v>
      </c>
      <c r="K97" s="8">
        <f>IF(AND(AND('TABLA DE PAGOS'!J96&lt;='VALORES DE LIQUIDACIÓN'!A$4,'TABLA DE PAGOS'!J97&gt;='VALORES DE LIQUIDACIÓN'!A$4),'TABLA DE PAGOS'!K97='TABLA DE PAGOS'!A$10),'TABLA DE PAGOS'!C96,IF(AND('TABLA DE PAGOS'!K97='TABLA DE PAGOS'!A$10,'TABLA DE PAGOS'!K98='TABLA DE PAGOS'!A$9),'TABLA DE PAGOS'!C97,IF(AND('TABLA DE PAGOS'!K97='TABLA DE PAGOS'!A$11,'TABLA DE PAGOS'!K98='TABLA DE PAGOS'!A$9),'TABLA DE PAGOS'!C96,0)))</f>
        <v>0</v>
      </c>
      <c r="L97" s="14"/>
      <c r="M97" s="11">
        <f>IF(I97=0,IF('TABLA DE PAGOS'!J97&lt;='TABLA DE PAGOS'!A$4,0,IF('TABLA DE PAGOS'!K97='TABLA DE PAGOS'!A$9,'TABLA DE PAGOS'!F97,IF('TABLA DE PAGOS'!K97='TABLA DE PAGOS'!A$11,(INDEX(SALDOS!B$3:G$200,MATCH('TABLA DE PAGOS'!A$12,SALDOS!E$3:E$200,0),6))-(INDEX(SALDOS!B$3:H$200,MATCH('TABLA DE PAGOS'!A$12,SALDOS!E$3:E$200,0),7)),0))),0)</f>
        <v>0</v>
      </c>
      <c r="N97" s="11">
        <f>IF(AND(I97&gt;0,I96=0),J97*MAX(SALDOS!J$3:J$200),0)</f>
        <v>0</v>
      </c>
      <c r="P97" s="8">
        <f>IF(I97=0,IF('TABLA DE PAGOS'!J97&lt;='TABLA DE PAGOS'!A$4,0,IF('TABLA DE PAGOS'!K97='TABLA DE PAGOS'!A$9,'TABLA DE PAGOS'!E97,IF('TABLA DE PAGOS'!K97='TABLA DE PAGOS'!A$11,INDEX(SALDOS!B$3:G$200,MATCH('TABLA DE PAGOS'!A$13,SALDOS!E$3:E$200,0),6),0))),0)</f>
        <v>0</v>
      </c>
      <c r="Q97" s="8">
        <f>IF(AND(I97&gt;0,I96&gt;0),'TABLA DE PAGOS'!E97,0)</f>
        <v>1785.26</v>
      </c>
      <c r="R97" s="8">
        <f t="shared" si="3"/>
        <v>0</v>
      </c>
      <c r="T97" s="8">
        <f>IF(AND(I97&gt;0,I96=0),'TABLA DE PAGOS'!H97,0)</f>
        <v>0</v>
      </c>
      <c r="U97" s="8">
        <f>IF(AND('TABLA DE PAGOS'!K97='TABLA DE PAGOS'!A$11,VLOOKUP('TABLA DE PAGOS'!A$7,SALDOS!B$3:E$200,4)='TABLA DE PAGOS'!A$14),INDEX(SALDOS!B$3:G$200,MATCH('TABLA DE PAGOS'!A$14,SALDOS!E$3:E$200,0),6),IF(AND(P97&gt;0.001,M97&gt;0.001),'TABLA DE PAGOS'!H97,0))</f>
        <v>0</v>
      </c>
      <c r="W97" s="8">
        <f>IF(AND('TABLA DE PAGOS'!K97='TABLA DE PAGOS'!A$11,VLOOKUP('TABLA DE PAGOS'!A$7,SALDOS!B$3:E$200,4)='TABLA DE PAGOS'!A$16),INDEX(SALDOS!B$3:G$200,MATCH('TABLA DE PAGOS'!A$16,SALDOS!E$3:E$200,0),6),IF(AND(P97&gt;0.001,M97&gt;0.001),'TABLA DE PAGOS'!I97,0))</f>
        <v>0</v>
      </c>
    </row>
    <row r="98" spans="2:23">
      <c r="B98" s="33">
        <v>97</v>
      </c>
      <c r="C98" s="8">
        <f>IF('TABLA DE PAGOS'!K98='TABLA DE PAGOS'!A$12,0,IF('TABLA DE PAGOS'!K98='TABLA DE PAGOS'!A$11,'VALORES DE LIQUIDACIÓN'!A$4-'TABLA DE PAGOS'!M98,IF(AND('TABLA DE PAGOS'!J98&lt;'VALORES DE LIQUIDACIÓN'!A$4,'TABLA DE PAGOS'!K98='TABLA DE PAGOS'!A$9),'VALORES DE LIQUIDACIÓN'!A$4-'TABLA DE PAGOS'!J98,0)))</f>
        <v>0</v>
      </c>
      <c r="D98" s="8">
        <f>IF(P98&gt;0,'VALORES DE LIQUIDACIÓN'!A$4-'TABLA DE PAGOS'!J98,0)</f>
        <v>0</v>
      </c>
      <c r="E98" s="35">
        <f t="shared" si="2"/>
        <v>0</v>
      </c>
      <c r="F98" s="11">
        <f>IF(E98&gt;0,('DATOS GENERALES'!K$3+('DATOS GENERALES'!K$3*E98)),0)</f>
        <v>0</v>
      </c>
      <c r="G98" s="11">
        <f>IF(E98&gt;0,IF('TABLA DE PAGOS'!K98='TABLA DE PAGOS'!A$11,(P98*C98*F98)/36000,('TABLA DE PAGOS'!E98*C98*F98)/36000),0)</f>
        <v>0</v>
      </c>
      <c r="I98" s="8">
        <f>IF('TABLA DE PAGOS'!$J98&lt;='VALORES DE LIQUIDACIÓN'!A$4,0,'TABLA DE PAGOS'!$J98-'VALORES DE LIQUIDACIÓN'!A$4)</f>
        <v>2726</v>
      </c>
      <c r="J98" s="8">
        <f>IF(AND(I98&gt;0,I97=0),'VALORES DE LIQUIDACIÓN'!A$4-'TABLA DE PAGOS'!J97,0)</f>
        <v>0</v>
      </c>
      <c r="K98" s="8">
        <f>IF(AND(AND('TABLA DE PAGOS'!J97&lt;='VALORES DE LIQUIDACIÓN'!A$4,'TABLA DE PAGOS'!J98&gt;='VALORES DE LIQUIDACIÓN'!A$4),'TABLA DE PAGOS'!K98='TABLA DE PAGOS'!A$10),'TABLA DE PAGOS'!C97,IF(AND('TABLA DE PAGOS'!K98='TABLA DE PAGOS'!A$10,'TABLA DE PAGOS'!K99='TABLA DE PAGOS'!A$9),'TABLA DE PAGOS'!C98,IF(AND('TABLA DE PAGOS'!K98='TABLA DE PAGOS'!A$11,'TABLA DE PAGOS'!K99='TABLA DE PAGOS'!A$9),'TABLA DE PAGOS'!C97,0)))</f>
        <v>0</v>
      </c>
      <c r="L98" s="14"/>
      <c r="M98" s="11">
        <f>IF(I98=0,IF('TABLA DE PAGOS'!J98&lt;='TABLA DE PAGOS'!A$4,0,IF('TABLA DE PAGOS'!K98='TABLA DE PAGOS'!A$9,'TABLA DE PAGOS'!F98,IF('TABLA DE PAGOS'!K98='TABLA DE PAGOS'!A$11,(INDEX(SALDOS!B$3:G$200,MATCH('TABLA DE PAGOS'!A$12,SALDOS!E$3:E$200,0),6))-(INDEX(SALDOS!B$3:H$200,MATCH('TABLA DE PAGOS'!A$12,SALDOS!E$3:E$200,0),7)),0))),0)</f>
        <v>0</v>
      </c>
      <c r="N98" s="11">
        <f>IF(AND(I98&gt;0,I97=0),J98*MAX(SALDOS!J$3:J$200),0)</f>
        <v>0</v>
      </c>
      <c r="P98" s="8">
        <f>IF(I98=0,IF('TABLA DE PAGOS'!J98&lt;='TABLA DE PAGOS'!A$4,0,IF('TABLA DE PAGOS'!K98='TABLA DE PAGOS'!A$9,'TABLA DE PAGOS'!E98,IF('TABLA DE PAGOS'!K98='TABLA DE PAGOS'!A$11,INDEX(SALDOS!B$3:G$200,MATCH('TABLA DE PAGOS'!A$13,SALDOS!E$3:E$200,0),6),0))),0)</f>
        <v>0</v>
      </c>
      <c r="Q98" s="8">
        <f>IF(AND(I98&gt;0,I97&gt;0),'TABLA DE PAGOS'!E98,0)</f>
        <v>1759.33</v>
      </c>
      <c r="R98" s="8">
        <f t="shared" si="3"/>
        <v>0</v>
      </c>
      <c r="T98" s="8">
        <f>IF(AND(I98&gt;0,I97=0),'TABLA DE PAGOS'!H98,0)</f>
        <v>0</v>
      </c>
      <c r="U98" s="8">
        <f>IF(AND('TABLA DE PAGOS'!K98='TABLA DE PAGOS'!A$11,VLOOKUP('TABLA DE PAGOS'!A$7,SALDOS!B$3:E$200,4)='TABLA DE PAGOS'!A$14),INDEX(SALDOS!B$3:G$200,MATCH('TABLA DE PAGOS'!A$14,SALDOS!E$3:E$200,0),6),IF(AND(P98&gt;0.001,M98&gt;0.001),'TABLA DE PAGOS'!H98,0))</f>
        <v>0</v>
      </c>
      <c r="W98" s="8">
        <f>IF(AND('TABLA DE PAGOS'!K98='TABLA DE PAGOS'!A$11,VLOOKUP('TABLA DE PAGOS'!A$7,SALDOS!B$3:E$200,4)='TABLA DE PAGOS'!A$16),INDEX(SALDOS!B$3:G$200,MATCH('TABLA DE PAGOS'!A$16,SALDOS!E$3:E$200,0),6),IF(AND(P98&gt;0.001,M98&gt;0.001),'TABLA DE PAGOS'!I98,0))</f>
        <v>0</v>
      </c>
    </row>
    <row r="99" spans="2:23">
      <c r="B99" s="33">
        <v>98</v>
      </c>
      <c r="C99" s="8">
        <f>IF('TABLA DE PAGOS'!K99='TABLA DE PAGOS'!A$12,0,IF('TABLA DE PAGOS'!K99='TABLA DE PAGOS'!A$11,'VALORES DE LIQUIDACIÓN'!A$4-'TABLA DE PAGOS'!M99,IF(AND('TABLA DE PAGOS'!J99&lt;'VALORES DE LIQUIDACIÓN'!A$4,'TABLA DE PAGOS'!K99='TABLA DE PAGOS'!A$9),'VALORES DE LIQUIDACIÓN'!A$4-'TABLA DE PAGOS'!J99,0)))</f>
        <v>0</v>
      </c>
      <c r="D99" s="8">
        <f>IF(P99&gt;0,'VALORES DE LIQUIDACIÓN'!A$4-'TABLA DE PAGOS'!J99,0)</f>
        <v>0</v>
      </c>
      <c r="E99" s="35">
        <f t="shared" si="2"/>
        <v>0</v>
      </c>
      <c r="F99" s="11">
        <f>IF(E99&gt;0,('DATOS GENERALES'!K$3+('DATOS GENERALES'!K$3*E99)),0)</f>
        <v>0</v>
      </c>
      <c r="G99" s="11">
        <f>IF(E99&gt;0,IF('TABLA DE PAGOS'!K99='TABLA DE PAGOS'!A$11,(P99*C99*F99)/36000,('TABLA DE PAGOS'!E99*C99*F99)/36000),0)</f>
        <v>0</v>
      </c>
      <c r="I99" s="8">
        <f>IF('TABLA DE PAGOS'!$J99&lt;='VALORES DE LIQUIDACIÓN'!A$4,0,'TABLA DE PAGOS'!$J99-'VALORES DE LIQUIDACIÓN'!A$4)</f>
        <v>2758</v>
      </c>
      <c r="J99" s="8">
        <f>IF(AND(I99&gt;0,I98=0),'VALORES DE LIQUIDACIÓN'!A$4-'TABLA DE PAGOS'!J98,0)</f>
        <v>0</v>
      </c>
      <c r="K99" s="8">
        <f>IF(AND(AND('TABLA DE PAGOS'!J98&lt;='VALORES DE LIQUIDACIÓN'!A$4,'TABLA DE PAGOS'!J99&gt;='VALORES DE LIQUIDACIÓN'!A$4),'TABLA DE PAGOS'!K99='TABLA DE PAGOS'!A$10),'TABLA DE PAGOS'!C98,IF(AND('TABLA DE PAGOS'!K99='TABLA DE PAGOS'!A$10,'TABLA DE PAGOS'!K100='TABLA DE PAGOS'!A$9),'TABLA DE PAGOS'!C99,IF(AND('TABLA DE PAGOS'!K99='TABLA DE PAGOS'!A$11,'TABLA DE PAGOS'!K100='TABLA DE PAGOS'!A$9),'TABLA DE PAGOS'!C98,0)))</f>
        <v>0</v>
      </c>
      <c r="L99" s="14"/>
      <c r="M99" s="11">
        <f>IF(I99=0,IF('TABLA DE PAGOS'!J99&lt;='TABLA DE PAGOS'!A$4,0,IF('TABLA DE PAGOS'!K99='TABLA DE PAGOS'!A$9,'TABLA DE PAGOS'!F99,IF('TABLA DE PAGOS'!K99='TABLA DE PAGOS'!A$11,(INDEX(SALDOS!B$3:G$200,MATCH('TABLA DE PAGOS'!A$12,SALDOS!E$3:E$200,0),6))-(INDEX(SALDOS!B$3:H$200,MATCH('TABLA DE PAGOS'!A$12,SALDOS!E$3:E$200,0),7)),0))),0)</f>
        <v>0</v>
      </c>
      <c r="N99" s="11">
        <f>IF(AND(I99&gt;0,I98=0),J99*MAX(SALDOS!J$3:J$200),0)</f>
        <v>0</v>
      </c>
      <c r="P99" s="8">
        <f>IF(I99=0,IF('TABLA DE PAGOS'!J99&lt;='TABLA DE PAGOS'!A$4,0,IF('TABLA DE PAGOS'!K99='TABLA DE PAGOS'!A$9,'TABLA DE PAGOS'!E99,IF('TABLA DE PAGOS'!K99='TABLA DE PAGOS'!A$11,INDEX(SALDOS!B$3:G$200,MATCH('TABLA DE PAGOS'!A$13,SALDOS!E$3:E$200,0),6),0))),0)</f>
        <v>0</v>
      </c>
      <c r="Q99" s="8">
        <f>IF(AND(I99&gt;0,I98&gt;0),'TABLA DE PAGOS'!E99,0)</f>
        <v>1693.31</v>
      </c>
      <c r="R99" s="8">
        <f t="shared" si="3"/>
        <v>0</v>
      </c>
      <c r="T99" s="8">
        <f>IF(AND(I99&gt;0,I98=0),'TABLA DE PAGOS'!H99,0)</f>
        <v>0</v>
      </c>
      <c r="U99" s="8">
        <f>IF(AND('TABLA DE PAGOS'!K99='TABLA DE PAGOS'!A$11,VLOOKUP('TABLA DE PAGOS'!A$7,SALDOS!B$3:E$200,4)='TABLA DE PAGOS'!A$14),INDEX(SALDOS!B$3:G$200,MATCH('TABLA DE PAGOS'!A$14,SALDOS!E$3:E$200,0),6),IF(AND(P99&gt;0.001,M99&gt;0.001),'TABLA DE PAGOS'!H99,0))</f>
        <v>0</v>
      </c>
      <c r="W99" s="8">
        <f>IF(AND('TABLA DE PAGOS'!K99='TABLA DE PAGOS'!A$11,VLOOKUP('TABLA DE PAGOS'!A$7,SALDOS!B$3:E$200,4)='TABLA DE PAGOS'!A$16),INDEX(SALDOS!B$3:G$200,MATCH('TABLA DE PAGOS'!A$16,SALDOS!E$3:E$200,0),6),IF(AND(P99&gt;0.001,M99&gt;0.001),'TABLA DE PAGOS'!I99,0))</f>
        <v>0</v>
      </c>
    </row>
    <row r="100" spans="2:23">
      <c r="B100" s="33">
        <v>99</v>
      </c>
      <c r="C100" s="8">
        <f>IF('TABLA DE PAGOS'!K100='TABLA DE PAGOS'!A$12,0,IF('TABLA DE PAGOS'!K100='TABLA DE PAGOS'!A$11,'VALORES DE LIQUIDACIÓN'!A$4-'TABLA DE PAGOS'!M100,IF(AND('TABLA DE PAGOS'!J100&lt;'VALORES DE LIQUIDACIÓN'!A$4,'TABLA DE PAGOS'!K100='TABLA DE PAGOS'!A$9),'VALORES DE LIQUIDACIÓN'!A$4-'TABLA DE PAGOS'!J100,0)))</f>
        <v>0</v>
      </c>
      <c r="D100" s="8">
        <f>IF(P100&gt;0,'VALORES DE LIQUIDACIÓN'!A$4-'TABLA DE PAGOS'!J100,0)</f>
        <v>0</v>
      </c>
      <c r="E100" s="35">
        <f t="shared" si="2"/>
        <v>0</v>
      </c>
      <c r="F100" s="11">
        <f>IF(E100&gt;0,('DATOS GENERALES'!K$3+('DATOS GENERALES'!K$3*E100)),0)</f>
        <v>0</v>
      </c>
      <c r="G100" s="11">
        <f>IF(E100&gt;0,IF('TABLA DE PAGOS'!K100='TABLA DE PAGOS'!A$11,(P100*C100*F100)/36000,('TABLA DE PAGOS'!E100*C100*F100)/36000),0)</f>
        <v>0</v>
      </c>
      <c r="I100" s="8">
        <f>IF('TABLA DE PAGOS'!$J100&lt;='VALORES DE LIQUIDACIÓN'!A$4,0,'TABLA DE PAGOS'!$J100-'VALORES DE LIQUIDACIÓN'!A$4)</f>
        <v>2787</v>
      </c>
      <c r="J100" s="8">
        <f>IF(AND(I100&gt;0,I99=0),'VALORES DE LIQUIDACIÓN'!A$4-'TABLA DE PAGOS'!J99,0)</f>
        <v>0</v>
      </c>
      <c r="K100" s="8">
        <f>IF(AND(AND('TABLA DE PAGOS'!J99&lt;='VALORES DE LIQUIDACIÓN'!A$4,'TABLA DE PAGOS'!J100&gt;='VALORES DE LIQUIDACIÓN'!A$4),'TABLA DE PAGOS'!K100='TABLA DE PAGOS'!A$10),'TABLA DE PAGOS'!C99,IF(AND('TABLA DE PAGOS'!K100='TABLA DE PAGOS'!A$10,'TABLA DE PAGOS'!K101='TABLA DE PAGOS'!A$9),'TABLA DE PAGOS'!C100,IF(AND('TABLA DE PAGOS'!K100='TABLA DE PAGOS'!A$11,'TABLA DE PAGOS'!K101='TABLA DE PAGOS'!A$9),'TABLA DE PAGOS'!C99,0)))</f>
        <v>0</v>
      </c>
      <c r="L100" s="14"/>
      <c r="M100" s="11">
        <f>IF(I100=0,IF('TABLA DE PAGOS'!J100&lt;='TABLA DE PAGOS'!A$4,0,IF('TABLA DE PAGOS'!K100='TABLA DE PAGOS'!A$9,'TABLA DE PAGOS'!F100,IF('TABLA DE PAGOS'!K100='TABLA DE PAGOS'!A$11,(INDEX(SALDOS!B$3:G$200,MATCH('TABLA DE PAGOS'!A$12,SALDOS!E$3:E$200,0),6))-(INDEX(SALDOS!B$3:H$200,MATCH('TABLA DE PAGOS'!A$12,SALDOS!E$3:E$200,0),7)),0))),0)</f>
        <v>0</v>
      </c>
      <c r="N100" s="11">
        <f>IF(AND(I100&gt;0,I99=0),J100*MAX(SALDOS!J$3:J$200),0)</f>
        <v>0</v>
      </c>
      <c r="P100" s="8">
        <f>IF(I100=0,IF('TABLA DE PAGOS'!J100&lt;='TABLA DE PAGOS'!A$4,0,IF('TABLA DE PAGOS'!K100='TABLA DE PAGOS'!A$9,'TABLA DE PAGOS'!E100,IF('TABLA DE PAGOS'!K100='TABLA DE PAGOS'!A$11,INDEX(SALDOS!B$3:G$200,MATCH('TABLA DE PAGOS'!A$13,SALDOS!E$3:E$200,0),6),0))),0)</f>
        <v>0</v>
      </c>
      <c r="Q100" s="8">
        <f>IF(AND(I100&gt;0,I99&gt;0),'TABLA DE PAGOS'!E100,0)</f>
        <v>1830.79</v>
      </c>
      <c r="R100" s="8">
        <f t="shared" si="3"/>
        <v>0</v>
      </c>
      <c r="T100" s="8">
        <f>IF(AND(I100&gt;0,I99=0),'TABLA DE PAGOS'!H100,0)</f>
        <v>0</v>
      </c>
      <c r="U100" s="8">
        <f>IF(AND('TABLA DE PAGOS'!K100='TABLA DE PAGOS'!A$11,VLOOKUP('TABLA DE PAGOS'!A$7,SALDOS!B$3:E$200,4)='TABLA DE PAGOS'!A$14),INDEX(SALDOS!B$3:G$200,MATCH('TABLA DE PAGOS'!A$14,SALDOS!E$3:E$200,0),6),IF(AND(P100&gt;0.001,M100&gt;0.001),'TABLA DE PAGOS'!H100,0))</f>
        <v>0</v>
      </c>
      <c r="W100" s="8">
        <f>IF(AND('TABLA DE PAGOS'!K100='TABLA DE PAGOS'!A$11,VLOOKUP('TABLA DE PAGOS'!A$7,SALDOS!B$3:E$200,4)='TABLA DE PAGOS'!A$16),INDEX(SALDOS!B$3:G$200,MATCH('TABLA DE PAGOS'!A$16,SALDOS!E$3:E$200,0),6),IF(AND(P100&gt;0.001,M100&gt;0.001),'TABLA DE PAGOS'!I100,0))</f>
        <v>0</v>
      </c>
    </row>
    <row r="101" spans="2:23">
      <c r="B101" s="33">
        <v>100</v>
      </c>
      <c r="C101" s="8">
        <f>IF('TABLA DE PAGOS'!K101='TABLA DE PAGOS'!A$12,0,IF('TABLA DE PAGOS'!K101='TABLA DE PAGOS'!A$11,'VALORES DE LIQUIDACIÓN'!A$4-'TABLA DE PAGOS'!M101,IF(AND('TABLA DE PAGOS'!J101&lt;'VALORES DE LIQUIDACIÓN'!A$4,'TABLA DE PAGOS'!K101='TABLA DE PAGOS'!A$9),'VALORES DE LIQUIDACIÓN'!A$4-'TABLA DE PAGOS'!J101,0)))</f>
        <v>0</v>
      </c>
      <c r="D101" s="8">
        <f>IF(P101&gt;0,'VALORES DE LIQUIDACIÓN'!A$4-'TABLA DE PAGOS'!J101,0)</f>
        <v>0</v>
      </c>
      <c r="E101" s="35">
        <f t="shared" si="2"/>
        <v>0</v>
      </c>
      <c r="F101" s="11">
        <f>IF(E101&gt;0,('DATOS GENERALES'!K$3+('DATOS GENERALES'!K$3*E101)),0)</f>
        <v>0</v>
      </c>
      <c r="G101" s="11">
        <f>IF(E101&gt;0,IF('TABLA DE PAGOS'!K101='TABLA DE PAGOS'!A$11,(P101*C101*F101)/36000,('TABLA DE PAGOS'!E101*C101*F101)/36000),0)</f>
        <v>0</v>
      </c>
      <c r="I101" s="8">
        <f>IF('TABLA DE PAGOS'!$J101&lt;='VALORES DE LIQUIDACIÓN'!A$4,0,'TABLA DE PAGOS'!$J101-'VALORES DE LIQUIDACIÓN'!A$4)</f>
        <v>2818</v>
      </c>
      <c r="J101" s="8">
        <f>IF(AND(I101&gt;0,I100=0),'VALORES DE LIQUIDACIÓN'!A$4-'TABLA DE PAGOS'!J100,0)</f>
        <v>0</v>
      </c>
      <c r="K101" s="8">
        <f>IF(AND(AND('TABLA DE PAGOS'!J100&lt;='VALORES DE LIQUIDACIÓN'!A$4,'TABLA DE PAGOS'!J101&gt;='VALORES DE LIQUIDACIÓN'!A$4),'TABLA DE PAGOS'!K101='TABLA DE PAGOS'!A$10),'TABLA DE PAGOS'!C100,IF(AND('TABLA DE PAGOS'!K101='TABLA DE PAGOS'!A$10,'TABLA DE PAGOS'!K102='TABLA DE PAGOS'!A$9),'TABLA DE PAGOS'!C101,IF(AND('TABLA DE PAGOS'!K101='TABLA DE PAGOS'!A$11,'TABLA DE PAGOS'!K102='TABLA DE PAGOS'!A$9),'TABLA DE PAGOS'!C100,0)))</f>
        <v>0</v>
      </c>
      <c r="L101" s="14"/>
      <c r="M101" s="11">
        <f>IF(I101=0,IF('TABLA DE PAGOS'!J101&lt;='TABLA DE PAGOS'!A$4,0,IF('TABLA DE PAGOS'!K101='TABLA DE PAGOS'!A$9,'TABLA DE PAGOS'!F101,IF('TABLA DE PAGOS'!K101='TABLA DE PAGOS'!A$11,(INDEX(SALDOS!B$3:G$200,MATCH('TABLA DE PAGOS'!A$12,SALDOS!E$3:E$200,0),6))-(INDEX(SALDOS!B$3:H$200,MATCH('TABLA DE PAGOS'!A$12,SALDOS!E$3:E$200,0),7)),0))),0)</f>
        <v>0</v>
      </c>
      <c r="N101" s="11">
        <f>IF(AND(I101&gt;0,I100=0),J101*MAX(SALDOS!J$3:J$200),0)</f>
        <v>0</v>
      </c>
      <c r="P101" s="8">
        <f>IF(I101=0,IF('TABLA DE PAGOS'!J101&lt;='TABLA DE PAGOS'!A$4,0,IF('TABLA DE PAGOS'!K101='TABLA DE PAGOS'!A$9,'TABLA DE PAGOS'!E101,IF('TABLA DE PAGOS'!K101='TABLA DE PAGOS'!A$11,INDEX(SALDOS!B$3:G$200,MATCH('TABLA DE PAGOS'!A$13,SALDOS!E$3:E$200,0),6),0))),0)</f>
        <v>0</v>
      </c>
      <c r="Q101" s="8">
        <f>IF(AND(I101&gt;0,I100&gt;0),'TABLA DE PAGOS'!E101,0)</f>
        <v>1766.98</v>
      </c>
      <c r="R101" s="8">
        <f t="shared" si="3"/>
        <v>0</v>
      </c>
      <c r="T101" s="8">
        <f>IF(AND(I101&gt;0,I100=0),'TABLA DE PAGOS'!H101,0)</f>
        <v>0</v>
      </c>
      <c r="U101" s="8">
        <f>IF(AND('TABLA DE PAGOS'!K101='TABLA DE PAGOS'!A$11,VLOOKUP('TABLA DE PAGOS'!A$7,SALDOS!B$3:E$200,4)='TABLA DE PAGOS'!A$14),INDEX(SALDOS!B$3:G$200,MATCH('TABLA DE PAGOS'!A$14,SALDOS!E$3:E$200,0),6),IF(AND(P101&gt;0.001,M101&gt;0.001),'TABLA DE PAGOS'!H101,0))</f>
        <v>0</v>
      </c>
      <c r="W101" s="8">
        <f>IF(AND('TABLA DE PAGOS'!K101='TABLA DE PAGOS'!A$11,VLOOKUP('TABLA DE PAGOS'!A$7,SALDOS!B$3:E$200,4)='TABLA DE PAGOS'!A$16),INDEX(SALDOS!B$3:G$200,MATCH('TABLA DE PAGOS'!A$16,SALDOS!E$3:E$200,0),6),IF(AND(P101&gt;0.001,M101&gt;0.001),'TABLA DE PAGOS'!I101,0))</f>
        <v>0</v>
      </c>
    </row>
    <row r="102" spans="2:23">
      <c r="B102" s="33">
        <v>101</v>
      </c>
      <c r="C102" s="8">
        <f>IF('TABLA DE PAGOS'!K102='TABLA DE PAGOS'!A$12,0,IF('TABLA DE PAGOS'!K102='TABLA DE PAGOS'!A$11,'VALORES DE LIQUIDACIÓN'!A$4-'TABLA DE PAGOS'!M102,IF(AND('TABLA DE PAGOS'!J102&lt;'VALORES DE LIQUIDACIÓN'!A$4,'TABLA DE PAGOS'!K102='TABLA DE PAGOS'!A$9),'VALORES DE LIQUIDACIÓN'!A$4-'TABLA DE PAGOS'!J102,0)))</f>
        <v>0</v>
      </c>
      <c r="D102" s="8">
        <f>IF(P102&gt;0,'VALORES DE LIQUIDACIÓN'!A$4-'TABLA DE PAGOS'!J102,0)</f>
        <v>0</v>
      </c>
      <c r="E102" s="35">
        <f t="shared" si="2"/>
        <v>0</v>
      </c>
      <c r="F102" s="11">
        <f>IF(E102&gt;0,('DATOS GENERALES'!K$3+('DATOS GENERALES'!K$3*E102)),0)</f>
        <v>0</v>
      </c>
      <c r="G102" s="11">
        <f>IF(E102&gt;0,IF('TABLA DE PAGOS'!K102='TABLA DE PAGOS'!A$11,(P102*C102*F102)/36000,('TABLA DE PAGOS'!E102*C102*F102)/36000),0)</f>
        <v>0</v>
      </c>
      <c r="I102" s="8">
        <f>IF('TABLA DE PAGOS'!$J102&lt;='VALORES DE LIQUIDACIÓN'!A$4,0,'TABLA DE PAGOS'!$J102-'VALORES DE LIQUIDACIÓN'!A$4)</f>
        <v>2849</v>
      </c>
      <c r="J102" s="8">
        <f>IF(AND(I102&gt;0,I101=0),'VALORES DE LIQUIDACIÓN'!A$4-'TABLA DE PAGOS'!J101,0)</f>
        <v>0</v>
      </c>
      <c r="K102" s="8">
        <f>IF(AND(AND('TABLA DE PAGOS'!J101&lt;='VALORES DE LIQUIDACIÓN'!A$4,'TABLA DE PAGOS'!J102&gt;='VALORES DE LIQUIDACIÓN'!A$4),'TABLA DE PAGOS'!K102='TABLA DE PAGOS'!A$10),'TABLA DE PAGOS'!C101,IF(AND('TABLA DE PAGOS'!K102='TABLA DE PAGOS'!A$10,'TABLA DE PAGOS'!K103='TABLA DE PAGOS'!A$9),'TABLA DE PAGOS'!C102,IF(AND('TABLA DE PAGOS'!K102='TABLA DE PAGOS'!A$11,'TABLA DE PAGOS'!K103='TABLA DE PAGOS'!A$9),'TABLA DE PAGOS'!C101,0)))</f>
        <v>0</v>
      </c>
      <c r="L102" s="14"/>
      <c r="M102" s="11">
        <f>IF(I102=0,IF('TABLA DE PAGOS'!J102&lt;='TABLA DE PAGOS'!A$4,0,IF('TABLA DE PAGOS'!K102='TABLA DE PAGOS'!A$9,'TABLA DE PAGOS'!F102,IF('TABLA DE PAGOS'!K102='TABLA DE PAGOS'!A$11,(INDEX(SALDOS!B$3:G$200,MATCH('TABLA DE PAGOS'!A$12,SALDOS!E$3:E$200,0),6))-(INDEX(SALDOS!B$3:H$200,MATCH('TABLA DE PAGOS'!A$12,SALDOS!E$3:E$200,0),7)),0))),0)</f>
        <v>0</v>
      </c>
      <c r="N102" s="11">
        <f>IF(AND(I102&gt;0,I101=0),J102*MAX(SALDOS!J$3:J$200),0)</f>
        <v>0</v>
      </c>
      <c r="P102" s="8">
        <f>IF(I102=0,IF('TABLA DE PAGOS'!J102&lt;='TABLA DE PAGOS'!A$4,0,IF('TABLA DE PAGOS'!K102='TABLA DE PAGOS'!A$9,'TABLA DE PAGOS'!E102,IF('TABLA DE PAGOS'!K102='TABLA DE PAGOS'!A$11,INDEX(SALDOS!B$3:G$200,MATCH('TABLA DE PAGOS'!A$13,SALDOS!E$3:E$200,0),6),0))),0)</f>
        <v>0</v>
      </c>
      <c r="Q102" s="8">
        <f>IF(AND(I102&gt;0,I101&gt;0),'TABLA DE PAGOS'!E102,0)</f>
        <v>1783.4</v>
      </c>
      <c r="R102" s="8">
        <f t="shared" si="3"/>
        <v>0</v>
      </c>
      <c r="T102" s="8">
        <f>IF(AND(I102&gt;0,I101=0),'TABLA DE PAGOS'!H102,0)</f>
        <v>0</v>
      </c>
      <c r="U102" s="8">
        <f>IF(AND('TABLA DE PAGOS'!K102='TABLA DE PAGOS'!A$11,VLOOKUP('TABLA DE PAGOS'!A$7,SALDOS!B$3:E$200,4)='TABLA DE PAGOS'!A$14),INDEX(SALDOS!B$3:G$200,MATCH('TABLA DE PAGOS'!A$14,SALDOS!E$3:E$200,0),6),IF(AND(P102&gt;0.001,M102&gt;0.001),'TABLA DE PAGOS'!H102,0))</f>
        <v>0</v>
      </c>
      <c r="W102" s="8">
        <f>IF(AND('TABLA DE PAGOS'!K102='TABLA DE PAGOS'!A$11,VLOOKUP('TABLA DE PAGOS'!A$7,SALDOS!B$3:E$200,4)='TABLA DE PAGOS'!A$16),INDEX(SALDOS!B$3:G$200,MATCH('TABLA DE PAGOS'!A$16,SALDOS!E$3:E$200,0),6),IF(AND(P102&gt;0.001,M102&gt;0.001),'TABLA DE PAGOS'!I102,0))</f>
        <v>0</v>
      </c>
    </row>
    <row r="103" spans="2:23">
      <c r="B103" s="33">
        <v>102</v>
      </c>
      <c r="C103" s="8">
        <f>IF('TABLA DE PAGOS'!K103='TABLA DE PAGOS'!A$12,0,IF('TABLA DE PAGOS'!K103='TABLA DE PAGOS'!A$11,'VALORES DE LIQUIDACIÓN'!A$4-'TABLA DE PAGOS'!M103,IF(AND('TABLA DE PAGOS'!J103&lt;'VALORES DE LIQUIDACIÓN'!A$4,'TABLA DE PAGOS'!K103='TABLA DE PAGOS'!A$9),'VALORES DE LIQUIDACIÓN'!A$4-'TABLA DE PAGOS'!J103,0)))</f>
        <v>0</v>
      </c>
      <c r="D103" s="8">
        <f>IF(P103&gt;0,'VALORES DE LIQUIDACIÓN'!A$4-'TABLA DE PAGOS'!J103,0)</f>
        <v>0</v>
      </c>
      <c r="E103" s="35">
        <f t="shared" si="2"/>
        <v>0</v>
      </c>
      <c r="F103" s="11">
        <f>IF(E103&gt;0,('DATOS GENERALES'!K$3+('DATOS GENERALES'!K$3*E103)),0)</f>
        <v>0</v>
      </c>
      <c r="G103" s="11">
        <f>IF(E103&gt;0,IF('TABLA DE PAGOS'!K103='TABLA DE PAGOS'!A$11,(P103*C103*F103)/36000,('TABLA DE PAGOS'!E103*C103*F103)/36000),0)</f>
        <v>0</v>
      </c>
      <c r="I103" s="8">
        <f>IF('TABLA DE PAGOS'!$J103&lt;='VALORES DE LIQUIDACIÓN'!A$4,0,'TABLA DE PAGOS'!$J103-'VALORES DE LIQUIDACIÓN'!A$4)</f>
        <v>2877</v>
      </c>
      <c r="J103" s="8">
        <f>IF(AND(I103&gt;0,I102=0),'VALORES DE LIQUIDACIÓN'!A$4-'TABLA DE PAGOS'!J102,0)</f>
        <v>0</v>
      </c>
      <c r="K103" s="8">
        <f>IF(AND(AND('TABLA DE PAGOS'!J102&lt;='VALORES DE LIQUIDACIÓN'!A$4,'TABLA DE PAGOS'!J103&gt;='VALORES DE LIQUIDACIÓN'!A$4),'TABLA DE PAGOS'!K103='TABLA DE PAGOS'!A$10),'TABLA DE PAGOS'!C102,IF(AND('TABLA DE PAGOS'!K103='TABLA DE PAGOS'!A$10,'TABLA DE PAGOS'!K104='TABLA DE PAGOS'!A$9),'TABLA DE PAGOS'!C103,IF(AND('TABLA DE PAGOS'!K103='TABLA DE PAGOS'!A$11,'TABLA DE PAGOS'!K104='TABLA DE PAGOS'!A$9),'TABLA DE PAGOS'!C102,0)))</f>
        <v>0</v>
      </c>
      <c r="L103" s="14"/>
      <c r="M103" s="11">
        <f>IF(I103=0,IF('TABLA DE PAGOS'!J103&lt;='TABLA DE PAGOS'!A$4,0,IF('TABLA DE PAGOS'!K103='TABLA DE PAGOS'!A$9,'TABLA DE PAGOS'!F103,IF('TABLA DE PAGOS'!K103='TABLA DE PAGOS'!A$11,(INDEX(SALDOS!B$3:G$200,MATCH('TABLA DE PAGOS'!A$12,SALDOS!E$3:E$200,0),6))-(INDEX(SALDOS!B$3:H$200,MATCH('TABLA DE PAGOS'!A$12,SALDOS!E$3:E$200,0),7)),0))),0)</f>
        <v>0</v>
      </c>
      <c r="N103" s="11">
        <f>IF(AND(I103&gt;0,I102=0),J103*MAX(SALDOS!J$3:J$200),0)</f>
        <v>0</v>
      </c>
      <c r="P103" s="8">
        <f>IF(I103=0,IF('TABLA DE PAGOS'!J103&lt;='TABLA DE PAGOS'!A$4,0,IF('TABLA DE PAGOS'!K103='TABLA DE PAGOS'!A$9,'TABLA DE PAGOS'!E103,IF('TABLA DE PAGOS'!K103='TABLA DE PAGOS'!A$11,INDEX(SALDOS!B$3:G$200,MATCH('TABLA DE PAGOS'!A$13,SALDOS!E$3:E$200,0),6),0))),0)</f>
        <v>0</v>
      </c>
      <c r="Q103" s="8">
        <f>IF(AND(I103&gt;0,I102&gt;0),'TABLA DE PAGOS'!E103,0)</f>
        <v>1916.37</v>
      </c>
      <c r="R103" s="8">
        <f t="shared" si="3"/>
        <v>0</v>
      </c>
      <c r="T103" s="8">
        <f>IF(AND(I103&gt;0,I102=0),'TABLA DE PAGOS'!H103,0)</f>
        <v>0</v>
      </c>
      <c r="U103" s="8">
        <f>IF(AND('TABLA DE PAGOS'!K103='TABLA DE PAGOS'!A$11,VLOOKUP('TABLA DE PAGOS'!A$7,SALDOS!B$3:E$200,4)='TABLA DE PAGOS'!A$14),INDEX(SALDOS!B$3:G$200,MATCH('TABLA DE PAGOS'!A$14,SALDOS!E$3:E$200,0),6),IF(AND(P103&gt;0.001,M103&gt;0.001),'TABLA DE PAGOS'!H103,0))</f>
        <v>0</v>
      </c>
      <c r="W103" s="8">
        <f>IF(AND('TABLA DE PAGOS'!K103='TABLA DE PAGOS'!A$11,VLOOKUP('TABLA DE PAGOS'!A$7,SALDOS!B$3:E$200,4)='TABLA DE PAGOS'!A$16),INDEX(SALDOS!B$3:G$200,MATCH('TABLA DE PAGOS'!A$16,SALDOS!E$3:E$200,0),6),IF(AND(P103&gt;0.001,M103&gt;0.001),'TABLA DE PAGOS'!I103,0))</f>
        <v>0</v>
      </c>
    </row>
    <row r="104" spans="2:23">
      <c r="B104" s="33">
        <v>103</v>
      </c>
      <c r="C104" s="8">
        <f>IF('TABLA DE PAGOS'!K104='TABLA DE PAGOS'!A$12,0,IF('TABLA DE PAGOS'!K104='TABLA DE PAGOS'!A$11,'VALORES DE LIQUIDACIÓN'!A$4-'TABLA DE PAGOS'!M104,IF(AND('TABLA DE PAGOS'!J104&lt;'VALORES DE LIQUIDACIÓN'!A$4,'TABLA DE PAGOS'!K104='TABLA DE PAGOS'!A$9),'VALORES DE LIQUIDACIÓN'!A$4-'TABLA DE PAGOS'!J104,0)))</f>
        <v>0</v>
      </c>
      <c r="D104" s="8">
        <f>IF(P104&gt;0,'VALORES DE LIQUIDACIÓN'!A$4-'TABLA DE PAGOS'!J104,0)</f>
        <v>0</v>
      </c>
      <c r="E104" s="35">
        <f t="shared" si="2"/>
        <v>0</v>
      </c>
      <c r="F104" s="11">
        <f>IF(E104&gt;0,('DATOS GENERALES'!K$3+('DATOS GENERALES'!K$3*E104)),0)</f>
        <v>0</v>
      </c>
      <c r="G104" s="11">
        <f>IF(E104&gt;0,IF('TABLA DE PAGOS'!K104='TABLA DE PAGOS'!A$11,(P104*C104*F104)/36000,('TABLA DE PAGOS'!E104*C104*F104)/36000),0)</f>
        <v>0</v>
      </c>
      <c r="I104" s="8">
        <f>IF('TABLA DE PAGOS'!$J104&lt;='VALORES DE LIQUIDACIÓN'!A$4,0,'TABLA DE PAGOS'!$J104-'VALORES DE LIQUIDACIÓN'!A$4)</f>
        <v>2908</v>
      </c>
      <c r="J104" s="8">
        <f>IF(AND(I104&gt;0,I103=0),'VALORES DE LIQUIDACIÓN'!A$4-'TABLA DE PAGOS'!J103,0)</f>
        <v>0</v>
      </c>
      <c r="K104" s="8">
        <f>IF(AND(AND('TABLA DE PAGOS'!J103&lt;='VALORES DE LIQUIDACIÓN'!A$4,'TABLA DE PAGOS'!J104&gt;='VALORES DE LIQUIDACIÓN'!A$4),'TABLA DE PAGOS'!K104='TABLA DE PAGOS'!A$10),'TABLA DE PAGOS'!C103,IF(AND('TABLA DE PAGOS'!K104='TABLA DE PAGOS'!A$10,'TABLA DE PAGOS'!K105='TABLA DE PAGOS'!A$9),'TABLA DE PAGOS'!C104,IF(AND('TABLA DE PAGOS'!K104='TABLA DE PAGOS'!A$11,'TABLA DE PAGOS'!K105='TABLA DE PAGOS'!A$9),'TABLA DE PAGOS'!C103,0)))</f>
        <v>0</v>
      </c>
      <c r="L104" s="14"/>
      <c r="M104" s="11">
        <f>IF(I104=0,IF('TABLA DE PAGOS'!J104&lt;='TABLA DE PAGOS'!A$4,0,IF('TABLA DE PAGOS'!K104='TABLA DE PAGOS'!A$9,'TABLA DE PAGOS'!F104,IF('TABLA DE PAGOS'!K104='TABLA DE PAGOS'!A$11,(INDEX(SALDOS!B$3:G$200,MATCH('TABLA DE PAGOS'!A$12,SALDOS!E$3:E$200,0),6))-(INDEX(SALDOS!B$3:H$200,MATCH('TABLA DE PAGOS'!A$12,SALDOS!E$3:E$200,0),7)),0))),0)</f>
        <v>0</v>
      </c>
      <c r="N104" s="11">
        <f>IF(AND(I104&gt;0,I103=0),J104*MAX(SALDOS!J$3:J$200),0)</f>
        <v>0</v>
      </c>
      <c r="P104" s="8">
        <f>IF(I104=0,IF('TABLA DE PAGOS'!J104&lt;='TABLA DE PAGOS'!A$4,0,IF('TABLA DE PAGOS'!K104='TABLA DE PAGOS'!A$9,'TABLA DE PAGOS'!E104,IF('TABLA DE PAGOS'!K104='TABLA DE PAGOS'!A$11,INDEX(SALDOS!B$3:G$200,MATCH('TABLA DE PAGOS'!A$13,SALDOS!E$3:E$200,0),6),0))),0)</f>
        <v>0</v>
      </c>
      <c r="Q104" s="8">
        <f>IF(AND(I104&gt;0,I103&gt;0),'TABLA DE PAGOS'!E104,0)</f>
        <v>1817.77</v>
      </c>
      <c r="R104" s="8">
        <f t="shared" si="3"/>
        <v>0</v>
      </c>
      <c r="T104" s="8">
        <f>IF(AND(I104&gt;0,I103=0),'TABLA DE PAGOS'!H104,0)</f>
        <v>0</v>
      </c>
      <c r="U104" s="8">
        <f>IF(AND('TABLA DE PAGOS'!K104='TABLA DE PAGOS'!A$11,VLOOKUP('TABLA DE PAGOS'!A$7,SALDOS!B$3:E$200,4)='TABLA DE PAGOS'!A$14),INDEX(SALDOS!B$3:G$200,MATCH('TABLA DE PAGOS'!A$14,SALDOS!E$3:E$200,0),6),IF(AND(P104&gt;0.001,M104&gt;0.001),'TABLA DE PAGOS'!H104,0))</f>
        <v>0</v>
      </c>
      <c r="W104" s="8">
        <f>IF(AND('TABLA DE PAGOS'!K104='TABLA DE PAGOS'!A$11,VLOOKUP('TABLA DE PAGOS'!A$7,SALDOS!B$3:E$200,4)='TABLA DE PAGOS'!A$16),INDEX(SALDOS!B$3:G$200,MATCH('TABLA DE PAGOS'!A$16,SALDOS!E$3:E$200,0),6),IF(AND(P104&gt;0.001,M104&gt;0.001),'TABLA DE PAGOS'!I104,0))</f>
        <v>0</v>
      </c>
    </row>
    <row r="105" spans="2:23">
      <c r="B105" s="33">
        <v>104</v>
      </c>
      <c r="C105" s="8">
        <f>IF('TABLA DE PAGOS'!K105='TABLA DE PAGOS'!A$12,0,IF('TABLA DE PAGOS'!K105='TABLA DE PAGOS'!A$11,'VALORES DE LIQUIDACIÓN'!A$4-'TABLA DE PAGOS'!M105,IF(AND('TABLA DE PAGOS'!J105&lt;'VALORES DE LIQUIDACIÓN'!A$4,'TABLA DE PAGOS'!K105='TABLA DE PAGOS'!A$9),'VALORES DE LIQUIDACIÓN'!A$4-'TABLA DE PAGOS'!J105,0)))</f>
        <v>0</v>
      </c>
      <c r="D105" s="8">
        <f>IF(P105&gt;0,'VALORES DE LIQUIDACIÓN'!A$4-'TABLA DE PAGOS'!J105,0)</f>
        <v>0</v>
      </c>
      <c r="E105" s="35">
        <f t="shared" si="2"/>
        <v>0</v>
      </c>
      <c r="F105" s="11">
        <f>IF(E105&gt;0,('DATOS GENERALES'!K$3+('DATOS GENERALES'!K$3*E105)),0)</f>
        <v>0</v>
      </c>
      <c r="G105" s="11">
        <f>IF(E105&gt;0,IF('TABLA DE PAGOS'!K105='TABLA DE PAGOS'!A$11,(P105*C105*F105)/36000,('TABLA DE PAGOS'!E105*C105*F105)/36000),0)</f>
        <v>0</v>
      </c>
      <c r="I105" s="8">
        <f>IF('TABLA DE PAGOS'!$J105&lt;='VALORES DE LIQUIDACIÓN'!A$4,0,'TABLA DE PAGOS'!$J105-'VALORES DE LIQUIDACIÓN'!A$4)</f>
        <v>2940</v>
      </c>
      <c r="J105" s="8">
        <f>IF(AND(I105&gt;0,I104=0),'VALORES DE LIQUIDACIÓN'!A$4-'TABLA DE PAGOS'!J104,0)</f>
        <v>0</v>
      </c>
      <c r="K105" s="8">
        <f>IF(AND(AND('TABLA DE PAGOS'!J104&lt;='VALORES DE LIQUIDACIÓN'!A$4,'TABLA DE PAGOS'!J105&gt;='VALORES DE LIQUIDACIÓN'!A$4),'TABLA DE PAGOS'!K105='TABLA DE PAGOS'!A$10),'TABLA DE PAGOS'!C104,IF(AND('TABLA DE PAGOS'!K105='TABLA DE PAGOS'!A$10,'TABLA DE PAGOS'!K106='TABLA DE PAGOS'!A$9),'TABLA DE PAGOS'!C105,IF(AND('TABLA DE PAGOS'!K105='TABLA DE PAGOS'!A$11,'TABLA DE PAGOS'!K106='TABLA DE PAGOS'!A$9),'TABLA DE PAGOS'!C104,0)))</f>
        <v>0</v>
      </c>
      <c r="L105" s="14"/>
      <c r="M105" s="11">
        <f>IF(I105=0,IF('TABLA DE PAGOS'!J105&lt;='TABLA DE PAGOS'!A$4,0,IF('TABLA DE PAGOS'!K105='TABLA DE PAGOS'!A$9,'TABLA DE PAGOS'!F105,IF('TABLA DE PAGOS'!K105='TABLA DE PAGOS'!A$11,(INDEX(SALDOS!B$3:G$200,MATCH('TABLA DE PAGOS'!A$12,SALDOS!E$3:E$200,0),6))-(INDEX(SALDOS!B$3:H$200,MATCH('TABLA DE PAGOS'!A$12,SALDOS!E$3:E$200,0),7)),0))),0)</f>
        <v>0</v>
      </c>
      <c r="N105" s="11">
        <f>IF(AND(I105&gt;0,I104=0),J105*MAX(SALDOS!J$3:J$200),0)</f>
        <v>0</v>
      </c>
      <c r="P105" s="8">
        <f>IF(I105=0,IF('TABLA DE PAGOS'!J105&lt;='TABLA DE PAGOS'!A$4,0,IF('TABLA DE PAGOS'!K105='TABLA DE PAGOS'!A$9,'TABLA DE PAGOS'!E105,IF('TABLA DE PAGOS'!K105='TABLA DE PAGOS'!A$11,INDEX(SALDOS!B$3:G$200,MATCH('TABLA DE PAGOS'!A$13,SALDOS!E$3:E$200,0),6),0))),0)</f>
        <v>0</v>
      </c>
      <c r="Q105" s="8">
        <f>IF(AND(I105&gt;0,I104&gt;0),'TABLA DE PAGOS'!E105,0)</f>
        <v>1796.98</v>
      </c>
      <c r="R105" s="8">
        <f t="shared" si="3"/>
        <v>0</v>
      </c>
      <c r="T105" s="8">
        <f>IF(AND(I105&gt;0,I104=0),'TABLA DE PAGOS'!H105,0)</f>
        <v>0</v>
      </c>
      <c r="U105" s="8">
        <f>IF(AND('TABLA DE PAGOS'!K105='TABLA DE PAGOS'!A$11,VLOOKUP('TABLA DE PAGOS'!A$7,SALDOS!B$3:E$200,4)='TABLA DE PAGOS'!A$14),INDEX(SALDOS!B$3:G$200,MATCH('TABLA DE PAGOS'!A$14,SALDOS!E$3:E$200,0),6),IF(AND(P105&gt;0.001,M105&gt;0.001),'TABLA DE PAGOS'!H105,0))</f>
        <v>0</v>
      </c>
      <c r="W105" s="8">
        <f>IF(AND('TABLA DE PAGOS'!K105='TABLA DE PAGOS'!A$11,VLOOKUP('TABLA DE PAGOS'!A$7,SALDOS!B$3:E$200,4)='TABLA DE PAGOS'!A$16),INDEX(SALDOS!B$3:G$200,MATCH('TABLA DE PAGOS'!A$16,SALDOS!E$3:E$200,0),6),IF(AND(P105&gt;0.001,M105&gt;0.001),'TABLA DE PAGOS'!I105,0))</f>
        <v>0</v>
      </c>
    </row>
    <row r="106" spans="2:23">
      <c r="B106" s="33">
        <v>105</v>
      </c>
      <c r="C106" s="8">
        <f>IF('TABLA DE PAGOS'!K106='TABLA DE PAGOS'!A$12,0,IF('TABLA DE PAGOS'!K106='TABLA DE PAGOS'!A$11,'VALORES DE LIQUIDACIÓN'!A$4-'TABLA DE PAGOS'!M106,IF(AND('TABLA DE PAGOS'!J106&lt;'VALORES DE LIQUIDACIÓN'!A$4,'TABLA DE PAGOS'!K106='TABLA DE PAGOS'!A$9),'VALORES DE LIQUIDACIÓN'!A$4-'TABLA DE PAGOS'!J106,0)))</f>
        <v>0</v>
      </c>
      <c r="D106" s="8">
        <f>IF(P106&gt;0,'VALORES DE LIQUIDACIÓN'!A$4-'TABLA DE PAGOS'!J106,0)</f>
        <v>0</v>
      </c>
      <c r="E106" s="35">
        <f t="shared" si="2"/>
        <v>0</v>
      </c>
      <c r="F106" s="11">
        <f>IF(E106&gt;0,('DATOS GENERALES'!K$3+('DATOS GENERALES'!K$3*E106)),0)</f>
        <v>0</v>
      </c>
      <c r="G106" s="11">
        <f>IF(E106&gt;0,IF('TABLA DE PAGOS'!K106='TABLA DE PAGOS'!A$11,(P106*C106*F106)/36000,('TABLA DE PAGOS'!E106*C106*F106)/36000),0)</f>
        <v>0</v>
      </c>
      <c r="I106" s="8">
        <f>IF('TABLA DE PAGOS'!$J106&lt;='VALORES DE LIQUIDACIÓN'!A$4,0,'TABLA DE PAGOS'!$J106-'VALORES DE LIQUIDACIÓN'!A$4)</f>
        <v>2969</v>
      </c>
      <c r="J106" s="8">
        <f>IF(AND(I106&gt;0,I105=0),'VALORES DE LIQUIDACIÓN'!A$4-'TABLA DE PAGOS'!J105,0)</f>
        <v>0</v>
      </c>
      <c r="K106" s="8">
        <f>IF(AND(AND('TABLA DE PAGOS'!J105&lt;='VALORES DE LIQUIDACIÓN'!A$4,'TABLA DE PAGOS'!J106&gt;='VALORES DE LIQUIDACIÓN'!A$4),'TABLA DE PAGOS'!K106='TABLA DE PAGOS'!A$10),'TABLA DE PAGOS'!C105,IF(AND('TABLA DE PAGOS'!K106='TABLA DE PAGOS'!A$10,'TABLA DE PAGOS'!K107='TABLA DE PAGOS'!A$9),'TABLA DE PAGOS'!C106,IF(AND('TABLA DE PAGOS'!K106='TABLA DE PAGOS'!A$11,'TABLA DE PAGOS'!K107='TABLA DE PAGOS'!A$9),'TABLA DE PAGOS'!C105,0)))</f>
        <v>0</v>
      </c>
      <c r="L106" s="14"/>
      <c r="M106" s="11">
        <f>IF(I106=0,IF('TABLA DE PAGOS'!J106&lt;='TABLA DE PAGOS'!A$4,0,IF('TABLA DE PAGOS'!K106='TABLA DE PAGOS'!A$9,'TABLA DE PAGOS'!F106,IF('TABLA DE PAGOS'!K106='TABLA DE PAGOS'!A$11,(INDEX(SALDOS!B$3:G$200,MATCH('TABLA DE PAGOS'!A$12,SALDOS!E$3:E$200,0),6))-(INDEX(SALDOS!B$3:H$200,MATCH('TABLA DE PAGOS'!A$12,SALDOS!E$3:E$200,0),7)),0))),0)</f>
        <v>0</v>
      </c>
      <c r="N106" s="11">
        <f>IF(AND(I106&gt;0,I105=0),J106*MAX(SALDOS!J$3:J$200),0)</f>
        <v>0</v>
      </c>
      <c r="P106" s="8">
        <f>IF(I106=0,IF('TABLA DE PAGOS'!J106&lt;='TABLA DE PAGOS'!A$4,0,IF('TABLA DE PAGOS'!K106='TABLA DE PAGOS'!A$9,'TABLA DE PAGOS'!E106,IF('TABLA DE PAGOS'!K106='TABLA DE PAGOS'!A$11,INDEX(SALDOS!B$3:G$200,MATCH('TABLA DE PAGOS'!A$13,SALDOS!E$3:E$200,0),6),0))),0)</f>
        <v>0</v>
      </c>
      <c r="Q106" s="8">
        <f>IF(AND(I106&gt;0,I105&gt;0),'TABLA DE PAGOS'!E106,0)</f>
        <v>1925.65</v>
      </c>
      <c r="R106" s="8">
        <f t="shared" si="3"/>
        <v>0</v>
      </c>
      <c r="T106" s="8">
        <f>IF(AND(I106&gt;0,I105=0),'TABLA DE PAGOS'!H106,0)</f>
        <v>0</v>
      </c>
      <c r="U106" s="8">
        <f>IF(AND('TABLA DE PAGOS'!K106='TABLA DE PAGOS'!A$11,VLOOKUP('TABLA DE PAGOS'!A$7,SALDOS!B$3:E$200,4)='TABLA DE PAGOS'!A$14),INDEX(SALDOS!B$3:G$200,MATCH('TABLA DE PAGOS'!A$14,SALDOS!E$3:E$200,0),6),IF(AND(P106&gt;0.001,M106&gt;0.001),'TABLA DE PAGOS'!H106,0))</f>
        <v>0</v>
      </c>
      <c r="W106" s="8">
        <f>IF(AND('TABLA DE PAGOS'!K106='TABLA DE PAGOS'!A$11,VLOOKUP('TABLA DE PAGOS'!A$7,SALDOS!B$3:E$200,4)='TABLA DE PAGOS'!A$16),INDEX(SALDOS!B$3:G$200,MATCH('TABLA DE PAGOS'!A$16,SALDOS!E$3:E$200,0),6),IF(AND(P106&gt;0.001,M106&gt;0.001),'TABLA DE PAGOS'!I106,0))</f>
        <v>0</v>
      </c>
    </row>
    <row r="107" spans="2:23">
      <c r="B107" s="33">
        <v>106</v>
      </c>
      <c r="C107" s="8">
        <f>IF('TABLA DE PAGOS'!K107='TABLA DE PAGOS'!A$12,0,IF('TABLA DE PAGOS'!K107='TABLA DE PAGOS'!A$11,'VALORES DE LIQUIDACIÓN'!A$4-'TABLA DE PAGOS'!M107,IF(AND('TABLA DE PAGOS'!J107&lt;'VALORES DE LIQUIDACIÓN'!A$4,'TABLA DE PAGOS'!K107='TABLA DE PAGOS'!A$9),'VALORES DE LIQUIDACIÓN'!A$4-'TABLA DE PAGOS'!J107,0)))</f>
        <v>0</v>
      </c>
      <c r="D107" s="8">
        <f>IF(P107&gt;0,'VALORES DE LIQUIDACIÓN'!A$4-'TABLA DE PAGOS'!J107,0)</f>
        <v>0</v>
      </c>
      <c r="E107" s="35">
        <f t="shared" si="2"/>
        <v>0</v>
      </c>
      <c r="F107" s="11">
        <f>IF(E107&gt;0,('DATOS GENERALES'!K$3+('DATOS GENERALES'!K$3*E107)),0)</f>
        <v>0</v>
      </c>
      <c r="G107" s="11">
        <f>IF(E107&gt;0,IF('TABLA DE PAGOS'!K107='TABLA DE PAGOS'!A$11,(P107*C107*F107)/36000,('TABLA DE PAGOS'!E107*C107*F107)/36000),0)</f>
        <v>0</v>
      </c>
      <c r="I107" s="8">
        <f>IF('TABLA DE PAGOS'!$J107&lt;='VALORES DE LIQUIDACIÓN'!A$4,0,'TABLA DE PAGOS'!$J107-'VALORES DE LIQUIDACIÓN'!A$4)</f>
        <v>2999</v>
      </c>
      <c r="J107" s="8">
        <f>IF(AND(I107&gt;0,I106=0),'VALORES DE LIQUIDACIÓN'!A$4-'TABLA DE PAGOS'!J106,0)</f>
        <v>0</v>
      </c>
      <c r="K107" s="8">
        <f>IF(AND(AND('TABLA DE PAGOS'!J106&lt;='VALORES DE LIQUIDACIÓN'!A$4,'TABLA DE PAGOS'!J107&gt;='VALORES DE LIQUIDACIÓN'!A$4),'TABLA DE PAGOS'!K107='TABLA DE PAGOS'!A$10),'TABLA DE PAGOS'!C106,IF(AND('TABLA DE PAGOS'!K107='TABLA DE PAGOS'!A$10,'TABLA DE PAGOS'!K108='TABLA DE PAGOS'!A$9),'TABLA DE PAGOS'!C107,IF(AND('TABLA DE PAGOS'!K107='TABLA DE PAGOS'!A$11,'TABLA DE PAGOS'!K108='TABLA DE PAGOS'!A$9),'TABLA DE PAGOS'!C106,0)))</f>
        <v>0</v>
      </c>
      <c r="L107" s="14"/>
      <c r="M107" s="11">
        <f>IF(I107=0,IF('TABLA DE PAGOS'!J107&lt;='TABLA DE PAGOS'!A$4,0,IF('TABLA DE PAGOS'!K107='TABLA DE PAGOS'!A$9,'TABLA DE PAGOS'!F107,IF('TABLA DE PAGOS'!K107='TABLA DE PAGOS'!A$11,(INDEX(SALDOS!B$3:G$200,MATCH('TABLA DE PAGOS'!A$12,SALDOS!E$3:E$200,0),6))-(INDEX(SALDOS!B$3:H$200,MATCH('TABLA DE PAGOS'!A$12,SALDOS!E$3:E$200,0),7)),0))),0)</f>
        <v>0</v>
      </c>
      <c r="N107" s="11">
        <f>IF(AND(I107&gt;0,I106=0),J107*MAX(SALDOS!J$3:J$200),0)</f>
        <v>0</v>
      </c>
      <c r="P107" s="8">
        <f>IF(I107=0,IF('TABLA DE PAGOS'!J107&lt;='TABLA DE PAGOS'!A$4,0,IF('TABLA DE PAGOS'!K107='TABLA DE PAGOS'!A$9,'TABLA DE PAGOS'!E107,IF('TABLA DE PAGOS'!K107='TABLA DE PAGOS'!A$11,INDEX(SALDOS!B$3:G$200,MATCH('TABLA DE PAGOS'!A$13,SALDOS!E$3:E$200,0),6),0))),0)</f>
        <v>0</v>
      </c>
      <c r="Q107" s="8">
        <f>IF(AND(I107&gt;0,I106&gt;0),'TABLA DE PAGOS'!E107,0)</f>
        <v>1905.83</v>
      </c>
      <c r="R107" s="8">
        <f t="shared" si="3"/>
        <v>0</v>
      </c>
      <c r="T107" s="8">
        <f>IF(AND(I107&gt;0,I106=0),'TABLA DE PAGOS'!H107,0)</f>
        <v>0</v>
      </c>
      <c r="U107" s="8">
        <f>IF(AND('TABLA DE PAGOS'!K107='TABLA DE PAGOS'!A$11,VLOOKUP('TABLA DE PAGOS'!A$7,SALDOS!B$3:E$200,4)='TABLA DE PAGOS'!A$14),INDEX(SALDOS!B$3:G$200,MATCH('TABLA DE PAGOS'!A$14,SALDOS!E$3:E$200,0),6),IF(AND(P107&gt;0.001,M107&gt;0.001),'TABLA DE PAGOS'!H107,0))</f>
        <v>0</v>
      </c>
      <c r="W107" s="8">
        <f>IF(AND('TABLA DE PAGOS'!K107='TABLA DE PAGOS'!A$11,VLOOKUP('TABLA DE PAGOS'!A$7,SALDOS!B$3:E$200,4)='TABLA DE PAGOS'!A$16),INDEX(SALDOS!B$3:G$200,MATCH('TABLA DE PAGOS'!A$16,SALDOS!E$3:E$200,0),6),IF(AND(P107&gt;0.001,M107&gt;0.001),'TABLA DE PAGOS'!I107,0))</f>
        <v>0</v>
      </c>
    </row>
    <row r="108" spans="2:23">
      <c r="B108" s="33">
        <v>107</v>
      </c>
      <c r="C108" s="8">
        <f>IF('TABLA DE PAGOS'!K108='TABLA DE PAGOS'!A$12,0,IF('TABLA DE PAGOS'!K108='TABLA DE PAGOS'!A$11,'VALORES DE LIQUIDACIÓN'!A$4-'TABLA DE PAGOS'!M108,IF(AND('TABLA DE PAGOS'!J108&lt;'VALORES DE LIQUIDACIÓN'!A$4,'TABLA DE PAGOS'!K108='TABLA DE PAGOS'!A$9),'VALORES DE LIQUIDACIÓN'!A$4-'TABLA DE PAGOS'!J108,0)))</f>
        <v>0</v>
      </c>
      <c r="D108" s="8">
        <f>IF(P108&gt;0,'VALORES DE LIQUIDACIÓN'!A$4-'TABLA DE PAGOS'!J108,0)</f>
        <v>0</v>
      </c>
      <c r="E108" s="35">
        <f t="shared" si="2"/>
        <v>0</v>
      </c>
      <c r="F108" s="11">
        <f>IF(E108&gt;0,('DATOS GENERALES'!K$3+('DATOS GENERALES'!K$3*E108)),0)</f>
        <v>0</v>
      </c>
      <c r="G108" s="11">
        <f>IF(E108&gt;0,IF('TABLA DE PAGOS'!K108='TABLA DE PAGOS'!A$11,(P108*C108*F108)/36000,('TABLA DE PAGOS'!E108*C108*F108)/36000),0)</f>
        <v>0</v>
      </c>
      <c r="I108" s="8">
        <f>IF('TABLA DE PAGOS'!$J108&lt;='VALORES DE LIQUIDACIÓN'!A$4,0,'TABLA DE PAGOS'!$J108-'VALORES DE LIQUIDACIÓN'!A$4)</f>
        <v>3031</v>
      </c>
      <c r="J108" s="8">
        <f>IF(AND(I108&gt;0,I107=0),'VALORES DE LIQUIDACIÓN'!A$4-'TABLA DE PAGOS'!J107,0)</f>
        <v>0</v>
      </c>
      <c r="K108" s="8">
        <f>IF(AND(AND('TABLA DE PAGOS'!J107&lt;='VALORES DE LIQUIDACIÓN'!A$4,'TABLA DE PAGOS'!J108&gt;='VALORES DE LIQUIDACIÓN'!A$4),'TABLA DE PAGOS'!K108='TABLA DE PAGOS'!A$10),'TABLA DE PAGOS'!C107,IF(AND('TABLA DE PAGOS'!K108='TABLA DE PAGOS'!A$10,'TABLA DE PAGOS'!K109='TABLA DE PAGOS'!A$9),'TABLA DE PAGOS'!C108,IF(AND('TABLA DE PAGOS'!K108='TABLA DE PAGOS'!A$11,'TABLA DE PAGOS'!K109='TABLA DE PAGOS'!A$9),'TABLA DE PAGOS'!C107,0)))</f>
        <v>0</v>
      </c>
      <c r="L108" s="14"/>
      <c r="M108" s="11">
        <f>IF(I108=0,IF('TABLA DE PAGOS'!J108&lt;='TABLA DE PAGOS'!A$4,0,IF('TABLA DE PAGOS'!K108='TABLA DE PAGOS'!A$9,'TABLA DE PAGOS'!F108,IF('TABLA DE PAGOS'!K108='TABLA DE PAGOS'!A$11,(INDEX(SALDOS!B$3:G$200,MATCH('TABLA DE PAGOS'!A$12,SALDOS!E$3:E$200,0),6))-(INDEX(SALDOS!B$3:H$200,MATCH('TABLA DE PAGOS'!A$12,SALDOS!E$3:E$200,0),7)),0))),0)</f>
        <v>0</v>
      </c>
      <c r="N108" s="11">
        <f>IF(AND(I108&gt;0,I107=0),J108*MAX(SALDOS!J$3:J$200),0)</f>
        <v>0</v>
      </c>
      <c r="P108" s="8">
        <f>IF(I108=0,IF('TABLA DE PAGOS'!J108&lt;='TABLA DE PAGOS'!A$4,0,IF('TABLA DE PAGOS'!K108='TABLA DE PAGOS'!A$9,'TABLA DE PAGOS'!E108,IF('TABLA DE PAGOS'!K108='TABLA DE PAGOS'!A$11,INDEX(SALDOS!B$3:G$200,MATCH('TABLA DE PAGOS'!A$13,SALDOS!E$3:E$200,0),6),0))),0)</f>
        <v>0</v>
      </c>
      <c r="Q108" s="8">
        <f>IF(AND(I108&gt;0,I107&gt;0),'TABLA DE PAGOS'!E108,0)</f>
        <v>1850.97</v>
      </c>
      <c r="R108" s="8">
        <f t="shared" si="3"/>
        <v>0</v>
      </c>
      <c r="T108" s="8">
        <f>IF(AND(I108&gt;0,I107=0),'TABLA DE PAGOS'!H108,0)</f>
        <v>0</v>
      </c>
      <c r="U108" s="8">
        <f>IF(AND('TABLA DE PAGOS'!K108='TABLA DE PAGOS'!A$11,VLOOKUP('TABLA DE PAGOS'!A$7,SALDOS!B$3:E$200,4)='TABLA DE PAGOS'!A$14),INDEX(SALDOS!B$3:G$200,MATCH('TABLA DE PAGOS'!A$14,SALDOS!E$3:E$200,0),6),IF(AND(P108&gt;0.001,M108&gt;0.001),'TABLA DE PAGOS'!H108,0))</f>
        <v>0</v>
      </c>
      <c r="W108" s="8">
        <f>IF(AND('TABLA DE PAGOS'!K108='TABLA DE PAGOS'!A$11,VLOOKUP('TABLA DE PAGOS'!A$7,SALDOS!B$3:E$200,4)='TABLA DE PAGOS'!A$16),INDEX(SALDOS!B$3:G$200,MATCH('TABLA DE PAGOS'!A$16,SALDOS!E$3:E$200,0),6),IF(AND(P108&gt;0.001,M108&gt;0.001),'TABLA DE PAGOS'!I108,0))</f>
        <v>0</v>
      </c>
    </row>
    <row r="109" spans="2:23">
      <c r="B109" s="33">
        <v>108</v>
      </c>
      <c r="C109" s="8">
        <f>IF('TABLA DE PAGOS'!K109='TABLA DE PAGOS'!A$12,0,IF('TABLA DE PAGOS'!K109='TABLA DE PAGOS'!A$11,'VALORES DE LIQUIDACIÓN'!A$4-'TABLA DE PAGOS'!M109,IF(AND('TABLA DE PAGOS'!J109&lt;'VALORES DE LIQUIDACIÓN'!A$4,'TABLA DE PAGOS'!K109='TABLA DE PAGOS'!A$9),'VALORES DE LIQUIDACIÓN'!A$4-'TABLA DE PAGOS'!J109,0)))</f>
        <v>0</v>
      </c>
      <c r="D109" s="8">
        <f>IF(P109&gt;0,'VALORES DE LIQUIDACIÓN'!A$4-'TABLA DE PAGOS'!J109,0)</f>
        <v>0</v>
      </c>
      <c r="E109" s="35">
        <f t="shared" si="2"/>
        <v>0</v>
      </c>
      <c r="F109" s="11">
        <f>IF(E109&gt;0,('DATOS GENERALES'!K$3+('DATOS GENERALES'!K$3*E109)),0)</f>
        <v>0</v>
      </c>
      <c r="G109" s="11">
        <f>IF(E109&gt;0,IF('TABLA DE PAGOS'!K109='TABLA DE PAGOS'!A$11,(P109*C109*F109)/36000,('TABLA DE PAGOS'!E109*C109*F109)/36000),0)</f>
        <v>0</v>
      </c>
      <c r="I109" s="8">
        <f>IF('TABLA DE PAGOS'!$J109&lt;='VALORES DE LIQUIDACIÓN'!A$4,0,'TABLA DE PAGOS'!$J109-'VALORES DE LIQUIDACIÓN'!A$4)</f>
        <v>3061</v>
      </c>
      <c r="J109" s="8">
        <f>IF(AND(I109&gt;0,I108=0),'VALORES DE LIQUIDACIÓN'!A$4-'TABLA DE PAGOS'!J108,0)</f>
        <v>0</v>
      </c>
      <c r="K109" s="8">
        <f>IF(AND(AND('TABLA DE PAGOS'!J108&lt;='VALORES DE LIQUIDACIÓN'!A$4,'TABLA DE PAGOS'!J109&gt;='VALORES DE LIQUIDACIÓN'!A$4),'TABLA DE PAGOS'!K109='TABLA DE PAGOS'!A$10),'TABLA DE PAGOS'!C108,IF(AND('TABLA DE PAGOS'!K109='TABLA DE PAGOS'!A$10,'TABLA DE PAGOS'!K110='TABLA DE PAGOS'!A$9),'TABLA DE PAGOS'!C109,IF(AND('TABLA DE PAGOS'!K109='TABLA DE PAGOS'!A$11,'TABLA DE PAGOS'!K110='TABLA DE PAGOS'!A$9),'TABLA DE PAGOS'!C108,0)))</f>
        <v>0</v>
      </c>
      <c r="L109" s="14"/>
      <c r="M109" s="11">
        <f>IF(I109=0,IF('TABLA DE PAGOS'!J109&lt;='TABLA DE PAGOS'!A$4,0,IF('TABLA DE PAGOS'!K109='TABLA DE PAGOS'!A$9,'TABLA DE PAGOS'!F109,IF('TABLA DE PAGOS'!K109='TABLA DE PAGOS'!A$11,(INDEX(SALDOS!B$3:G$200,MATCH('TABLA DE PAGOS'!A$12,SALDOS!E$3:E$200,0),6))-(INDEX(SALDOS!B$3:H$200,MATCH('TABLA DE PAGOS'!A$12,SALDOS!E$3:E$200,0),7)),0))),0)</f>
        <v>0</v>
      </c>
      <c r="N109" s="11">
        <f>IF(AND(I109&gt;0,I108=0),J109*MAX(SALDOS!J$3:J$200),0)</f>
        <v>0</v>
      </c>
      <c r="P109" s="8">
        <f>IF(I109=0,IF('TABLA DE PAGOS'!J109&lt;='TABLA DE PAGOS'!A$4,0,IF('TABLA DE PAGOS'!K109='TABLA DE PAGOS'!A$9,'TABLA DE PAGOS'!E109,IF('TABLA DE PAGOS'!K109='TABLA DE PAGOS'!A$11,INDEX(SALDOS!B$3:G$200,MATCH('TABLA DE PAGOS'!A$13,SALDOS!E$3:E$200,0),6),0))),0)</f>
        <v>0</v>
      </c>
      <c r="Q109" s="8">
        <f>IF(AND(I109&gt;0,I108&gt;0),'TABLA DE PAGOS'!E109,0)</f>
        <v>1939.61</v>
      </c>
      <c r="R109" s="8">
        <f t="shared" si="3"/>
        <v>0</v>
      </c>
      <c r="T109" s="8">
        <f>IF(AND(I109&gt;0,I108=0),'TABLA DE PAGOS'!H109,0)</f>
        <v>0</v>
      </c>
      <c r="U109" s="8">
        <f>IF(AND('TABLA DE PAGOS'!K109='TABLA DE PAGOS'!A$11,VLOOKUP('TABLA DE PAGOS'!A$7,SALDOS!B$3:E$200,4)='TABLA DE PAGOS'!A$14),INDEX(SALDOS!B$3:G$200,MATCH('TABLA DE PAGOS'!A$14,SALDOS!E$3:E$200,0),6),IF(AND(P109&gt;0.001,M109&gt;0.001),'TABLA DE PAGOS'!H109,0))</f>
        <v>0</v>
      </c>
      <c r="W109" s="8">
        <f>IF(AND('TABLA DE PAGOS'!K109='TABLA DE PAGOS'!A$11,VLOOKUP('TABLA DE PAGOS'!A$7,SALDOS!B$3:E$200,4)='TABLA DE PAGOS'!A$16),INDEX(SALDOS!B$3:G$200,MATCH('TABLA DE PAGOS'!A$16,SALDOS!E$3:E$200,0),6),IF(AND(P109&gt;0.001,M109&gt;0.001),'TABLA DE PAGOS'!I109,0))</f>
        <v>0</v>
      </c>
    </row>
    <row r="110" spans="2:23">
      <c r="B110" s="33">
        <v>109</v>
      </c>
      <c r="C110" s="8">
        <f>IF('TABLA DE PAGOS'!K110='TABLA DE PAGOS'!A$12,0,IF('TABLA DE PAGOS'!K110='TABLA DE PAGOS'!A$11,'VALORES DE LIQUIDACIÓN'!A$4-'TABLA DE PAGOS'!M110,IF(AND('TABLA DE PAGOS'!J110&lt;'VALORES DE LIQUIDACIÓN'!A$4,'TABLA DE PAGOS'!K110='TABLA DE PAGOS'!A$9),'VALORES DE LIQUIDACIÓN'!A$4-'TABLA DE PAGOS'!J110,0)))</f>
        <v>0</v>
      </c>
      <c r="D110" s="8">
        <f>IF(P110&gt;0,'VALORES DE LIQUIDACIÓN'!A$4-'TABLA DE PAGOS'!J110,0)</f>
        <v>0</v>
      </c>
      <c r="E110" s="35">
        <f t="shared" si="2"/>
        <v>0</v>
      </c>
      <c r="F110" s="11">
        <f>IF(E110&gt;0,('DATOS GENERALES'!K$3+('DATOS GENERALES'!K$3*E110)),0)</f>
        <v>0</v>
      </c>
      <c r="G110" s="11">
        <f>IF(E110&gt;0,IF('TABLA DE PAGOS'!K110='TABLA DE PAGOS'!A$11,(P110*C110*F110)/36000,('TABLA DE PAGOS'!E110*C110*F110)/36000),0)</f>
        <v>0</v>
      </c>
      <c r="I110" s="8">
        <f>IF('TABLA DE PAGOS'!$J110&lt;='VALORES DE LIQUIDACIÓN'!A$4,0,'TABLA DE PAGOS'!$J110-'VALORES DE LIQUIDACIÓN'!A$4)</f>
        <v>3091</v>
      </c>
      <c r="J110" s="8">
        <f>IF(AND(I110&gt;0,I109=0),'VALORES DE LIQUIDACIÓN'!A$4-'TABLA DE PAGOS'!J109,0)</f>
        <v>0</v>
      </c>
      <c r="K110" s="8">
        <f>IF(AND(AND('TABLA DE PAGOS'!J109&lt;='VALORES DE LIQUIDACIÓN'!A$4,'TABLA DE PAGOS'!J110&gt;='VALORES DE LIQUIDACIÓN'!A$4),'TABLA DE PAGOS'!K110='TABLA DE PAGOS'!A$10),'TABLA DE PAGOS'!C109,IF(AND('TABLA DE PAGOS'!K110='TABLA DE PAGOS'!A$10,'TABLA DE PAGOS'!K111='TABLA DE PAGOS'!A$9),'TABLA DE PAGOS'!C110,IF(AND('TABLA DE PAGOS'!K110='TABLA DE PAGOS'!A$11,'TABLA DE PAGOS'!K111='TABLA DE PAGOS'!A$9),'TABLA DE PAGOS'!C109,0)))</f>
        <v>0</v>
      </c>
      <c r="L110" s="14"/>
      <c r="M110" s="11">
        <f>IF(I110=0,IF('TABLA DE PAGOS'!J110&lt;='TABLA DE PAGOS'!A$4,0,IF('TABLA DE PAGOS'!K110='TABLA DE PAGOS'!A$9,'TABLA DE PAGOS'!F110,IF('TABLA DE PAGOS'!K110='TABLA DE PAGOS'!A$11,(INDEX(SALDOS!B$3:G$200,MATCH('TABLA DE PAGOS'!A$12,SALDOS!E$3:E$200,0),6))-(INDEX(SALDOS!B$3:H$200,MATCH('TABLA DE PAGOS'!A$12,SALDOS!E$3:E$200,0),7)),0))),0)</f>
        <v>0</v>
      </c>
      <c r="N110" s="11">
        <f>IF(AND(I110&gt;0,I109=0),J110*MAX(SALDOS!J$3:J$200),0)</f>
        <v>0</v>
      </c>
      <c r="P110" s="8">
        <f>IF(I110=0,IF('TABLA DE PAGOS'!J110&lt;='TABLA DE PAGOS'!A$4,0,IF('TABLA DE PAGOS'!K110='TABLA DE PAGOS'!A$9,'TABLA DE PAGOS'!E110,IF('TABLA DE PAGOS'!K110='TABLA DE PAGOS'!A$11,INDEX(SALDOS!B$3:G$200,MATCH('TABLA DE PAGOS'!A$13,SALDOS!E$3:E$200,0),6),0))),0)</f>
        <v>0</v>
      </c>
      <c r="Q110" s="8">
        <f>IF(AND(I110&gt;0,I109&gt;0),'TABLA DE PAGOS'!E110,0)</f>
        <v>1957.06</v>
      </c>
      <c r="R110" s="8">
        <f t="shared" si="3"/>
        <v>0</v>
      </c>
      <c r="T110" s="8">
        <f>IF(AND(I110&gt;0,I109=0),'TABLA DE PAGOS'!H110,0)</f>
        <v>0</v>
      </c>
      <c r="U110" s="8">
        <f>IF(AND('TABLA DE PAGOS'!K110='TABLA DE PAGOS'!A$11,VLOOKUP('TABLA DE PAGOS'!A$7,SALDOS!B$3:E$200,4)='TABLA DE PAGOS'!A$14),INDEX(SALDOS!B$3:G$200,MATCH('TABLA DE PAGOS'!A$14,SALDOS!E$3:E$200,0),6),IF(AND(P110&gt;0.001,M110&gt;0.001),'TABLA DE PAGOS'!H110,0))</f>
        <v>0</v>
      </c>
      <c r="W110" s="8">
        <f>IF(AND('TABLA DE PAGOS'!K110='TABLA DE PAGOS'!A$11,VLOOKUP('TABLA DE PAGOS'!A$7,SALDOS!B$3:E$200,4)='TABLA DE PAGOS'!A$16),INDEX(SALDOS!B$3:G$200,MATCH('TABLA DE PAGOS'!A$16,SALDOS!E$3:E$200,0),6),IF(AND(P110&gt;0.001,M110&gt;0.001),'TABLA DE PAGOS'!I110,0))</f>
        <v>0</v>
      </c>
    </row>
    <row r="111" spans="2:23">
      <c r="B111" s="33">
        <v>110</v>
      </c>
      <c r="C111" s="8">
        <f>IF('TABLA DE PAGOS'!K111='TABLA DE PAGOS'!A$12,0,IF('TABLA DE PAGOS'!K111='TABLA DE PAGOS'!A$11,'VALORES DE LIQUIDACIÓN'!A$4-'TABLA DE PAGOS'!M111,IF(AND('TABLA DE PAGOS'!J111&lt;'VALORES DE LIQUIDACIÓN'!A$4,'TABLA DE PAGOS'!K111='TABLA DE PAGOS'!A$9),'VALORES DE LIQUIDACIÓN'!A$4-'TABLA DE PAGOS'!J111,0)))</f>
        <v>0</v>
      </c>
      <c r="D111" s="8">
        <f>IF(P111&gt;0,'VALORES DE LIQUIDACIÓN'!A$4-'TABLA DE PAGOS'!J111,0)</f>
        <v>0</v>
      </c>
      <c r="E111" s="35">
        <f t="shared" si="2"/>
        <v>0</v>
      </c>
      <c r="F111" s="11">
        <f>IF(E111&gt;0,('DATOS GENERALES'!K$3+('DATOS GENERALES'!K$3*E111)),0)</f>
        <v>0</v>
      </c>
      <c r="G111" s="11">
        <f>IF(E111&gt;0,IF('TABLA DE PAGOS'!K111='TABLA DE PAGOS'!A$11,(P111*C111*F111)/36000,('TABLA DE PAGOS'!E111*C111*F111)/36000),0)</f>
        <v>0</v>
      </c>
      <c r="I111" s="8">
        <f>IF('TABLA DE PAGOS'!$J111&lt;='VALORES DE LIQUIDACIÓN'!A$4,0,'TABLA DE PAGOS'!$J111-'VALORES DE LIQUIDACIÓN'!A$4)</f>
        <v>3122</v>
      </c>
      <c r="J111" s="8">
        <f>IF(AND(I111&gt;0,I110=0),'VALORES DE LIQUIDACIÓN'!A$4-'TABLA DE PAGOS'!J110,0)</f>
        <v>0</v>
      </c>
      <c r="K111" s="8">
        <f>IF(AND(AND('TABLA DE PAGOS'!J110&lt;='VALORES DE LIQUIDACIÓN'!A$4,'TABLA DE PAGOS'!J111&gt;='VALORES DE LIQUIDACIÓN'!A$4),'TABLA DE PAGOS'!K111='TABLA DE PAGOS'!A$10),'TABLA DE PAGOS'!C110,IF(AND('TABLA DE PAGOS'!K111='TABLA DE PAGOS'!A$10,'TABLA DE PAGOS'!K112='TABLA DE PAGOS'!A$9),'TABLA DE PAGOS'!C111,IF(AND('TABLA DE PAGOS'!K111='TABLA DE PAGOS'!A$11,'TABLA DE PAGOS'!K112='TABLA DE PAGOS'!A$9),'TABLA DE PAGOS'!C110,0)))</f>
        <v>0</v>
      </c>
      <c r="L111" s="14"/>
      <c r="M111" s="11">
        <f>IF(I111=0,IF('TABLA DE PAGOS'!J111&lt;='TABLA DE PAGOS'!A$4,0,IF('TABLA DE PAGOS'!K111='TABLA DE PAGOS'!A$9,'TABLA DE PAGOS'!F111,IF('TABLA DE PAGOS'!K111='TABLA DE PAGOS'!A$11,(INDEX(SALDOS!B$3:G$200,MATCH('TABLA DE PAGOS'!A$12,SALDOS!E$3:E$200,0),6))-(INDEX(SALDOS!B$3:H$200,MATCH('TABLA DE PAGOS'!A$12,SALDOS!E$3:E$200,0),7)),0))),0)</f>
        <v>0</v>
      </c>
      <c r="N111" s="11">
        <f>IF(AND(I111&gt;0,I110=0),J111*MAX(SALDOS!J$3:J$200),0)</f>
        <v>0</v>
      </c>
      <c r="P111" s="8">
        <f>IF(I111=0,IF('TABLA DE PAGOS'!J111&lt;='TABLA DE PAGOS'!A$4,0,IF('TABLA DE PAGOS'!K111='TABLA DE PAGOS'!A$9,'TABLA DE PAGOS'!E111,IF('TABLA DE PAGOS'!K111='TABLA DE PAGOS'!A$11,INDEX(SALDOS!B$3:G$200,MATCH('TABLA DE PAGOS'!A$13,SALDOS!E$3:E$200,0),6),0))),0)</f>
        <v>0</v>
      </c>
      <c r="Q111" s="8">
        <f>IF(AND(I111&gt;0,I110&gt;0),'TABLA DE PAGOS'!E111,0)</f>
        <v>1940.38</v>
      </c>
      <c r="R111" s="8">
        <f t="shared" si="3"/>
        <v>0</v>
      </c>
      <c r="T111" s="8">
        <f>IF(AND(I111&gt;0,I110=0),'TABLA DE PAGOS'!H111,0)</f>
        <v>0</v>
      </c>
      <c r="U111" s="8">
        <f>IF(AND('TABLA DE PAGOS'!K111='TABLA DE PAGOS'!A$11,VLOOKUP('TABLA DE PAGOS'!A$7,SALDOS!B$3:E$200,4)='TABLA DE PAGOS'!A$14),INDEX(SALDOS!B$3:G$200,MATCH('TABLA DE PAGOS'!A$14,SALDOS!E$3:E$200,0),6),IF(AND(P111&gt;0.001,M111&gt;0.001),'TABLA DE PAGOS'!H111,0))</f>
        <v>0</v>
      </c>
      <c r="W111" s="8">
        <f>IF(AND('TABLA DE PAGOS'!K111='TABLA DE PAGOS'!A$11,VLOOKUP('TABLA DE PAGOS'!A$7,SALDOS!B$3:E$200,4)='TABLA DE PAGOS'!A$16),INDEX(SALDOS!B$3:G$200,MATCH('TABLA DE PAGOS'!A$16,SALDOS!E$3:E$200,0),6),IF(AND(P111&gt;0.001,M111&gt;0.001),'TABLA DE PAGOS'!I111,0))</f>
        <v>0</v>
      </c>
    </row>
    <row r="112" spans="2:23">
      <c r="B112" s="33">
        <v>111</v>
      </c>
      <c r="C112" s="8">
        <f>IF('TABLA DE PAGOS'!K112='TABLA DE PAGOS'!A$12,0,IF('TABLA DE PAGOS'!K112='TABLA DE PAGOS'!A$11,'VALORES DE LIQUIDACIÓN'!A$4-'TABLA DE PAGOS'!M112,IF(AND('TABLA DE PAGOS'!J112&lt;'VALORES DE LIQUIDACIÓN'!A$4,'TABLA DE PAGOS'!K112='TABLA DE PAGOS'!A$9),'VALORES DE LIQUIDACIÓN'!A$4-'TABLA DE PAGOS'!J112,0)))</f>
        <v>0</v>
      </c>
      <c r="D112" s="8">
        <f>IF(P112&gt;0,'VALORES DE LIQUIDACIÓN'!A$4-'TABLA DE PAGOS'!J112,0)</f>
        <v>0</v>
      </c>
      <c r="E112" s="35">
        <f t="shared" si="2"/>
        <v>0</v>
      </c>
      <c r="F112" s="11">
        <f>IF(E112&gt;0,('DATOS GENERALES'!K$3+('DATOS GENERALES'!K$3*E112)),0)</f>
        <v>0</v>
      </c>
      <c r="G112" s="11">
        <f>IF(E112&gt;0,IF('TABLA DE PAGOS'!K112='TABLA DE PAGOS'!A$11,(P112*C112*F112)/36000,('TABLA DE PAGOS'!E112*C112*F112)/36000),0)</f>
        <v>0</v>
      </c>
      <c r="I112" s="8">
        <f>IF('TABLA DE PAGOS'!$J112&lt;='VALORES DE LIQUIDACIÓN'!A$4,0,'TABLA DE PAGOS'!$J112-'VALORES DE LIQUIDACIÓN'!A$4)</f>
        <v>3152</v>
      </c>
      <c r="J112" s="8">
        <f>IF(AND(I112&gt;0,I111=0),'VALORES DE LIQUIDACIÓN'!A$4-'TABLA DE PAGOS'!J111,0)</f>
        <v>0</v>
      </c>
      <c r="K112" s="8">
        <f>IF(AND(AND('TABLA DE PAGOS'!J111&lt;='VALORES DE LIQUIDACIÓN'!A$4,'TABLA DE PAGOS'!J112&gt;='VALORES DE LIQUIDACIÓN'!A$4),'TABLA DE PAGOS'!K112='TABLA DE PAGOS'!A$10),'TABLA DE PAGOS'!C111,IF(AND('TABLA DE PAGOS'!K112='TABLA DE PAGOS'!A$10,'TABLA DE PAGOS'!K113='TABLA DE PAGOS'!A$9),'TABLA DE PAGOS'!C112,IF(AND('TABLA DE PAGOS'!K112='TABLA DE PAGOS'!A$11,'TABLA DE PAGOS'!K113='TABLA DE PAGOS'!A$9),'TABLA DE PAGOS'!C111,0)))</f>
        <v>0</v>
      </c>
      <c r="L112" s="14"/>
      <c r="M112" s="11">
        <f>IF(I112=0,IF('TABLA DE PAGOS'!J112&lt;='TABLA DE PAGOS'!A$4,0,IF('TABLA DE PAGOS'!K112='TABLA DE PAGOS'!A$9,'TABLA DE PAGOS'!F112,IF('TABLA DE PAGOS'!K112='TABLA DE PAGOS'!A$11,(INDEX(SALDOS!B$3:G$200,MATCH('TABLA DE PAGOS'!A$12,SALDOS!E$3:E$200,0),6))-(INDEX(SALDOS!B$3:H$200,MATCH('TABLA DE PAGOS'!A$12,SALDOS!E$3:E$200,0),7)),0))),0)</f>
        <v>0</v>
      </c>
      <c r="N112" s="11">
        <f>IF(AND(I112&gt;0,I111=0),J112*MAX(SALDOS!J$3:J$200),0)</f>
        <v>0</v>
      </c>
      <c r="P112" s="8">
        <f>IF(I112=0,IF('TABLA DE PAGOS'!J112&lt;='TABLA DE PAGOS'!A$4,0,IF('TABLA DE PAGOS'!K112='TABLA DE PAGOS'!A$9,'TABLA DE PAGOS'!E112,IF('TABLA DE PAGOS'!K112='TABLA DE PAGOS'!A$11,INDEX(SALDOS!B$3:G$200,MATCH('TABLA DE PAGOS'!A$13,SALDOS!E$3:E$200,0),6),0))),0)</f>
        <v>0</v>
      </c>
      <c r="Q112" s="8">
        <f>IF(AND(I112&gt;0,I111&gt;0),'TABLA DE PAGOS'!E112,0)</f>
        <v>1992.1</v>
      </c>
      <c r="R112" s="8">
        <f t="shared" si="3"/>
        <v>0</v>
      </c>
      <c r="T112" s="8">
        <f>IF(AND(I112&gt;0,I111=0),'TABLA DE PAGOS'!H112,0)</f>
        <v>0</v>
      </c>
      <c r="U112" s="8">
        <f>IF(AND('TABLA DE PAGOS'!K112='TABLA DE PAGOS'!A$11,VLOOKUP('TABLA DE PAGOS'!A$7,SALDOS!B$3:E$200,4)='TABLA DE PAGOS'!A$14),INDEX(SALDOS!B$3:G$200,MATCH('TABLA DE PAGOS'!A$14,SALDOS!E$3:E$200,0),6),IF(AND(P112&gt;0.001,M112&gt;0.001),'TABLA DE PAGOS'!H112,0))</f>
        <v>0</v>
      </c>
      <c r="W112" s="8">
        <f>IF(AND('TABLA DE PAGOS'!K112='TABLA DE PAGOS'!A$11,VLOOKUP('TABLA DE PAGOS'!A$7,SALDOS!B$3:E$200,4)='TABLA DE PAGOS'!A$16),INDEX(SALDOS!B$3:G$200,MATCH('TABLA DE PAGOS'!A$16,SALDOS!E$3:E$200,0),6),IF(AND(P112&gt;0.001,M112&gt;0.001),'TABLA DE PAGOS'!I112,0))</f>
        <v>0</v>
      </c>
    </row>
    <row r="113" spans="2:23">
      <c r="B113" s="33">
        <v>112</v>
      </c>
      <c r="C113" s="8">
        <f>IF('TABLA DE PAGOS'!K113='TABLA DE PAGOS'!A$12,0,IF('TABLA DE PAGOS'!K113='TABLA DE PAGOS'!A$11,'VALORES DE LIQUIDACIÓN'!A$4-'TABLA DE PAGOS'!M113,IF(AND('TABLA DE PAGOS'!J113&lt;'VALORES DE LIQUIDACIÓN'!A$4,'TABLA DE PAGOS'!K113='TABLA DE PAGOS'!A$9),'VALORES DE LIQUIDACIÓN'!A$4-'TABLA DE PAGOS'!J113,0)))</f>
        <v>0</v>
      </c>
      <c r="D113" s="8">
        <f>IF(P113&gt;0,'VALORES DE LIQUIDACIÓN'!A$4-'TABLA DE PAGOS'!J113,0)</f>
        <v>0</v>
      </c>
      <c r="E113" s="35">
        <f t="shared" si="2"/>
        <v>0</v>
      </c>
      <c r="F113" s="11">
        <f>IF(E113&gt;0,('DATOS GENERALES'!K$3+('DATOS GENERALES'!K$3*E113)),0)</f>
        <v>0</v>
      </c>
      <c r="G113" s="11">
        <f>IF(E113&gt;0,IF('TABLA DE PAGOS'!K113='TABLA DE PAGOS'!A$11,(P113*C113*F113)/36000,('TABLA DE PAGOS'!E113*C113*F113)/36000),0)</f>
        <v>0</v>
      </c>
      <c r="I113" s="8">
        <f>IF('TABLA DE PAGOS'!$J113&lt;='VALORES DE LIQUIDACIÓN'!A$4,0,'TABLA DE PAGOS'!$J113-'VALORES DE LIQUIDACIÓN'!A$4)</f>
        <v>3185</v>
      </c>
      <c r="J113" s="8">
        <f>IF(AND(I113&gt;0,I112=0),'VALORES DE LIQUIDACIÓN'!A$4-'TABLA DE PAGOS'!J112,0)</f>
        <v>0</v>
      </c>
      <c r="K113" s="8">
        <f>IF(AND(AND('TABLA DE PAGOS'!J112&lt;='VALORES DE LIQUIDACIÓN'!A$4,'TABLA DE PAGOS'!J113&gt;='VALORES DE LIQUIDACIÓN'!A$4),'TABLA DE PAGOS'!K113='TABLA DE PAGOS'!A$10),'TABLA DE PAGOS'!C112,IF(AND('TABLA DE PAGOS'!K113='TABLA DE PAGOS'!A$10,'TABLA DE PAGOS'!K114='TABLA DE PAGOS'!A$9),'TABLA DE PAGOS'!C113,IF(AND('TABLA DE PAGOS'!K113='TABLA DE PAGOS'!A$11,'TABLA DE PAGOS'!K114='TABLA DE PAGOS'!A$9),'TABLA DE PAGOS'!C112,0)))</f>
        <v>0</v>
      </c>
      <c r="L113" s="14"/>
      <c r="M113" s="11">
        <f>IF(I113=0,IF('TABLA DE PAGOS'!J113&lt;='TABLA DE PAGOS'!A$4,0,IF('TABLA DE PAGOS'!K113='TABLA DE PAGOS'!A$9,'TABLA DE PAGOS'!F113,IF('TABLA DE PAGOS'!K113='TABLA DE PAGOS'!A$11,(INDEX(SALDOS!B$3:G$200,MATCH('TABLA DE PAGOS'!A$12,SALDOS!E$3:E$200,0),6))-(INDEX(SALDOS!B$3:H$200,MATCH('TABLA DE PAGOS'!A$12,SALDOS!E$3:E$200,0),7)),0))),0)</f>
        <v>0</v>
      </c>
      <c r="N113" s="11">
        <f>IF(AND(I113&gt;0,I112=0),J113*MAX(SALDOS!J$3:J$200),0)</f>
        <v>0</v>
      </c>
      <c r="P113" s="8">
        <f>IF(I113=0,IF('TABLA DE PAGOS'!J113&lt;='TABLA DE PAGOS'!A$4,0,IF('TABLA DE PAGOS'!K113='TABLA DE PAGOS'!A$9,'TABLA DE PAGOS'!E113,IF('TABLA DE PAGOS'!K113='TABLA DE PAGOS'!A$11,INDEX(SALDOS!B$3:G$200,MATCH('TABLA DE PAGOS'!A$13,SALDOS!E$3:E$200,0),6),0))),0)</f>
        <v>0</v>
      </c>
      <c r="Q113" s="8">
        <f>IF(AND(I113&gt;0,I112&gt;0),'TABLA DE PAGOS'!E113,0)</f>
        <v>1910.73</v>
      </c>
      <c r="R113" s="8">
        <f t="shared" si="3"/>
        <v>0</v>
      </c>
      <c r="T113" s="8">
        <f>IF(AND(I113&gt;0,I112=0),'TABLA DE PAGOS'!H113,0)</f>
        <v>0</v>
      </c>
      <c r="U113" s="8">
        <f>IF(AND('TABLA DE PAGOS'!K113='TABLA DE PAGOS'!A$11,VLOOKUP('TABLA DE PAGOS'!A$7,SALDOS!B$3:E$200,4)='TABLA DE PAGOS'!A$14),INDEX(SALDOS!B$3:G$200,MATCH('TABLA DE PAGOS'!A$14,SALDOS!E$3:E$200,0),6),IF(AND(P113&gt;0.001,M113&gt;0.001),'TABLA DE PAGOS'!H113,0))</f>
        <v>0</v>
      </c>
      <c r="W113" s="8">
        <f>IF(AND('TABLA DE PAGOS'!K113='TABLA DE PAGOS'!A$11,VLOOKUP('TABLA DE PAGOS'!A$7,SALDOS!B$3:E$200,4)='TABLA DE PAGOS'!A$16),INDEX(SALDOS!B$3:G$200,MATCH('TABLA DE PAGOS'!A$16,SALDOS!E$3:E$200,0),6),IF(AND(P113&gt;0.001,M113&gt;0.001),'TABLA DE PAGOS'!I113,0))</f>
        <v>0</v>
      </c>
    </row>
    <row r="114" spans="2:23">
      <c r="B114" s="33">
        <v>113</v>
      </c>
      <c r="C114" s="8">
        <f>IF('TABLA DE PAGOS'!K114='TABLA DE PAGOS'!A$12,0,IF('TABLA DE PAGOS'!K114='TABLA DE PAGOS'!A$11,'VALORES DE LIQUIDACIÓN'!A$4-'TABLA DE PAGOS'!M114,IF(AND('TABLA DE PAGOS'!J114&lt;'VALORES DE LIQUIDACIÓN'!A$4,'TABLA DE PAGOS'!K114='TABLA DE PAGOS'!A$9),'VALORES DE LIQUIDACIÓN'!A$4-'TABLA DE PAGOS'!J114,0)))</f>
        <v>0</v>
      </c>
      <c r="D114" s="8">
        <f>IF(P114&gt;0,'VALORES DE LIQUIDACIÓN'!A$4-'TABLA DE PAGOS'!J114,0)</f>
        <v>0</v>
      </c>
      <c r="E114" s="35">
        <f t="shared" si="2"/>
        <v>0</v>
      </c>
      <c r="F114" s="11">
        <f>IF(E114&gt;0,('DATOS GENERALES'!K$3+('DATOS GENERALES'!K$3*E114)),0)</f>
        <v>0</v>
      </c>
      <c r="G114" s="11">
        <f>IF(E114&gt;0,IF('TABLA DE PAGOS'!K114='TABLA DE PAGOS'!A$11,(P114*C114*F114)/36000,('TABLA DE PAGOS'!E114*C114*F114)/36000),0)</f>
        <v>0</v>
      </c>
      <c r="I114" s="8">
        <f>IF('TABLA DE PAGOS'!$J114&lt;='VALORES DE LIQUIDACIÓN'!A$4,0,'TABLA DE PAGOS'!$J114-'VALORES DE LIQUIDACIÓN'!A$4)</f>
        <v>3214</v>
      </c>
      <c r="J114" s="8">
        <f>IF(AND(I114&gt;0,I113=0),'VALORES DE LIQUIDACIÓN'!A$4-'TABLA DE PAGOS'!J113,0)</f>
        <v>0</v>
      </c>
      <c r="K114" s="8">
        <f>IF(AND(AND('TABLA DE PAGOS'!J113&lt;='VALORES DE LIQUIDACIÓN'!A$4,'TABLA DE PAGOS'!J114&gt;='VALORES DE LIQUIDACIÓN'!A$4),'TABLA DE PAGOS'!K114='TABLA DE PAGOS'!A$10),'TABLA DE PAGOS'!C113,IF(AND('TABLA DE PAGOS'!K114='TABLA DE PAGOS'!A$10,'TABLA DE PAGOS'!K115='TABLA DE PAGOS'!A$9),'TABLA DE PAGOS'!C114,IF(AND('TABLA DE PAGOS'!K114='TABLA DE PAGOS'!A$11,'TABLA DE PAGOS'!K115='TABLA DE PAGOS'!A$9),'TABLA DE PAGOS'!C113,0)))</f>
        <v>0</v>
      </c>
      <c r="L114" s="14"/>
      <c r="M114" s="11">
        <f>IF(I114=0,IF('TABLA DE PAGOS'!J114&lt;='TABLA DE PAGOS'!A$4,0,IF('TABLA DE PAGOS'!K114='TABLA DE PAGOS'!A$9,'TABLA DE PAGOS'!F114,IF('TABLA DE PAGOS'!K114='TABLA DE PAGOS'!A$11,(INDEX(SALDOS!B$3:G$200,MATCH('TABLA DE PAGOS'!A$12,SALDOS!E$3:E$200,0),6))-(INDEX(SALDOS!B$3:H$200,MATCH('TABLA DE PAGOS'!A$12,SALDOS!E$3:E$200,0),7)),0))),0)</f>
        <v>0</v>
      </c>
      <c r="N114" s="11">
        <f>IF(AND(I114&gt;0,I113=0),J114*MAX(SALDOS!J$3:J$200),0)</f>
        <v>0</v>
      </c>
      <c r="P114" s="8">
        <f>IF(I114=0,IF('TABLA DE PAGOS'!J114&lt;='TABLA DE PAGOS'!A$4,0,IF('TABLA DE PAGOS'!K114='TABLA DE PAGOS'!A$9,'TABLA DE PAGOS'!E114,IF('TABLA DE PAGOS'!K114='TABLA DE PAGOS'!A$11,INDEX(SALDOS!B$3:G$200,MATCH('TABLA DE PAGOS'!A$13,SALDOS!E$3:E$200,0),6),0))),0)</f>
        <v>0</v>
      </c>
      <c r="Q114" s="8">
        <f>IF(AND(I114&gt;0,I113&gt;0),'TABLA DE PAGOS'!E114,0)</f>
        <v>2059.72</v>
      </c>
      <c r="R114" s="8">
        <f t="shared" si="3"/>
        <v>0</v>
      </c>
      <c r="T114" s="8">
        <f>IF(AND(I114&gt;0,I113=0),'TABLA DE PAGOS'!H114,0)</f>
        <v>0</v>
      </c>
      <c r="U114" s="8">
        <v>0</v>
      </c>
      <c r="W114" s="8">
        <f>IF(AND('TABLA DE PAGOS'!K114='TABLA DE PAGOS'!A$11,VLOOKUP('TABLA DE PAGOS'!A$7,SALDOS!B$3:E$200,4)='TABLA DE PAGOS'!A$16),INDEX(SALDOS!B$3:G$200,MATCH('TABLA DE PAGOS'!A$16,SALDOS!E$3:E$200,0),6),IF(AND(P114&gt;0.001,M114&gt;0.001),'TABLA DE PAGOS'!I114,0))</f>
        <v>0</v>
      </c>
    </row>
    <row r="115" spans="2:23">
      <c r="B115" s="33">
        <v>114</v>
      </c>
      <c r="C115" s="8">
        <f>IF('TABLA DE PAGOS'!K115='TABLA DE PAGOS'!A$12,0,IF('TABLA DE PAGOS'!K115='TABLA DE PAGOS'!A$11,'VALORES DE LIQUIDACIÓN'!A$4-'TABLA DE PAGOS'!M115,IF(AND('TABLA DE PAGOS'!J115&lt;'VALORES DE LIQUIDACIÓN'!A$4,'TABLA DE PAGOS'!K115='TABLA DE PAGOS'!A$9),'VALORES DE LIQUIDACIÓN'!A$4-'TABLA DE PAGOS'!J115,0)))</f>
        <v>0</v>
      </c>
      <c r="D115" s="8">
        <f>IF(P115&gt;0,'VALORES DE LIQUIDACIÓN'!A$4-'TABLA DE PAGOS'!J115,0)</f>
        <v>0</v>
      </c>
      <c r="E115" s="35">
        <f t="shared" si="2"/>
        <v>0</v>
      </c>
      <c r="F115" s="11">
        <f>IF(E115&gt;0,('DATOS GENERALES'!K$3+('DATOS GENERALES'!K$3*E115)),0)</f>
        <v>0</v>
      </c>
      <c r="G115" s="11">
        <f>IF(E115&gt;0,IF('TABLA DE PAGOS'!K115='TABLA DE PAGOS'!A$11,(P115*C115*F115)/36000,('TABLA DE PAGOS'!E115*C115*F115)/36000),0)</f>
        <v>0</v>
      </c>
      <c r="I115" s="8">
        <f>IF('TABLA DE PAGOS'!$J115&lt;='VALORES DE LIQUIDACIÓN'!A$4,0,'TABLA DE PAGOS'!$J115-'VALORES DE LIQUIDACIÓN'!A$4)</f>
        <v>3242</v>
      </c>
      <c r="J115" s="8">
        <f>IF(AND(I115&gt;0,I114=0),'VALORES DE LIQUIDACIÓN'!A$4-'TABLA DE PAGOS'!J114,0)</f>
        <v>0</v>
      </c>
      <c r="K115" s="8">
        <f>IF(AND(AND('TABLA DE PAGOS'!J114&lt;='VALORES DE LIQUIDACIÓN'!A$4,'TABLA DE PAGOS'!J115&gt;='VALORES DE LIQUIDACIÓN'!A$4),'TABLA DE PAGOS'!K115='TABLA DE PAGOS'!A$10),'TABLA DE PAGOS'!C114,IF(AND('TABLA DE PAGOS'!K115='TABLA DE PAGOS'!A$10,'TABLA DE PAGOS'!K116='TABLA DE PAGOS'!A$9),'TABLA DE PAGOS'!C115,IF(AND('TABLA DE PAGOS'!K115='TABLA DE PAGOS'!A$11,'TABLA DE PAGOS'!K116='TABLA DE PAGOS'!A$9),'TABLA DE PAGOS'!C114,0)))</f>
        <v>0</v>
      </c>
      <c r="L115" s="14"/>
      <c r="M115" s="11">
        <f>IF(I115=0,IF('TABLA DE PAGOS'!J115&lt;='TABLA DE PAGOS'!A$4,0,IF('TABLA DE PAGOS'!K115='TABLA DE PAGOS'!A$9,'TABLA DE PAGOS'!F115,IF('TABLA DE PAGOS'!K115='TABLA DE PAGOS'!A$11,(INDEX(SALDOS!B$3:G$200,MATCH('TABLA DE PAGOS'!A$12,SALDOS!E$3:E$200,0),6))-(INDEX(SALDOS!B$3:H$200,MATCH('TABLA DE PAGOS'!A$12,SALDOS!E$3:E$200,0),7)),0))),0)</f>
        <v>0</v>
      </c>
      <c r="N115" s="11">
        <f>IF(AND(I115&gt;0,I114=0),J115*MAX(SALDOS!J$3:J$200),0)</f>
        <v>0</v>
      </c>
      <c r="P115" s="8">
        <f>IF(I115=0,IF('TABLA DE PAGOS'!J115&lt;='TABLA DE PAGOS'!A$4,0,IF('TABLA DE PAGOS'!K115='TABLA DE PAGOS'!A$9,'TABLA DE PAGOS'!E115,IF('TABLA DE PAGOS'!K115='TABLA DE PAGOS'!A$11,INDEX(SALDOS!B$3:G$200,MATCH('TABLA DE PAGOS'!A$13,SALDOS!E$3:E$200,0),6),0))),0)</f>
        <v>0</v>
      </c>
      <c r="Q115" s="8">
        <f>IF(AND(I115&gt;0,I114&gt;0),'TABLA DE PAGOS'!E115,0)</f>
        <v>2109.52</v>
      </c>
      <c r="R115" s="8">
        <f t="shared" si="3"/>
        <v>0</v>
      </c>
      <c r="T115" s="8">
        <f>IF(AND(I115&gt;0,I114=0),'TABLA DE PAGOS'!H115,0)</f>
        <v>0</v>
      </c>
      <c r="U115" s="8">
        <f>IF(AND('TABLA DE PAGOS'!K115='TABLA DE PAGOS'!A$11,VLOOKUP('TABLA DE PAGOS'!A$7,SALDOS!B$3:E$200,4)='TABLA DE PAGOS'!A$14),INDEX(SALDOS!B$3:G$200,MATCH('TABLA DE PAGOS'!A$14,SALDOS!E$3:E$200,0),6),IF(AND(P115&gt;0.001,M115&gt;0.001),'TABLA DE PAGOS'!H115,0))</f>
        <v>0</v>
      </c>
      <c r="W115" s="8">
        <f>IF(AND('TABLA DE PAGOS'!K115='TABLA DE PAGOS'!A$11,VLOOKUP('TABLA DE PAGOS'!A$7,SALDOS!B$3:E$200,4)='TABLA DE PAGOS'!A$16),INDEX(SALDOS!B$3:G$200,MATCH('TABLA DE PAGOS'!A$16,SALDOS!E$3:E$200,0),6),IF(AND(P115&gt;0.001,M115&gt;0.001),'TABLA DE PAGOS'!I115,0))</f>
        <v>0</v>
      </c>
    </row>
    <row r="116" spans="2:23">
      <c r="B116" s="33">
        <v>115</v>
      </c>
      <c r="C116" s="8">
        <f>IF('TABLA DE PAGOS'!K116='TABLA DE PAGOS'!A$12,0,IF('TABLA DE PAGOS'!K116='TABLA DE PAGOS'!A$11,'VALORES DE LIQUIDACIÓN'!A$4-'TABLA DE PAGOS'!M116,IF(AND('TABLA DE PAGOS'!J116&lt;'VALORES DE LIQUIDACIÓN'!A$4,'TABLA DE PAGOS'!K116='TABLA DE PAGOS'!A$9),'VALORES DE LIQUIDACIÓN'!A$4-'TABLA DE PAGOS'!J116,0)))</f>
        <v>0</v>
      </c>
      <c r="D116" s="8">
        <f>IF(P116&gt;0,'VALORES DE LIQUIDACIÓN'!A$4-'TABLA DE PAGOS'!J116,0)</f>
        <v>0</v>
      </c>
      <c r="E116" s="35">
        <f t="shared" si="2"/>
        <v>0</v>
      </c>
      <c r="F116" s="11">
        <f>IF(E116&gt;0,('DATOS GENERALES'!K$3+('DATOS GENERALES'!K$3*E116)),0)</f>
        <v>0</v>
      </c>
      <c r="G116" s="11">
        <f>IF(E116&gt;0,IF('TABLA DE PAGOS'!K116='TABLA DE PAGOS'!A$11,(P116*C116*F116)/36000,('TABLA DE PAGOS'!E116*C116*F116)/36000),0)</f>
        <v>0</v>
      </c>
      <c r="I116" s="8">
        <f>IF('TABLA DE PAGOS'!$J116&lt;='VALORES DE LIQUIDACIÓN'!A$4,0,'TABLA DE PAGOS'!$J116-'VALORES DE LIQUIDACIÓN'!A$4)</f>
        <v>3273</v>
      </c>
      <c r="J116" s="8">
        <f>IF(AND(I116&gt;0,I115=0),'VALORES DE LIQUIDACIÓN'!A$4-'TABLA DE PAGOS'!J115,0)</f>
        <v>0</v>
      </c>
      <c r="K116" s="8">
        <f>IF(AND(AND('TABLA DE PAGOS'!J115&lt;='VALORES DE LIQUIDACIÓN'!A$4,'TABLA DE PAGOS'!J116&gt;='VALORES DE LIQUIDACIÓN'!A$4),'TABLA DE PAGOS'!K116='TABLA DE PAGOS'!A$10),'TABLA DE PAGOS'!C115,IF(AND('TABLA DE PAGOS'!K116='TABLA DE PAGOS'!A$10,'TABLA DE PAGOS'!K117='TABLA DE PAGOS'!A$9),'TABLA DE PAGOS'!C116,IF(AND('TABLA DE PAGOS'!K116='TABLA DE PAGOS'!A$11,'TABLA DE PAGOS'!K117='TABLA DE PAGOS'!A$9),'TABLA DE PAGOS'!C115,0)))</f>
        <v>0</v>
      </c>
      <c r="L116" s="14"/>
      <c r="M116" s="11">
        <f>IF(I116=0,IF('TABLA DE PAGOS'!J116&lt;='TABLA DE PAGOS'!A$4,0,IF('TABLA DE PAGOS'!K116='TABLA DE PAGOS'!A$9,'TABLA DE PAGOS'!F116,IF('TABLA DE PAGOS'!K116='TABLA DE PAGOS'!A$11,(INDEX(SALDOS!B$3:G$200,MATCH('TABLA DE PAGOS'!A$12,SALDOS!E$3:E$200,0),6))-(INDEX(SALDOS!B$3:H$200,MATCH('TABLA DE PAGOS'!A$12,SALDOS!E$3:E$200,0),7)),0))),0)</f>
        <v>0</v>
      </c>
      <c r="N116" s="11">
        <f>IF(AND(I116&gt;0,I115=0),J116*MAX(SALDOS!J$3:J$200),0)</f>
        <v>0</v>
      </c>
      <c r="P116" s="8">
        <f>IF(I116=0,IF('TABLA DE PAGOS'!J116&lt;='TABLA DE PAGOS'!A$4,0,IF('TABLA DE PAGOS'!K116='TABLA DE PAGOS'!A$9,'TABLA DE PAGOS'!E116,IF('TABLA DE PAGOS'!K116='TABLA DE PAGOS'!A$11,INDEX(SALDOS!B$3:G$200,MATCH('TABLA DE PAGOS'!A$13,SALDOS!E$3:E$200,0),6),0))),0)</f>
        <v>0</v>
      </c>
      <c r="Q116" s="8">
        <f>IF(AND(I116&gt;0,I115&gt;0),'TABLA DE PAGOS'!E116,0)</f>
        <v>2033.42</v>
      </c>
      <c r="R116" s="8">
        <f t="shared" si="3"/>
        <v>0</v>
      </c>
      <c r="T116" s="8">
        <f>IF(AND(I116&gt;0,I115=0),'TABLA DE PAGOS'!H116,0)</f>
        <v>0</v>
      </c>
      <c r="U116" s="8">
        <f>IF(AND('TABLA DE PAGOS'!K116='TABLA DE PAGOS'!A$11,VLOOKUP('TABLA DE PAGOS'!A$7,SALDOS!B$3:E$200,4)='TABLA DE PAGOS'!A$14),INDEX(SALDOS!B$3:G$200,MATCH('TABLA DE PAGOS'!A$14,SALDOS!E$3:E$200,0),6),IF(AND(P116&gt;0.001,M116&gt;0.001),'TABLA DE PAGOS'!H116,0))</f>
        <v>0</v>
      </c>
      <c r="W116" s="8">
        <f>IF(AND('TABLA DE PAGOS'!K116='TABLA DE PAGOS'!A$11,VLOOKUP('TABLA DE PAGOS'!A$7,SALDOS!B$3:E$200,4)='TABLA DE PAGOS'!A$16),INDEX(SALDOS!B$3:G$200,MATCH('TABLA DE PAGOS'!A$16,SALDOS!E$3:E$200,0),6),IF(AND(P116&gt;0.001,M116&gt;0.001),'TABLA DE PAGOS'!I116,0))</f>
        <v>0</v>
      </c>
    </row>
    <row r="117" spans="2:23">
      <c r="B117" s="33">
        <v>116</v>
      </c>
      <c r="C117" s="8">
        <f>IF('TABLA DE PAGOS'!K117='TABLA DE PAGOS'!A$12,0,IF('TABLA DE PAGOS'!K117='TABLA DE PAGOS'!A$11,'VALORES DE LIQUIDACIÓN'!A$4-'TABLA DE PAGOS'!M117,IF(AND('TABLA DE PAGOS'!J117&lt;'VALORES DE LIQUIDACIÓN'!A$4,'TABLA DE PAGOS'!K117='TABLA DE PAGOS'!A$9),'VALORES DE LIQUIDACIÓN'!A$4-'TABLA DE PAGOS'!J117,0)))</f>
        <v>0</v>
      </c>
      <c r="D117" s="8">
        <f>IF(P117&gt;0,'VALORES DE LIQUIDACIÓN'!A$4-'TABLA DE PAGOS'!J117,0)</f>
        <v>0</v>
      </c>
      <c r="E117" s="35">
        <f t="shared" si="2"/>
        <v>0</v>
      </c>
      <c r="F117" s="11">
        <f>IF(E117&gt;0,('DATOS GENERALES'!K$3+('DATOS GENERALES'!K$3*E117)),0)</f>
        <v>0</v>
      </c>
      <c r="G117" s="11">
        <f>IF(E117&gt;0,IF('TABLA DE PAGOS'!K117='TABLA DE PAGOS'!A$11,(P117*C117*F117)/36000,('TABLA DE PAGOS'!E117*C117*F117)/36000),0)</f>
        <v>0</v>
      </c>
      <c r="I117" s="8">
        <f>IF('TABLA DE PAGOS'!$J117&lt;='VALORES DE LIQUIDACIÓN'!A$4,0,'TABLA DE PAGOS'!$J117-'VALORES DE LIQUIDACIÓN'!A$4)</f>
        <v>3304</v>
      </c>
      <c r="J117" s="8">
        <f>IF(AND(I117&gt;0,I116=0),'VALORES DE LIQUIDACIÓN'!A$4-'TABLA DE PAGOS'!J116,0)</f>
        <v>0</v>
      </c>
      <c r="K117" s="8">
        <f>IF(AND(AND('TABLA DE PAGOS'!J116&lt;='VALORES DE LIQUIDACIÓN'!A$4,'TABLA DE PAGOS'!J117&gt;='VALORES DE LIQUIDACIÓN'!A$4),'TABLA DE PAGOS'!K117='TABLA DE PAGOS'!A$10),'TABLA DE PAGOS'!C116,IF(AND('TABLA DE PAGOS'!K117='TABLA DE PAGOS'!A$10,'TABLA DE PAGOS'!K118='TABLA DE PAGOS'!A$9),'TABLA DE PAGOS'!C117,IF(AND('TABLA DE PAGOS'!K117='TABLA DE PAGOS'!A$11,'TABLA DE PAGOS'!K118='TABLA DE PAGOS'!A$9),'TABLA DE PAGOS'!C116,0)))</f>
        <v>0</v>
      </c>
      <c r="L117" s="14"/>
      <c r="M117" s="11">
        <f>IF(I117=0,IF('TABLA DE PAGOS'!J117&lt;='TABLA DE PAGOS'!A$4,0,IF('TABLA DE PAGOS'!K117='TABLA DE PAGOS'!A$9,'TABLA DE PAGOS'!F117,IF('TABLA DE PAGOS'!K117='TABLA DE PAGOS'!A$11,(INDEX(SALDOS!B$3:G$200,MATCH('TABLA DE PAGOS'!A$12,SALDOS!E$3:E$200,0),6))-(INDEX(SALDOS!B$3:H$200,MATCH('TABLA DE PAGOS'!A$12,SALDOS!E$3:E$200,0),7)),0))),0)</f>
        <v>0</v>
      </c>
      <c r="N117" s="11">
        <f>IF(AND(I117&gt;0,I116=0),J117*MAX(SALDOS!J$3:J$200),0)</f>
        <v>0</v>
      </c>
      <c r="P117" s="8">
        <f>IF(I117=0,IF('TABLA DE PAGOS'!J117&lt;='TABLA DE PAGOS'!A$4,0,IF('TABLA DE PAGOS'!K117='TABLA DE PAGOS'!A$9,'TABLA DE PAGOS'!E117,IF('TABLA DE PAGOS'!K117='TABLA DE PAGOS'!A$11,INDEX(SALDOS!B$3:G$200,MATCH('TABLA DE PAGOS'!A$13,SALDOS!E$3:E$200,0),6),0))),0)</f>
        <v>0</v>
      </c>
      <c r="Q117" s="8">
        <f>IF(AND(I117&gt;0,I116&gt;0),'TABLA DE PAGOS'!E117,0)</f>
        <v>2052.31</v>
      </c>
      <c r="R117" s="8">
        <f t="shared" si="3"/>
        <v>0</v>
      </c>
      <c r="T117" s="8">
        <f>IF(AND(I117&gt;0,I116=0),'TABLA DE PAGOS'!H117,0)</f>
        <v>0</v>
      </c>
      <c r="U117" s="8">
        <f>IF(AND('TABLA DE PAGOS'!K117='TABLA DE PAGOS'!A$11,VLOOKUP('TABLA DE PAGOS'!A$7,SALDOS!B$3:E$200,4)='TABLA DE PAGOS'!A$14),INDEX(SALDOS!B$3:G$200,MATCH('TABLA DE PAGOS'!A$14,SALDOS!E$3:E$200,0),6),IF(AND(P117&gt;0.001,M117&gt;0.001),'TABLA DE PAGOS'!H117,0))</f>
        <v>0</v>
      </c>
      <c r="W117" s="8">
        <f>IF(AND('TABLA DE PAGOS'!K117='TABLA DE PAGOS'!A$11,VLOOKUP('TABLA DE PAGOS'!A$7,SALDOS!B$3:E$200,4)='TABLA DE PAGOS'!A$16),INDEX(SALDOS!B$3:G$200,MATCH('TABLA DE PAGOS'!A$16,SALDOS!E$3:E$200,0),6),IF(AND(P117&gt;0.001,M117&gt;0.001),'TABLA DE PAGOS'!I117,0))</f>
        <v>0</v>
      </c>
    </row>
    <row r="118" spans="2:23">
      <c r="B118" s="33">
        <v>117</v>
      </c>
      <c r="C118" s="8">
        <f>IF('TABLA DE PAGOS'!K118='TABLA DE PAGOS'!A$12,0,IF('TABLA DE PAGOS'!K118='TABLA DE PAGOS'!A$11,'VALORES DE LIQUIDACIÓN'!A$4-'TABLA DE PAGOS'!M118,IF(AND('TABLA DE PAGOS'!J118&lt;'VALORES DE LIQUIDACIÓN'!A$4,'TABLA DE PAGOS'!K118='TABLA DE PAGOS'!A$9),'VALORES DE LIQUIDACIÓN'!A$4-'TABLA DE PAGOS'!J118,0)))</f>
        <v>0</v>
      </c>
      <c r="D118" s="8">
        <f>IF(P118&gt;0,'VALORES DE LIQUIDACIÓN'!A$4-'TABLA DE PAGOS'!J118,0)</f>
        <v>0</v>
      </c>
      <c r="E118" s="35">
        <f t="shared" si="2"/>
        <v>0</v>
      </c>
      <c r="F118" s="11">
        <f>IF(E118&gt;0,('DATOS GENERALES'!K$3+('DATOS GENERALES'!K$3*E118)),0)</f>
        <v>0</v>
      </c>
      <c r="G118" s="11">
        <f>IF(E118&gt;0,IF('TABLA DE PAGOS'!K118='TABLA DE PAGOS'!A$11,(P118*C118*F118)/36000,('TABLA DE PAGOS'!E118*C118*F118)/36000),0)</f>
        <v>0</v>
      </c>
      <c r="I118" s="8">
        <f>IF('TABLA DE PAGOS'!$J118&lt;='VALORES DE LIQUIDACIÓN'!A$4,0,'TABLA DE PAGOS'!$J118-'VALORES DE LIQUIDACIÓN'!A$4)</f>
        <v>3334</v>
      </c>
      <c r="J118" s="8">
        <f>IF(AND(I118&gt;0,I117=0),'VALORES DE LIQUIDACIÓN'!A$4-'TABLA DE PAGOS'!J117,0)</f>
        <v>0</v>
      </c>
      <c r="K118" s="8">
        <f>IF(AND(AND('TABLA DE PAGOS'!J117&lt;='VALORES DE LIQUIDACIÓN'!A$4,'TABLA DE PAGOS'!J118&gt;='VALORES DE LIQUIDACIÓN'!A$4),'TABLA DE PAGOS'!K118='TABLA DE PAGOS'!A$10),'TABLA DE PAGOS'!C117,IF(AND('TABLA DE PAGOS'!K118='TABLA DE PAGOS'!A$10,'TABLA DE PAGOS'!K119='TABLA DE PAGOS'!A$9),'TABLA DE PAGOS'!C118,IF(AND('TABLA DE PAGOS'!K118='TABLA DE PAGOS'!A$11,'TABLA DE PAGOS'!K119='TABLA DE PAGOS'!A$9),'TABLA DE PAGOS'!C117,0)))</f>
        <v>0</v>
      </c>
      <c r="L118" s="14"/>
      <c r="M118" s="11">
        <f>IF(I118=0,IF('TABLA DE PAGOS'!J118&lt;='TABLA DE PAGOS'!A$4,0,IF('TABLA DE PAGOS'!K118='TABLA DE PAGOS'!A$9,'TABLA DE PAGOS'!F118,IF('TABLA DE PAGOS'!K118='TABLA DE PAGOS'!A$11,(INDEX(SALDOS!B$3:G$200,MATCH('TABLA DE PAGOS'!A$12,SALDOS!E$3:E$200,0),6))-(INDEX(SALDOS!B$3:H$200,MATCH('TABLA DE PAGOS'!A$12,SALDOS!E$3:E$200,0),7)),0))),0)</f>
        <v>0</v>
      </c>
      <c r="N118" s="11">
        <f>IF(AND(I118&gt;0,I117=0),J118*MAX(SALDOS!J$3:J$200),0)</f>
        <v>0</v>
      </c>
      <c r="P118" s="8">
        <f>IF(I118=0,IF('TABLA DE PAGOS'!J118&lt;='TABLA DE PAGOS'!A$4,0,IF('TABLA DE PAGOS'!K118='TABLA DE PAGOS'!A$9,'TABLA DE PAGOS'!E118,IF('TABLA DE PAGOS'!K118='TABLA DE PAGOS'!A$11,INDEX(SALDOS!B$3:G$200,MATCH('TABLA DE PAGOS'!A$13,SALDOS!E$3:E$200,0),6),0))),0)</f>
        <v>0</v>
      </c>
      <c r="Q118" s="8">
        <f>IF(AND(I118&gt;0,I117&gt;0),'TABLA DE PAGOS'!E118,0)</f>
        <v>2101.43</v>
      </c>
      <c r="R118" s="8">
        <f t="shared" si="3"/>
        <v>0</v>
      </c>
      <c r="T118" s="8">
        <f>IF(AND(I118&gt;0,I117=0),'TABLA DE PAGOS'!H118,0)</f>
        <v>0</v>
      </c>
      <c r="U118" s="8">
        <f>IF(AND('TABLA DE PAGOS'!K118='TABLA DE PAGOS'!A$11,VLOOKUP('TABLA DE PAGOS'!A$7,SALDOS!B$3:E$200,4)='TABLA DE PAGOS'!A$14),INDEX(SALDOS!B$3:G$200,MATCH('TABLA DE PAGOS'!A$14,SALDOS!E$3:E$200,0),6),IF(AND(P118&gt;0.001,M118&gt;0.001),'TABLA DE PAGOS'!H118,0))</f>
        <v>0</v>
      </c>
      <c r="W118" s="8">
        <f>IF(AND('TABLA DE PAGOS'!K118='TABLA DE PAGOS'!A$11,VLOOKUP('TABLA DE PAGOS'!A$7,SALDOS!B$3:E$200,4)='TABLA DE PAGOS'!A$16),INDEX(SALDOS!B$3:G$200,MATCH('TABLA DE PAGOS'!A$16,SALDOS!E$3:E$200,0),6),IF(AND(P118&gt;0.001,M118&gt;0.001),'TABLA DE PAGOS'!I118,0))</f>
        <v>0</v>
      </c>
    </row>
    <row r="119" spans="2:23">
      <c r="B119" s="33">
        <v>118</v>
      </c>
      <c r="C119" s="8">
        <f>IF('TABLA DE PAGOS'!K119='TABLA DE PAGOS'!A$12,0,IF('TABLA DE PAGOS'!K119='TABLA DE PAGOS'!A$11,'VALORES DE LIQUIDACIÓN'!A$4-'TABLA DE PAGOS'!M119,IF(AND('TABLA DE PAGOS'!J119&lt;'VALORES DE LIQUIDACIÓN'!A$4,'TABLA DE PAGOS'!K119='TABLA DE PAGOS'!A$9),'VALORES DE LIQUIDACIÓN'!A$4-'TABLA DE PAGOS'!J119,0)))</f>
        <v>0</v>
      </c>
      <c r="D119" s="8">
        <f>IF(P119&gt;0,'VALORES DE LIQUIDACIÓN'!A$4-'TABLA DE PAGOS'!J119,0)</f>
        <v>0</v>
      </c>
      <c r="E119" s="35">
        <f t="shared" si="2"/>
        <v>0</v>
      </c>
      <c r="F119" s="11">
        <f>IF(E119&gt;0,('DATOS GENERALES'!K$3+('DATOS GENERALES'!K$3*E119)),0)</f>
        <v>0</v>
      </c>
      <c r="G119" s="11">
        <f>IF(E119&gt;0,IF('TABLA DE PAGOS'!K119='TABLA DE PAGOS'!A$11,(P119*C119*F119)/36000,('TABLA DE PAGOS'!E119*C119*F119)/36000),0)</f>
        <v>0</v>
      </c>
      <c r="I119" s="8">
        <f>IF('TABLA DE PAGOS'!$J119&lt;='VALORES DE LIQUIDACIÓN'!A$4,0,'TABLA DE PAGOS'!$J119-'VALORES DE LIQUIDACIÓN'!A$4)</f>
        <v>3364</v>
      </c>
      <c r="J119" s="8">
        <f>IF(AND(I119&gt;0,I118=0),'VALORES DE LIQUIDACIÓN'!A$4-'TABLA DE PAGOS'!J118,0)</f>
        <v>0</v>
      </c>
      <c r="K119" s="8">
        <f>IF(AND(AND('TABLA DE PAGOS'!J118&lt;='VALORES DE LIQUIDACIÓN'!A$4,'TABLA DE PAGOS'!J119&gt;='VALORES DE LIQUIDACIÓN'!A$4),'TABLA DE PAGOS'!K119='TABLA DE PAGOS'!A$10),'TABLA DE PAGOS'!C118,IF(AND('TABLA DE PAGOS'!K119='TABLA DE PAGOS'!A$10,'TABLA DE PAGOS'!K120='TABLA DE PAGOS'!A$9),'TABLA DE PAGOS'!C119,IF(AND('TABLA DE PAGOS'!K119='TABLA DE PAGOS'!A$11,'TABLA DE PAGOS'!K120='TABLA DE PAGOS'!A$9),'TABLA DE PAGOS'!C118,0)))</f>
        <v>0</v>
      </c>
      <c r="L119" s="14"/>
      <c r="M119" s="11">
        <f>IF(I119=0,IF('TABLA DE PAGOS'!J119&lt;='TABLA DE PAGOS'!A$4,0,IF('TABLA DE PAGOS'!K119='TABLA DE PAGOS'!A$9,'TABLA DE PAGOS'!F119,IF('TABLA DE PAGOS'!K119='TABLA DE PAGOS'!A$11,(INDEX(SALDOS!B$3:G$200,MATCH('TABLA DE PAGOS'!A$12,SALDOS!E$3:E$200,0),6))-(INDEX(SALDOS!B$3:H$200,MATCH('TABLA DE PAGOS'!A$12,SALDOS!E$3:E$200,0),7)),0))),0)</f>
        <v>0</v>
      </c>
      <c r="N119" s="11">
        <f>IF(AND(I119&gt;0,I118=0),J119*MAX(SALDOS!J$3:J$200),0)</f>
        <v>0</v>
      </c>
      <c r="P119" s="8">
        <f>IF(I119=0,IF('TABLA DE PAGOS'!J119&lt;='TABLA DE PAGOS'!A$4,0,IF('TABLA DE PAGOS'!K119='TABLA DE PAGOS'!A$9,'TABLA DE PAGOS'!E119,IF('TABLA DE PAGOS'!K119='TABLA DE PAGOS'!A$11,INDEX(SALDOS!B$3:G$200,MATCH('TABLA DE PAGOS'!A$13,SALDOS!E$3:E$200,0),6),0))),0)</f>
        <v>0</v>
      </c>
      <c r="Q119" s="8">
        <f>IF(AND(I119&gt;0,I118&gt;0),'TABLA DE PAGOS'!E119,0)</f>
        <v>2120.33</v>
      </c>
      <c r="R119" s="8">
        <f t="shared" si="3"/>
        <v>0</v>
      </c>
      <c r="T119" s="8">
        <f>IF(AND(I119&gt;0,I118=0),'TABLA DE PAGOS'!H119,0)</f>
        <v>0</v>
      </c>
      <c r="U119" s="8">
        <f>IF(AND('TABLA DE PAGOS'!K119='TABLA DE PAGOS'!A$11,VLOOKUP('TABLA DE PAGOS'!A$7,SALDOS!B$3:E$200,4)='TABLA DE PAGOS'!A$14),INDEX(SALDOS!B$3:G$200,MATCH('TABLA DE PAGOS'!A$14,SALDOS!E$3:E$200,0),6),IF(AND(P119&gt;0.001,M119&gt;0.001),'TABLA DE PAGOS'!H119,0))</f>
        <v>0</v>
      </c>
      <c r="W119" s="8">
        <f>IF(AND('TABLA DE PAGOS'!K119='TABLA DE PAGOS'!A$11,VLOOKUP('TABLA DE PAGOS'!A$7,SALDOS!B$3:E$200,4)='TABLA DE PAGOS'!A$16),INDEX(SALDOS!B$3:G$200,MATCH('TABLA DE PAGOS'!A$16,SALDOS!E$3:E$200,0),6),IF(AND(P119&gt;0.001,M119&gt;0.001),'TABLA DE PAGOS'!I119,0))</f>
        <v>0</v>
      </c>
    </row>
    <row r="120" spans="2:23">
      <c r="B120" s="33">
        <v>119</v>
      </c>
      <c r="C120" s="8">
        <f>IF('TABLA DE PAGOS'!K120='TABLA DE PAGOS'!A$12,0,IF('TABLA DE PAGOS'!K120='TABLA DE PAGOS'!A$11,'VALORES DE LIQUIDACIÓN'!A$4-'TABLA DE PAGOS'!M120,IF(AND('TABLA DE PAGOS'!J120&lt;'VALORES DE LIQUIDACIÓN'!A$4,'TABLA DE PAGOS'!K120='TABLA DE PAGOS'!A$9),'VALORES DE LIQUIDACIÓN'!A$4-'TABLA DE PAGOS'!J120,0)))</f>
        <v>0</v>
      </c>
      <c r="D120" s="8">
        <f>IF(P120&gt;0,'VALORES DE LIQUIDACIÓN'!A$4-'TABLA DE PAGOS'!J120,0)</f>
        <v>0</v>
      </c>
      <c r="E120" s="35">
        <f t="shared" si="2"/>
        <v>0</v>
      </c>
      <c r="F120" s="11">
        <f>IF(E120&gt;0,('DATOS GENERALES'!K$3+('DATOS GENERALES'!K$3*E120)),0)</f>
        <v>0</v>
      </c>
      <c r="G120" s="11">
        <f>IF(E120&gt;0,IF('TABLA DE PAGOS'!K120='TABLA DE PAGOS'!A$11,(P120*C120*F120)/36000,('TABLA DE PAGOS'!E120*C120*F120)/36000),0)</f>
        <v>0</v>
      </c>
      <c r="I120" s="8">
        <f>IF('TABLA DE PAGOS'!$J120&lt;='VALORES DE LIQUIDACIÓN'!A$4,0,'TABLA DE PAGOS'!$J120-'VALORES DE LIQUIDACIÓN'!A$4)</f>
        <v>3395</v>
      </c>
      <c r="J120" s="8">
        <f>IF(AND(I120&gt;0,I119=0),'VALORES DE LIQUIDACIÓN'!A$4-'TABLA DE PAGOS'!J119,0)</f>
        <v>0</v>
      </c>
      <c r="K120" s="8">
        <f>IF(AND(AND('TABLA DE PAGOS'!J119&lt;='VALORES DE LIQUIDACIÓN'!A$4,'TABLA DE PAGOS'!J120&gt;='VALORES DE LIQUIDACIÓN'!A$4),'TABLA DE PAGOS'!K120='TABLA DE PAGOS'!A$10),'TABLA DE PAGOS'!C119,IF(AND('TABLA DE PAGOS'!K120='TABLA DE PAGOS'!A$10,'TABLA DE PAGOS'!K121='TABLA DE PAGOS'!A$9),'TABLA DE PAGOS'!C120,IF(AND('TABLA DE PAGOS'!K120='TABLA DE PAGOS'!A$11,'TABLA DE PAGOS'!K121='TABLA DE PAGOS'!A$9),'TABLA DE PAGOS'!C119,0)))</f>
        <v>0</v>
      </c>
      <c r="L120" s="14"/>
      <c r="M120" s="11">
        <f>IF(I120=0,IF('TABLA DE PAGOS'!J120&lt;='TABLA DE PAGOS'!A$4,0,IF('TABLA DE PAGOS'!K120='TABLA DE PAGOS'!A$9,'TABLA DE PAGOS'!F120,IF('TABLA DE PAGOS'!K120='TABLA DE PAGOS'!A$11,(INDEX(SALDOS!B$3:G$200,MATCH('TABLA DE PAGOS'!A$12,SALDOS!E$3:E$200,0),6))-(INDEX(SALDOS!B$3:H$200,MATCH('TABLA DE PAGOS'!A$12,SALDOS!E$3:E$200,0),7)),0))),0)</f>
        <v>0</v>
      </c>
      <c r="N120" s="11">
        <f>IF(AND(I120&gt;0,I119=0),J120*MAX(SALDOS!J$3:J$200),0)</f>
        <v>0</v>
      </c>
      <c r="P120" s="8">
        <f>IF(I120=0,IF('TABLA DE PAGOS'!J120&lt;='TABLA DE PAGOS'!A$4,0,IF('TABLA DE PAGOS'!K120='TABLA DE PAGOS'!A$9,'TABLA DE PAGOS'!E120,IF('TABLA DE PAGOS'!K120='TABLA DE PAGOS'!A$11,INDEX(SALDOS!B$3:G$200,MATCH('TABLA DE PAGOS'!A$13,SALDOS!E$3:E$200,0),6),0))),0)</f>
        <v>0</v>
      </c>
      <c r="Q120" s="8">
        <f>IF(AND(I120&gt;0,I119&gt;0),'TABLA DE PAGOS'!E120,0)</f>
        <v>2110.61</v>
      </c>
      <c r="R120" s="8">
        <f t="shared" si="3"/>
        <v>0</v>
      </c>
      <c r="T120" s="8">
        <f>IF(AND(I120&gt;0,I119=0),'TABLA DE PAGOS'!H120,0)</f>
        <v>0</v>
      </c>
      <c r="U120" s="8">
        <f>IF(AND('TABLA DE PAGOS'!K120='TABLA DE PAGOS'!A$11,VLOOKUP('TABLA DE PAGOS'!A$7,SALDOS!B$3:E$200,4)='TABLA DE PAGOS'!A$14),INDEX(SALDOS!B$3:G$200,MATCH('TABLA DE PAGOS'!A$14,SALDOS!E$3:E$200,0),6),IF(AND(P120&gt;0.001,M120&gt;0.001),'TABLA DE PAGOS'!H120,0))</f>
        <v>0</v>
      </c>
      <c r="W120" s="8">
        <f>IF(AND('TABLA DE PAGOS'!K120='TABLA DE PAGOS'!A$11,VLOOKUP('TABLA DE PAGOS'!A$7,SALDOS!B$3:E$200,4)='TABLA DE PAGOS'!A$16),INDEX(SALDOS!B$3:G$200,MATCH('TABLA DE PAGOS'!A$16,SALDOS!E$3:E$200,0),6),IF(AND(P120&gt;0.001,M120&gt;0.001),'TABLA DE PAGOS'!I120,0))</f>
        <v>0</v>
      </c>
    </row>
    <row r="121" spans="2:23">
      <c r="B121" s="33">
        <v>120</v>
      </c>
      <c r="C121" s="8">
        <f>IF('TABLA DE PAGOS'!K121='TABLA DE PAGOS'!A$12,0,IF('TABLA DE PAGOS'!K121='TABLA DE PAGOS'!A$11,'VALORES DE LIQUIDACIÓN'!A$4-'TABLA DE PAGOS'!M121,IF(AND('TABLA DE PAGOS'!J121&lt;'VALORES DE LIQUIDACIÓN'!A$4,'TABLA DE PAGOS'!K121='TABLA DE PAGOS'!A$9),'VALORES DE LIQUIDACIÓN'!A$4-'TABLA DE PAGOS'!J121,0)))</f>
        <v>0</v>
      </c>
      <c r="D121" s="8">
        <f>IF(P121&gt;0,'VALORES DE LIQUIDACIÓN'!A$4-'TABLA DE PAGOS'!J121,0)</f>
        <v>0</v>
      </c>
      <c r="E121" s="35">
        <f t="shared" si="2"/>
        <v>0</v>
      </c>
      <c r="F121" s="11">
        <f>IF(E121&gt;0,('DATOS GENERALES'!K$3+('DATOS GENERALES'!K$3*E121)),0)</f>
        <v>0</v>
      </c>
      <c r="G121" s="11">
        <f>IF(E121&gt;0,IF('TABLA DE PAGOS'!K121='TABLA DE PAGOS'!A$11,(P121*C121*F121)/36000,('TABLA DE PAGOS'!E121*C121*F121)/36000),0)</f>
        <v>0</v>
      </c>
      <c r="I121" s="8">
        <f>IF('TABLA DE PAGOS'!$J121&lt;='VALORES DE LIQUIDACIÓN'!A$4,0,'TABLA DE PAGOS'!$J121-'VALORES DE LIQUIDACIÓN'!A$4)</f>
        <v>3426</v>
      </c>
      <c r="J121" s="8">
        <f>IF(AND(I121&gt;0,I120=0),'VALORES DE LIQUIDACIÓN'!A$4-'TABLA DE PAGOS'!J120,0)</f>
        <v>0</v>
      </c>
      <c r="K121" s="8">
        <f>IF(AND(AND('TABLA DE PAGOS'!J120&lt;='VALORES DE LIQUIDACIÓN'!A$4,'TABLA DE PAGOS'!J121&gt;='VALORES DE LIQUIDACIÓN'!A$4),'TABLA DE PAGOS'!K121='TABLA DE PAGOS'!A$10),'TABLA DE PAGOS'!C120,IF(AND('TABLA DE PAGOS'!K121='TABLA DE PAGOS'!A$10,'TABLA DE PAGOS'!K122='TABLA DE PAGOS'!A$9),'TABLA DE PAGOS'!C121,IF(AND('TABLA DE PAGOS'!K121='TABLA DE PAGOS'!A$11,'TABLA DE PAGOS'!K122='TABLA DE PAGOS'!A$9),'TABLA DE PAGOS'!C120,0)))</f>
        <v>0</v>
      </c>
      <c r="L121" s="14"/>
      <c r="M121" s="11">
        <f>IF(I121=0,IF('TABLA DE PAGOS'!J121&lt;='TABLA DE PAGOS'!A$4,0,IF('TABLA DE PAGOS'!K121='TABLA DE PAGOS'!A$9,'TABLA DE PAGOS'!F121,IF('TABLA DE PAGOS'!K121='TABLA DE PAGOS'!A$11,(INDEX(SALDOS!B$3:G$200,MATCH('TABLA DE PAGOS'!A$12,SALDOS!E$3:E$200,0),6))-(INDEX(SALDOS!B$3:H$200,MATCH('TABLA DE PAGOS'!A$12,SALDOS!E$3:E$200,0),7)),0))),0)</f>
        <v>0</v>
      </c>
      <c r="N121" s="11">
        <f>IF(AND(I121&gt;0,I120=0),J121*MAX(SALDOS!J$3:J$200),0)</f>
        <v>0</v>
      </c>
      <c r="P121" s="8">
        <f>IF(I121=0,IF('TABLA DE PAGOS'!J121&lt;='TABLA DE PAGOS'!A$4,0,IF('TABLA DE PAGOS'!K121='TABLA DE PAGOS'!A$9,'TABLA DE PAGOS'!E121,IF('TABLA DE PAGOS'!K121='TABLA DE PAGOS'!A$11,INDEX(SALDOS!B$3:G$200,MATCH('TABLA DE PAGOS'!A$13,SALDOS!E$3:E$200,0),6),0))),0)</f>
        <v>0</v>
      </c>
      <c r="Q121" s="8">
        <f>IF(AND(I121&gt;0,I120&gt;0),'TABLA DE PAGOS'!E121,0)</f>
        <v>2130.23</v>
      </c>
      <c r="R121" s="8">
        <f t="shared" si="3"/>
        <v>0</v>
      </c>
      <c r="T121" s="8">
        <f>IF(AND(I121&gt;0,I120=0),'TABLA DE PAGOS'!H121,0)</f>
        <v>0</v>
      </c>
      <c r="U121" s="8">
        <f>IF(AND('TABLA DE PAGOS'!K121='TABLA DE PAGOS'!A$11,VLOOKUP('TABLA DE PAGOS'!A$7,SALDOS!B$3:E$200,4)='TABLA DE PAGOS'!A$14),INDEX(SALDOS!B$3:G$200,MATCH('TABLA DE PAGOS'!A$14,SALDOS!E$3:E$200,0),6),IF(AND(P121&gt;0.001,M121&gt;0.001),'TABLA DE PAGOS'!H121,0))</f>
        <v>0</v>
      </c>
      <c r="W121" s="8">
        <f>IF(AND('TABLA DE PAGOS'!K121='TABLA DE PAGOS'!A$11,VLOOKUP('TABLA DE PAGOS'!A$7,SALDOS!B$3:E$200,4)='TABLA DE PAGOS'!A$16),INDEX(SALDOS!B$3:G$200,MATCH('TABLA DE PAGOS'!A$16,SALDOS!E$3:E$200,0),6),IF(AND(P121&gt;0.001,M121&gt;0.001),'TABLA DE PAGOS'!I121,0))</f>
        <v>0</v>
      </c>
    </row>
    <row r="122" spans="2:23">
      <c r="B122" s="33">
        <v>121</v>
      </c>
      <c r="C122" s="8">
        <f>IF('TABLA DE PAGOS'!K122='TABLA DE PAGOS'!A$12,0,IF('TABLA DE PAGOS'!K122='TABLA DE PAGOS'!A$11,'VALORES DE LIQUIDACIÓN'!A$4-'TABLA DE PAGOS'!M122,IF(AND('TABLA DE PAGOS'!J122&lt;'VALORES DE LIQUIDACIÓN'!A$4,'TABLA DE PAGOS'!K122='TABLA DE PAGOS'!A$9),'VALORES DE LIQUIDACIÓN'!A$4-'TABLA DE PAGOS'!J122,0)))</f>
        <v>0</v>
      </c>
      <c r="D122" s="8">
        <f>IF(P122&gt;0,'VALORES DE LIQUIDACIÓN'!A$4-'TABLA DE PAGOS'!J122,0)</f>
        <v>0</v>
      </c>
      <c r="E122" s="35">
        <f t="shared" si="2"/>
        <v>0</v>
      </c>
      <c r="F122" s="11">
        <f>IF(E122&gt;0,('DATOS GENERALES'!K$3+('DATOS GENERALES'!K$3*E122)),0)</f>
        <v>0</v>
      </c>
      <c r="G122" s="11">
        <f>IF(E122&gt;0,IF('TABLA DE PAGOS'!K122='TABLA DE PAGOS'!A$11,(P122*C122*F122)/36000,('TABLA DE PAGOS'!E122*C122*F122)/36000),0)</f>
        <v>0</v>
      </c>
      <c r="I122" s="8">
        <f>IF('TABLA DE PAGOS'!$J122&lt;='VALORES DE LIQUIDACIÓN'!A$4,0,'TABLA DE PAGOS'!$J122-'VALORES DE LIQUIDACIÓN'!A$4)</f>
        <v>3458</v>
      </c>
      <c r="J122" s="8">
        <f>IF(AND(I122&gt;0,I121=0),'VALORES DE LIQUIDACIÓN'!A$4-'TABLA DE PAGOS'!J121,0)</f>
        <v>0</v>
      </c>
      <c r="K122" s="8">
        <f>IF(AND(AND('TABLA DE PAGOS'!J121&lt;='VALORES DE LIQUIDACIÓN'!A$4,'TABLA DE PAGOS'!J122&gt;='VALORES DE LIQUIDACIÓN'!A$4),'TABLA DE PAGOS'!K122='TABLA DE PAGOS'!A$10),'TABLA DE PAGOS'!C121,IF(AND('TABLA DE PAGOS'!K122='TABLA DE PAGOS'!A$10,'TABLA DE PAGOS'!K123='TABLA DE PAGOS'!A$9),'TABLA DE PAGOS'!C122,IF(AND('TABLA DE PAGOS'!K122='TABLA DE PAGOS'!A$11,'TABLA DE PAGOS'!K123='TABLA DE PAGOS'!A$9),'TABLA DE PAGOS'!C121,0)))</f>
        <v>0</v>
      </c>
      <c r="L122" s="14"/>
      <c r="M122" s="11">
        <f>IF(I122=0,IF('TABLA DE PAGOS'!J122&lt;='TABLA DE PAGOS'!A$4,0,IF('TABLA DE PAGOS'!K122='TABLA DE PAGOS'!A$9,'TABLA DE PAGOS'!F122,IF('TABLA DE PAGOS'!K122='TABLA DE PAGOS'!A$11,(INDEX(SALDOS!B$3:G$200,MATCH('TABLA DE PAGOS'!A$12,SALDOS!E$3:E$200,0),6))-(INDEX(SALDOS!B$3:H$200,MATCH('TABLA DE PAGOS'!A$12,SALDOS!E$3:E$200,0),7)),0))),0)</f>
        <v>0</v>
      </c>
      <c r="N122" s="11">
        <f>IF(AND(I122&gt;0,I121=0),J122*MAX(SALDOS!J$3:J$200),0)</f>
        <v>0</v>
      </c>
      <c r="P122" s="8">
        <f>IF(I122=0,IF('TABLA DE PAGOS'!J122&lt;='TABLA DE PAGOS'!A$4,0,IF('TABLA DE PAGOS'!K122='TABLA DE PAGOS'!A$9,'TABLA DE PAGOS'!E122,IF('TABLA DE PAGOS'!K122='TABLA DE PAGOS'!A$11,INDEX(SALDOS!B$3:G$200,MATCH('TABLA DE PAGOS'!A$13,SALDOS!E$3:E$200,0),6),0))),0)</f>
        <v>0</v>
      </c>
      <c r="Q122" s="8">
        <f>IF(AND(I122&gt;0,I121&gt;0),'TABLA DE PAGOS'!E122,0)</f>
        <v>2122.51</v>
      </c>
      <c r="R122" s="8">
        <f t="shared" si="3"/>
        <v>0</v>
      </c>
      <c r="T122" s="8">
        <f>IF(AND(I122&gt;0,I121=0),'TABLA DE PAGOS'!H122,0)</f>
        <v>0</v>
      </c>
      <c r="U122" s="8">
        <f>IF(AND('TABLA DE PAGOS'!K122='TABLA DE PAGOS'!A$11,VLOOKUP('TABLA DE PAGOS'!A$7,SALDOS!B$3:E$200,4)='TABLA DE PAGOS'!A$14),INDEX(SALDOS!B$3:G$200,MATCH('TABLA DE PAGOS'!A$14,SALDOS!E$3:E$200,0),6),IF(AND(P122&gt;0.001,M122&gt;0.001),'TABLA DE PAGOS'!H122,0))</f>
        <v>0</v>
      </c>
      <c r="W122" s="8">
        <f>IF(AND('TABLA DE PAGOS'!K122='TABLA DE PAGOS'!A$11,VLOOKUP('TABLA DE PAGOS'!A$7,SALDOS!B$3:E$200,4)='TABLA DE PAGOS'!A$16),INDEX(SALDOS!B$3:G$200,MATCH('TABLA DE PAGOS'!A$16,SALDOS!E$3:E$200,0),6),IF(AND(P122&gt;0.001,M122&gt;0.001),'TABLA DE PAGOS'!I122,0))</f>
        <v>0</v>
      </c>
    </row>
    <row r="123" spans="2:23">
      <c r="B123" s="33">
        <v>122</v>
      </c>
      <c r="C123" s="8">
        <f>IF('TABLA DE PAGOS'!K123='TABLA DE PAGOS'!A$12,0,IF('TABLA DE PAGOS'!K123='TABLA DE PAGOS'!A$11,'VALORES DE LIQUIDACIÓN'!A$4-'TABLA DE PAGOS'!M123,IF(AND('TABLA DE PAGOS'!J123&lt;'VALORES DE LIQUIDACIÓN'!A$4,'TABLA DE PAGOS'!K123='TABLA DE PAGOS'!A$9),'VALORES DE LIQUIDACIÓN'!A$4-'TABLA DE PAGOS'!J123,0)))</f>
        <v>0</v>
      </c>
      <c r="D123" s="8">
        <f>IF(P123&gt;0,'VALORES DE LIQUIDACIÓN'!A$4-'TABLA DE PAGOS'!J123,0)</f>
        <v>0</v>
      </c>
      <c r="E123" s="35">
        <f t="shared" si="2"/>
        <v>0</v>
      </c>
      <c r="F123" s="11">
        <f>IF(E123&gt;0,('DATOS GENERALES'!K$3+('DATOS GENERALES'!K$3*E123)),0)</f>
        <v>0</v>
      </c>
      <c r="G123" s="11">
        <f>IF(E123&gt;0,IF('TABLA DE PAGOS'!K123='TABLA DE PAGOS'!A$11,(P123*C123*F123)/36000,('TABLA DE PAGOS'!E123*C123*F123)/36000),0)</f>
        <v>0</v>
      </c>
      <c r="I123" s="8">
        <f>IF('TABLA DE PAGOS'!$J123&lt;='VALORES DE LIQUIDACIÓN'!A$4,0,'TABLA DE PAGOS'!$J123-'VALORES DE LIQUIDACIÓN'!A$4)</f>
        <v>3487</v>
      </c>
      <c r="J123" s="8">
        <f>IF(AND(I123&gt;0,I122=0),'VALORES DE LIQUIDACIÓN'!A$4-'TABLA DE PAGOS'!J122,0)</f>
        <v>0</v>
      </c>
      <c r="K123" s="8">
        <f>IF(AND(AND('TABLA DE PAGOS'!J122&lt;='VALORES DE LIQUIDACIÓN'!A$4,'TABLA DE PAGOS'!J123&gt;='VALORES DE LIQUIDACIÓN'!A$4),'TABLA DE PAGOS'!K123='TABLA DE PAGOS'!A$10),'TABLA DE PAGOS'!C122,IF(AND('TABLA DE PAGOS'!K123='TABLA DE PAGOS'!A$10,'TABLA DE PAGOS'!K124='TABLA DE PAGOS'!A$9),'TABLA DE PAGOS'!C123,IF(AND('TABLA DE PAGOS'!K123='TABLA DE PAGOS'!A$11,'TABLA DE PAGOS'!K124='TABLA DE PAGOS'!A$9),'TABLA DE PAGOS'!C122,0)))</f>
        <v>0</v>
      </c>
      <c r="L123" s="14"/>
      <c r="M123" s="11">
        <f>IF(I123=0,IF('TABLA DE PAGOS'!J123&lt;='TABLA DE PAGOS'!A$4,0,IF('TABLA DE PAGOS'!K123='TABLA DE PAGOS'!A$9,'TABLA DE PAGOS'!F123,IF('TABLA DE PAGOS'!K123='TABLA DE PAGOS'!A$11,(INDEX(SALDOS!B$3:G$200,MATCH('TABLA DE PAGOS'!A$12,SALDOS!E$3:E$200,0),6))-(INDEX(SALDOS!B$3:H$200,MATCH('TABLA DE PAGOS'!A$12,SALDOS!E$3:E$200,0),7)),0))),0)</f>
        <v>0</v>
      </c>
      <c r="N123" s="11">
        <f>IF(AND(I123&gt;0,I122=0),J123*MAX(SALDOS!J$3:J$200),0)</f>
        <v>0</v>
      </c>
      <c r="P123" s="8">
        <f>IF(I123=0,IF('TABLA DE PAGOS'!J123&lt;='TABLA DE PAGOS'!A$4,0,IF('TABLA DE PAGOS'!K123='TABLA DE PAGOS'!A$9,'TABLA DE PAGOS'!E123,IF('TABLA DE PAGOS'!K123='TABLA DE PAGOS'!A$11,INDEX(SALDOS!B$3:G$200,MATCH('TABLA DE PAGOS'!A$13,SALDOS!E$3:E$200,0),6),0))),0)</f>
        <v>0</v>
      </c>
      <c r="Q123" s="8">
        <f>IF(AND(I123&gt;0,I122&gt;0),'TABLA DE PAGOS'!E123,0)</f>
        <v>2223.49</v>
      </c>
      <c r="R123" s="8">
        <f t="shared" si="3"/>
        <v>0</v>
      </c>
      <c r="T123" s="8">
        <f>IF(AND(I123&gt;0,I122=0),'TABLA DE PAGOS'!H123,0)</f>
        <v>0</v>
      </c>
      <c r="U123" s="8">
        <f>IF(AND('TABLA DE PAGOS'!K123='TABLA DE PAGOS'!A$11,VLOOKUP('TABLA DE PAGOS'!A$7,SALDOS!B$3:E$200,4)='TABLA DE PAGOS'!A$14),INDEX(SALDOS!B$3:G$200,MATCH('TABLA DE PAGOS'!A$14,SALDOS!E$3:E$200,0),6),IF(AND(P123&gt;0.001,M123&gt;0.001),'TABLA DE PAGOS'!H123,0))</f>
        <v>0</v>
      </c>
      <c r="W123" s="8">
        <f>IF(AND('TABLA DE PAGOS'!K123='TABLA DE PAGOS'!A$11,VLOOKUP('TABLA DE PAGOS'!A$7,SALDOS!B$3:E$200,4)='TABLA DE PAGOS'!A$16),INDEX(SALDOS!B$3:G$200,MATCH('TABLA DE PAGOS'!A$16,SALDOS!E$3:E$200,0),6),IF(AND(P123&gt;0.001,M123&gt;0.001),'TABLA DE PAGOS'!I123,0))</f>
        <v>0</v>
      </c>
    </row>
    <row r="124" spans="2:23">
      <c r="B124" s="33">
        <v>123</v>
      </c>
      <c r="C124" s="8">
        <f>IF('TABLA DE PAGOS'!K124='TABLA DE PAGOS'!A$12,0,IF('TABLA DE PAGOS'!K124='TABLA DE PAGOS'!A$11,'VALORES DE LIQUIDACIÓN'!A$4-'TABLA DE PAGOS'!M124,IF(AND('TABLA DE PAGOS'!J124&lt;'VALORES DE LIQUIDACIÓN'!A$4,'TABLA DE PAGOS'!K124='TABLA DE PAGOS'!A$9),'VALORES DE LIQUIDACIÓN'!A$4-'TABLA DE PAGOS'!J124,0)))</f>
        <v>0</v>
      </c>
      <c r="D124" s="8">
        <f>IF(P124&gt;0,'VALORES DE LIQUIDACIÓN'!A$4-'TABLA DE PAGOS'!J124,0)</f>
        <v>0</v>
      </c>
      <c r="E124" s="35">
        <f t="shared" si="2"/>
        <v>0</v>
      </c>
      <c r="F124" s="11">
        <f>IF(E124&gt;0,('DATOS GENERALES'!K$3+('DATOS GENERALES'!K$3*E124)),0)</f>
        <v>0</v>
      </c>
      <c r="G124" s="11">
        <f>IF(E124&gt;0,IF('TABLA DE PAGOS'!K124='TABLA DE PAGOS'!A$11,(P124*C124*F124)/36000,('TABLA DE PAGOS'!E124*C124*F124)/36000),0)</f>
        <v>0</v>
      </c>
      <c r="I124" s="8">
        <f>IF('TABLA DE PAGOS'!$J124&lt;='VALORES DE LIQUIDACIÓN'!A$4,0,'TABLA DE PAGOS'!$J124-'VALORES DE LIQUIDACIÓN'!A$4)</f>
        <v>3517</v>
      </c>
      <c r="J124" s="8">
        <f>IF(AND(I124&gt;0,I123=0),'VALORES DE LIQUIDACIÓN'!A$4-'TABLA DE PAGOS'!J123,0)</f>
        <v>0</v>
      </c>
      <c r="K124" s="8">
        <f>IF(AND(AND('TABLA DE PAGOS'!J123&lt;='VALORES DE LIQUIDACIÓN'!A$4,'TABLA DE PAGOS'!J124&gt;='VALORES DE LIQUIDACIÓN'!A$4),'TABLA DE PAGOS'!K124='TABLA DE PAGOS'!A$10),'TABLA DE PAGOS'!C123,IF(AND('TABLA DE PAGOS'!K124='TABLA DE PAGOS'!A$10,'TABLA DE PAGOS'!K125='TABLA DE PAGOS'!A$9),'TABLA DE PAGOS'!C124,IF(AND('TABLA DE PAGOS'!K124='TABLA DE PAGOS'!A$11,'TABLA DE PAGOS'!K125='TABLA DE PAGOS'!A$9),'TABLA DE PAGOS'!C123,0)))</f>
        <v>0</v>
      </c>
      <c r="L124" s="14"/>
      <c r="M124" s="11">
        <f>IF(I124=0,IF('TABLA DE PAGOS'!J124&lt;='TABLA DE PAGOS'!A$4,0,IF('TABLA DE PAGOS'!K124='TABLA DE PAGOS'!A$9,'TABLA DE PAGOS'!F124,IF('TABLA DE PAGOS'!K124='TABLA DE PAGOS'!A$11,(INDEX(SALDOS!B$3:G$200,MATCH('TABLA DE PAGOS'!A$12,SALDOS!E$3:E$200,0),6))-(INDEX(SALDOS!B$3:H$200,MATCH('TABLA DE PAGOS'!A$12,SALDOS!E$3:E$200,0),7)),0))),0)</f>
        <v>0</v>
      </c>
      <c r="N124" s="11">
        <f>IF(AND(I124&gt;0,I123=0),J124*MAX(SALDOS!J$3:J$200),0)</f>
        <v>0</v>
      </c>
      <c r="P124" s="8">
        <f>IF(I124=0,IF('TABLA DE PAGOS'!J124&lt;='TABLA DE PAGOS'!A$4,0,IF('TABLA DE PAGOS'!K124='TABLA DE PAGOS'!A$9,'TABLA DE PAGOS'!E124,IF('TABLA DE PAGOS'!K124='TABLA DE PAGOS'!A$11,INDEX(SALDOS!B$3:G$200,MATCH('TABLA DE PAGOS'!A$13,SALDOS!E$3:E$200,0),6),0))),0)</f>
        <v>0</v>
      </c>
      <c r="Q124" s="8">
        <f>IF(AND(I124&gt;0,I123&gt;0),'TABLA DE PAGOS'!E124,0)</f>
        <v>2216.61</v>
      </c>
      <c r="R124" s="8">
        <f t="shared" si="3"/>
        <v>0</v>
      </c>
      <c r="T124" s="8">
        <f>IF(AND(I124&gt;0,I123=0),'TABLA DE PAGOS'!H124,0)</f>
        <v>0</v>
      </c>
      <c r="U124" s="8">
        <f>IF(AND('TABLA DE PAGOS'!K124='TABLA DE PAGOS'!A$11,VLOOKUP('TABLA DE PAGOS'!A$7,SALDOS!B$3:E$200,4)='TABLA DE PAGOS'!A$14),INDEX(SALDOS!B$3:G$200,MATCH('TABLA DE PAGOS'!A$14,SALDOS!E$3:E$200,0),6),IF(AND(P124&gt;0.001,M124&gt;0.001),'TABLA DE PAGOS'!H124,0))</f>
        <v>0</v>
      </c>
      <c r="W124" s="8">
        <f>IF(AND('TABLA DE PAGOS'!K124='TABLA DE PAGOS'!A$11,VLOOKUP('TABLA DE PAGOS'!A$7,SALDOS!B$3:E$200,4)='TABLA DE PAGOS'!A$16),INDEX(SALDOS!B$3:G$200,MATCH('TABLA DE PAGOS'!A$16,SALDOS!E$3:E$200,0),6),IF(AND(P124&gt;0.001,M124&gt;0.001),'TABLA DE PAGOS'!I124,0))</f>
        <v>0</v>
      </c>
    </row>
    <row r="125" spans="2:23">
      <c r="B125" s="33">
        <v>124</v>
      </c>
      <c r="C125" s="8">
        <f>IF('TABLA DE PAGOS'!K125='TABLA DE PAGOS'!A$12,0,IF('TABLA DE PAGOS'!K125='TABLA DE PAGOS'!A$11,'VALORES DE LIQUIDACIÓN'!A$4-'TABLA DE PAGOS'!M125,IF(AND('TABLA DE PAGOS'!J125&lt;'VALORES DE LIQUIDACIÓN'!A$4,'TABLA DE PAGOS'!K125='TABLA DE PAGOS'!A$9),'VALORES DE LIQUIDACIÓN'!A$4-'TABLA DE PAGOS'!J125,0)))</f>
        <v>0</v>
      </c>
      <c r="D125" s="8">
        <f>IF(P125&gt;0,'VALORES DE LIQUIDACIÓN'!A$4-'TABLA DE PAGOS'!J125,0)</f>
        <v>0</v>
      </c>
      <c r="E125" s="35">
        <f t="shared" si="2"/>
        <v>0</v>
      </c>
      <c r="F125" s="11">
        <f>IF(E125&gt;0,('DATOS GENERALES'!K$3+('DATOS GENERALES'!K$3*E125)),0)</f>
        <v>0</v>
      </c>
      <c r="G125" s="11">
        <f>IF(E125&gt;0,IF('TABLA DE PAGOS'!K125='TABLA DE PAGOS'!A$11,(P125*C125*F125)/36000,('TABLA DE PAGOS'!E125*C125*F125)/36000),0)</f>
        <v>0</v>
      </c>
      <c r="I125" s="8">
        <f>IF('TABLA DE PAGOS'!$J125&lt;='VALORES DE LIQUIDACIÓN'!A$4,0,'TABLA DE PAGOS'!$J125-'VALORES DE LIQUIDACIÓN'!A$4)</f>
        <v>3549</v>
      </c>
      <c r="J125" s="8">
        <f>IF(AND(I125&gt;0,I124=0),'VALORES DE LIQUIDACIÓN'!A$4-'TABLA DE PAGOS'!J124,0)</f>
        <v>0</v>
      </c>
      <c r="K125" s="8">
        <f>IF(AND(AND('TABLA DE PAGOS'!J124&lt;='VALORES DE LIQUIDACIÓN'!A$4,'TABLA DE PAGOS'!J125&gt;='VALORES DE LIQUIDACIÓN'!A$4),'TABLA DE PAGOS'!K125='TABLA DE PAGOS'!A$10),'TABLA DE PAGOS'!C124,IF(AND('TABLA DE PAGOS'!K125='TABLA DE PAGOS'!A$10,'TABLA DE PAGOS'!K126='TABLA DE PAGOS'!A$9),'TABLA DE PAGOS'!C125,IF(AND('TABLA DE PAGOS'!K125='TABLA DE PAGOS'!A$11,'TABLA DE PAGOS'!K126='TABLA DE PAGOS'!A$9),'TABLA DE PAGOS'!C124,0)))</f>
        <v>0</v>
      </c>
      <c r="L125" s="14"/>
      <c r="M125" s="11">
        <f>IF(I125=0,IF('TABLA DE PAGOS'!J125&lt;='TABLA DE PAGOS'!A$4,0,IF('TABLA DE PAGOS'!K125='TABLA DE PAGOS'!A$9,'TABLA DE PAGOS'!F125,IF('TABLA DE PAGOS'!K125='TABLA DE PAGOS'!A$11,(INDEX(SALDOS!B$3:G$200,MATCH('TABLA DE PAGOS'!A$12,SALDOS!E$3:E$200,0),6))-(INDEX(SALDOS!B$3:H$200,MATCH('TABLA DE PAGOS'!A$12,SALDOS!E$3:E$200,0),7)),0))),0)</f>
        <v>0</v>
      </c>
      <c r="N125" s="11">
        <f>IF(AND(I125&gt;0,I124=0),J125*MAX(SALDOS!J$3:J$200),0)</f>
        <v>0</v>
      </c>
      <c r="P125" s="8">
        <f>IF(I125=0,IF('TABLA DE PAGOS'!J125&lt;='TABLA DE PAGOS'!A$4,0,IF('TABLA DE PAGOS'!K125='TABLA DE PAGOS'!A$9,'TABLA DE PAGOS'!E125,IF('TABLA DE PAGOS'!K125='TABLA DE PAGOS'!A$11,INDEX(SALDOS!B$3:G$200,MATCH('TABLA DE PAGOS'!A$13,SALDOS!E$3:E$200,0),6),0))),0)</f>
        <v>0</v>
      </c>
      <c r="Q125" s="8">
        <f>IF(AND(I125&gt;0,I124&gt;0),'TABLA DE PAGOS'!E125,0)</f>
        <v>2185.46</v>
      </c>
      <c r="R125" s="8">
        <f t="shared" si="3"/>
        <v>0</v>
      </c>
      <c r="T125" s="8">
        <f>IF(AND(I125&gt;0,I124=0),'TABLA DE PAGOS'!H125,0)</f>
        <v>0</v>
      </c>
      <c r="U125" s="8">
        <f>IF(AND('TABLA DE PAGOS'!K125='TABLA DE PAGOS'!A$11,VLOOKUP('TABLA DE PAGOS'!A$7,SALDOS!B$3:E$200,4)='TABLA DE PAGOS'!A$14),INDEX(SALDOS!B$3:G$200,MATCH('TABLA DE PAGOS'!A$14,SALDOS!E$3:E$200,0),6),IF(AND(P125&gt;0.001,M125&gt;0.001),'TABLA DE PAGOS'!H125,0))</f>
        <v>0</v>
      </c>
      <c r="W125" s="8">
        <f>IF(AND('TABLA DE PAGOS'!K125='TABLA DE PAGOS'!A$11,VLOOKUP('TABLA DE PAGOS'!A$7,SALDOS!B$3:E$200,4)='TABLA DE PAGOS'!A$16),INDEX(SALDOS!B$3:G$200,MATCH('TABLA DE PAGOS'!A$16,SALDOS!E$3:E$200,0),6),IF(AND(P125&gt;0.001,M125&gt;0.001),'TABLA DE PAGOS'!I125,0))</f>
        <v>0</v>
      </c>
    </row>
    <row r="126" spans="2:23">
      <c r="B126" s="33">
        <v>125</v>
      </c>
      <c r="C126" s="8">
        <f>IF('TABLA DE PAGOS'!K126='TABLA DE PAGOS'!A$12,0,IF('TABLA DE PAGOS'!K126='TABLA DE PAGOS'!A$11,'VALORES DE LIQUIDACIÓN'!A$4-'TABLA DE PAGOS'!M126,IF(AND('TABLA DE PAGOS'!J126&lt;'VALORES DE LIQUIDACIÓN'!A$4,'TABLA DE PAGOS'!K126='TABLA DE PAGOS'!A$9),'VALORES DE LIQUIDACIÓN'!A$4-'TABLA DE PAGOS'!J126,0)))</f>
        <v>0</v>
      </c>
      <c r="D126" s="8">
        <f>IF(P126&gt;0,'VALORES DE LIQUIDACIÓN'!A$4-'TABLA DE PAGOS'!J126,0)</f>
        <v>0</v>
      </c>
      <c r="E126" s="35">
        <f t="shared" si="2"/>
        <v>0</v>
      </c>
      <c r="F126" s="11">
        <f>IF(E126&gt;0,('DATOS GENERALES'!K$3+('DATOS GENERALES'!K$3*E126)),0)</f>
        <v>0</v>
      </c>
      <c r="G126" s="11">
        <f>IF(E126&gt;0,IF('TABLA DE PAGOS'!K126='TABLA DE PAGOS'!A$11,(P126*C126*F126)/36000,('TABLA DE PAGOS'!E126*C126*F126)/36000),0)</f>
        <v>0</v>
      </c>
      <c r="I126" s="8">
        <f>IF('TABLA DE PAGOS'!$J126&lt;='VALORES DE LIQUIDACIÓN'!A$4,0,'TABLA DE PAGOS'!$J126-'VALORES DE LIQUIDACIÓN'!A$4)</f>
        <v>3579</v>
      </c>
      <c r="J126" s="8">
        <f>IF(AND(I126&gt;0,I125=0),'VALORES DE LIQUIDACIÓN'!A$4-'TABLA DE PAGOS'!J125,0)</f>
        <v>0</v>
      </c>
      <c r="K126" s="8">
        <f>IF(AND(AND('TABLA DE PAGOS'!J125&lt;='VALORES DE LIQUIDACIÓN'!A$4,'TABLA DE PAGOS'!J126&gt;='VALORES DE LIQUIDACIÓN'!A$4),'TABLA DE PAGOS'!K126='TABLA DE PAGOS'!A$10),'TABLA DE PAGOS'!C125,IF(AND('TABLA DE PAGOS'!K126='TABLA DE PAGOS'!A$10,'TABLA DE PAGOS'!K127='TABLA DE PAGOS'!A$9),'TABLA DE PAGOS'!C126,IF(AND('TABLA DE PAGOS'!K126='TABLA DE PAGOS'!A$11,'TABLA DE PAGOS'!K127='TABLA DE PAGOS'!A$9),'TABLA DE PAGOS'!C125,0)))</f>
        <v>0</v>
      </c>
      <c r="L126" s="14"/>
      <c r="M126" s="11">
        <f>IF(I126=0,IF('TABLA DE PAGOS'!J126&lt;='TABLA DE PAGOS'!A$4,0,IF('TABLA DE PAGOS'!K126='TABLA DE PAGOS'!A$9,'TABLA DE PAGOS'!F126,IF('TABLA DE PAGOS'!K126='TABLA DE PAGOS'!A$11,(INDEX(SALDOS!B$3:G$200,MATCH('TABLA DE PAGOS'!A$12,SALDOS!E$3:E$200,0),6))-(INDEX(SALDOS!B$3:H$200,MATCH('TABLA DE PAGOS'!A$12,SALDOS!E$3:E$200,0),7)),0))),0)</f>
        <v>0</v>
      </c>
      <c r="N126" s="11">
        <f>IF(AND(I126&gt;0,I125=0),J126*MAX(SALDOS!J$3:J$200),0)</f>
        <v>0</v>
      </c>
      <c r="P126" s="8">
        <f>IF(I126=0,IF('TABLA DE PAGOS'!J126&lt;='TABLA DE PAGOS'!A$4,0,IF('TABLA DE PAGOS'!K126='TABLA DE PAGOS'!A$9,'TABLA DE PAGOS'!E126,IF('TABLA DE PAGOS'!K126='TABLA DE PAGOS'!A$11,INDEX(SALDOS!B$3:G$200,MATCH('TABLA DE PAGOS'!A$13,SALDOS!E$3:E$200,0),6),0))),0)</f>
        <v>0</v>
      </c>
      <c r="Q126" s="8">
        <f>IF(AND(I126&gt;0,I125&gt;0),'TABLA DE PAGOS'!E126,0)</f>
        <v>2256.2</v>
      </c>
      <c r="R126" s="8">
        <f t="shared" si="3"/>
        <v>0</v>
      </c>
      <c r="T126" s="8">
        <f>IF(AND(I126&gt;0,I125=0),'TABLA DE PAGOS'!H126,0)</f>
        <v>0</v>
      </c>
      <c r="U126" s="8">
        <f>IF(AND('TABLA DE PAGOS'!K126='TABLA DE PAGOS'!A$11,VLOOKUP('TABLA DE PAGOS'!A$7,SALDOS!B$3:E$200,4)='TABLA DE PAGOS'!A$14),INDEX(SALDOS!B$3:G$200,MATCH('TABLA DE PAGOS'!A$14,SALDOS!E$3:E$200,0),6),IF(AND(P126&gt;0.001,M126&gt;0.001),'TABLA DE PAGOS'!H126,0))</f>
        <v>0</v>
      </c>
      <c r="W126" s="8">
        <f>IF(AND('TABLA DE PAGOS'!K126='TABLA DE PAGOS'!A$11,VLOOKUP('TABLA DE PAGOS'!A$7,SALDOS!B$3:E$200,4)='TABLA DE PAGOS'!A$16),INDEX(SALDOS!B$3:G$200,MATCH('TABLA DE PAGOS'!A$16,SALDOS!E$3:E$200,0),6),IF(AND(P126&gt;0.001,M126&gt;0.001),'TABLA DE PAGOS'!I126,0))</f>
        <v>0</v>
      </c>
    </row>
    <row r="127" spans="2:23">
      <c r="B127" s="33">
        <v>126</v>
      </c>
      <c r="C127" s="8">
        <f>IF('TABLA DE PAGOS'!K127='TABLA DE PAGOS'!A$12,0,IF('TABLA DE PAGOS'!K127='TABLA DE PAGOS'!A$11,'VALORES DE LIQUIDACIÓN'!A$4-'TABLA DE PAGOS'!M127,IF(AND('TABLA DE PAGOS'!J127&lt;'VALORES DE LIQUIDACIÓN'!A$4,'TABLA DE PAGOS'!K127='TABLA DE PAGOS'!A$9),'VALORES DE LIQUIDACIÓN'!A$4-'TABLA DE PAGOS'!J127,0)))</f>
        <v>0</v>
      </c>
      <c r="D127" s="8">
        <f>IF(P127&gt;0,'VALORES DE LIQUIDACIÓN'!A$4-'TABLA DE PAGOS'!J127,0)</f>
        <v>0</v>
      </c>
      <c r="E127" s="35">
        <f t="shared" si="2"/>
        <v>0</v>
      </c>
      <c r="F127" s="11">
        <f>IF(E127&gt;0,('DATOS GENERALES'!K$3+('DATOS GENERALES'!K$3*E127)),0)</f>
        <v>0</v>
      </c>
      <c r="G127" s="11">
        <f>IF(E127&gt;0,IF('TABLA DE PAGOS'!K127='TABLA DE PAGOS'!A$11,(P127*C127*F127)/36000,('TABLA DE PAGOS'!E127*C127*F127)/36000),0)</f>
        <v>0</v>
      </c>
      <c r="I127" s="8">
        <f>IF('TABLA DE PAGOS'!$J127&lt;='VALORES DE LIQUIDACIÓN'!A$4,0,'TABLA DE PAGOS'!$J127-'VALORES DE LIQUIDACIÓN'!A$4)</f>
        <v>3608</v>
      </c>
      <c r="J127" s="8">
        <f>IF(AND(I127&gt;0,I126=0),'VALORES DE LIQUIDACIÓN'!A$4-'TABLA DE PAGOS'!J126,0)</f>
        <v>0</v>
      </c>
      <c r="K127" s="8">
        <f>IF(AND(AND('TABLA DE PAGOS'!J126&lt;='VALORES DE LIQUIDACIÓN'!A$4,'TABLA DE PAGOS'!J127&gt;='VALORES DE LIQUIDACIÓN'!A$4),'TABLA DE PAGOS'!K127='TABLA DE PAGOS'!A$10),'TABLA DE PAGOS'!C126,IF(AND('TABLA DE PAGOS'!K127='TABLA DE PAGOS'!A$10,'TABLA DE PAGOS'!K128='TABLA DE PAGOS'!A$9),'TABLA DE PAGOS'!C127,IF(AND('TABLA DE PAGOS'!K127='TABLA DE PAGOS'!A$11,'TABLA DE PAGOS'!K128='TABLA DE PAGOS'!A$9),'TABLA DE PAGOS'!C126,0)))</f>
        <v>0</v>
      </c>
      <c r="L127" s="14"/>
      <c r="M127" s="11">
        <f>IF(I127=0,IF('TABLA DE PAGOS'!J127&lt;='TABLA DE PAGOS'!A$4,0,IF('TABLA DE PAGOS'!K127='TABLA DE PAGOS'!A$9,'TABLA DE PAGOS'!F127,IF('TABLA DE PAGOS'!K127='TABLA DE PAGOS'!A$11,(INDEX(SALDOS!B$3:G$200,MATCH('TABLA DE PAGOS'!A$12,SALDOS!E$3:E$200,0),6))-(INDEX(SALDOS!B$3:H$200,MATCH('TABLA DE PAGOS'!A$12,SALDOS!E$3:E$200,0),7)),0))),0)</f>
        <v>0</v>
      </c>
      <c r="N127" s="11">
        <f>IF(AND(I127&gt;0,I126=0),J127*MAX(SALDOS!J$3:J$200),0)</f>
        <v>0</v>
      </c>
      <c r="P127" s="8">
        <f>IF(I127=0,IF('TABLA DE PAGOS'!J127&lt;='TABLA DE PAGOS'!A$4,0,IF('TABLA DE PAGOS'!K127='TABLA DE PAGOS'!A$9,'TABLA DE PAGOS'!E127,IF('TABLA DE PAGOS'!K127='TABLA DE PAGOS'!A$11,INDEX(SALDOS!B$3:G$200,MATCH('TABLA DE PAGOS'!A$13,SALDOS!E$3:E$200,0),6),0))),0)</f>
        <v>0</v>
      </c>
      <c r="Q127" s="8">
        <f>IF(AND(I127&gt;0,I126&gt;0),'TABLA DE PAGOS'!E127,0)</f>
        <v>2300.7</v>
      </c>
      <c r="R127" s="8">
        <f t="shared" si="3"/>
        <v>0</v>
      </c>
      <c r="T127" s="8">
        <f>IF(AND(I127&gt;0,I126=0),'TABLA DE PAGOS'!H127,0)</f>
        <v>0</v>
      </c>
      <c r="U127" s="8">
        <v>0</v>
      </c>
      <c r="W127" s="8">
        <f>IF(AND('TABLA DE PAGOS'!K127='TABLA DE PAGOS'!A$11,VLOOKUP('TABLA DE PAGOS'!A$7,SALDOS!B$3:E$200,4)='TABLA DE PAGOS'!A$16),INDEX(SALDOS!B$3:G$200,MATCH('TABLA DE PAGOS'!A$16,SALDOS!E$3:E$200,0),6),IF(AND(P127&gt;0.001,M127&gt;0.001),'TABLA DE PAGOS'!I127,0))</f>
        <v>0</v>
      </c>
    </row>
    <row r="128" spans="2:23">
      <c r="B128" s="33">
        <v>127</v>
      </c>
      <c r="C128" s="8">
        <f>IF('TABLA DE PAGOS'!K128='TABLA DE PAGOS'!A$12,0,IF('TABLA DE PAGOS'!K128='TABLA DE PAGOS'!A$11,'VALORES DE LIQUIDACIÓN'!A$4-'TABLA DE PAGOS'!M128,IF(AND('TABLA DE PAGOS'!J128&lt;'VALORES DE LIQUIDACIÓN'!A$4,'TABLA DE PAGOS'!K128='TABLA DE PAGOS'!A$9),'VALORES DE LIQUIDACIÓN'!A$4-'TABLA DE PAGOS'!J128,0)))</f>
        <v>0</v>
      </c>
      <c r="D128" s="8">
        <f>IF(P128&gt;0,'VALORES DE LIQUIDACIÓN'!A$4-'TABLA DE PAGOS'!J128,0)</f>
        <v>0</v>
      </c>
      <c r="E128" s="35">
        <f t="shared" si="2"/>
        <v>0</v>
      </c>
      <c r="F128" s="11">
        <f>IF(E128&gt;0,('DATOS GENERALES'!K$3+('DATOS GENERALES'!K$3*E128)),0)</f>
        <v>0</v>
      </c>
      <c r="G128" s="11">
        <f>IF(E128&gt;0,IF('TABLA DE PAGOS'!K128='TABLA DE PAGOS'!A$11,(P128*C128*F128)/36000,('TABLA DE PAGOS'!E128*C128*F128)/36000),0)</f>
        <v>0</v>
      </c>
      <c r="I128" s="8">
        <f>IF('TABLA DE PAGOS'!$J128&lt;='VALORES DE LIQUIDACIÓN'!A$4,0,'TABLA DE PAGOS'!$J128-'VALORES DE LIQUIDACIÓN'!A$4)</f>
        <v>3640</v>
      </c>
      <c r="J128" s="8">
        <f>IF(AND(I128&gt;0,I127=0),'VALORES DE LIQUIDACIÓN'!A$4-'TABLA DE PAGOS'!J127,0)</f>
        <v>0</v>
      </c>
      <c r="K128" s="8">
        <f>IF(AND(AND('TABLA DE PAGOS'!J127&lt;='VALORES DE LIQUIDACIÓN'!A$4,'TABLA DE PAGOS'!J128&gt;='VALORES DE LIQUIDACIÓN'!A$4),'TABLA DE PAGOS'!K128='TABLA DE PAGOS'!A$10),'TABLA DE PAGOS'!C127,IF(AND('TABLA DE PAGOS'!K128='TABLA DE PAGOS'!A$10,'TABLA DE PAGOS'!K129='TABLA DE PAGOS'!A$9),'TABLA DE PAGOS'!C128,IF(AND('TABLA DE PAGOS'!K128='TABLA DE PAGOS'!A$11,'TABLA DE PAGOS'!K129='TABLA DE PAGOS'!A$9),'TABLA DE PAGOS'!C127,0)))</f>
        <v>0</v>
      </c>
      <c r="L128" s="14"/>
      <c r="M128" s="11">
        <f>IF(I128=0,IF('TABLA DE PAGOS'!J128&lt;='TABLA DE PAGOS'!A$4,0,IF('TABLA DE PAGOS'!K128='TABLA DE PAGOS'!A$9,'TABLA DE PAGOS'!F128,IF('TABLA DE PAGOS'!K128='TABLA DE PAGOS'!A$11,(INDEX(SALDOS!B$3:G$200,MATCH('TABLA DE PAGOS'!A$12,SALDOS!E$3:E$200,0),6))-(INDEX(SALDOS!B$3:H$200,MATCH('TABLA DE PAGOS'!A$12,SALDOS!E$3:E$200,0),7)),0))),0)</f>
        <v>0</v>
      </c>
      <c r="N128" s="11">
        <f>IF(AND(I128&gt;0,I127=0),J128*MAX(SALDOS!J$3:J$200),0)</f>
        <v>0</v>
      </c>
      <c r="P128" s="8">
        <f>IF(I128=0,IF('TABLA DE PAGOS'!J128&lt;='TABLA DE PAGOS'!A$4,0,IF('TABLA DE PAGOS'!K128='TABLA DE PAGOS'!A$9,'TABLA DE PAGOS'!E128,IF('TABLA DE PAGOS'!K128='TABLA DE PAGOS'!A$11,INDEX(SALDOS!B$3:G$200,MATCH('TABLA DE PAGOS'!A$13,SALDOS!E$3:E$200,0),6),0))),0)</f>
        <v>0</v>
      </c>
      <c r="Q128" s="8">
        <f>IF(AND(I128&gt;0,I127&gt;0),'TABLA DE PAGOS'!E128,0)</f>
        <v>2250.13</v>
      </c>
      <c r="R128" s="8">
        <f t="shared" si="3"/>
        <v>0</v>
      </c>
      <c r="T128" s="8">
        <f>IF(AND(I128&gt;0,I127=0),'TABLA DE PAGOS'!H128,0)</f>
        <v>0</v>
      </c>
      <c r="U128" s="8">
        <f>IF(AND('TABLA DE PAGOS'!K128='TABLA DE PAGOS'!A$11,VLOOKUP('TABLA DE PAGOS'!A$7,SALDOS!B$3:E$200,4)='TABLA DE PAGOS'!A$14),INDEX(SALDOS!B$3:G$200,MATCH('TABLA DE PAGOS'!A$14,SALDOS!E$3:E$200,0),6),IF(AND(P128&gt;0.001,M128&gt;0.001),'TABLA DE PAGOS'!H128,0))</f>
        <v>0</v>
      </c>
      <c r="W128" s="8">
        <f>IF(AND('TABLA DE PAGOS'!K128='TABLA DE PAGOS'!A$11,VLOOKUP('TABLA DE PAGOS'!A$7,SALDOS!B$3:E$200,4)='TABLA DE PAGOS'!A$16),INDEX(SALDOS!B$3:G$200,MATCH('TABLA DE PAGOS'!A$16,SALDOS!E$3:E$200,0),6),IF(AND(P128&gt;0.001,M128&gt;0.001),'TABLA DE PAGOS'!I128,0))</f>
        <v>0</v>
      </c>
    </row>
    <row r="129" spans="2:23">
      <c r="B129" s="33">
        <v>128</v>
      </c>
      <c r="C129" s="8">
        <f>IF('TABLA DE PAGOS'!K129='TABLA DE PAGOS'!A$12,0,IF('TABLA DE PAGOS'!K129='TABLA DE PAGOS'!A$11,'VALORES DE LIQUIDACIÓN'!A$4-'TABLA DE PAGOS'!M129,IF(AND('TABLA DE PAGOS'!J129&lt;'VALORES DE LIQUIDACIÓN'!A$4,'TABLA DE PAGOS'!K129='TABLA DE PAGOS'!A$9),'VALORES DE LIQUIDACIÓN'!A$4-'TABLA DE PAGOS'!J129,0)))</f>
        <v>0</v>
      </c>
      <c r="D129" s="8">
        <f>IF(P129&gt;0,'VALORES DE LIQUIDACIÓN'!A$4-'TABLA DE PAGOS'!J129,0)</f>
        <v>0</v>
      </c>
      <c r="E129" s="35">
        <f t="shared" si="2"/>
        <v>0</v>
      </c>
      <c r="F129" s="11">
        <f>IF(E129&gt;0,('DATOS GENERALES'!K$3+('DATOS GENERALES'!K$3*E129)),0)</f>
        <v>0</v>
      </c>
      <c r="G129" s="11">
        <f>IF(E129&gt;0,IF('TABLA DE PAGOS'!K129='TABLA DE PAGOS'!A$11,(P129*C129*F129)/36000,('TABLA DE PAGOS'!E129*C129*F129)/36000),0)</f>
        <v>0</v>
      </c>
      <c r="I129" s="8">
        <f>IF('TABLA DE PAGOS'!$J129&lt;='VALORES DE LIQUIDACIÓN'!A$4,0,'TABLA DE PAGOS'!$J129-'VALORES DE LIQUIDACIÓN'!A$4)</f>
        <v>3669</v>
      </c>
      <c r="J129" s="8">
        <f>IF(AND(I129&gt;0,I128=0),'VALORES DE LIQUIDACIÓN'!A$4-'TABLA DE PAGOS'!J128,0)</f>
        <v>0</v>
      </c>
      <c r="K129" s="8">
        <f>IF(AND(AND('TABLA DE PAGOS'!J128&lt;='VALORES DE LIQUIDACIÓN'!A$4,'TABLA DE PAGOS'!J129&gt;='VALORES DE LIQUIDACIÓN'!A$4),'TABLA DE PAGOS'!K129='TABLA DE PAGOS'!A$10),'TABLA DE PAGOS'!C128,IF(AND('TABLA DE PAGOS'!K129='TABLA DE PAGOS'!A$10,'TABLA DE PAGOS'!K130='TABLA DE PAGOS'!A$9),'TABLA DE PAGOS'!C129,IF(AND('TABLA DE PAGOS'!K129='TABLA DE PAGOS'!A$11,'TABLA DE PAGOS'!K130='TABLA DE PAGOS'!A$9),'TABLA DE PAGOS'!C128,0)))</f>
        <v>0</v>
      </c>
      <c r="L129" s="14"/>
      <c r="M129" s="11">
        <f>IF(I129=0,IF('TABLA DE PAGOS'!J129&lt;='TABLA DE PAGOS'!A$4,0,IF('TABLA DE PAGOS'!K129='TABLA DE PAGOS'!A$9,'TABLA DE PAGOS'!F129,IF('TABLA DE PAGOS'!K129='TABLA DE PAGOS'!A$11,(INDEX(SALDOS!B$3:G$200,MATCH('TABLA DE PAGOS'!A$12,SALDOS!E$3:E$200,0),6))-(INDEX(SALDOS!B$3:H$200,MATCH('TABLA DE PAGOS'!A$12,SALDOS!E$3:E$200,0),7)),0))),0)</f>
        <v>0</v>
      </c>
      <c r="N129" s="11">
        <f>IF(AND(I129&gt;0,I128=0),J129*MAX(SALDOS!J$3:J$200),0)</f>
        <v>0</v>
      </c>
      <c r="P129" s="8">
        <f>IF(I129=0,IF('TABLA DE PAGOS'!J129&lt;='TABLA DE PAGOS'!A$4,0,IF('TABLA DE PAGOS'!K129='TABLA DE PAGOS'!A$9,'TABLA DE PAGOS'!E129,IF('TABLA DE PAGOS'!K129='TABLA DE PAGOS'!A$11,INDEX(SALDOS!B$3:G$200,MATCH('TABLA DE PAGOS'!A$13,SALDOS!E$3:E$200,0),6),0))),0)</f>
        <v>0</v>
      </c>
      <c r="Q129" s="8">
        <f>IF(AND(I129&gt;0,I128&gt;0),'TABLA DE PAGOS'!E129,0)</f>
        <v>2340.26</v>
      </c>
      <c r="R129" s="8">
        <f t="shared" si="3"/>
        <v>0</v>
      </c>
      <c r="T129" s="8">
        <f>IF(AND(I129&gt;0,I128=0),'TABLA DE PAGOS'!H129,0)</f>
        <v>0</v>
      </c>
      <c r="U129" s="8">
        <f>IF(AND('TABLA DE PAGOS'!K129='TABLA DE PAGOS'!A$11,VLOOKUP('TABLA DE PAGOS'!A$7,SALDOS!B$3:E$200,4)='TABLA DE PAGOS'!A$14),INDEX(SALDOS!B$3:G$200,MATCH('TABLA DE PAGOS'!A$14,SALDOS!E$3:E$200,0),6),IF(AND(P129&gt;0.001,M129&gt;0.001),'TABLA DE PAGOS'!H129,0))</f>
        <v>0</v>
      </c>
      <c r="W129" s="8">
        <f>IF(AND('TABLA DE PAGOS'!K129='TABLA DE PAGOS'!A$11,VLOOKUP('TABLA DE PAGOS'!A$7,SALDOS!B$3:E$200,4)='TABLA DE PAGOS'!A$16),INDEX(SALDOS!B$3:G$200,MATCH('TABLA DE PAGOS'!A$16,SALDOS!E$3:E$200,0),6),IF(AND(P129&gt;0.001,M129&gt;0.001),'TABLA DE PAGOS'!I129,0))</f>
        <v>0</v>
      </c>
    </row>
    <row r="130" spans="2:23">
      <c r="B130" s="33">
        <v>129</v>
      </c>
      <c r="C130" s="8">
        <f>IF('TABLA DE PAGOS'!K130='TABLA DE PAGOS'!A$12,0,IF('TABLA DE PAGOS'!K130='TABLA DE PAGOS'!A$11,'VALORES DE LIQUIDACIÓN'!A$4-'TABLA DE PAGOS'!M130,IF(AND('TABLA DE PAGOS'!J130&lt;'VALORES DE LIQUIDACIÓN'!A$4,'TABLA DE PAGOS'!K130='TABLA DE PAGOS'!A$9),'VALORES DE LIQUIDACIÓN'!A$4-'TABLA DE PAGOS'!J130,0)))</f>
        <v>0</v>
      </c>
      <c r="D130" s="8">
        <f>IF(P130&gt;0,'VALORES DE LIQUIDACIÓN'!A$4-'TABLA DE PAGOS'!J130,0)</f>
        <v>0</v>
      </c>
      <c r="E130" s="35">
        <f t="shared" ref="E130:E157" si="4">IF(AND(D130&gt;=1,D130&lt;=15),5%,IF(AND(D130&gt;=16,D130&lt;=30),7%,IF(AND(D130&gt;=31,D130&lt;=60),9%,IF(D130&gt;=61,10%,0))))</f>
        <v>0</v>
      </c>
      <c r="F130" s="11">
        <f>IF(E130&gt;0,('DATOS GENERALES'!K$3+('DATOS GENERALES'!K$3*E130)),0)</f>
        <v>0</v>
      </c>
      <c r="G130" s="11">
        <f>IF(E130&gt;0,IF('TABLA DE PAGOS'!K130='TABLA DE PAGOS'!A$11,(P130*C130*F130)/36000,('TABLA DE PAGOS'!E130*C130*F130)/36000),0)</f>
        <v>0</v>
      </c>
      <c r="I130" s="8">
        <f>IF('TABLA DE PAGOS'!$J130&lt;='VALORES DE LIQUIDACIÓN'!A$4,0,'TABLA DE PAGOS'!$J130-'VALORES DE LIQUIDACIÓN'!A$4)</f>
        <v>3700</v>
      </c>
      <c r="J130" s="8">
        <f>IF(AND(I130&gt;0,I129=0),'VALORES DE LIQUIDACIÓN'!A$4-'TABLA DE PAGOS'!J129,0)</f>
        <v>0</v>
      </c>
      <c r="K130" s="8">
        <f>IF(AND(AND('TABLA DE PAGOS'!J129&lt;='VALORES DE LIQUIDACIÓN'!A$4,'TABLA DE PAGOS'!J130&gt;='VALORES DE LIQUIDACIÓN'!A$4),'TABLA DE PAGOS'!K130='TABLA DE PAGOS'!A$10),'TABLA DE PAGOS'!C129,IF(AND('TABLA DE PAGOS'!K130='TABLA DE PAGOS'!A$10,'TABLA DE PAGOS'!K131='TABLA DE PAGOS'!A$9),'TABLA DE PAGOS'!C130,IF(AND('TABLA DE PAGOS'!K130='TABLA DE PAGOS'!A$11,'TABLA DE PAGOS'!K131='TABLA DE PAGOS'!A$9),'TABLA DE PAGOS'!C129,0)))</f>
        <v>0</v>
      </c>
      <c r="L130" s="14"/>
      <c r="M130" s="11">
        <f>IF(I130=0,IF('TABLA DE PAGOS'!J130&lt;='TABLA DE PAGOS'!A$4,0,IF('TABLA DE PAGOS'!K130='TABLA DE PAGOS'!A$9,'TABLA DE PAGOS'!F130,IF('TABLA DE PAGOS'!K130='TABLA DE PAGOS'!A$11,(INDEX(SALDOS!B$3:G$200,MATCH('TABLA DE PAGOS'!A$12,SALDOS!E$3:E$200,0),6))-(INDEX(SALDOS!B$3:H$200,MATCH('TABLA DE PAGOS'!A$12,SALDOS!E$3:E$200,0),7)),0))),0)</f>
        <v>0</v>
      </c>
      <c r="N130" s="11">
        <f>IF(AND(I130&gt;0,I129=0),J130*MAX(SALDOS!J$3:J$200),0)</f>
        <v>0</v>
      </c>
      <c r="P130" s="8">
        <f>IF(I130=0,IF('TABLA DE PAGOS'!J130&lt;='TABLA DE PAGOS'!A$4,0,IF('TABLA DE PAGOS'!K130='TABLA DE PAGOS'!A$9,'TABLA DE PAGOS'!E130,IF('TABLA DE PAGOS'!K130='TABLA DE PAGOS'!A$11,INDEX(SALDOS!B$3:G$200,MATCH('TABLA DE PAGOS'!A$13,SALDOS!E$3:E$200,0),6),0))),0)</f>
        <v>0</v>
      </c>
      <c r="Q130" s="8">
        <f>IF(AND(I130&gt;0,I129&gt;0),'TABLA DE PAGOS'!E130,0)</f>
        <v>2316.32</v>
      </c>
      <c r="R130" s="8">
        <f t="shared" ref="R130:R157" si="5">IF(AND(I130&gt;0,J130&gt;0),B130,0)</f>
        <v>0</v>
      </c>
      <c r="T130" s="8">
        <f>IF(AND(I130&gt;0,I129=0),'TABLA DE PAGOS'!H130,0)</f>
        <v>0</v>
      </c>
      <c r="U130" s="8">
        <f>IF(AND('TABLA DE PAGOS'!K130='TABLA DE PAGOS'!A$11,VLOOKUP('TABLA DE PAGOS'!A$7,SALDOS!B$3:E$200,4)='TABLA DE PAGOS'!A$14),INDEX(SALDOS!B$3:G$200,MATCH('TABLA DE PAGOS'!A$14,SALDOS!E$3:E$200,0),6),IF(AND(P130&gt;0.001,M130&gt;0.001),'TABLA DE PAGOS'!H130,0))</f>
        <v>0</v>
      </c>
      <c r="W130" s="8">
        <f>IF(AND('TABLA DE PAGOS'!K130='TABLA DE PAGOS'!A$11,VLOOKUP('TABLA DE PAGOS'!A$7,SALDOS!B$3:E$200,4)='TABLA DE PAGOS'!A$16),INDEX(SALDOS!B$3:G$200,MATCH('TABLA DE PAGOS'!A$16,SALDOS!E$3:E$200,0),6),IF(AND(P130&gt;0.001,M130&gt;0.001),'TABLA DE PAGOS'!I130,0))</f>
        <v>0</v>
      </c>
    </row>
    <row r="131" spans="2:23">
      <c r="B131" s="33">
        <v>130</v>
      </c>
      <c r="C131" s="8">
        <f>IF('TABLA DE PAGOS'!K131='TABLA DE PAGOS'!A$12,0,IF('TABLA DE PAGOS'!K131='TABLA DE PAGOS'!A$11,'VALORES DE LIQUIDACIÓN'!A$4-'TABLA DE PAGOS'!M131,IF(AND('TABLA DE PAGOS'!J131&lt;'VALORES DE LIQUIDACIÓN'!A$4,'TABLA DE PAGOS'!K131='TABLA DE PAGOS'!A$9),'VALORES DE LIQUIDACIÓN'!A$4-'TABLA DE PAGOS'!J131,0)))</f>
        <v>0</v>
      </c>
      <c r="D131" s="8">
        <f>IF(P131&gt;0,'VALORES DE LIQUIDACIÓN'!A$4-'TABLA DE PAGOS'!J131,0)</f>
        <v>0</v>
      </c>
      <c r="E131" s="35">
        <f t="shared" si="4"/>
        <v>0</v>
      </c>
      <c r="F131" s="11">
        <f>IF(E131&gt;0,('DATOS GENERALES'!K$3+('DATOS GENERALES'!K$3*E131)),0)</f>
        <v>0</v>
      </c>
      <c r="G131" s="11">
        <f>IF(E131&gt;0,IF('TABLA DE PAGOS'!K131='TABLA DE PAGOS'!A$11,(P131*C131*F131)/36000,('TABLA DE PAGOS'!E131*C131*F131)/36000),0)</f>
        <v>0</v>
      </c>
      <c r="I131" s="8">
        <f>IF('TABLA DE PAGOS'!$J131&lt;='VALORES DE LIQUIDACIÓN'!A$4,0,'TABLA DE PAGOS'!$J131-'VALORES DE LIQUIDACIÓN'!A$4)</f>
        <v>3731</v>
      </c>
      <c r="J131" s="8">
        <f>IF(AND(I131&gt;0,I130=0),'VALORES DE LIQUIDACIÓN'!A$4-'TABLA DE PAGOS'!J130,0)</f>
        <v>0</v>
      </c>
      <c r="K131" s="8">
        <f>IF(AND(AND('TABLA DE PAGOS'!J130&lt;='VALORES DE LIQUIDACIÓN'!A$4,'TABLA DE PAGOS'!J131&gt;='VALORES DE LIQUIDACIÓN'!A$4),'TABLA DE PAGOS'!K131='TABLA DE PAGOS'!A$10),'TABLA DE PAGOS'!C130,IF(AND('TABLA DE PAGOS'!K131='TABLA DE PAGOS'!A$10,'TABLA DE PAGOS'!K132='TABLA DE PAGOS'!A$9),'TABLA DE PAGOS'!C131,IF(AND('TABLA DE PAGOS'!K131='TABLA DE PAGOS'!A$11,'TABLA DE PAGOS'!K132='TABLA DE PAGOS'!A$9),'TABLA DE PAGOS'!C130,0)))</f>
        <v>0</v>
      </c>
      <c r="L131" s="14"/>
      <c r="M131" s="11">
        <f>IF(I131=0,IF('TABLA DE PAGOS'!J131&lt;='TABLA DE PAGOS'!A$4,0,IF('TABLA DE PAGOS'!K131='TABLA DE PAGOS'!A$9,'TABLA DE PAGOS'!F131,IF('TABLA DE PAGOS'!K131='TABLA DE PAGOS'!A$11,(INDEX(SALDOS!B$3:G$200,MATCH('TABLA DE PAGOS'!A$12,SALDOS!E$3:E$200,0),6))-(INDEX(SALDOS!B$3:H$200,MATCH('TABLA DE PAGOS'!A$12,SALDOS!E$3:E$200,0),7)),0))),0)</f>
        <v>0</v>
      </c>
      <c r="N131" s="11">
        <f>IF(AND(I131&gt;0,I130=0),J131*MAX(SALDOS!J$3:J$200),0)</f>
        <v>0</v>
      </c>
      <c r="P131" s="8">
        <f>IF(I131=0,IF('TABLA DE PAGOS'!J131&lt;='TABLA DE PAGOS'!A$4,0,IF('TABLA DE PAGOS'!K131='TABLA DE PAGOS'!A$9,'TABLA DE PAGOS'!E131,IF('TABLA DE PAGOS'!K131='TABLA DE PAGOS'!A$11,INDEX(SALDOS!B$3:G$200,MATCH('TABLA DE PAGOS'!A$13,SALDOS!E$3:E$200,0),6),0))),0)</f>
        <v>0</v>
      </c>
      <c r="Q131" s="8">
        <f>IF(AND(I131&gt;0,I130&gt;0),'TABLA DE PAGOS'!E131,0)</f>
        <v>2337.83</v>
      </c>
      <c r="R131" s="8">
        <f t="shared" si="5"/>
        <v>0</v>
      </c>
      <c r="T131" s="8">
        <f>IF(AND(I131&gt;0,I130=0),'TABLA DE PAGOS'!H131,0)</f>
        <v>0</v>
      </c>
      <c r="U131" s="8">
        <f>IF(AND('TABLA DE PAGOS'!K131='TABLA DE PAGOS'!A$11,VLOOKUP('TABLA DE PAGOS'!A$7,SALDOS!B$3:E$200,4)='TABLA DE PAGOS'!A$14),INDEX(SALDOS!B$3:G$200,MATCH('TABLA DE PAGOS'!A$14,SALDOS!E$3:E$200,0),6),IF(AND(P131&gt;0.001,M131&gt;0.001),'TABLA DE PAGOS'!H131,0))</f>
        <v>0</v>
      </c>
      <c r="W131" s="8">
        <f>IF(AND('TABLA DE PAGOS'!K131='TABLA DE PAGOS'!A$11,VLOOKUP('TABLA DE PAGOS'!A$7,SALDOS!B$3:E$200,4)='TABLA DE PAGOS'!A$16),INDEX(SALDOS!B$3:G$200,MATCH('TABLA DE PAGOS'!A$16,SALDOS!E$3:E$200,0),6),IF(AND(P131&gt;0.001,M131&gt;0.001),'TABLA DE PAGOS'!I131,0))</f>
        <v>0</v>
      </c>
    </row>
    <row r="132" spans="2:23">
      <c r="B132" s="33">
        <v>131</v>
      </c>
      <c r="C132" s="8">
        <f>IF('TABLA DE PAGOS'!K132='TABLA DE PAGOS'!A$12,0,IF('TABLA DE PAGOS'!K132='TABLA DE PAGOS'!A$11,'VALORES DE LIQUIDACIÓN'!A$4-'TABLA DE PAGOS'!M132,IF(AND('TABLA DE PAGOS'!J132&lt;'VALORES DE LIQUIDACIÓN'!A$4,'TABLA DE PAGOS'!K132='TABLA DE PAGOS'!A$9),'VALORES DE LIQUIDACIÓN'!A$4-'TABLA DE PAGOS'!J132,0)))</f>
        <v>0</v>
      </c>
      <c r="D132" s="8">
        <f>IF(P132&gt;0,'VALORES DE LIQUIDACIÓN'!A$4-'TABLA DE PAGOS'!J132,0)</f>
        <v>0</v>
      </c>
      <c r="E132" s="35">
        <f t="shared" si="4"/>
        <v>0</v>
      </c>
      <c r="F132" s="11">
        <f>IF(E132&gt;0,('DATOS GENERALES'!K$3+('DATOS GENERALES'!K$3*E132)),0)</f>
        <v>0</v>
      </c>
      <c r="G132" s="11">
        <f>IF(E132&gt;0,IF('TABLA DE PAGOS'!K132='TABLA DE PAGOS'!A$11,(P132*C132*F132)/36000,('TABLA DE PAGOS'!E132*C132*F132)/36000),0)</f>
        <v>0</v>
      </c>
      <c r="I132" s="8">
        <f>IF('TABLA DE PAGOS'!$J132&lt;='VALORES DE LIQUIDACIÓN'!A$4,0,'TABLA DE PAGOS'!$J132-'VALORES DE LIQUIDACIÓN'!A$4)</f>
        <v>3761</v>
      </c>
      <c r="J132" s="8">
        <f>IF(AND(I132&gt;0,I131=0),'VALORES DE LIQUIDACIÓN'!A$4-'TABLA DE PAGOS'!J131,0)</f>
        <v>0</v>
      </c>
      <c r="K132" s="8">
        <f>IF(AND(AND('TABLA DE PAGOS'!J131&lt;='VALORES DE LIQUIDACIÓN'!A$4,'TABLA DE PAGOS'!J132&gt;='VALORES DE LIQUIDACIÓN'!A$4),'TABLA DE PAGOS'!K132='TABLA DE PAGOS'!A$10),'TABLA DE PAGOS'!C131,IF(AND('TABLA DE PAGOS'!K132='TABLA DE PAGOS'!A$10,'TABLA DE PAGOS'!K133='TABLA DE PAGOS'!A$9),'TABLA DE PAGOS'!C132,IF(AND('TABLA DE PAGOS'!K132='TABLA DE PAGOS'!A$11,'TABLA DE PAGOS'!K133='TABLA DE PAGOS'!A$9),'TABLA DE PAGOS'!C131,0)))</f>
        <v>0</v>
      </c>
      <c r="L132" s="14"/>
      <c r="M132" s="11">
        <f>IF(I132=0,IF('TABLA DE PAGOS'!J132&lt;='TABLA DE PAGOS'!A$4,0,IF('TABLA DE PAGOS'!K132='TABLA DE PAGOS'!A$9,'TABLA DE PAGOS'!F132,IF('TABLA DE PAGOS'!K132='TABLA DE PAGOS'!A$11,(INDEX(SALDOS!B$3:G$200,MATCH('TABLA DE PAGOS'!A$12,SALDOS!E$3:E$200,0),6))-(INDEX(SALDOS!B$3:H$200,MATCH('TABLA DE PAGOS'!A$12,SALDOS!E$3:E$200,0),7)),0))),0)</f>
        <v>0</v>
      </c>
      <c r="N132" s="11">
        <f>IF(AND(I132&gt;0,I131=0),J132*MAX(SALDOS!J$3:J$200),0)</f>
        <v>0</v>
      </c>
      <c r="P132" s="8">
        <f>IF(I132=0,IF('TABLA DE PAGOS'!J132&lt;='TABLA DE PAGOS'!A$4,0,IF('TABLA DE PAGOS'!K132='TABLA DE PAGOS'!A$9,'TABLA DE PAGOS'!E132,IF('TABLA DE PAGOS'!K132='TABLA DE PAGOS'!A$11,INDEX(SALDOS!B$3:G$200,MATCH('TABLA DE PAGOS'!A$13,SALDOS!E$3:E$200,0),6),0))),0)</f>
        <v>0</v>
      </c>
      <c r="Q132" s="8">
        <f>IF(AND(I132&gt;0,I131&gt;0),'TABLA DE PAGOS'!E132,0)</f>
        <v>2380.31</v>
      </c>
      <c r="R132" s="8">
        <f t="shared" si="5"/>
        <v>0</v>
      </c>
      <c r="T132" s="8">
        <f>IF(AND(I132&gt;0,I131=0),'TABLA DE PAGOS'!H132,0)</f>
        <v>0</v>
      </c>
      <c r="U132" s="8">
        <f>IF(AND('TABLA DE PAGOS'!K132='TABLA DE PAGOS'!A$11,VLOOKUP('TABLA DE PAGOS'!A$7,SALDOS!B$3:E$200,4)='TABLA DE PAGOS'!A$14),INDEX(SALDOS!B$3:G$200,MATCH('TABLA DE PAGOS'!A$14,SALDOS!E$3:E$200,0),6),IF(AND(P132&gt;0.001,M132&gt;0.001),'TABLA DE PAGOS'!H132,0))</f>
        <v>0</v>
      </c>
      <c r="W132" s="8">
        <f>IF(AND('TABLA DE PAGOS'!K132='TABLA DE PAGOS'!A$11,VLOOKUP('TABLA DE PAGOS'!A$7,SALDOS!B$3:E$200,4)='TABLA DE PAGOS'!A$16),INDEX(SALDOS!B$3:G$200,MATCH('TABLA DE PAGOS'!A$16,SALDOS!E$3:E$200,0),6),IF(AND(P132&gt;0.001,M132&gt;0.001),'TABLA DE PAGOS'!I132,0))</f>
        <v>0</v>
      </c>
    </row>
    <row r="133" spans="2:23">
      <c r="B133" s="33">
        <v>132</v>
      </c>
      <c r="C133" s="8">
        <f>IF('TABLA DE PAGOS'!K133='TABLA DE PAGOS'!A$12,0,IF('TABLA DE PAGOS'!K133='TABLA DE PAGOS'!A$11,'VALORES DE LIQUIDACIÓN'!A$4-'TABLA DE PAGOS'!M133,IF(AND('TABLA DE PAGOS'!J133&lt;'VALORES DE LIQUIDACIÓN'!A$4,'TABLA DE PAGOS'!K133='TABLA DE PAGOS'!A$9),'VALORES DE LIQUIDACIÓN'!A$4-'TABLA DE PAGOS'!J133,0)))</f>
        <v>0</v>
      </c>
      <c r="D133" s="8">
        <f>IF(P133&gt;0,'VALORES DE LIQUIDACIÓN'!A$4-'TABLA DE PAGOS'!J133,0)</f>
        <v>0</v>
      </c>
      <c r="E133" s="35">
        <f t="shared" si="4"/>
        <v>0</v>
      </c>
      <c r="F133" s="11">
        <f>IF(E133&gt;0,('DATOS GENERALES'!K$3+('DATOS GENERALES'!K$3*E133)),0)</f>
        <v>0</v>
      </c>
      <c r="G133" s="11">
        <f>IF(E133&gt;0,IF('TABLA DE PAGOS'!K133='TABLA DE PAGOS'!A$11,(P133*C133*F133)/36000,('TABLA DE PAGOS'!E133*C133*F133)/36000),0)</f>
        <v>0</v>
      </c>
      <c r="I133" s="8">
        <f>IF('TABLA DE PAGOS'!$J133&lt;='VALORES DE LIQUIDACIÓN'!A$4,0,'TABLA DE PAGOS'!$J133-'VALORES DE LIQUIDACIÓN'!A$4)</f>
        <v>3794</v>
      </c>
      <c r="J133" s="8">
        <f>IF(AND(I133&gt;0,I132=0),'VALORES DE LIQUIDACIÓN'!A$4-'TABLA DE PAGOS'!J132,0)</f>
        <v>0</v>
      </c>
      <c r="K133" s="8">
        <f>IF(AND(AND('TABLA DE PAGOS'!J132&lt;='VALORES DE LIQUIDACIÓN'!A$4,'TABLA DE PAGOS'!J133&gt;='VALORES DE LIQUIDACIÓN'!A$4),'TABLA DE PAGOS'!K133='TABLA DE PAGOS'!A$10),'TABLA DE PAGOS'!C132,IF(AND('TABLA DE PAGOS'!K133='TABLA DE PAGOS'!A$10,'TABLA DE PAGOS'!K134='TABLA DE PAGOS'!A$9),'TABLA DE PAGOS'!C133,IF(AND('TABLA DE PAGOS'!K133='TABLA DE PAGOS'!A$11,'TABLA DE PAGOS'!K134='TABLA DE PAGOS'!A$9),'TABLA DE PAGOS'!C132,0)))</f>
        <v>0</v>
      </c>
      <c r="L133" s="14"/>
      <c r="M133" s="11">
        <f>IF(I133=0,IF('TABLA DE PAGOS'!J133&lt;='TABLA DE PAGOS'!A$4,0,IF('TABLA DE PAGOS'!K133='TABLA DE PAGOS'!A$9,'TABLA DE PAGOS'!F133,IF('TABLA DE PAGOS'!K133='TABLA DE PAGOS'!A$11,(INDEX(SALDOS!B$3:G$200,MATCH('TABLA DE PAGOS'!A$12,SALDOS!E$3:E$200,0),6))-(INDEX(SALDOS!B$3:H$200,MATCH('TABLA DE PAGOS'!A$12,SALDOS!E$3:E$200,0),7)),0))),0)</f>
        <v>0</v>
      </c>
      <c r="N133" s="11">
        <f>IF(AND(I133&gt;0,I132=0),J133*MAX(SALDOS!J$3:J$200),0)</f>
        <v>0</v>
      </c>
      <c r="P133" s="8">
        <f>IF(I133=0,IF('TABLA DE PAGOS'!J133&lt;='TABLA DE PAGOS'!A$4,0,IF('TABLA DE PAGOS'!K133='TABLA DE PAGOS'!A$9,'TABLA DE PAGOS'!E133,IF('TABLA DE PAGOS'!K133='TABLA DE PAGOS'!A$11,INDEX(SALDOS!B$3:G$200,MATCH('TABLA DE PAGOS'!A$13,SALDOS!E$3:E$200,0),6),0))),0)</f>
        <v>0</v>
      </c>
      <c r="Q133" s="8">
        <f>IF(AND(I133&gt;0,I132&gt;0),'TABLA DE PAGOS'!E133,0)</f>
        <v>2341.6</v>
      </c>
      <c r="R133" s="8">
        <f t="shared" si="5"/>
        <v>0</v>
      </c>
      <c r="T133" s="8">
        <f>IF(AND(I133&gt;0,I132=0),'TABLA DE PAGOS'!H133,0)</f>
        <v>0</v>
      </c>
      <c r="U133" s="8">
        <f>IF(AND('TABLA DE PAGOS'!K133='TABLA DE PAGOS'!A$11,VLOOKUP('TABLA DE PAGOS'!A$7,SALDOS!B$3:E$200,4)='TABLA DE PAGOS'!A$14),INDEX(SALDOS!B$3:G$200,MATCH('TABLA DE PAGOS'!A$14,SALDOS!E$3:E$200,0),6),IF(AND(P133&gt;0.001,M133&gt;0.001),'TABLA DE PAGOS'!H133,0))</f>
        <v>0</v>
      </c>
      <c r="W133" s="8">
        <f>IF(AND('TABLA DE PAGOS'!K133='TABLA DE PAGOS'!A$11,VLOOKUP('TABLA DE PAGOS'!A$7,SALDOS!B$3:E$200,4)='TABLA DE PAGOS'!A$16),INDEX(SALDOS!B$3:G$200,MATCH('TABLA DE PAGOS'!A$16,SALDOS!E$3:E$200,0),6),IF(AND(P133&gt;0.001,M133&gt;0.001),'TABLA DE PAGOS'!I133,0))</f>
        <v>0</v>
      </c>
    </row>
    <row r="134" spans="2:23">
      <c r="B134" s="33">
        <v>133</v>
      </c>
      <c r="C134" s="8">
        <f>IF('TABLA DE PAGOS'!K134='TABLA DE PAGOS'!A$12,0,IF('TABLA DE PAGOS'!K134='TABLA DE PAGOS'!A$11,'VALORES DE LIQUIDACIÓN'!A$4-'TABLA DE PAGOS'!M134,IF(AND('TABLA DE PAGOS'!J134&lt;'VALORES DE LIQUIDACIÓN'!A$4,'TABLA DE PAGOS'!K134='TABLA DE PAGOS'!A$9),'VALORES DE LIQUIDACIÓN'!A$4-'TABLA DE PAGOS'!J134,0)))</f>
        <v>0</v>
      </c>
      <c r="D134" s="8">
        <f>IF(P134&gt;0,'VALORES DE LIQUIDACIÓN'!A$4-'TABLA DE PAGOS'!J134,0)</f>
        <v>0</v>
      </c>
      <c r="E134" s="35">
        <f t="shared" si="4"/>
        <v>0</v>
      </c>
      <c r="F134" s="11">
        <f>IF(E134&gt;0,('DATOS GENERALES'!K$3+('DATOS GENERALES'!K$3*E134)),0)</f>
        <v>0</v>
      </c>
      <c r="G134" s="11">
        <f>IF(E134&gt;0,IF('TABLA DE PAGOS'!K134='TABLA DE PAGOS'!A$11,(P134*C134*F134)/36000,('TABLA DE PAGOS'!E134*C134*F134)/36000),0)</f>
        <v>0</v>
      </c>
      <c r="I134" s="8">
        <f>IF('TABLA DE PAGOS'!$J134&lt;='VALORES DE LIQUIDACIÓN'!A$4,0,'TABLA DE PAGOS'!$J134-'VALORES DE LIQUIDACIÓN'!A$4)</f>
        <v>3822</v>
      </c>
      <c r="J134" s="8">
        <f>IF(AND(I134&gt;0,I133=0),'VALORES DE LIQUIDACIÓN'!A$4-'TABLA DE PAGOS'!J133,0)</f>
        <v>0</v>
      </c>
      <c r="K134" s="8">
        <f>IF(AND(AND('TABLA DE PAGOS'!J133&lt;='VALORES DE LIQUIDACIÓN'!A$4,'TABLA DE PAGOS'!J134&gt;='VALORES DE LIQUIDACIÓN'!A$4),'TABLA DE PAGOS'!K134='TABLA DE PAGOS'!A$10),'TABLA DE PAGOS'!C133,IF(AND('TABLA DE PAGOS'!K134='TABLA DE PAGOS'!A$10,'TABLA DE PAGOS'!K135='TABLA DE PAGOS'!A$9),'TABLA DE PAGOS'!C134,IF(AND('TABLA DE PAGOS'!K134='TABLA DE PAGOS'!A$11,'TABLA DE PAGOS'!K135='TABLA DE PAGOS'!A$9),'TABLA DE PAGOS'!C133,0)))</f>
        <v>0</v>
      </c>
      <c r="L134" s="14"/>
      <c r="M134" s="11">
        <f>IF(I134=0,IF('TABLA DE PAGOS'!J134&lt;='TABLA DE PAGOS'!A$4,0,IF('TABLA DE PAGOS'!K134='TABLA DE PAGOS'!A$9,'TABLA DE PAGOS'!F134,IF('TABLA DE PAGOS'!K134='TABLA DE PAGOS'!A$11,(INDEX(SALDOS!B$3:G$200,MATCH('TABLA DE PAGOS'!A$12,SALDOS!E$3:E$200,0),6))-(INDEX(SALDOS!B$3:H$200,MATCH('TABLA DE PAGOS'!A$12,SALDOS!E$3:E$200,0),7)),0))),0)</f>
        <v>0</v>
      </c>
      <c r="N134" s="11">
        <f>IF(AND(I134&gt;0,I133=0),J134*MAX(SALDOS!J$3:J$200),0)</f>
        <v>0</v>
      </c>
      <c r="P134" s="8">
        <f>IF(I134=0,IF('TABLA DE PAGOS'!J134&lt;='TABLA DE PAGOS'!A$4,0,IF('TABLA DE PAGOS'!K134='TABLA DE PAGOS'!A$9,'TABLA DE PAGOS'!E134,IF('TABLA DE PAGOS'!K134='TABLA DE PAGOS'!A$11,INDEX(SALDOS!B$3:G$200,MATCH('TABLA DE PAGOS'!A$13,SALDOS!E$3:E$200,0),6),0))),0)</f>
        <v>0</v>
      </c>
      <c r="Q134" s="8">
        <f>IF(AND(I134&gt;0,I133&gt;0),'TABLA DE PAGOS'!E134,0)</f>
        <v>2461.45</v>
      </c>
      <c r="R134" s="8">
        <f t="shared" si="5"/>
        <v>0</v>
      </c>
      <c r="T134" s="8">
        <f>IF(AND(I134&gt;0,I133=0),'TABLA DE PAGOS'!H134,0)</f>
        <v>0</v>
      </c>
      <c r="U134" s="8">
        <f>IF(AND('TABLA DE PAGOS'!K134='TABLA DE PAGOS'!A$11,VLOOKUP('TABLA DE PAGOS'!A$7,SALDOS!B$3:E$200,4)='TABLA DE PAGOS'!A$14),INDEX(SALDOS!B$3:G$200,MATCH('TABLA DE PAGOS'!A$14,SALDOS!E$3:E$200,0),6),IF(AND(P134&gt;0.001,M134&gt;0.001),'TABLA DE PAGOS'!H134,0))</f>
        <v>0</v>
      </c>
      <c r="W134" s="8">
        <f>IF(AND('TABLA DE PAGOS'!K134='TABLA DE PAGOS'!A$11,VLOOKUP('TABLA DE PAGOS'!A$7,SALDOS!B$3:E$200,4)='TABLA DE PAGOS'!A$16),INDEX(SALDOS!B$3:G$200,MATCH('TABLA DE PAGOS'!A$16,SALDOS!E$3:E$200,0),6),IF(AND(P134&gt;0.001,M134&gt;0.001),'TABLA DE PAGOS'!I134,0))</f>
        <v>0</v>
      </c>
    </row>
    <row r="135" spans="2:23">
      <c r="B135" s="33">
        <v>134</v>
      </c>
      <c r="C135" s="8">
        <f>IF('TABLA DE PAGOS'!K135='TABLA DE PAGOS'!A$12,0,IF('TABLA DE PAGOS'!K135='TABLA DE PAGOS'!A$11,'VALORES DE LIQUIDACIÓN'!A$4-'TABLA DE PAGOS'!M135,IF(AND('TABLA DE PAGOS'!J135&lt;'VALORES DE LIQUIDACIÓN'!A$4,'TABLA DE PAGOS'!K135='TABLA DE PAGOS'!A$9),'VALORES DE LIQUIDACIÓN'!A$4-'TABLA DE PAGOS'!J135,0)))</f>
        <v>0</v>
      </c>
      <c r="D135" s="8">
        <f>IF(P135&gt;0,'VALORES DE LIQUIDACIÓN'!A$4-'TABLA DE PAGOS'!J135,0)</f>
        <v>0</v>
      </c>
      <c r="E135" s="35">
        <f t="shared" si="4"/>
        <v>0</v>
      </c>
      <c r="F135" s="11">
        <f>IF(E135&gt;0,('DATOS GENERALES'!K$3+('DATOS GENERALES'!K$3*E135)),0)</f>
        <v>0</v>
      </c>
      <c r="G135" s="11">
        <f>IF(E135&gt;0,IF('TABLA DE PAGOS'!K135='TABLA DE PAGOS'!A$11,(P135*C135*F135)/36000,('TABLA DE PAGOS'!E135*C135*F135)/36000),0)</f>
        <v>0</v>
      </c>
      <c r="I135" s="8">
        <f>IF('TABLA DE PAGOS'!$J135&lt;='VALORES DE LIQUIDACIÓN'!A$4,0,'TABLA DE PAGOS'!$J135-'VALORES DE LIQUIDACIÓN'!A$4)</f>
        <v>3853</v>
      </c>
      <c r="J135" s="8">
        <f>IF(AND(I135&gt;0,I134=0),'VALORES DE LIQUIDACIÓN'!A$4-'TABLA DE PAGOS'!J134,0)</f>
        <v>0</v>
      </c>
      <c r="K135" s="8">
        <f>IF(AND(AND('TABLA DE PAGOS'!J134&lt;='VALORES DE LIQUIDACIÓN'!A$4,'TABLA DE PAGOS'!J135&gt;='VALORES DE LIQUIDACIÓN'!A$4),'TABLA DE PAGOS'!K135='TABLA DE PAGOS'!A$10),'TABLA DE PAGOS'!C134,IF(AND('TABLA DE PAGOS'!K135='TABLA DE PAGOS'!A$10,'TABLA DE PAGOS'!K136='TABLA DE PAGOS'!A$9),'TABLA DE PAGOS'!C135,IF(AND('TABLA DE PAGOS'!K135='TABLA DE PAGOS'!A$11,'TABLA DE PAGOS'!K136='TABLA DE PAGOS'!A$9),'TABLA DE PAGOS'!C134,0)))</f>
        <v>0</v>
      </c>
      <c r="L135" s="14"/>
      <c r="M135" s="11">
        <f>IF(I135=0,IF('TABLA DE PAGOS'!J135&lt;='TABLA DE PAGOS'!A$4,0,IF('TABLA DE PAGOS'!K135='TABLA DE PAGOS'!A$9,'TABLA DE PAGOS'!F135,IF('TABLA DE PAGOS'!K135='TABLA DE PAGOS'!A$11,(INDEX(SALDOS!B$3:G$200,MATCH('TABLA DE PAGOS'!A$12,SALDOS!E$3:E$200,0),6))-(INDEX(SALDOS!B$3:H$200,MATCH('TABLA DE PAGOS'!A$12,SALDOS!E$3:E$200,0),7)),0))),0)</f>
        <v>0</v>
      </c>
      <c r="N135" s="11">
        <f>IF(AND(I135&gt;0,I134=0),J135*MAX(SALDOS!J$3:J$200),0)</f>
        <v>0</v>
      </c>
      <c r="P135" s="8">
        <f>IF(I135=0,IF('TABLA DE PAGOS'!J135&lt;='TABLA DE PAGOS'!A$4,0,IF('TABLA DE PAGOS'!K135='TABLA DE PAGOS'!A$9,'TABLA DE PAGOS'!E135,IF('TABLA DE PAGOS'!K135='TABLA DE PAGOS'!A$11,INDEX(SALDOS!B$3:G$200,MATCH('TABLA DE PAGOS'!A$13,SALDOS!E$3:E$200,0),6),0))),0)</f>
        <v>0</v>
      </c>
      <c r="Q135" s="8">
        <f>IF(AND(I135&gt;0,I134&gt;0),'TABLA DE PAGOS'!E135,0)</f>
        <v>2426.31</v>
      </c>
      <c r="R135" s="8">
        <f t="shared" si="5"/>
        <v>0</v>
      </c>
      <c r="T135" s="8">
        <f>IF(AND(I135&gt;0,I134=0),'TABLA DE PAGOS'!H135,0)</f>
        <v>0</v>
      </c>
      <c r="U135" s="8">
        <f>IF(AND('TABLA DE PAGOS'!K135='TABLA DE PAGOS'!A$11,VLOOKUP('TABLA DE PAGOS'!A$7,SALDOS!B$3:E$200,4)='TABLA DE PAGOS'!A$14),INDEX(SALDOS!B$3:G$200,MATCH('TABLA DE PAGOS'!A$14,SALDOS!E$3:E$200,0),6),IF(AND(P135&gt;0.001,M135&gt;0.001),'TABLA DE PAGOS'!H135,0))</f>
        <v>0</v>
      </c>
      <c r="W135" s="8">
        <f>IF(AND('TABLA DE PAGOS'!K135='TABLA DE PAGOS'!A$11,VLOOKUP('TABLA DE PAGOS'!A$7,SALDOS!B$3:E$200,4)='TABLA DE PAGOS'!A$16),INDEX(SALDOS!B$3:G$200,MATCH('TABLA DE PAGOS'!A$16,SALDOS!E$3:E$200,0),6),IF(AND(P135&gt;0.001,M135&gt;0.001),'TABLA DE PAGOS'!I135,0))</f>
        <v>0</v>
      </c>
    </row>
    <row r="136" spans="2:23">
      <c r="B136" s="33">
        <v>135</v>
      </c>
      <c r="C136" s="8">
        <f>IF('TABLA DE PAGOS'!K136='TABLA DE PAGOS'!A$12,0,IF('TABLA DE PAGOS'!K136='TABLA DE PAGOS'!A$11,'VALORES DE LIQUIDACIÓN'!A$4-'TABLA DE PAGOS'!M136,IF(AND('TABLA DE PAGOS'!J136&lt;'VALORES DE LIQUIDACIÓN'!A$4,'TABLA DE PAGOS'!K136='TABLA DE PAGOS'!A$9),'VALORES DE LIQUIDACIÓN'!A$4-'TABLA DE PAGOS'!J136,0)))</f>
        <v>0</v>
      </c>
      <c r="D136" s="8">
        <f>IF(P136&gt;0,'VALORES DE LIQUIDACIÓN'!A$4-'TABLA DE PAGOS'!J136,0)</f>
        <v>0</v>
      </c>
      <c r="E136" s="35">
        <f t="shared" si="4"/>
        <v>0</v>
      </c>
      <c r="F136" s="11">
        <f>IF(E136&gt;0,('DATOS GENERALES'!K$3+('DATOS GENERALES'!K$3*E136)),0)</f>
        <v>0</v>
      </c>
      <c r="G136" s="11">
        <f>IF(E136&gt;0,IF('TABLA DE PAGOS'!K136='TABLA DE PAGOS'!A$11,(P136*C136*F136)/36000,('TABLA DE PAGOS'!E136*C136*F136)/36000),0)</f>
        <v>0</v>
      </c>
      <c r="I136" s="8">
        <f>IF('TABLA DE PAGOS'!$J136&lt;='VALORES DE LIQUIDACIÓN'!A$4,0,'TABLA DE PAGOS'!$J136-'VALORES DE LIQUIDACIÓN'!A$4)</f>
        <v>3885</v>
      </c>
      <c r="J136" s="8">
        <f>IF(AND(I136&gt;0,I135=0),'VALORES DE LIQUIDACIÓN'!A$4-'TABLA DE PAGOS'!J135,0)</f>
        <v>0</v>
      </c>
      <c r="K136" s="8">
        <f>IF(AND(AND('TABLA DE PAGOS'!J135&lt;='VALORES DE LIQUIDACIÓN'!A$4,'TABLA DE PAGOS'!J136&gt;='VALORES DE LIQUIDACIÓN'!A$4),'TABLA DE PAGOS'!K136='TABLA DE PAGOS'!A$10),'TABLA DE PAGOS'!C135,IF(AND('TABLA DE PAGOS'!K136='TABLA DE PAGOS'!A$10,'TABLA DE PAGOS'!K137='TABLA DE PAGOS'!A$9),'TABLA DE PAGOS'!C136,IF(AND('TABLA DE PAGOS'!K136='TABLA DE PAGOS'!A$11,'TABLA DE PAGOS'!K137='TABLA DE PAGOS'!A$9),'TABLA DE PAGOS'!C135,0)))</f>
        <v>0</v>
      </c>
      <c r="L136" s="14"/>
      <c r="M136" s="11">
        <f>IF(I136=0,IF('TABLA DE PAGOS'!J136&lt;='TABLA DE PAGOS'!A$4,0,IF('TABLA DE PAGOS'!K136='TABLA DE PAGOS'!A$9,'TABLA DE PAGOS'!F136,IF('TABLA DE PAGOS'!K136='TABLA DE PAGOS'!A$11,(INDEX(SALDOS!B$3:G$200,MATCH('TABLA DE PAGOS'!A$12,SALDOS!E$3:E$200,0),6))-(INDEX(SALDOS!B$3:H$200,MATCH('TABLA DE PAGOS'!A$12,SALDOS!E$3:E$200,0),7)),0))),0)</f>
        <v>0</v>
      </c>
      <c r="N136" s="11">
        <f>IF(AND(I136&gt;0,I135=0),J136*MAX(SALDOS!J$3:J$200),0)</f>
        <v>0</v>
      </c>
      <c r="P136" s="8">
        <f>IF(I136=0,IF('TABLA DE PAGOS'!J136&lt;='TABLA DE PAGOS'!A$4,0,IF('TABLA DE PAGOS'!K136='TABLA DE PAGOS'!A$9,'TABLA DE PAGOS'!E136,IF('TABLA DE PAGOS'!K136='TABLA DE PAGOS'!A$11,INDEX(SALDOS!B$3:G$200,MATCH('TABLA DE PAGOS'!A$13,SALDOS!E$3:E$200,0),6),0))),0)</f>
        <v>0</v>
      </c>
      <c r="Q136" s="8">
        <f>IF(AND(I136&gt;0,I135&gt;0),'TABLA DE PAGOS'!E136,0)</f>
        <v>2430.99</v>
      </c>
      <c r="R136" s="8">
        <f t="shared" si="5"/>
        <v>0</v>
      </c>
      <c r="T136" s="8">
        <f>IF(AND(I136&gt;0,I135=0),'TABLA DE PAGOS'!H136,0)</f>
        <v>0</v>
      </c>
      <c r="U136" s="8">
        <f>IF(AND('TABLA DE PAGOS'!K136='TABLA DE PAGOS'!A$11,VLOOKUP('TABLA DE PAGOS'!A$7,SALDOS!B$3:E$200,4)='TABLA DE PAGOS'!A$14),INDEX(SALDOS!B$3:G$200,MATCH('TABLA DE PAGOS'!A$14,SALDOS!E$3:E$200,0),6),IF(AND(P136&gt;0.001,M136&gt;0.001),'TABLA DE PAGOS'!H136,0))</f>
        <v>0</v>
      </c>
      <c r="W136" s="8">
        <f>IF(AND('TABLA DE PAGOS'!K136='TABLA DE PAGOS'!A$11,VLOOKUP('TABLA DE PAGOS'!A$7,SALDOS!B$3:E$200,4)='TABLA DE PAGOS'!A$16),INDEX(SALDOS!B$3:G$200,MATCH('TABLA DE PAGOS'!A$16,SALDOS!E$3:E$200,0),6),IF(AND(P136&gt;0.001,M136&gt;0.001),'TABLA DE PAGOS'!I136,0))</f>
        <v>0</v>
      </c>
    </row>
    <row r="137" spans="2:23">
      <c r="B137" s="33">
        <v>136</v>
      </c>
      <c r="C137" s="8">
        <f>IF('TABLA DE PAGOS'!K137='TABLA DE PAGOS'!A$12,0,IF('TABLA DE PAGOS'!K137='TABLA DE PAGOS'!A$11,'VALORES DE LIQUIDACIÓN'!A$4-'TABLA DE PAGOS'!M137,IF(AND('TABLA DE PAGOS'!J137&lt;'VALORES DE LIQUIDACIÓN'!A$4,'TABLA DE PAGOS'!K137='TABLA DE PAGOS'!A$9),'VALORES DE LIQUIDACIÓN'!A$4-'TABLA DE PAGOS'!J137,0)))</f>
        <v>0</v>
      </c>
      <c r="D137" s="8">
        <f>IF(P137&gt;0,'VALORES DE LIQUIDACIÓN'!A$4-'TABLA DE PAGOS'!J137,0)</f>
        <v>0</v>
      </c>
      <c r="E137" s="35">
        <f t="shared" si="4"/>
        <v>0</v>
      </c>
      <c r="F137" s="11">
        <f>IF(E137&gt;0,('DATOS GENERALES'!K$3+('DATOS GENERALES'!K$3*E137)),0)</f>
        <v>0</v>
      </c>
      <c r="G137" s="11">
        <f>IF(E137&gt;0,IF('TABLA DE PAGOS'!K137='TABLA DE PAGOS'!A$11,(P137*C137*F137)/36000,('TABLA DE PAGOS'!E137*C137*F137)/36000),0)</f>
        <v>0</v>
      </c>
      <c r="I137" s="8">
        <f>IF('TABLA DE PAGOS'!$J137&lt;='VALORES DE LIQUIDACIÓN'!A$4,0,'TABLA DE PAGOS'!$J137-'VALORES DE LIQUIDACIÓN'!A$4)</f>
        <v>3914</v>
      </c>
      <c r="J137" s="8">
        <f>IF(AND(I137&gt;0,I136=0),'VALORES DE LIQUIDACIÓN'!A$4-'TABLA DE PAGOS'!J136,0)</f>
        <v>0</v>
      </c>
      <c r="K137" s="8">
        <f>IF(AND(AND('TABLA DE PAGOS'!J136&lt;='VALORES DE LIQUIDACIÓN'!A$4,'TABLA DE PAGOS'!J137&gt;='VALORES DE LIQUIDACIÓN'!A$4),'TABLA DE PAGOS'!K137='TABLA DE PAGOS'!A$10),'TABLA DE PAGOS'!C136,IF(AND('TABLA DE PAGOS'!K137='TABLA DE PAGOS'!A$10,'TABLA DE PAGOS'!K138='TABLA DE PAGOS'!A$9),'TABLA DE PAGOS'!C137,IF(AND('TABLA DE PAGOS'!K137='TABLA DE PAGOS'!A$11,'TABLA DE PAGOS'!K138='TABLA DE PAGOS'!A$9),'TABLA DE PAGOS'!C136,0)))</f>
        <v>0</v>
      </c>
      <c r="L137" s="14"/>
      <c r="M137" s="11">
        <f>IF(I137=0,IF('TABLA DE PAGOS'!J137&lt;='TABLA DE PAGOS'!A$4,0,IF('TABLA DE PAGOS'!K137='TABLA DE PAGOS'!A$9,'TABLA DE PAGOS'!F137,IF('TABLA DE PAGOS'!K137='TABLA DE PAGOS'!A$11,(INDEX(SALDOS!B$3:G$200,MATCH('TABLA DE PAGOS'!A$12,SALDOS!E$3:E$200,0),6))-(INDEX(SALDOS!B$3:H$200,MATCH('TABLA DE PAGOS'!A$12,SALDOS!E$3:E$200,0),7)),0))),0)</f>
        <v>0</v>
      </c>
      <c r="N137" s="11">
        <f>IF(AND(I137&gt;0,I136=0),J137*MAX(SALDOS!J$3:J$200),0)</f>
        <v>0</v>
      </c>
      <c r="P137" s="8">
        <f>IF(I137=0,IF('TABLA DE PAGOS'!J137&lt;='TABLA DE PAGOS'!A$4,0,IF('TABLA DE PAGOS'!K137='TABLA DE PAGOS'!A$9,'TABLA DE PAGOS'!E137,IF('TABLA DE PAGOS'!K137='TABLA DE PAGOS'!A$11,INDEX(SALDOS!B$3:G$200,MATCH('TABLA DE PAGOS'!A$13,SALDOS!E$3:E$200,0),6),0))),0)</f>
        <v>0</v>
      </c>
      <c r="Q137" s="8">
        <f>IF(AND(I137&gt;0,I136&gt;0),'TABLA DE PAGOS'!E137,0)</f>
        <v>2505.73</v>
      </c>
      <c r="R137" s="8">
        <f t="shared" si="5"/>
        <v>0</v>
      </c>
      <c r="T137" s="8">
        <f>IF(AND(I137&gt;0,I136=0),'TABLA DE PAGOS'!H137,0)</f>
        <v>0</v>
      </c>
      <c r="U137" s="8">
        <f>IF(AND('TABLA DE PAGOS'!K137='TABLA DE PAGOS'!A$11,VLOOKUP('TABLA DE PAGOS'!A$7,SALDOS!B$3:E$200,4)='TABLA DE PAGOS'!A$14),INDEX(SALDOS!B$3:G$200,MATCH('TABLA DE PAGOS'!A$14,SALDOS!E$3:E$200,0),6),IF(AND(P137&gt;0.001,M137&gt;0.001),'TABLA DE PAGOS'!H137,0))</f>
        <v>0</v>
      </c>
      <c r="W137" s="8">
        <f>IF(AND('TABLA DE PAGOS'!K137='TABLA DE PAGOS'!A$11,VLOOKUP('TABLA DE PAGOS'!A$7,SALDOS!B$3:E$200,4)='TABLA DE PAGOS'!A$16),INDEX(SALDOS!B$3:G$200,MATCH('TABLA DE PAGOS'!A$16,SALDOS!E$3:E$200,0),6),IF(AND(P137&gt;0.001,M137&gt;0.001),'TABLA DE PAGOS'!I137,0))</f>
        <v>0</v>
      </c>
    </row>
    <row r="138" spans="2:23">
      <c r="B138" s="33">
        <v>137</v>
      </c>
      <c r="C138" s="8">
        <f>IF('TABLA DE PAGOS'!K138='TABLA DE PAGOS'!A$12,0,IF('TABLA DE PAGOS'!K138='TABLA DE PAGOS'!A$11,'VALORES DE LIQUIDACIÓN'!A$4-'TABLA DE PAGOS'!M138,IF(AND('TABLA DE PAGOS'!J138&lt;'VALORES DE LIQUIDACIÓN'!A$4,'TABLA DE PAGOS'!K138='TABLA DE PAGOS'!A$9),'VALORES DE LIQUIDACIÓN'!A$4-'TABLA DE PAGOS'!J138,0)))</f>
        <v>0</v>
      </c>
      <c r="D138" s="8">
        <f>IF(P138&gt;0,'VALORES DE LIQUIDACIÓN'!A$4-'TABLA DE PAGOS'!J138,0)</f>
        <v>0</v>
      </c>
      <c r="E138" s="35">
        <f t="shared" si="4"/>
        <v>0</v>
      </c>
      <c r="F138" s="11">
        <f>IF(E138&gt;0,('DATOS GENERALES'!K$3+('DATOS GENERALES'!K$3*E138)),0)</f>
        <v>0</v>
      </c>
      <c r="G138" s="11">
        <f>IF(E138&gt;0,IF('TABLA DE PAGOS'!K138='TABLA DE PAGOS'!A$11,(P138*C138*F138)/36000,('TABLA DE PAGOS'!E138*C138*F138)/36000),0)</f>
        <v>0</v>
      </c>
      <c r="I138" s="8">
        <f>IF('TABLA DE PAGOS'!$J138&lt;='VALORES DE LIQUIDACIÓN'!A$4,0,'TABLA DE PAGOS'!$J138-'VALORES DE LIQUIDACIÓN'!A$4)</f>
        <v>3945</v>
      </c>
      <c r="J138" s="8">
        <f>IF(AND(I138&gt;0,I137=0),'VALORES DE LIQUIDACIÓN'!A$4-'TABLA DE PAGOS'!J137,0)</f>
        <v>0</v>
      </c>
      <c r="K138" s="8">
        <f>IF(AND(AND('TABLA DE PAGOS'!J137&lt;='VALORES DE LIQUIDACIÓN'!A$4,'TABLA DE PAGOS'!J138&gt;='VALORES DE LIQUIDACIÓN'!A$4),'TABLA DE PAGOS'!K138='TABLA DE PAGOS'!A$10),'TABLA DE PAGOS'!C137,IF(AND('TABLA DE PAGOS'!K138='TABLA DE PAGOS'!A$10,'TABLA DE PAGOS'!K139='TABLA DE PAGOS'!A$9),'TABLA DE PAGOS'!C138,IF(AND('TABLA DE PAGOS'!K138='TABLA DE PAGOS'!A$11,'TABLA DE PAGOS'!K139='TABLA DE PAGOS'!A$9),'TABLA DE PAGOS'!C137,0)))</f>
        <v>0</v>
      </c>
      <c r="L138" s="14"/>
      <c r="M138" s="11">
        <f>IF(I138=0,IF('TABLA DE PAGOS'!J138&lt;='TABLA DE PAGOS'!A$4,0,IF('TABLA DE PAGOS'!K138='TABLA DE PAGOS'!A$9,'TABLA DE PAGOS'!F138,IF('TABLA DE PAGOS'!K138='TABLA DE PAGOS'!A$11,(INDEX(SALDOS!B$3:G$200,MATCH('TABLA DE PAGOS'!A$12,SALDOS!E$3:E$200,0),6))-(INDEX(SALDOS!B$3:H$200,MATCH('TABLA DE PAGOS'!A$12,SALDOS!E$3:E$200,0),7)),0))),0)</f>
        <v>0</v>
      </c>
      <c r="N138" s="11">
        <f>IF(AND(I138&gt;0,I137=0),J138*MAX(SALDOS!J$3:J$200),0)</f>
        <v>0</v>
      </c>
      <c r="P138" s="8">
        <f>IF(I138=0,IF('TABLA DE PAGOS'!J138&lt;='TABLA DE PAGOS'!A$4,0,IF('TABLA DE PAGOS'!K138='TABLA DE PAGOS'!A$9,'TABLA DE PAGOS'!E138,IF('TABLA DE PAGOS'!K138='TABLA DE PAGOS'!A$11,INDEX(SALDOS!B$3:G$200,MATCH('TABLA DE PAGOS'!A$13,SALDOS!E$3:E$200,0),6),0))),0)</f>
        <v>0</v>
      </c>
      <c r="Q138" s="8">
        <f>IF(AND(I138&gt;0,I137&gt;0),'TABLA DE PAGOS'!E138,0)</f>
        <v>2494.73</v>
      </c>
      <c r="R138" s="8">
        <f t="shared" si="5"/>
        <v>0</v>
      </c>
      <c r="T138" s="8">
        <f>IF(AND(I138&gt;0,I137=0),'TABLA DE PAGOS'!H138,0)</f>
        <v>0</v>
      </c>
      <c r="U138" s="8">
        <f>IF(AND('TABLA DE PAGOS'!K138='TABLA DE PAGOS'!A$11,VLOOKUP('TABLA DE PAGOS'!A$7,SALDOS!B$3:E$200,4)='TABLA DE PAGOS'!A$14),INDEX(SALDOS!B$3:G$200,MATCH('TABLA DE PAGOS'!A$14,SALDOS!E$3:E$200,0),6),IF(AND(P138&gt;0.001,M138&gt;0.001),'TABLA DE PAGOS'!H138,0))</f>
        <v>0</v>
      </c>
      <c r="W138" s="8">
        <f>IF(AND('TABLA DE PAGOS'!K138='TABLA DE PAGOS'!A$11,VLOOKUP('TABLA DE PAGOS'!A$7,SALDOS!B$3:E$200,4)='TABLA DE PAGOS'!A$16),INDEX(SALDOS!B$3:G$200,MATCH('TABLA DE PAGOS'!A$16,SALDOS!E$3:E$200,0),6),IF(AND(P138&gt;0.001,M138&gt;0.001),'TABLA DE PAGOS'!I138,0))</f>
        <v>0</v>
      </c>
    </row>
    <row r="139" spans="2:23">
      <c r="B139" s="33">
        <v>138</v>
      </c>
      <c r="C139" s="8">
        <f>IF('TABLA DE PAGOS'!K139='TABLA DE PAGOS'!A$12,0,IF('TABLA DE PAGOS'!K139='TABLA DE PAGOS'!A$11,'VALORES DE LIQUIDACIÓN'!A$4-'TABLA DE PAGOS'!M139,IF(AND('TABLA DE PAGOS'!J139&lt;'VALORES DE LIQUIDACIÓN'!A$4,'TABLA DE PAGOS'!K139='TABLA DE PAGOS'!A$9),'VALORES DE LIQUIDACIÓN'!A$4-'TABLA DE PAGOS'!J139,0)))</f>
        <v>0</v>
      </c>
      <c r="D139" s="8">
        <f>IF(P139&gt;0,'VALORES DE LIQUIDACIÓN'!A$4-'TABLA DE PAGOS'!J139,0)</f>
        <v>0</v>
      </c>
      <c r="E139" s="35">
        <f t="shared" si="4"/>
        <v>0</v>
      </c>
      <c r="F139" s="11">
        <f>IF(E139&gt;0,('DATOS GENERALES'!K$3+('DATOS GENERALES'!K$3*E139)),0)</f>
        <v>0</v>
      </c>
      <c r="G139" s="11">
        <f>IF(E139&gt;0,IF('TABLA DE PAGOS'!K139='TABLA DE PAGOS'!A$11,(P139*C139*F139)/36000,('TABLA DE PAGOS'!E139*C139*F139)/36000),0)</f>
        <v>0</v>
      </c>
      <c r="I139" s="8">
        <f>IF('TABLA DE PAGOS'!$J139&lt;='VALORES DE LIQUIDACIÓN'!A$4,0,'TABLA DE PAGOS'!$J139-'VALORES DE LIQUIDACIÓN'!A$4)</f>
        <v>3973</v>
      </c>
      <c r="J139" s="8">
        <f>IF(AND(I139&gt;0,I138=0),'VALORES DE LIQUIDACIÓN'!A$4-'TABLA DE PAGOS'!J138,0)</f>
        <v>0</v>
      </c>
      <c r="K139" s="8">
        <f>IF(AND(AND('TABLA DE PAGOS'!J138&lt;='VALORES DE LIQUIDACIÓN'!A$4,'TABLA DE PAGOS'!J139&gt;='VALORES DE LIQUIDACIÓN'!A$4),'TABLA DE PAGOS'!K139='TABLA DE PAGOS'!A$10),'TABLA DE PAGOS'!C138,IF(AND('TABLA DE PAGOS'!K139='TABLA DE PAGOS'!A$10,'TABLA DE PAGOS'!K140='TABLA DE PAGOS'!A$9),'TABLA DE PAGOS'!C139,IF(AND('TABLA DE PAGOS'!K139='TABLA DE PAGOS'!A$11,'TABLA DE PAGOS'!K140='TABLA DE PAGOS'!A$9),'TABLA DE PAGOS'!C138,0)))</f>
        <v>0</v>
      </c>
      <c r="L139" s="14"/>
      <c r="M139" s="11">
        <f>IF(I139=0,IF('TABLA DE PAGOS'!J139&lt;='TABLA DE PAGOS'!A$4,0,IF('TABLA DE PAGOS'!K139='TABLA DE PAGOS'!A$9,'TABLA DE PAGOS'!F139,IF('TABLA DE PAGOS'!K139='TABLA DE PAGOS'!A$11,(INDEX(SALDOS!B$3:G$200,MATCH('TABLA DE PAGOS'!A$12,SALDOS!E$3:E$200,0),6))-(INDEX(SALDOS!B$3:H$200,MATCH('TABLA DE PAGOS'!A$12,SALDOS!E$3:E$200,0),7)),0))),0)</f>
        <v>0</v>
      </c>
      <c r="N139" s="11">
        <f>IF(AND(I139&gt;0,I138=0),J139*MAX(SALDOS!J$3:J$200),0)</f>
        <v>0</v>
      </c>
      <c r="P139" s="8">
        <f>IF(I139=0,IF('TABLA DE PAGOS'!J139&lt;='TABLA DE PAGOS'!A$4,0,IF('TABLA DE PAGOS'!K139='TABLA DE PAGOS'!A$9,'TABLA DE PAGOS'!E139,IF('TABLA DE PAGOS'!K139='TABLA DE PAGOS'!A$11,INDEX(SALDOS!B$3:G$200,MATCH('TABLA DE PAGOS'!A$13,SALDOS!E$3:E$200,0),6),0))),0)</f>
        <v>0</v>
      </c>
      <c r="Q139" s="8">
        <f>IF(AND(I139&gt;0,I138&gt;0),'TABLA DE PAGOS'!E139,0)</f>
        <v>2564.84</v>
      </c>
      <c r="R139" s="8">
        <f t="shared" si="5"/>
        <v>0</v>
      </c>
      <c r="T139" s="8">
        <f>IF(AND(I139&gt;0,I138=0),'TABLA DE PAGOS'!H139,0)</f>
        <v>0</v>
      </c>
      <c r="U139" s="8">
        <f>IF(AND('TABLA DE PAGOS'!K139='TABLA DE PAGOS'!A$11,VLOOKUP('TABLA DE PAGOS'!A$7,SALDOS!B$3:E$200,4)='TABLA DE PAGOS'!A$14),INDEX(SALDOS!B$3:G$200,MATCH('TABLA DE PAGOS'!A$14,SALDOS!E$3:E$200,0),6),IF(AND(P139&gt;0.001,M139&gt;0.001),'TABLA DE PAGOS'!H139,0))</f>
        <v>0</v>
      </c>
      <c r="W139" s="8">
        <f>IF(AND('TABLA DE PAGOS'!K139='TABLA DE PAGOS'!A$11,VLOOKUP('TABLA DE PAGOS'!A$7,SALDOS!B$3:E$200,4)='TABLA DE PAGOS'!A$16),INDEX(SALDOS!B$3:G$200,MATCH('TABLA DE PAGOS'!A$16,SALDOS!E$3:E$200,0),6),IF(AND(P139&gt;0.001,M139&gt;0.001),'TABLA DE PAGOS'!I139,0))</f>
        <v>0</v>
      </c>
    </row>
    <row r="140" spans="2:23">
      <c r="B140" s="33">
        <v>139</v>
      </c>
      <c r="C140" s="8">
        <f>IF('TABLA DE PAGOS'!K140='TABLA DE PAGOS'!A$12,0,IF('TABLA DE PAGOS'!K140='TABLA DE PAGOS'!A$11,'VALORES DE LIQUIDACIÓN'!A$4-'TABLA DE PAGOS'!M140,IF(AND('TABLA DE PAGOS'!J140&lt;'VALORES DE LIQUIDACIÓN'!A$4,'TABLA DE PAGOS'!K140='TABLA DE PAGOS'!A$9),'VALORES DE LIQUIDACIÓN'!A$4-'TABLA DE PAGOS'!J140,0)))</f>
        <v>0</v>
      </c>
      <c r="D140" s="8">
        <f>IF(P140&gt;0,'VALORES DE LIQUIDACIÓN'!A$4-'TABLA DE PAGOS'!J140,0)</f>
        <v>0</v>
      </c>
      <c r="E140" s="35">
        <f t="shared" si="4"/>
        <v>0</v>
      </c>
      <c r="F140" s="11">
        <f>IF(E140&gt;0,('DATOS GENERALES'!K$3+('DATOS GENERALES'!K$3*E140)),0)</f>
        <v>0</v>
      </c>
      <c r="G140" s="11">
        <f>IF(E140&gt;0,IF('TABLA DE PAGOS'!K140='TABLA DE PAGOS'!A$11,(P140*C140*F140)/36000,('TABLA DE PAGOS'!E140*C140*F140)/36000),0)</f>
        <v>0</v>
      </c>
      <c r="I140" s="8">
        <f>IF('TABLA DE PAGOS'!$J140&lt;='VALORES DE LIQUIDACIÓN'!A$4,0,'TABLA DE PAGOS'!$J140-'VALORES DE LIQUIDACIÓN'!A$4)</f>
        <v>4004</v>
      </c>
      <c r="J140" s="8">
        <f>IF(AND(I140&gt;0,I139=0),'VALORES DE LIQUIDACIÓN'!A$4-'TABLA DE PAGOS'!J139,0)</f>
        <v>0</v>
      </c>
      <c r="K140" s="8">
        <f>IF(AND(AND('TABLA DE PAGOS'!J139&lt;='VALORES DE LIQUIDACIÓN'!A$4,'TABLA DE PAGOS'!J140&gt;='VALORES DE LIQUIDACIÓN'!A$4),'TABLA DE PAGOS'!K140='TABLA DE PAGOS'!A$10),'TABLA DE PAGOS'!C139,IF(AND('TABLA DE PAGOS'!K140='TABLA DE PAGOS'!A$10,'TABLA DE PAGOS'!K141='TABLA DE PAGOS'!A$9),'TABLA DE PAGOS'!C140,IF(AND('TABLA DE PAGOS'!K140='TABLA DE PAGOS'!A$11,'TABLA DE PAGOS'!K141='TABLA DE PAGOS'!A$9),'TABLA DE PAGOS'!C139,0)))</f>
        <v>0</v>
      </c>
      <c r="L140" s="14"/>
      <c r="M140" s="11">
        <f>IF(I140=0,IF('TABLA DE PAGOS'!J140&lt;='TABLA DE PAGOS'!A$4,0,IF('TABLA DE PAGOS'!K140='TABLA DE PAGOS'!A$9,'TABLA DE PAGOS'!F140,IF('TABLA DE PAGOS'!K140='TABLA DE PAGOS'!A$11,(INDEX(SALDOS!B$3:G$200,MATCH('TABLA DE PAGOS'!A$12,SALDOS!E$3:E$200,0),6))-(INDEX(SALDOS!B$3:H$200,MATCH('TABLA DE PAGOS'!A$12,SALDOS!E$3:E$200,0),7)),0))),0)</f>
        <v>0</v>
      </c>
      <c r="N140" s="11">
        <f>IF(AND(I140&gt;0,I139=0),J140*MAX(SALDOS!J$3:J$200),0)</f>
        <v>0</v>
      </c>
      <c r="P140" s="8">
        <f>IF(I140=0,IF('TABLA DE PAGOS'!J140&lt;='TABLA DE PAGOS'!A$4,0,IF('TABLA DE PAGOS'!K140='TABLA DE PAGOS'!A$9,'TABLA DE PAGOS'!E140,IF('TABLA DE PAGOS'!K140='TABLA DE PAGOS'!A$11,INDEX(SALDOS!B$3:G$200,MATCH('TABLA DE PAGOS'!A$13,SALDOS!E$3:E$200,0),6),0))),0)</f>
        <v>0</v>
      </c>
      <c r="Q140" s="8">
        <f>IF(AND(I140&gt;0,I139&gt;0),'TABLA DE PAGOS'!E140,0)</f>
        <v>2541.75</v>
      </c>
      <c r="R140" s="8">
        <f t="shared" si="5"/>
        <v>0</v>
      </c>
      <c r="T140" s="8">
        <f>IF(AND(I140&gt;0,I139=0),'TABLA DE PAGOS'!H140,0)</f>
        <v>0</v>
      </c>
      <c r="U140" s="8">
        <f>IF(AND('TABLA DE PAGOS'!K140='TABLA DE PAGOS'!A$11,VLOOKUP('TABLA DE PAGOS'!A$7,SALDOS!B$3:E$200,4)='TABLA DE PAGOS'!A$14),INDEX(SALDOS!B$3:G$200,MATCH('TABLA DE PAGOS'!A$14,SALDOS!E$3:E$200,0),6),IF(AND(P140&gt;0.001,M140&gt;0.001),'TABLA DE PAGOS'!H140,0))</f>
        <v>0</v>
      </c>
      <c r="W140" s="8">
        <f>IF(AND('TABLA DE PAGOS'!K140='TABLA DE PAGOS'!A$11,VLOOKUP('TABLA DE PAGOS'!A$7,SALDOS!B$3:E$200,4)='TABLA DE PAGOS'!A$16),INDEX(SALDOS!B$3:G$200,MATCH('TABLA DE PAGOS'!A$16,SALDOS!E$3:E$200,0),6),IF(AND(P140&gt;0.001,M140&gt;0.001),'TABLA DE PAGOS'!I140,0))</f>
        <v>0</v>
      </c>
    </row>
    <row r="141" spans="2:23">
      <c r="B141" s="33">
        <v>140</v>
      </c>
      <c r="C141" s="8">
        <f>IF('TABLA DE PAGOS'!K141='TABLA DE PAGOS'!A$12,0,IF('TABLA DE PAGOS'!K141='TABLA DE PAGOS'!A$11,'VALORES DE LIQUIDACIÓN'!A$4-'TABLA DE PAGOS'!M141,IF(AND('TABLA DE PAGOS'!J141&lt;'VALORES DE LIQUIDACIÓN'!A$4,'TABLA DE PAGOS'!K141='TABLA DE PAGOS'!A$9),'VALORES DE LIQUIDACIÓN'!A$4-'TABLA DE PAGOS'!J141,0)))</f>
        <v>0</v>
      </c>
      <c r="D141" s="8">
        <f>IF(P141&gt;0,'VALORES DE LIQUIDACIÓN'!A$4-'TABLA DE PAGOS'!J141,0)</f>
        <v>0</v>
      </c>
      <c r="E141" s="35">
        <f t="shared" si="4"/>
        <v>0</v>
      </c>
      <c r="F141" s="11">
        <f>IF(E141&gt;0,('DATOS GENERALES'!K$3+('DATOS GENERALES'!K$3*E141)),0)</f>
        <v>0</v>
      </c>
      <c r="G141" s="11">
        <f>IF(E141&gt;0,IF('TABLA DE PAGOS'!K141='TABLA DE PAGOS'!A$11,(P141*C141*F141)/36000,('TABLA DE PAGOS'!E141*C141*F141)/36000),0)</f>
        <v>0</v>
      </c>
      <c r="I141" s="8">
        <f>IF('TABLA DE PAGOS'!$J141&lt;='VALORES DE LIQUIDACIÓN'!A$4,0,'TABLA DE PAGOS'!$J141-'VALORES DE LIQUIDACIÓN'!A$4)</f>
        <v>4034</v>
      </c>
      <c r="J141" s="8">
        <f>IF(AND(I141&gt;0,I140=0),'VALORES DE LIQUIDACIÓN'!A$4-'TABLA DE PAGOS'!J140,0)</f>
        <v>0</v>
      </c>
      <c r="K141" s="8">
        <f>IF(AND(AND('TABLA DE PAGOS'!J140&lt;='VALORES DE LIQUIDACIÓN'!A$4,'TABLA DE PAGOS'!J141&gt;='VALORES DE LIQUIDACIÓN'!A$4),'TABLA DE PAGOS'!K141='TABLA DE PAGOS'!A$10),'TABLA DE PAGOS'!C140,IF(AND('TABLA DE PAGOS'!K141='TABLA DE PAGOS'!A$10,'TABLA DE PAGOS'!K142='TABLA DE PAGOS'!A$9),'TABLA DE PAGOS'!C141,IF(AND('TABLA DE PAGOS'!K141='TABLA DE PAGOS'!A$11,'TABLA DE PAGOS'!K142='TABLA DE PAGOS'!A$9),'TABLA DE PAGOS'!C140,0)))</f>
        <v>0</v>
      </c>
      <c r="L141" s="14"/>
      <c r="M141" s="11">
        <f>IF(I141=0,IF('TABLA DE PAGOS'!J141&lt;='TABLA DE PAGOS'!A$4,0,IF('TABLA DE PAGOS'!K141='TABLA DE PAGOS'!A$9,'TABLA DE PAGOS'!F141,IF('TABLA DE PAGOS'!K141='TABLA DE PAGOS'!A$11,(INDEX(SALDOS!B$3:G$200,MATCH('TABLA DE PAGOS'!A$12,SALDOS!E$3:E$200,0),6))-(INDEX(SALDOS!B$3:H$200,MATCH('TABLA DE PAGOS'!A$12,SALDOS!E$3:E$200,0),7)),0))),0)</f>
        <v>0</v>
      </c>
      <c r="N141" s="11">
        <f>IF(AND(I141&gt;0,I140=0),J141*MAX(SALDOS!J$3:J$200),0)</f>
        <v>0</v>
      </c>
      <c r="P141" s="8">
        <f>IF(I141=0,IF('TABLA DE PAGOS'!J141&lt;='TABLA DE PAGOS'!A$4,0,IF('TABLA DE PAGOS'!K141='TABLA DE PAGOS'!A$9,'TABLA DE PAGOS'!E141,IF('TABLA DE PAGOS'!K141='TABLA DE PAGOS'!A$11,INDEX(SALDOS!B$3:G$200,MATCH('TABLA DE PAGOS'!A$13,SALDOS!E$3:E$200,0),6),0))),0)</f>
        <v>0</v>
      </c>
      <c r="Q141" s="8">
        <f>IF(AND(I141&gt;0,I140&gt;0),'TABLA DE PAGOS'!E141,0)</f>
        <v>2579.48</v>
      </c>
      <c r="R141" s="8">
        <f t="shared" si="5"/>
        <v>0</v>
      </c>
      <c r="T141" s="8">
        <f>IF(AND(I141&gt;0,I140=0),'TABLA DE PAGOS'!H141,0)</f>
        <v>0</v>
      </c>
      <c r="U141" s="8">
        <f>IF(AND('TABLA DE PAGOS'!K141='TABLA DE PAGOS'!A$11,VLOOKUP('TABLA DE PAGOS'!A$7,SALDOS!B$3:E$200,4)='TABLA DE PAGOS'!A$14),INDEX(SALDOS!B$3:G$200,MATCH('TABLA DE PAGOS'!A$14,SALDOS!E$3:E$200,0),6),IF(AND(P141&gt;0.001,M141&gt;0.001),'TABLA DE PAGOS'!H141,0))</f>
        <v>0</v>
      </c>
      <c r="W141" s="8">
        <f>IF(AND('TABLA DE PAGOS'!K141='TABLA DE PAGOS'!A$11,VLOOKUP('TABLA DE PAGOS'!A$7,SALDOS!B$3:E$200,4)='TABLA DE PAGOS'!A$16),INDEX(SALDOS!B$3:G$200,MATCH('TABLA DE PAGOS'!A$16,SALDOS!E$3:E$200,0),6),IF(AND(P141&gt;0.001,M141&gt;0.001),'TABLA DE PAGOS'!I141,0))</f>
        <v>0</v>
      </c>
    </row>
    <row r="142" spans="2:23">
      <c r="B142" s="33">
        <v>141</v>
      </c>
      <c r="C142" s="8">
        <f>IF('TABLA DE PAGOS'!K142='TABLA DE PAGOS'!A$12,0,IF('TABLA DE PAGOS'!K142='TABLA DE PAGOS'!A$11,'VALORES DE LIQUIDACIÓN'!A$4-'TABLA DE PAGOS'!M142,IF(AND('TABLA DE PAGOS'!J142&lt;'VALORES DE LIQUIDACIÓN'!A$4,'TABLA DE PAGOS'!K142='TABLA DE PAGOS'!A$9),'VALORES DE LIQUIDACIÓN'!A$4-'TABLA DE PAGOS'!J142,0)))</f>
        <v>0</v>
      </c>
      <c r="D142" s="8">
        <f>IF(P142&gt;0,'VALORES DE LIQUIDACIÓN'!A$4-'TABLA DE PAGOS'!J142,0)</f>
        <v>0</v>
      </c>
      <c r="E142" s="35">
        <f t="shared" si="4"/>
        <v>0</v>
      </c>
      <c r="F142" s="11">
        <f>IF(E142&gt;0,('DATOS GENERALES'!K$3+('DATOS GENERALES'!K$3*E142)),0)</f>
        <v>0</v>
      </c>
      <c r="G142" s="11">
        <f>IF(E142&gt;0,IF('TABLA DE PAGOS'!K142='TABLA DE PAGOS'!A$11,(P142*C142*F142)/36000,('TABLA DE PAGOS'!E142*C142*F142)/36000),0)</f>
        <v>0</v>
      </c>
      <c r="I142" s="8">
        <f>IF('TABLA DE PAGOS'!$J142&lt;='VALORES DE LIQUIDACIÓN'!A$4,0,'TABLA DE PAGOS'!$J142-'VALORES DE LIQUIDACIÓN'!A$4)</f>
        <v>4067</v>
      </c>
      <c r="J142" s="8">
        <f>IF(AND(I142&gt;0,I141=0),'VALORES DE LIQUIDACIÓN'!A$4-'TABLA DE PAGOS'!J141,0)</f>
        <v>0</v>
      </c>
      <c r="K142" s="8">
        <f>IF(AND(AND('TABLA DE PAGOS'!J141&lt;='VALORES DE LIQUIDACIÓN'!A$4,'TABLA DE PAGOS'!J142&gt;='VALORES DE LIQUIDACIÓN'!A$4),'TABLA DE PAGOS'!K142='TABLA DE PAGOS'!A$10),'TABLA DE PAGOS'!C141,IF(AND('TABLA DE PAGOS'!K142='TABLA DE PAGOS'!A$10,'TABLA DE PAGOS'!K143='TABLA DE PAGOS'!A$9),'TABLA DE PAGOS'!C142,IF(AND('TABLA DE PAGOS'!K142='TABLA DE PAGOS'!A$11,'TABLA DE PAGOS'!K143='TABLA DE PAGOS'!A$9),'TABLA DE PAGOS'!C141,0)))</f>
        <v>0</v>
      </c>
      <c r="L142" s="14"/>
      <c r="M142" s="11">
        <f>IF(I142=0,IF('TABLA DE PAGOS'!J142&lt;='TABLA DE PAGOS'!A$4,0,IF('TABLA DE PAGOS'!K142='TABLA DE PAGOS'!A$9,'TABLA DE PAGOS'!F142,IF('TABLA DE PAGOS'!K142='TABLA DE PAGOS'!A$11,(INDEX(SALDOS!B$3:G$200,MATCH('TABLA DE PAGOS'!A$12,SALDOS!E$3:E$200,0),6))-(INDEX(SALDOS!B$3:H$200,MATCH('TABLA DE PAGOS'!A$12,SALDOS!E$3:E$200,0),7)),0))),0)</f>
        <v>0</v>
      </c>
      <c r="N142" s="11">
        <f>IF(AND(I142&gt;0,I141=0),J142*MAX(SALDOS!J$3:J$200),0)</f>
        <v>0</v>
      </c>
      <c r="P142" s="8">
        <f>IF(I142=0,IF('TABLA DE PAGOS'!J142&lt;='TABLA DE PAGOS'!A$4,0,IF('TABLA DE PAGOS'!K142='TABLA DE PAGOS'!A$9,'TABLA DE PAGOS'!E142,IF('TABLA DE PAGOS'!K142='TABLA DE PAGOS'!A$11,INDEX(SALDOS!B$3:G$200,MATCH('TABLA DE PAGOS'!A$13,SALDOS!E$3:E$200,0),6),0))),0)</f>
        <v>0</v>
      </c>
      <c r="Q142" s="8">
        <f>IF(AND(I142&gt;0,I141&gt;0),'TABLA DE PAGOS'!E142,0)</f>
        <v>2562.65</v>
      </c>
      <c r="R142" s="8">
        <f t="shared" si="5"/>
        <v>0</v>
      </c>
      <c r="T142" s="8">
        <f>IF(AND(I142&gt;0,I141=0),'TABLA DE PAGOS'!H142,0)</f>
        <v>0</v>
      </c>
      <c r="U142" s="8">
        <f>IF(AND('TABLA DE PAGOS'!K142='TABLA DE PAGOS'!A$11,VLOOKUP('TABLA DE PAGOS'!A$7,SALDOS!B$3:E$200,4)='TABLA DE PAGOS'!A$14),INDEX(SALDOS!B$3:G$200,MATCH('TABLA DE PAGOS'!A$14,SALDOS!E$3:E$200,0),6),IF(AND(P142&gt;0.001,M142&gt;0.001),'TABLA DE PAGOS'!H142,0))</f>
        <v>0</v>
      </c>
      <c r="W142" s="8">
        <f>IF(AND('TABLA DE PAGOS'!K142='TABLA DE PAGOS'!A$11,VLOOKUP('TABLA DE PAGOS'!A$7,SALDOS!B$3:E$200,4)='TABLA DE PAGOS'!A$16),INDEX(SALDOS!B$3:G$200,MATCH('TABLA DE PAGOS'!A$16,SALDOS!E$3:E$200,0),6),IF(AND(P142&gt;0.001,M142&gt;0.001),'TABLA DE PAGOS'!I142,0))</f>
        <v>0</v>
      </c>
    </row>
    <row r="143" spans="2:23">
      <c r="B143" s="33">
        <v>142</v>
      </c>
      <c r="C143" s="8">
        <f>IF('TABLA DE PAGOS'!K143='TABLA DE PAGOS'!A$12,0,IF('TABLA DE PAGOS'!K143='TABLA DE PAGOS'!A$11,'VALORES DE LIQUIDACIÓN'!A$4-'TABLA DE PAGOS'!M143,IF(AND('TABLA DE PAGOS'!J143&lt;'VALORES DE LIQUIDACIÓN'!A$4,'TABLA DE PAGOS'!K143='TABLA DE PAGOS'!A$9),'VALORES DE LIQUIDACIÓN'!A$4-'TABLA DE PAGOS'!J143,0)))</f>
        <v>0</v>
      </c>
      <c r="D143" s="8">
        <f>IF(P143&gt;0,'VALORES DE LIQUIDACIÓN'!A$4-'TABLA DE PAGOS'!J143,0)</f>
        <v>0</v>
      </c>
      <c r="E143" s="35">
        <f t="shared" si="4"/>
        <v>0</v>
      </c>
      <c r="F143" s="11">
        <f>IF(E143&gt;0,('DATOS GENERALES'!K$3+('DATOS GENERALES'!K$3*E143)),0)</f>
        <v>0</v>
      </c>
      <c r="G143" s="11">
        <f>IF(E143&gt;0,IF('TABLA DE PAGOS'!K143='TABLA DE PAGOS'!A$11,(P143*C143*F143)/36000,('TABLA DE PAGOS'!E143*C143*F143)/36000),0)</f>
        <v>0</v>
      </c>
      <c r="I143" s="8">
        <f>IF('TABLA DE PAGOS'!$J143&lt;='VALORES DE LIQUIDACIÓN'!A$4,0,'TABLA DE PAGOS'!$J143-'VALORES DE LIQUIDACIÓN'!A$4)</f>
        <v>4095</v>
      </c>
      <c r="J143" s="8">
        <f>IF(AND(I143&gt;0,I142=0),'VALORES DE LIQUIDACIÓN'!A$4-'TABLA DE PAGOS'!J142,0)</f>
        <v>0</v>
      </c>
      <c r="K143" s="8">
        <f>IF(AND(AND('TABLA DE PAGOS'!J142&lt;='VALORES DE LIQUIDACIÓN'!A$4,'TABLA DE PAGOS'!J143&gt;='VALORES DE LIQUIDACIÓN'!A$4),'TABLA DE PAGOS'!K143='TABLA DE PAGOS'!A$10),'TABLA DE PAGOS'!C142,IF(AND('TABLA DE PAGOS'!K143='TABLA DE PAGOS'!A$10,'TABLA DE PAGOS'!K144='TABLA DE PAGOS'!A$9),'TABLA DE PAGOS'!C143,IF(AND('TABLA DE PAGOS'!K143='TABLA DE PAGOS'!A$11,'TABLA DE PAGOS'!K144='TABLA DE PAGOS'!A$9),'TABLA DE PAGOS'!C142,0)))</f>
        <v>0</v>
      </c>
      <c r="L143" s="14"/>
      <c r="M143" s="11">
        <f>IF(I143=0,IF('TABLA DE PAGOS'!J143&lt;='TABLA DE PAGOS'!A$4,0,IF('TABLA DE PAGOS'!K143='TABLA DE PAGOS'!A$9,'TABLA DE PAGOS'!F143,IF('TABLA DE PAGOS'!K143='TABLA DE PAGOS'!A$11,(INDEX(SALDOS!B$3:G$200,MATCH('TABLA DE PAGOS'!A$12,SALDOS!E$3:E$200,0),6))-(INDEX(SALDOS!B$3:H$200,MATCH('TABLA DE PAGOS'!A$12,SALDOS!E$3:E$200,0),7)),0))),0)</f>
        <v>0</v>
      </c>
      <c r="N143" s="11">
        <f>IF(AND(I143&gt;0,I142=0),J143*MAX(SALDOS!J$3:J$200),0)</f>
        <v>0</v>
      </c>
      <c r="P143" s="8">
        <f>IF(I143=0,IF('TABLA DE PAGOS'!J143&lt;='TABLA DE PAGOS'!A$4,0,IF('TABLA DE PAGOS'!K143='TABLA DE PAGOS'!A$9,'TABLA DE PAGOS'!E143,IF('TABLA DE PAGOS'!K143='TABLA DE PAGOS'!A$11,INDEX(SALDOS!B$3:G$200,MATCH('TABLA DE PAGOS'!A$13,SALDOS!E$3:E$200,0),6),0))),0)</f>
        <v>0</v>
      </c>
      <c r="Q143" s="8">
        <f>IF(AND(I143&gt;0,I142&gt;0),'TABLA DE PAGOS'!E143,0)</f>
        <v>2650.86</v>
      </c>
      <c r="R143" s="8">
        <f t="shared" si="5"/>
        <v>0</v>
      </c>
      <c r="T143" s="8">
        <f>IF(AND(I143&gt;0,I142=0),'TABLA DE PAGOS'!H143,0)</f>
        <v>0</v>
      </c>
      <c r="U143" s="8">
        <f>IF(AND('TABLA DE PAGOS'!K143='TABLA DE PAGOS'!A$11,VLOOKUP('TABLA DE PAGOS'!A$7,SALDOS!B$3:E$200,4)='TABLA DE PAGOS'!A$14),INDEX(SALDOS!B$3:G$200,MATCH('TABLA DE PAGOS'!A$14,SALDOS!E$3:E$200,0),6),IF(AND(P143&gt;0.001,M143&gt;0.001),'TABLA DE PAGOS'!H143,0))</f>
        <v>0</v>
      </c>
      <c r="W143" s="8">
        <f>IF(AND('TABLA DE PAGOS'!K143='TABLA DE PAGOS'!A$11,VLOOKUP('TABLA DE PAGOS'!A$7,SALDOS!B$3:E$200,4)='TABLA DE PAGOS'!A$16),INDEX(SALDOS!B$3:G$200,MATCH('TABLA DE PAGOS'!A$16,SALDOS!E$3:E$200,0),6),IF(AND(P143&gt;0.001,M143&gt;0.001),'TABLA DE PAGOS'!I143,0))</f>
        <v>0</v>
      </c>
    </row>
    <row r="144" spans="2:23">
      <c r="B144" s="33">
        <v>143</v>
      </c>
      <c r="C144" s="8">
        <f>IF('TABLA DE PAGOS'!K144='TABLA DE PAGOS'!A$12,0,IF('TABLA DE PAGOS'!K144='TABLA DE PAGOS'!A$11,'VALORES DE LIQUIDACIÓN'!A$4-'TABLA DE PAGOS'!M144,IF(AND('TABLA DE PAGOS'!J144&lt;'VALORES DE LIQUIDACIÓN'!A$4,'TABLA DE PAGOS'!K144='TABLA DE PAGOS'!A$9),'VALORES DE LIQUIDACIÓN'!A$4-'TABLA DE PAGOS'!J144,0)))</f>
        <v>0</v>
      </c>
      <c r="D144" s="8">
        <f>IF(P144&gt;0,'VALORES DE LIQUIDACIÓN'!A$4-'TABLA DE PAGOS'!J144,0)</f>
        <v>0</v>
      </c>
      <c r="E144" s="35">
        <f t="shared" si="4"/>
        <v>0</v>
      </c>
      <c r="F144" s="11">
        <f>IF(E144&gt;0,('DATOS GENERALES'!K$3+('DATOS GENERALES'!K$3*E144)),0)</f>
        <v>0</v>
      </c>
      <c r="G144" s="11">
        <f>IF(E144&gt;0,IF('TABLA DE PAGOS'!K144='TABLA DE PAGOS'!A$11,(P144*C144*F144)/36000,('TABLA DE PAGOS'!E144*C144*F144)/36000),0)</f>
        <v>0</v>
      </c>
      <c r="I144" s="8">
        <f>IF('TABLA DE PAGOS'!$J144&lt;='VALORES DE LIQUIDACIÓN'!A$4,0,'TABLA DE PAGOS'!$J144-'VALORES DE LIQUIDACIÓN'!A$4)</f>
        <v>4126</v>
      </c>
      <c r="J144" s="8">
        <f>IF(AND(I144&gt;0,I143=0),'VALORES DE LIQUIDACIÓN'!A$4-'TABLA DE PAGOS'!J143,0)</f>
        <v>0</v>
      </c>
      <c r="K144" s="8">
        <f>IF(AND(AND('TABLA DE PAGOS'!J143&lt;='VALORES DE LIQUIDACIÓN'!A$4,'TABLA DE PAGOS'!J144&gt;='VALORES DE LIQUIDACIÓN'!A$4),'TABLA DE PAGOS'!K144='TABLA DE PAGOS'!A$10),'TABLA DE PAGOS'!C143,IF(AND('TABLA DE PAGOS'!K144='TABLA DE PAGOS'!A$10,'TABLA DE PAGOS'!K145='TABLA DE PAGOS'!A$9),'TABLA DE PAGOS'!C144,IF(AND('TABLA DE PAGOS'!K144='TABLA DE PAGOS'!A$11,'TABLA DE PAGOS'!K145='TABLA DE PAGOS'!A$9),'TABLA DE PAGOS'!C143,0)))</f>
        <v>0</v>
      </c>
      <c r="L144" s="14"/>
      <c r="M144" s="11">
        <f>IF(I144=0,IF('TABLA DE PAGOS'!J144&lt;='TABLA DE PAGOS'!A$4,0,IF('TABLA DE PAGOS'!K144='TABLA DE PAGOS'!A$9,'TABLA DE PAGOS'!F144,IF('TABLA DE PAGOS'!K144='TABLA DE PAGOS'!A$11,(INDEX(SALDOS!B$3:G$200,MATCH('TABLA DE PAGOS'!A$12,SALDOS!E$3:E$200,0),6))-(INDEX(SALDOS!B$3:H$200,MATCH('TABLA DE PAGOS'!A$12,SALDOS!E$3:E$200,0),7)),0))),0)</f>
        <v>0</v>
      </c>
      <c r="N144" s="11">
        <f>IF(AND(I144&gt;0,I143=0),J144*MAX(SALDOS!J$3:J$200),0)</f>
        <v>0</v>
      </c>
      <c r="P144" s="8">
        <f>IF(I144=0,IF('TABLA DE PAGOS'!J144&lt;='TABLA DE PAGOS'!A$4,0,IF('TABLA DE PAGOS'!K144='TABLA DE PAGOS'!A$9,'TABLA DE PAGOS'!E144,IF('TABLA DE PAGOS'!K144='TABLA DE PAGOS'!A$11,INDEX(SALDOS!B$3:G$200,MATCH('TABLA DE PAGOS'!A$13,SALDOS!E$3:E$200,0),6),0))),0)</f>
        <v>0</v>
      </c>
      <c r="Q144" s="8">
        <f>IF(AND(I144&gt;0,I143&gt;0),'TABLA DE PAGOS'!E144,0)</f>
        <v>2637.78</v>
      </c>
      <c r="R144" s="8">
        <f t="shared" si="5"/>
        <v>0</v>
      </c>
      <c r="T144" s="8">
        <f>IF(AND(I144&gt;0,I143=0),'TABLA DE PAGOS'!H144,0)</f>
        <v>0</v>
      </c>
      <c r="U144" s="8">
        <f>IF(AND('TABLA DE PAGOS'!K144='TABLA DE PAGOS'!A$11,VLOOKUP('TABLA DE PAGOS'!A$7,SALDOS!B$3:E$200,4)='TABLA DE PAGOS'!A$14),INDEX(SALDOS!B$3:G$200,MATCH('TABLA DE PAGOS'!A$14,SALDOS!E$3:E$200,0),6),IF(AND(P144&gt;0.001,M144&gt;0.001),'TABLA DE PAGOS'!H144,0))</f>
        <v>0</v>
      </c>
      <c r="W144" s="8">
        <f>IF(AND('TABLA DE PAGOS'!K144='TABLA DE PAGOS'!A$11,VLOOKUP('TABLA DE PAGOS'!A$7,SALDOS!B$3:E$200,4)='TABLA DE PAGOS'!A$16),INDEX(SALDOS!B$3:G$200,MATCH('TABLA DE PAGOS'!A$16,SALDOS!E$3:E$200,0),6),IF(AND(P144&gt;0.001,M144&gt;0.001),'TABLA DE PAGOS'!I144,0))</f>
        <v>0</v>
      </c>
    </row>
    <row r="145" spans="2:23">
      <c r="B145" s="33">
        <v>144</v>
      </c>
      <c r="C145" s="8">
        <f>IF('TABLA DE PAGOS'!K145='TABLA DE PAGOS'!A$12,0,IF('TABLA DE PAGOS'!K145='TABLA DE PAGOS'!A$11,'VALORES DE LIQUIDACIÓN'!A$4-'TABLA DE PAGOS'!M145,IF(AND('TABLA DE PAGOS'!J145&lt;'VALORES DE LIQUIDACIÓN'!A$4,'TABLA DE PAGOS'!K145='TABLA DE PAGOS'!A$9),'VALORES DE LIQUIDACIÓN'!A$4-'TABLA DE PAGOS'!J145,0)))</f>
        <v>0</v>
      </c>
      <c r="D145" s="8">
        <f>IF(P145&gt;0,'VALORES DE LIQUIDACIÓN'!A$4-'TABLA DE PAGOS'!J145,0)</f>
        <v>0</v>
      </c>
      <c r="E145" s="35">
        <f t="shared" si="4"/>
        <v>0</v>
      </c>
      <c r="F145" s="11">
        <f>IF(E145&gt;0,('DATOS GENERALES'!K$3+('DATOS GENERALES'!K$3*E145)),0)</f>
        <v>0</v>
      </c>
      <c r="G145" s="11">
        <f>IF(E145&gt;0,IF('TABLA DE PAGOS'!K145='TABLA DE PAGOS'!A$11,(P145*C145*F145)/36000,('TABLA DE PAGOS'!E145*C145*F145)/36000),0)</f>
        <v>0</v>
      </c>
      <c r="I145" s="8">
        <f>IF('TABLA DE PAGOS'!$J145&lt;='VALORES DE LIQUIDACIÓN'!A$4,0,'TABLA DE PAGOS'!$J145-'VALORES DE LIQUIDACIÓN'!A$4)</f>
        <v>4158</v>
      </c>
      <c r="J145" s="8">
        <f>IF(AND(I145&gt;0,I144=0),'VALORES DE LIQUIDACIÓN'!A$4-'TABLA DE PAGOS'!J144,0)</f>
        <v>0</v>
      </c>
      <c r="K145" s="8">
        <f>IF(AND(AND('TABLA DE PAGOS'!J144&lt;='VALORES DE LIQUIDACIÓN'!A$4,'TABLA DE PAGOS'!J145&gt;='VALORES DE LIQUIDACIÓN'!A$4),'TABLA DE PAGOS'!K145='TABLA DE PAGOS'!A$10),'TABLA DE PAGOS'!C144,IF(AND('TABLA DE PAGOS'!K145='TABLA DE PAGOS'!A$10,'TABLA DE PAGOS'!K146='TABLA DE PAGOS'!A$9),'TABLA DE PAGOS'!C145,IF(AND('TABLA DE PAGOS'!K145='TABLA DE PAGOS'!A$11,'TABLA DE PAGOS'!K146='TABLA DE PAGOS'!A$9),'TABLA DE PAGOS'!C144,0)))</f>
        <v>0</v>
      </c>
      <c r="L145" s="14"/>
      <c r="M145" s="11">
        <f>IF(I145=0,IF('TABLA DE PAGOS'!J145&lt;='TABLA DE PAGOS'!A$4,0,IF('TABLA DE PAGOS'!K145='TABLA DE PAGOS'!A$9,'TABLA DE PAGOS'!F145,IF('TABLA DE PAGOS'!K145='TABLA DE PAGOS'!A$11,(INDEX(SALDOS!B$3:G$200,MATCH('TABLA DE PAGOS'!A$12,SALDOS!E$3:E$200,0),6))-(INDEX(SALDOS!B$3:H$200,MATCH('TABLA DE PAGOS'!A$12,SALDOS!E$3:E$200,0),7)),0))),0)</f>
        <v>0</v>
      </c>
      <c r="N145" s="11">
        <f>IF(AND(I145&gt;0,I144=0),J145*MAX(SALDOS!J$3:J$200),0)</f>
        <v>0</v>
      </c>
      <c r="P145" s="8">
        <f>IF(I145=0,IF('TABLA DE PAGOS'!J145&lt;='TABLA DE PAGOS'!A$4,0,IF('TABLA DE PAGOS'!K145='TABLA DE PAGOS'!A$9,'TABLA DE PAGOS'!E145,IF('TABLA DE PAGOS'!K145='TABLA DE PAGOS'!A$11,INDEX(SALDOS!B$3:G$200,MATCH('TABLA DE PAGOS'!A$13,SALDOS!E$3:E$200,0),6),0))),0)</f>
        <v>0</v>
      </c>
      <c r="Q145" s="8">
        <f>IF(AND(I145&gt;0,I144&gt;0),'TABLA DE PAGOS'!E145,0)</f>
        <v>2651.31</v>
      </c>
      <c r="R145" s="8">
        <f t="shared" si="5"/>
        <v>0</v>
      </c>
      <c r="T145" s="8">
        <f>IF(AND(I145&gt;0,I144=0),'TABLA DE PAGOS'!H145,0)</f>
        <v>0</v>
      </c>
      <c r="U145" s="8">
        <f>IF(AND('TABLA DE PAGOS'!K145='TABLA DE PAGOS'!A$11,VLOOKUP('TABLA DE PAGOS'!A$7,SALDOS!B$3:E$200,4)='TABLA DE PAGOS'!A$14),INDEX(SALDOS!B$3:G$200,MATCH('TABLA DE PAGOS'!A$14,SALDOS!E$3:E$200,0),6),IF(AND(P145&gt;0.001,M145&gt;0.001),'TABLA DE PAGOS'!H145,0))</f>
        <v>0</v>
      </c>
      <c r="W145" s="8">
        <f>IF(AND('TABLA DE PAGOS'!K145='TABLA DE PAGOS'!A$11,VLOOKUP('TABLA DE PAGOS'!A$7,SALDOS!B$3:E$200,4)='TABLA DE PAGOS'!A$16),INDEX(SALDOS!B$3:G$200,MATCH('TABLA DE PAGOS'!A$16,SALDOS!E$3:E$200,0),6),IF(AND(P145&gt;0.001,M145&gt;0.001),'TABLA DE PAGOS'!I145,0))</f>
        <v>0</v>
      </c>
    </row>
    <row r="146" spans="2:23">
      <c r="B146" s="33">
        <v>145</v>
      </c>
      <c r="C146" s="8">
        <f>IF('TABLA DE PAGOS'!K146='TABLA DE PAGOS'!A$12,0,IF('TABLA DE PAGOS'!K146='TABLA DE PAGOS'!A$11,'VALORES DE LIQUIDACIÓN'!A$4-'TABLA DE PAGOS'!M146,IF(AND('TABLA DE PAGOS'!J146&lt;'VALORES DE LIQUIDACIÓN'!A$4,'TABLA DE PAGOS'!K146='TABLA DE PAGOS'!A$9),'VALORES DE LIQUIDACIÓN'!A$4-'TABLA DE PAGOS'!J146,0)))</f>
        <v>0</v>
      </c>
      <c r="D146" s="8">
        <f>IF(P146&gt;0,'VALORES DE LIQUIDACIÓN'!A$4-'TABLA DE PAGOS'!J146,0)</f>
        <v>0</v>
      </c>
      <c r="E146" s="35">
        <f t="shared" si="4"/>
        <v>0</v>
      </c>
      <c r="F146" s="11">
        <f>IF(E146&gt;0,('DATOS GENERALES'!K$3+('DATOS GENERALES'!K$3*E146)),0)</f>
        <v>0</v>
      </c>
      <c r="G146" s="11">
        <f>IF(E146&gt;0,IF('TABLA DE PAGOS'!K146='TABLA DE PAGOS'!A$11,(P146*C146*F146)/36000,('TABLA DE PAGOS'!E146*C146*F146)/36000),0)</f>
        <v>0</v>
      </c>
      <c r="I146" s="8">
        <f>IF('TABLA DE PAGOS'!$J146&lt;='VALORES DE LIQUIDACIÓN'!A$4,0,'TABLA DE PAGOS'!$J146-'VALORES DE LIQUIDACIÓN'!A$4)</f>
        <v>4187</v>
      </c>
      <c r="J146" s="8">
        <f>IF(AND(I146&gt;0,I145=0),'VALORES DE LIQUIDACIÓN'!A$4-'TABLA DE PAGOS'!J145,0)</f>
        <v>0</v>
      </c>
      <c r="K146" s="8">
        <f>IF(AND(AND('TABLA DE PAGOS'!J145&lt;='VALORES DE LIQUIDACIÓN'!A$4,'TABLA DE PAGOS'!J146&gt;='VALORES DE LIQUIDACIÓN'!A$4),'TABLA DE PAGOS'!K146='TABLA DE PAGOS'!A$10),'TABLA DE PAGOS'!C145,IF(AND('TABLA DE PAGOS'!K146='TABLA DE PAGOS'!A$10,'TABLA DE PAGOS'!K147='TABLA DE PAGOS'!A$9),'TABLA DE PAGOS'!C146,IF(AND('TABLA DE PAGOS'!K146='TABLA DE PAGOS'!A$11,'TABLA DE PAGOS'!K147='TABLA DE PAGOS'!A$9),'TABLA DE PAGOS'!C145,0)))</f>
        <v>0</v>
      </c>
      <c r="L146" s="14"/>
      <c r="M146" s="11">
        <f>IF(I146=0,IF('TABLA DE PAGOS'!J146&lt;='TABLA DE PAGOS'!A$4,0,IF('TABLA DE PAGOS'!K146='TABLA DE PAGOS'!A$9,'TABLA DE PAGOS'!F146,IF('TABLA DE PAGOS'!K146='TABLA DE PAGOS'!A$11,(INDEX(SALDOS!B$3:G$200,MATCH('TABLA DE PAGOS'!A$12,SALDOS!E$3:E$200,0),6))-(INDEX(SALDOS!B$3:H$200,MATCH('TABLA DE PAGOS'!A$12,SALDOS!E$3:E$200,0),7)),0))),0)</f>
        <v>0</v>
      </c>
      <c r="N146" s="11">
        <f>IF(AND(I146&gt;0,I145=0),J146*MAX(SALDOS!J$3:J$200),0)</f>
        <v>0</v>
      </c>
      <c r="P146" s="8">
        <f>IF(I146=0,IF('TABLA DE PAGOS'!J146&lt;='TABLA DE PAGOS'!A$4,0,IF('TABLA DE PAGOS'!K146='TABLA DE PAGOS'!A$9,'TABLA DE PAGOS'!E146,IF('TABLA DE PAGOS'!K146='TABLA DE PAGOS'!A$11,INDEX(SALDOS!B$3:G$200,MATCH('TABLA DE PAGOS'!A$13,SALDOS!E$3:E$200,0),6),0))),0)</f>
        <v>0</v>
      </c>
      <c r="Q146" s="8">
        <f>IF(AND(I146&gt;0,I145&gt;0),'TABLA DE PAGOS'!E146,0)</f>
        <v>2707.31</v>
      </c>
      <c r="R146" s="8">
        <f t="shared" si="5"/>
        <v>0</v>
      </c>
      <c r="T146" s="8">
        <f>IF(AND(I146&gt;0,I145=0),'TABLA DE PAGOS'!H146,0)</f>
        <v>0</v>
      </c>
      <c r="U146" s="8">
        <f>IF(AND('TABLA DE PAGOS'!K146='TABLA DE PAGOS'!A$11,VLOOKUP('TABLA DE PAGOS'!A$7,SALDOS!B$3:E$200,4)='TABLA DE PAGOS'!A$14),INDEX(SALDOS!B$3:G$200,MATCH('TABLA DE PAGOS'!A$14,SALDOS!E$3:E$200,0),6),IF(AND(P146&gt;0.001,M146&gt;0.001),'TABLA DE PAGOS'!H146,0))</f>
        <v>0</v>
      </c>
      <c r="W146" s="8">
        <f>IF(AND('TABLA DE PAGOS'!K146='TABLA DE PAGOS'!A$11,VLOOKUP('TABLA DE PAGOS'!A$7,SALDOS!B$3:E$200,4)='TABLA DE PAGOS'!A$16),INDEX(SALDOS!B$3:G$200,MATCH('TABLA DE PAGOS'!A$16,SALDOS!E$3:E$200,0),6),IF(AND(P146&gt;0.001,M146&gt;0.001),'TABLA DE PAGOS'!I146,0))</f>
        <v>0</v>
      </c>
    </row>
    <row r="147" spans="2:23">
      <c r="B147" s="33">
        <v>146</v>
      </c>
      <c r="C147" s="8">
        <f>IF('TABLA DE PAGOS'!K147='TABLA DE PAGOS'!A$12,0,IF('TABLA DE PAGOS'!K147='TABLA DE PAGOS'!A$11,'VALORES DE LIQUIDACIÓN'!A$4-'TABLA DE PAGOS'!M147,IF(AND('TABLA DE PAGOS'!J147&lt;'VALORES DE LIQUIDACIÓN'!A$4,'TABLA DE PAGOS'!K147='TABLA DE PAGOS'!A$9),'VALORES DE LIQUIDACIÓN'!A$4-'TABLA DE PAGOS'!J147,0)))</f>
        <v>0</v>
      </c>
      <c r="D147" s="8">
        <f>IF(P147&gt;0,'VALORES DE LIQUIDACIÓN'!A$4-'TABLA DE PAGOS'!J147,0)</f>
        <v>0</v>
      </c>
      <c r="E147" s="35">
        <f t="shared" si="4"/>
        <v>0</v>
      </c>
      <c r="F147" s="11">
        <f>IF(E147&gt;0,('DATOS GENERALES'!K$3+('DATOS GENERALES'!K$3*E147)),0)</f>
        <v>0</v>
      </c>
      <c r="G147" s="11">
        <f>IF(E147&gt;0,IF('TABLA DE PAGOS'!K147='TABLA DE PAGOS'!A$11,(P147*C147*F147)/36000,('TABLA DE PAGOS'!E147*C147*F147)/36000),0)</f>
        <v>0</v>
      </c>
      <c r="I147" s="8">
        <f>IF('TABLA DE PAGOS'!$J147&lt;='VALORES DE LIQUIDACIÓN'!A$4,0,'TABLA DE PAGOS'!$J147-'VALORES DE LIQUIDACIÓN'!A$4)</f>
        <v>4218</v>
      </c>
      <c r="J147" s="8">
        <f>IF(AND(I147&gt;0,I146=0),'VALORES DE LIQUIDACIÓN'!A$4-'TABLA DE PAGOS'!J146,0)</f>
        <v>0</v>
      </c>
      <c r="K147" s="8">
        <f>IF(AND(AND('TABLA DE PAGOS'!J146&lt;='VALORES DE LIQUIDACIÓN'!A$4,'TABLA DE PAGOS'!J147&gt;='VALORES DE LIQUIDACIÓN'!A$4),'TABLA DE PAGOS'!K147='TABLA DE PAGOS'!A$10),'TABLA DE PAGOS'!C146,IF(AND('TABLA DE PAGOS'!K147='TABLA DE PAGOS'!A$10,'TABLA DE PAGOS'!K148='TABLA DE PAGOS'!A$9),'TABLA DE PAGOS'!C147,IF(AND('TABLA DE PAGOS'!K147='TABLA DE PAGOS'!A$11,'TABLA DE PAGOS'!K148='TABLA DE PAGOS'!A$9),'TABLA DE PAGOS'!C146,0)))</f>
        <v>0</v>
      </c>
      <c r="L147" s="14"/>
      <c r="M147" s="11">
        <f>IF(I147=0,IF('TABLA DE PAGOS'!J147&lt;='TABLA DE PAGOS'!A$4,0,IF('TABLA DE PAGOS'!K147='TABLA DE PAGOS'!A$9,'TABLA DE PAGOS'!F147,IF('TABLA DE PAGOS'!K147='TABLA DE PAGOS'!A$11,(INDEX(SALDOS!B$3:G$200,MATCH('TABLA DE PAGOS'!A$12,SALDOS!E$3:E$200,0),6))-(INDEX(SALDOS!B$3:H$200,MATCH('TABLA DE PAGOS'!A$12,SALDOS!E$3:E$200,0),7)),0))),0)</f>
        <v>0</v>
      </c>
      <c r="N147" s="11">
        <f>IF(AND(I147&gt;0,I146=0),J147*MAX(SALDOS!J$3:J$200),0)</f>
        <v>0</v>
      </c>
      <c r="P147" s="8">
        <f>IF(I147=0,IF('TABLA DE PAGOS'!J147&lt;='TABLA DE PAGOS'!A$4,0,IF('TABLA DE PAGOS'!K147='TABLA DE PAGOS'!A$9,'TABLA DE PAGOS'!E147,IF('TABLA DE PAGOS'!K147='TABLA DE PAGOS'!A$11,INDEX(SALDOS!B$3:G$200,MATCH('TABLA DE PAGOS'!A$13,SALDOS!E$3:E$200,0),6),0))),0)</f>
        <v>0</v>
      </c>
      <c r="Q147" s="8">
        <f>IF(AND(I147&gt;0,I146&gt;0),'TABLA DE PAGOS'!E147,0)</f>
        <v>2712.09</v>
      </c>
      <c r="R147" s="8">
        <f t="shared" si="5"/>
        <v>0</v>
      </c>
      <c r="T147" s="8">
        <f>IF(AND(I147&gt;0,I146=0),'TABLA DE PAGOS'!H147,0)</f>
        <v>0</v>
      </c>
      <c r="U147" s="8">
        <f>IF(AND('TABLA DE PAGOS'!K147='TABLA DE PAGOS'!A$11,VLOOKUP('TABLA DE PAGOS'!A$7,SALDOS!B$3:E$200,4)='TABLA DE PAGOS'!A$14),INDEX(SALDOS!B$3:G$200,MATCH('TABLA DE PAGOS'!A$14,SALDOS!E$3:E$200,0),6),IF(AND(P147&gt;0.001,M147&gt;0.001),'TABLA DE PAGOS'!H147,0))</f>
        <v>0</v>
      </c>
      <c r="W147" s="8">
        <f>IF(AND('TABLA DE PAGOS'!K147='TABLA DE PAGOS'!A$11,VLOOKUP('TABLA DE PAGOS'!A$7,SALDOS!B$3:E$200,4)='TABLA DE PAGOS'!A$16),INDEX(SALDOS!B$3:G$200,MATCH('TABLA DE PAGOS'!A$16,SALDOS!E$3:E$200,0),6),IF(AND(P147&gt;0.001,M147&gt;0.001),'TABLA DE PAGOS'!I147,0))</f>
        <v>0</v>
      </c>
    </row>
    <row r="148" spans="2:23">
      <c r="B148" s="33">
        <v>147</v>
      </c>
      <c r="C148" s="8">
        <f>IF('TABLA DE PAGOS'!K148='TABLA DE PAGOS'!A$12,0,IF('TABLA DE PAGOS'!K148='TABLA DE PAGOS'!A$11,'VALORES DE LIQUIDACIÓN'!A$4-'TABLA DE PAGOS'!M148,IF(AND('TABLA DE PAGOS'!J148&lt;'VALORES DE LIQUIDACIÓN'!A$4,'TABLA DE PAGOS'!K148='TABLA DE PAGOS'!A$9),'VALORES DE LIQUIDACIÓN'!A$4-'TABLA DE PAGOS'!J148,0)))</f>
        <v>0</v>
      </c>
      <c r="D148" s="8">
        <f>IF(P148&gt;0,'VALORES DE LIQUIDACIÓN'!A$4-'TABLA DE PAGOS'!J148,0)</f>
        <v>0</v>
      </c>
      <c r="E148" s="35">
        <f t="shared" si="4"/>
        <v>0</v>
      </c>
      <c r="F148" s="11">
        <f>IF(E148&gt;0,('DATOS GENERALES'!K$3+('DATOS GENERALES'!K$3*E148)),0)</f>
        <v>0</v>
      </c>
      <c r="G148" s="11">
        <f>IF(E148&gt;0,IF('TABLA DE PAGOS'!K148='TABLA DE PAGOS'!A$11,(P148*C148*F148)/36000,('TABLA DE PAGOS'!E148*C148*F148)/36000),0)</f>
        <v>0</v>
      </c>
      <c r="I148" s="8">
        <f>IF('TABLA DE PAGOS'!$J148&lt;='VALORES DE LIQUIDACIÓN'!A$4,0,'TABLA DE PAGOS'!$J148-'VALORES DE LIQUIDACIÓN'!A$4)</f>
        <v>4249</v>
      </c>
      <c r="J148" s="8">
        <f>IF(AND(I148&gt;0,I147=0),'VALORES DE LIQUIDACIÓN'!A$4-'TABLA DE PAGOS'!J147,0)</f>
        <v>0</v>
      </c>
      <c r="K148" s="8">
        <f>IF(AND(AND('TABLA DE PAGOS'!J147&lt;='VALORES DE LIQUIDACIÓN'!A$4,'TABLA DE PAGOS'!J148&gt;='VALORES DE LIQUIDACIÓN'!A$4),'TABLA DE PAGOS'!K148='TABLA DE PAGOS'!A$10),'TABLA DE PAGOS'!C147,IF(AND('TABLA DE PAGOS'!K148='TABLA DE PAGOS'!A$10,'TABLA DE PAGOS'!K149='TABLA DE PAGOS'!A$9),'TABLA DE PAGOS'!C148,IF(AND('TABLA DE PAGOS'!K148='TABLA DE PAGOS'!A$11,'TABLA DE PAGOS'!K149='TABLA DE PAGOS'!A$9),'TABLA DE PAGOS'!C147,0)))</f>
        <v>0</v>
      </c>
      <c r="L148" s="14"/>
      <c r="M148" s="11">
        <f>IF(I148=0,IF('TABLA DE PAGOS'!J148&lt;='TABLA DE PAGOS'!A$4,0,IF('TABLA DE PAGOS'!K148='TABLA DE PAGOS'!A$9,'TABLA DE PAGOS'!F148,IF('TABLA DE PAGOS'!K148='TABLA DE PAGOS'!A$11,(INDEX(SALDOS!B$3:G$200,MATCH('TABLA DE PAGOS'!A$12,SALDOS!E$3:E$200,0),6))-(INDEX(SALDOS!B$3:H$200,MATCH('TABLA DE PAGOS'!A$12,SALDOS!E$3:E$200,0),7)),0))),0)</f>
        <v>0</v>
      </c>
      <c r="N148" s="11">
        <f>IF(AND(I148&gt;0,I147=0),J148*MAX(SALDOS!J$3:J$200),0)</f>
        <v>0</v>
      </c>
      <c r="P148" s="8">
        <f>IF(I148=0,IF('TABLA DE PAGOS'!J148&lt;='TABLA DE PAGOS'!A$4,0,IF('TABLA DE PAGOS'!K148='TABLA DE PAGOS'!A$9,'TABLA DE PAGOS'!E148,IF('TABLA DE PAGOS'!K148='TABLA DE PAGOS'!A$11,INDEX(SALDOS!B$3:G$200,MATCH('TABLA DE PAGOS'!A$13,SALDOS!E$3:E$200,0),6),0))),0)</f>
        <v>0</v>
      </c>
      <c r="Q148" s="8">
        <f>IF(AND(I148&gt;0,I147&gt;0),'TABLA DE PAGOS'!E148,0)</f>
        <v>2737.29</v>
      </c>
      <c r="R148" s="8">
        <f t="shared" si="5"/>
        <v>0</v>
      </c>
      <c r="T148" s="8">
        <f>IF(AND(I148&gt;0,I147=0),'TABLA DE PAGOS'!H148,0)</f>
        <v>0</v>
      </c>
      <c r="U148" s="8">
        <f>IF(AND('TABLA DE PAGOS'!K148='TABLA DE PAGOS'!A$11,VLOOKUP('TABLA DE PAGOS'!A$7,SALDOS!B$3:E$200,4)='TABLA DE PAGOS'!A$14),INDEX(SALDOS!B$3:G$200,MATCH('TABLA DE PAGOS'!A$14,SALDOS!E$3:E$200,0),6),IF(AND(P148&gt;0.001,M148&gt;0.001),'TABLA DE PAGOS'!H148,0))</f>
        <v>0</v>
      </c>
      <c r="W148" s="8">
        <f>IF(AND('TABLA DE PAGOS'!K148='TABLA DE PAGOS'!A$11,VLOOKUP('TABLA DE PAGOS'!A$7,SALDOS!B$3:E$200,4)='TABLA DE PAGOS'!A$16),INDEX(SALDOS!B$3:G$200,MATCH('TABLA DE PAGOS'!A$16,SALDOS!E$3:E$200,0),6),IF(AND(P148&gt;0.001,M148&gt;0.001),'TABLA DE PAGOS'!I148,0))</f>
        <v>0</v>
      </c>
    </row>
    <row r="149" spans="2:23">
      <c r="B149" s="33">
        <v>148</v>
      </c>
      <c r="C149" s="8">
        <f>IF('TABLA DE PAGOS'!K149='TABLA DE PAGOS'!A$12,0,IF('TABLA DE PAGOS'!K149='TABLA DE PAGOS'!A$11,'VALORES DE LIQUIDACIÓN'!A$4-'TABLA DE PAGOS'!M149,IF(AND('TABLA DE PAGOS'!J149&lt;'VALORES DE LIQUIDACIÓN'!A$4,'TABLA DE PAGOS'!K149='TABLA DE PAGOS'!A$9),'VALORES DE LIQUIDACIÓN'!A$4-'TABLA DE PAGOS'!J149,0)))</f>
        <v>0</v>
      </c>
      <c r="D149" s="8">
        <f>IF(P149&gt;0,'VALORES DE LIQUIDACIÓN'!A$4-'TABLA DE PAGOS'!J149,0)</f>
        <v>0</v>
      </c>
      <c r="E149" s="35">
        <f t="shared" si="4"/>
        <v>0</v>
      </c>
      <c r="F149" s="11">
        <f>IF(E149&gt;0,('DATOS GENERALES'!K$3+('DATOS GENERALES'!K$3*E149)),0)</f>
        <v>0</v>
      </c>
      <c r="G149" s="11">
        <f>IF(E149&gt;0,IF('TABLA DE PAGOS'!K149='TABLA DE PAGOS'!A$11,(P149*C149*F149)/36000,('TABLA DE PAGOS'!E149*C149*F149)/36000),0)</f>
        <v>0</v>
      </c>
      <c r="I149" s="8">
        <f>IF('TABLA DE PAGOS'!$J149&lt;='VALORES DE LIQUIDACIÓN'!A$4,0,'TABLA DE PAGOS'!$J149-'VALORES DE LIQUIDACIÓN'!A$4)</f>
        <v>4279</v>
      </c>
      <c r="J149" s="8">
        <f>IF(AND(I149&gt;0,I148=0),'VALORES DE LIQUIDACIÓN'!A$4-'TABLA DE PAGOS'!J148,0)</f>
        <v>0</v>
      </c>
      <c r="K149" s="8">
        <f>IF(AND(AND('TABLA DE PAGOS'!J148&lt;='VALORES DE LIQUIDACIÓN'!A$4,'TABLA DE PAGOS'!J149&gt;='VALORES DE LIQUIDACIÓN'!A$4),'TABLA DE PAGOS'!K149='TABLA DE PAGOS'!A$10),'TABLA DE PAGOS'!C148,IF(AND('TABLA DE PAGOS'!K149='TABLA DE PAGOS'!A$10,'TABLA DE PAGOS'!K150='TABLA DE PAGOS'!A$9),'TABLA DE PAGOS'!C149,IF(AND('TABLA DE PAGOS'!K149='TABLA DE PAGOS'!A$11,'TABLA DE PAGOS'!K150='TABLA DE PAGOS'!A$9),'TABLA DE PAGOS'!C148,0)))</f>
        <v>0</v>
      </c>
      <c r="L149" s="14"/>
      <c r="M149" s="11">
        <f>IF(I149=0,IF('TABLA DE PAGOS'!J149&lt;='TABLA DE PAGOS'!A$4,0,IF('TABLA DE PAGOS'!K149='TABLA DE PAGOS'!A$9,'TABLA DE PAGOS'!F149,IF('TABLA DE PAGOS'!K149='TABLA DE PAGOS'!A$11,(INDEX(SALDOS!B$3:G$200,MATCH('TABLA DE PAGOS'!A$12,SALDOS!E$3:E$200,0),6))-(INDEX(SALDOS!B$3:H$200,MATCH('TABLA DE PAGOS'!A$12,SALDOS!E$3:E$200,0),7)),0))),0)</f>
        <v>0</v>
      </c>
      <c r="N149" s="11">
        <f>IF(AND(I149&gt;0,I148=0),J149*MAX(SALDOS!J$3:J$200),0)</f>
        <v>0</v>
      </c>
      <c r="P149" s="8">
        <f>IF(I149=0,IF('TABLA DE PAGOS'!J149&lt;='TABLA DE PAGOS'!A$4,0,IF('TABLA DE PAGOS'!K149='TABLA DE PAGOS'!A$9,'TABLA DE PAGOS'!E149,IF('TABLA DE PAGOS'!K149='TABLA DE PAGOS'!A$11,INDEX(SALDOS!B$3:G$200,MATCH('TABLA DE PAGOS'!A$13,SALDOS!E$3:E$200,0),6),0))),0)</f>
        <v>0</v>
      </c>
      <c r="Q149" s="8">
        <f>IF(AND(I149&gt;0,I148&gt;0),'TABLA DE PAGOS'!E149,0)</f>
        <v>2770.47</v>
      </c>
      <c r="R149" s="8">
        <f t="shared" si="5"/>
        <v>0</v>
      </c>
      <c r="T149" s="8">
        <f>IF(AND(I149&gt;0,I148=0),'TABLA DE PAGOS'!H149,0)</f>
        <v>0</v>
      </c>
      <c r="U149" s="8">
        <f>IF(AND('TABLA DE PAGOS'!K149='TABLA DE PAGOS'!A$11,VLOOKUP('TABLA DE PAGOS'!A$7,SALDOS!B$3:E$200,4)='TABLA DE PAGOS'!A$14),INDEX(SALDOS!B$3:G$200,MATCH('TABLA DE PAGOS'!A$14,SALDOS!E$3:E$200,0),6),IF(AND(P149&gt;0.001,M149&gt;0.001),'TABLA DE PAGOS'!H149,0))</f>
        <v>0</v>
      </c>
      <c r="W149" s="8">
        <f>IF(AND('TABLA DE PAGOS'!K149='TABLA DE PAGOS'!A$11,VLOOKUP('TABLA DE PAGOS'!A$7,SALDOS!B$3:E$200,4)='TABLA DE PAGOS'!A$16),INDEX(SALDOS!B$3:G$200,MATCH('TABLA DE PAGOS'!A$16,SALDOS!E$3:E$200,0),6),IF(AND(P149&gt;0.001,M149&gt;0.001),'TABLA DE PAGOS'!I149,0))</f>
        <v>0</v>
      </c>
    </row>
    <row r="150" spans="2:23">
      <c r="B150" s="33">
        <v>149</v>
      </c>
      <c r="C150" s="8">
        <f>IF('TABLA DE PAGOS'!K150='TABLA DE PAGOS'!A$12,0,IF('TABLA DE PAGOS'!K150='TABLA DE PAGOS'!A$11,'VALORES DE LIQUIDACIÓN'!A$4-'TABLA DE PAGOS'!M150,IF(AND('TABLA DE PAGOS'!J150&lt;'VALORES DE LIQUIDACIÓN'!A$4,'TABLA DE PAGOS'!K150='TABLA DE PAGOS'!A$9),'VALORES DE LIQUIDACIÓN'!A$4-'TABLA DE PAGOS'!J150,0)))</f>
        <v>0</v>
      </c>
      <c r="D150" s="8">
        <f>IF(P150&gt;0,'VALORES DE LIQUIDACIÓN'!A$4-'TABLA DE PAGOS'!J150,0)</f>
        <v>0</v>
      </c>
      <c r="E150" s="35">
        <f t="shared" si="4"/>
        <v>0</v>
      </c>
      <c r="F150" s="11">
        <f>IF(E150&gt;0,('DATOS GENERALES'!K$3+('DATOS GENERALES'!K$3*E150)),0)</f>
        <v>0</v>
      </c>
      <c r="G150" s="11">
        <f>IF(E150&gt;0,IF('TABLA DE PAGOS'!K150='TABLA DE PAGOS'!A$11,(P150*C150*F150)/36000,('TABLA DE PAGOS'!E150*C150*F150)/36000),0)</f>
        <v>0</v>
      </c>
      <c r="I150" s="8">
        <f>IF('TABLA DE PAGOS'!$J150&lt;='VALORES DE LIQUIDACIÓN'!A$4,0,'TABLA DE PAGOS'!$J150-'VALORES DE LIQUIDACIÓN'!A$4)</f>
        <v>4312</v>
      </c>
      <c r="J150" s="8">
        <f>IF(AND(I150&gt;0,I149=0),'VALORES DE LIQUIDACIÓN'!A$4-'TABLA DE PAGOS'!J149,0)</f>
        <v>0</v>
      </c>
      <c r="K150" s="8">
        <f>IF(AND(AND('TABLA DE PAGOS'!J149&lt;='VALORES DE LIQUIDACIÓN'!A$4,'TABLA DE PAGOS'!J150&gt;='VALORES DE LIQUIDACIÓN'!A$4),'TABLA DE PAGOS'!K150='TABLA DE PAGOS'!A$10),'TABLA DE PAGOS'!C149,IF(AND('TABLA DE PAGOS'!K150='TABLA DE PAGOS'!A$10,'TABLA DE PAGOS'!K151='TABLA DE PAGOS'!A$9),'TABLA DE PAGOS'!C150,IF(AND('TABLA DE PAGOS'!K150='TABLA DE PAGOS'!A$11,'TABLA DE PAGOS'!K151='TABLA DE PAGOS'!A$9),'TABLA DE PAGOS'!C149,0)))</f>
        <v>0</v>
      </c>
      <c r="L150" s="14"/>
      <c r="M150" s="11">
        <f>IF(I150=0,IF('TABLA DE PAGOS'!J150&lt;='TABLA DE PAGOS'!A$4,0,IF('TABLA DE PAGOS'!K150='TABLA DE PAGOS'!A$9,'TABLA DE PAGOS'!F150,IF('TABLA DE PAGOS'!K150='TABLA DE PAGOS'!A$11,(INDEX(SALDOS!B$3:G$200,MATCH('TABLA DE PAGOS'!A$12,SALDOS!E$3:E$200,0),6))-(INDEX(SALDOS!B$3:H$200,MATCH('TABLA DE PAGOS'!A$12,SALDOS!E$3:E$200,0),7)),0))),0)</f>
        <v>0</v>
      </c>
      <c r="N150" s="11">
        <f>IF(AND(I150&gt;0,I149=0),J150*MAX(SALDOS!J$3:J$200),0)</f>
        <v>0</v>
      </c>
      <c r="P150" s="8">
        <f>IF(I150=0,IF('TABLA DE PAGOS'!J150&lt;='TABLA DE PAGOS'!A$4,0,IF('TABLA DE PAGOS'!K150='TABLA DE PAGOS'!A$9,'TABLA DE PAGOS'!E150,IF('TABLA DE PAGOS'!K150='TABLA DE PAGOS'!A$11,INDEX(SALDOS!B$3:G$200,MATCH('TABLA DE PAGOS'!A$13,SALDOS!E$3:E$200,0),6),0))),0)</f>
        <v>0</v>
      </c>
      <c r="Q150" s="8">
        <f>IF(AND(I150&gt;0,I149&gt;0),'TABLA DE PAGOS'!E150,0)</f>
        <v>2774.64</v>
      </c>
      <c r="R150" s="8">
        <f t="shared" si="5"/>
        <v>0</v>
      </c>
      <c r="T150" s="8">
        <f>IF(AND(I150&gt;0,I149=0),'TABLA DE PAGOS'!H150,0)</f>
        <v>0</v>
      </c>
      <c r="U150" s="8">
        <f>IF(AND('TABLA DE PAGOS'!K150='TABLA DE PAGOS'!A$11,VLOOKUP('TABLA DE PAGOS'!A$7,SALDOS!B$3:E$200,4)='TABLA DE PAGOS'!A$14),INDEX(SALDOS!B$3:G$200,MATCH('TABLA DE PAGOS'!A$14,SALDOS!E$3:E$200,0),6),IF(AND(P150&gt;0.001,M150&gt;0.001),'TABLA DE PAGOS'!H150,0))</f>
        <v>0</v>
      </c>
      <c r="W150" s="8">
        <f>IF(AND('TABLA DE PAGOS'!K150='TABLA DE PAGOS'!A$11,VLOOKUP('TABLA DE PAGOS'!A$7,SALDOS!B$3:E$200,4)='TABLA DE PAGOS'!A$16),INDEX(SALDOS!B$3:G$200,MATCH('TABLA DE PAGOS'!A$16,SALDOS!E$3:E$200,0),6),IF(AND(P150&gt;0.001,M150&gt;0.001),'TABLA DE PAGOS'!I150,0))</f>
        <v>0</v>
      </c>
    </row>
    <row r="151" spans="2:23">
      <c r="B151" s="33">
        <v>150</v>
      </c>
      <c r="C151" s="8">
        <f>IF('TABLA DE PAGOS'!K151='TABLA DE PAGOS'!A$12,0,IF('TABLA DE PAGOS'!K151='TABLA DE PAGOS'!A$11,'VALORES DE LIQUIDACIÓN'!A$4-'TABLA DE PAGOS'!M151,IF(AND('TABLA DE PAGOS'!J151&lt;'VALORES DE LIQUIDACIÓN'!A$4,'TABLA DE PAGOS'!K151='TABLA DE PAGOS'!A$9),'VALORES DE LIQUIDACIÓN'!A$4-'TABLA DE PAGOS'!J151,0)))</f>
        <v>0</v>
      </c>
      <c r="D151" s="8">
        <f>IF(P151&gt;0,'VALORES DE LIQUIDACIÓN'!A$4-'TABLA DE PAGOS'!J151,0)</f>
        <v>0</v>
      </c>
      <c r="E151" s="35">
        <f t="shared" si="4"/>
        <v>0</v>
      </c>
      <c r="F151" s="11">
        <f>IF(E151&gt;0,('DATOS GENERALES'!K$3+('DATOS GENERALES'!K$3*E151)),0)</f>
        <v>0</v>
      </c>
      <c r="G151" s="11">
        <f>IF(E151&gt;0,IF('TABLA DE PAGOS'!K151='TABLA DE PAGOS'!A$11,(P151*C151*F151)/36000,('TABLA DE PAGOS'!E151*C151*F151)/36000),0)</f>
        <v>0</v>
      </c>
      <c r="I151" s="8">
        <f>IF('TABLA DE PAGOS'!$J151&lt;='VALORES DE LIQUIDACIÓN'!A$4,0,'TABLA DE PAGOS'!$J151-'VALORES DE LIQUIDACIÓN'!A$4)</f>
        <v>4340</v>
      </c>
      <c r="J151" s="8">
        <f>IF(AND(I151&gt;0,I150=0),'VALORES DE LIQUIDACIÓN'!A$4-'TABLA DE PAGOS'!J150,0)</f>
        <v>0</v>
      </c>
      <c r="K151" s="8">
        <f>IF(AND(AND('TABLA DE PAGOS'!J150&lt;='VALORES DE LIQUIDACIÓN'!A$4,'TABLA DE PAGOS'!J151&gt;='VALORES DE LIQUIDACIÓN'!A$4),'TABLA DE PAGOS'!K151='TABLA DE PAGOS'!A$10),'TABLA DE PAGOS'!C150,IF(AND('TABLA DE PAGOS'!K151='TABLA DE PAGOS'!A$10,'TABLA DE PAGOS'!K152='TABLA DE PAGOS'!A$9),'TABLA DE PAGOS'!C151,IF(AND('TABLA DE PAGOS'!K151='TABLA DE PAGOS'!A$11,'TABLA DE PAGOS'!K152='TABLA DE PAGOS'!A$9),'TABLA DE PAGOS'!C150,0)))</f>
        <v>0</v>
      </c>
      <c r="L151" s="14"/>
      <c r="M151" s="11">
        <f>IF(I151=0,IF('TABLA DE PAGOS'!J151&lt;='TABLA DE PAGOS'!A$4,0,IF('TABLA DE PAGOS'!K151='TABLA DE PAGOS'!A$9,'TABLA DE PAGOS'!F151,IF('TABLA DE PAGOS'!K151='TABLA DE PAGOS'!A$11,(INDEX(SALDOS!B$3:G$200,MATCH('TABLA DE PAGOS'!A$12,SALDOS!E$3:E$200,0),6))-(INDEX(SALDOS!B$3:H$200,MATCH('TABLA DE PAGOS'!A$12,SALDOS!E$3:E$200,0),7)),0))),0)</f>
        <v>0</v>
      </c>
      <c r="N151" s="11">
        <f>IF(AND(I151&gt;0,I150=0),J151*MAX(SALDOS!J$3:J$200),0)</f>
        <v>0</v>
      </c>
      <c r="P151" s="8">
        <f>IF(I151=0,IF('TABLA DE PAGOS'!J151&lt;='TABLA DE PAGOS'!A$4,0,IF('TABLA DE PAGOS'!K151='TABLA DE PAGOS'!A$9,'TABLA DE PAGOS'!E151,IF('TABLA DE PAGOS'!K151='TABLA DE PAGOS'!A$11,INDEX(SALDOS!B$3:G$200,MATCH('TABLA DE PAGOS'!A$13,SALDOS!E$3:E$200,0),6),0))),0)</f>
        <v>0</v>
      </c>
      <c r="Q151" s="8">
        <f>IF(AND(I151&gt;0,I150&gt;0),'TABLA DE PAGOS'!E151,0)</f>
        <v>2832.5</v>
      </c>
      <c r="R151" s="8">
        <f t="shared" si="5"/>
        <v>0</v>
      </c>
      <c r="T151" s="8">
        <f>IF(AND(I151&gt;0,I150=0),'TABLA DE PAGOS'!H151,0)</f>
        <v>0</v>
      </c>
      <c r="U151" s="8">
        <f>IF(AND('TABLA DE PAGOS'!K151='TABLA DE PAGOS'!A$11,VLOOKUP('TABLA DE PAGOS'!A$7,SALDOS!B$3:E$200,4)='TABLA DE PAGOS'!A$14),INDEX(SALDOS!B$3:G$200,MATCH('TABLA DE PAGOS'!A$14,SALDOS!E$3:E$200,0),6),IF(AND(P151&gt;0.001,M151&gt;0.001),'TABLA DE PAGOS'!H151,0))</f>
        <v>0</v>
      </c>
      <c r="W151" s="8">
        <f>IF(AND('TABLA DE PAGOS'!K151='TABLA DE PAGOS'!A$11,VLOOKUP('TABLA DE PAGOS'!A$7,SALDOS!B$3:E$200,4)='TABLA DE PAGOS'!A$16),INDEX(SALDOS!B$3:G$200,MATCH('TABLA DE PAGOS'!A$16,SALDOS!E$3:E$200,0),6),IF(AND(P151&gt;0.001,M151&gt;0.001),'TABLA DE PAGOS'!I151,0))</f>
        <v>0</v>
      </c>
    </row>
    <row r="152" spans="2:23">
      <c r="B152" s="33">
        <v>151</v>
      </c>
      <c r="C152" s="8">
        <f>IF('TABLA DE PAGOS'!K152='TABLA DE PAGOS'!A$12,0,IF('TABLA DE PAGOS'!K152='TABLA DE PAGOS'!A$11,'VALORES DE LIQUIDACIÓN'!A$4-'TABLA DE PAGOS'!M152,IF(AND('TABLA DE PAGOS'!J152&lt;'VALORES DE LIQUIDACIÓN'!A$4,'TABLA DE PAGOS'!K152='TABLA DE PAGOS'!A$9),'VALORES DE LIQUIDACIÓN'!A$4-'TABLA DE PAGOS'!J152,0)))</f>
        <v>0</v>
      </c>
      <c r="D152" s="8">
        <f>IF(P152&gt;0,'VALORES DE LIQUIDACIÓN'!A$4-'TABLA DE PAGOS'!J152,0)</f>
        <v>0</v>
      </c>
      <c r="E152" s="35">
        <f t="shared" si="4"/>
        <v>0</v>
      </c>
      <c r="F152" s="11">
        <f>IF(E152&gt;0,('DATOS GENERALES'!K$3+('DATOS GENERALES'!K$3*E152)),0)</f>
        <v>0</v>
      </c>
      <c r="G152" s="11">
        <f>IF(E152&gt;0,IF('TABLA DE PAGOS'!K152='TABLA DE PAGOS'!A$11,(P152*C152*F152)/36000,('TABLA DE PAGOS'!E152*C152*F152)/36000),0)</f>
        <v>0</v>
      </c>
      <c r="I152" s="8">
        <f>IF('TABLA DE PAGOS'!$J152&lt;='VALORES DE LIQUIDACIÓN'!A$4,0,'TABLA DE PAGOS'!$J152-'VALORES DE LIQUIDACIÓN'!A$4)</f>
        <v>4369</v>
      </c>
      <c r="J152" s="8">
        <f>IF(AND(I152&gt;0,I151=0),'VALORES DE LIQUIDACIÓN'!A$4-'TABLA DE PAGOS'!J151,0)</f>
        <v>0</v>
      </c>
      <c r="K152" s="8">
        <f>IF(AND(AND('TABLA DE PAGOS'!J151&lt;='VALORES DE LIQUIDACIÓN'!A$4,'TABLA DE PAGOS'!J152&gt;='VALORES DE LIQUIDACIÓN'!A$4),'TABLA DE PAGOS'!K152='TABLA DE PAGOS'!A$10),'TABLA DE PAGOS'!C151,IF(AND('TABLA DE PAGOS'!K152='TABLA DE PAGOS'!A$10,'TABLA DE PAGOS'!K153='TABLA DE PAGOS'!A$9),'TABLA DE PAGOS'!C152,IF(AND('TABLA DE PAGOS'!K152='TABLA DE PAGOS'!A$11,'TABLA DE PAGOS'!K153='TABLA DE PAGOS'!A$9),'TABLA DE PAGOS'!C151,0)))</f>
        <v>0</v>
      </c>
      <c r="L152" s="14"/>
      <c r="M152" s="11">
        <f>IF(I152=0,IF('TABLA DE PAGOS'!J152&lt;='TABLA DE PAGOS'!A$4,0,IF('TABLA DE PAGOS'!K152='TABLA DE PAGOS'!A$9,'TABLA DE PAGOS'!F152,IF('TABLA DE PAGOS'!K152='TABLA DE PAGOS'!A$11,(INDEX(SALDOS!B$3:G$200,MATCH('TABLA DE PAGOS'!A$12,SALDOS!E$3:E$200,0),6))-(INDEX(SALDOS!B$3:H$200,MATCH('TABLA DE PAGOS'!A$12,SALDOS!E$3:E$200,0),7)),0))),0)</f>
        <v>0</v>
      </c>
      <c r="N152" s="11">
        <f>IF(AND(I152&gt;0,I151=0),J152*MAX(SALDOS!J$3:J$200),0)</f>
        <v>0</v>
      </c>
      <c r="P152" s="8">
        <f>IF(I152=0,IF('TABLA DE PAGOS'!J152&lt;='TABLA DE PAGOS'!A$4,0,IF('TABLA DE PAGOS'!K152='TABLA DE PAGOS'!A$9,'TABLA DE PAGOS'!E152,IF('TABLA DE PAGOS'!K152='TABLA DE PAGOS'!A$11,INDEX(SALDOS!B$3:G$200,MATCH('TABLA DE PAGOS'!A$13,SALDOS!E$3:E$200,0),6),0))),0)</f>
        <v>0</v>
      </c>
      <c r="Q152" s="8">
        <f>IF(AND(I152&gt;0,I151&gt;0),'TABLA DE PAGOS'!E152,0)</f>
        <v>2851.04</v>
      </c>
      <c r="R152" s="8">
        <f t="shared" si="5"/>
        <v>0</v>
      </c>
      <c r="T152" s="8">
        <f>IF(AND(I152&gt;0,I151=0),'TABLA DE PAGOS'!H152,0)</f>
        <v>0</v>
      </c>
      <c r="U152" s="8">
        <f>IF(AND('TABLA DE PAGOS'!K152='TABLA DE PAGOS'!A$11,VLOOKUP('TABLA DE PAGOS'!A$7,SALDOS!B$3:E$200,4)='TABLA DE PAGOS'!A$14),INDEX(SALDOS!B$3:G$200,MATCH('TABLA DE PAGOS'!A$14,SALDOS!E$3:E$200,0),6),IF(AND(P152&gt;0.001,M152&gt;0.001),'TABLA DE PAGOS'!H152,0))</f>
        <v>0</v>
      </c>
      <c r="W152" s="8">
        <f>IF(AND('TABLA DE PAGOS'!K152='TABLA DE PAGOS'!A$11,VLOOKUP('TABLA DE PAGOS'!A$7,SALDOS!B$3:E$200,4)='TABLA DE PAGOS'!A$16),INDEX(SALDOS!B$3:G$200,MATCH('TABLA DE PAGOS'!A$16,SALDOS!E$3:E$200,0),6),IF(AND(P152&gt;0.001,M152&gt;0.001),'TABLA DE PAGOS'!I152,0))</f>
        <v>0</v>
      </c>
    </row>
    <row r="153" spans="2:23">
      <c r="B153" s="33">
        <v>152</v>
      </c>
      <c r="C153" s="8">
        <f>IF('TABLA DE PAGOS'!K153='TABLA DE PAGOS'!A$12,0,IF('TABLA DE PAGOS'!K153='TABLA DE PAGOS'!A$11,'VALORES DE LIQUIDACIÓN'!A$4-'TABLA DE PAGOS'!M153,IF(AND('TABLA DE PAGOS'!J153&lt;'VALORES DE LIQUIDACIÓN'!A$4,'TABLA DE PAGOS'!K153='TABLA DE PAGOS'!A$9),'VALORES DE LIQUIDACIÓN'!A$4-'TABLA DE PAGOS'!J153,0)))</f>
        <v>0</v>
      </c>
      <c r="D153" s="8">
        <f>IF(P153&gt;0,'VALORES DE LIQUIDACIÓN'!A$4-'TABLA DE PAGOS'!J153,0)</f>
        <v>0</v>
      </c>
      <c r="E153" s="35">
        <f t="shared" si="4"/>
        <v>0</v>
      </c>
      <c r="F153" s="11">
        <f>IF(E153&gt;0,('DATOS GENERALES'!K$3+('DATOS GENERALES'!K$3*E153)),0)</f>
        <v>0</v>
      </c>
      <c r="G153" s="11">
        <f>IF(E153&gt;0,IF('TABLA DE PAGOS'!K153='TABLA DE PAGOS'!A$11,(P153*C153*F153)/36000,('TABLA DE PAGOS'!E153*C153*F153)/36000),0)</f>
        <v>0</v>
      </c>
      <c r="I153" s="8">
        <f>IF('TABLA DE PAGOS'!$J153&lt;='VALORES DE LIQUIDACIÓN'!A$4,0,'TABLA DE PAGOS'!$J153-'VALORES DE LIQUIDACIÓN'!A$4)</f>
        <v>4399</v>
      </c>
      <c r="J153" s="8">
        <f>IF(AND(I153&gt;0,I152=0),'VALORES DE LIQUIDACIÓN'!A$4-'TABLA DE PAGOS'!J152,0)</f>
        <v>0</v>
      </c>
      <c r="K153" s="8">
        <f>IF(AND(AND('TABLA DE PAGOS'!J152&lt;='VALORES DE LIQUIDACIÓN'!A$4,'TABLA DE PAGOS'!J153&gt;='VALORES DE LIQUIDACIÓN'!A$4),'TABLA DE PAGOS'!K153='TABLA DE PAGOS'!A$10),'TABLA DE PAGOS'!C152,IF(AND('TABLA DE PAGOS'!K153='TABLA DE PAGOS'!A$10,'TABLA DE PAGOS'!K154='TABLA DE PAGOS'!A$9),'TABLA DE PAGOS'!C153,IF(AND('TABLA DE PAGOS'!K153='TABLA DE PAGOS'!A$11,'TABLA DE PAGOS'!K154='TABLA DE PAGOS'!A$9),'TABLA DE PAGOS'!C152,0)))</f>
        <v>0</v>
      </c>
      <c r="L153" s="14"/>
      <c r="M153" s="11">
        <f>IF(I153=0,IF('TABLA DE PAGOS'!J153&lt;='TABLA DE PAGOS'!A$4,0,IF('TABLA DE PAGOS'!K153='TABLA DE PAGOS'!A$9,'TABLA DE PAGOS'!F153,IF('TABLA DE PAGOS'!K153='TABLA DE PAGOS'!A$11,(INDEX(SALDOS!B$3:G$200,MATCH('TABLA DE PAGOS'!A$12,SALDOS!E$3:E$200,0),6))-(INDEX(SALDOS!B$3:H$200,MATCH('TABLA DE PAGOS'!A$12,SALDOS!E$3:E$200,0),7)),0))),0)</f>
        <v>0</v>
      </c>
      <c r="N153" s="11">
        <f>IF(AND(I153&gt;0,I152=0),J153*MAX(SALDOS!J$3:J$200),0)</f>
        <v>0</v>
      </c>
      <c r="P153" s="8">
        <f>IF(I153=0,IF('TABLA DE PAGOS'!J153&lt;='TABLA DE PAGOS'!A$4,0,IF('TABLA DE PAGOS'!K153='TABLA DE PAGOS'!A$9,'TABLA DE PAGOS'!E153,IF('TABLA DE PAGOS'!K153='TABLA DE PAGOS'!A$11,INDEX(SALDOS!B$3:G$200,MATCH('TABLA DE PAGOS'!A$13,SALDOS!E$3:E$200,0),6),0))),0)</f>
        <v>0</v>
      </c>
      <c r="Q153" s="8">
        <f>IF(AND(I153&gt;0,I152&gt;0),'TABLA DE PAGOS'!E153,0)</f>
        <v>2871.44</v>
      </c>
      <c r="R153" s="8">
        <f t="shared" si="5"/>
        <v>0</v>
      </c>
      <c r="T153" s="8">
        <f>IF(AND(I153&gt;0,I152=0),'TABLA DE PAGOS'!H153,0)</f>
        <v>0</v>
      </c>
      <c r="U153" s="8">
        <f>IF(AND('TABLA DE PAGOS'!K153='TABLA DE PAGOS'!A$11,VLOOKUP('TABLA DE PAGOS'!A$7,SALDOS!B$3:E$200,4)='TABLA DE PAGOS'!A$14),INDEX(SALDOS!B$3:G$200,MATCH('TABLA DE PAGOS'!A$14,SALDOS!E$3:E$200,0),6),IF(AND(P153&gt;0.001,M153&gt;0.001),'TABLA DE PAGOS'!H153,0))</f>
        <v>0</v>
      </c>
      <c r="W153" s="8">
        <f>IF(AND('TABLA DE PAGOS'!K153='TABLA DE PAGOS'!A$11,VLOOKUP('TABLA DE PAGOS'!A$7,SALDOS!B$3:E$200,4)='TABLA DE PAGOS'!A$16),INDEX(SALDOS!B$3:G$200,MATCH('TABLA DE PAGOS'!A$16,SALDOS!E$3:E$200,0),6),IF(AND(P153&gt;0.001,M153&gt;0.001),'TABLA DE PAGOS'!I153,0))</f>
        <v>0</v>
      </c>
    </row>
    <row r="154" spans="2:23">
      <c r="B154" s="33">
        <v>153</v>
      </c>
      <c r="C154" s="8">
        <f>IF('TABLA DE PAGOS'!K154='TABLA DE PAGOS'!A$12,0,IF('TABLA DE PAGOS'!K154='TABLA DE PAGOS'!A$11,'VALORES DE LIQUIDACIÓN'!A$4-'TABLA DE PAGOS'!M154,IF(AND('TABLA DE PAGOS'!J154&lt;'VALORES DE LIQUIDACIÓN'!A$4,'TABLA DE PAGOS'!K154='TABLA DE PAGOS'!A$9),'VALORES DE LIQUIDACIÓN'!A$4-'TABLA DE PAGOS'!J154,0)))</f>
        <v>0</v>
      </c>
      <c r="D154" s="8">
        <f>IF(P154&gt;0,'VALORES DE LIQUIDACIÓN'!A$4-'TABLA DE PAGOS'!J154,0)</f>
        <v>0</v>
      </c>
      <c r="E154" s="35">
        <f t="shared" si="4"/>
        <v>0</v>
      </c>
      <c r="F154" s="11">
        <f>IF(E154&gt;0,('DATOS GENERALES'!K$3+('DATOS GENERALES'!K$3*E154)),0)</f>
        <v>0</v>
      </c>
      <c r="G154" s="11">
        <f>IF(E154&gt;0,IF('TABLA DE PAGOS'!K154='TABLA DE PAGOS'!A$11,(P154*C154*F154)/36000,('TABLA DE PAGOS'!E154*C154*F154)/36000),0)</f>
        <v>0</v>
      </c>
      <c r="I154" s="8">
        <f>IF('TABLA DE PAGOS'!$J154&lt;='VALORES DE LIQUIDACIÓN'!A$4,0,'TABLA DE PAGOS'!$J154-'VALORES DE LIQUIDACIÓN'!A$4)</f>
        <v>4431</v>
      </c>
      <c r="J154" s="8">
        <f>IF(AND(I154&gt;0,I153=0),'VALORES DE LIQUIDACIÓN'!A$4-'TABLA DE PAGOS'!J153,0)</f>
        <v>0</v>
      </c>
      <c r="K154" s="8">
        <f>IF(AND(AND('TABLA DE PAGOS'!J153&lt;='VALORES DE LIQUIDACIÓN'!A$4,'TABLA DE PAGOS'!J154&gt;='VALORES DE LIQUIDACIÓN'!A$4),'TABLA DE PAGOS'!K154='TABLA DE PAGOS'!A$10),'TABLA DE PAGOS'!C153,IF(AND('TABLA DE PAGOS'!K154='TABLA DE PAGOS'!A$10,'TABLA DE PAGOS'!K155='TABLA DE PAGOS'!A$9),'TABLA DE PAGOS'!C154,IF(AND('TABLA DE PAGOS'!K154='TABLA DE PAGOS'!A$11,'TABLA DE PAGOS'!K155='TABLA DE PAGOS'!A$9),'TABLA DE PAGOS'!C153,0)))</f>
        <v>0</v>
      </c>
      <c r="L154" s="14"/>
      <c r="M154" s="11">
        <f>IF(I154=0,IF('TABLA DE PAGOS'!J154&lt;='TABLA DE PAGOS'!A$4,0,IF('TABLA DE PAGOS'!K154='TABLA DE PAGOS'!A$9,'TABLA DE PAGOS'!F154,IF('TABLA DE PAGOS'!K154='TABLA DE PAGOS'!A$11,(INDEX(SALDOS!B$3:G$200,MATCH('TABLA DE PAGOS'!A$12,SALDOS!E$3:E$200,0),6))-(INDEX(SALDOS!B$3:H$200,MATCH('TABLA DE PAGOS'!A$12,SALDOS!E$3:E$200,0),7)),0))),0)</f>
        <v>0</v>
      </c>
      <c r="N154" s="11">
        <f>IF(AND(I154&gt;0,I153=0),J154*MAX(SALDOS!J$3:J$200),0)</f>
        <v>0</v>
      </c>
      <c r="P154" s="8">
        <f>IF(I154=0,IF('TABLA DE PAGOS'!J154&lt;='TABLA DE PAGOS'!A$4,0,IF('TABLA DE PAGOS'!K154='TABLA DE PAGOS'!A$9,'TABLA DE PAGOS'!E154,IF('TABLA DE PAGOS'!K154='TABLA DE PAGOS'!A$11,INDEX(SALDOS!B$3:G$200,MATCH('TABLA DE PAGOS'!A$13,SALDOS!E$3:E$200,0),6),0))),0)</f>
        <v>0</v>
      </c>
      <c r="Q154" s="8">
        <f>IF(AND(I154&gt;0,I153&gt;0),'TABLA DE PAGOS'!E154,0)</f>
        <v>2890.22</v>
      </c>
      <c r="R154" s="8">
        <f t="shared" si="5"/>
        <v>0</v>
      </c>
      <c r="T154" s="8">
        <f>IF(AND(I154&gt;0,I153=0),'TABLA DE PAGOS'!H154,0)</f>
        <v>0</v>
      </c>
      <c r="U154" s="8">
        <f>IF(AND('TABLA DE PAGOS'!K154='TABLA DE PAGOS'!A$11,VLOOKUP('TABLA DE PAGOS'!A$7,SALDOS!B$3:E$200,4)='TABLA DE PAGOS'!A$14),INDEX(SALDOS!B$3:G$200,MATCH('TABLA DE PAGOS'!A$14,SALDOS!E$3:E$200,0),6),IF(AND(P154&gt;0.001,M154&gt;0.001),'TABLA DE PAGOS'!H154,0))</f>
        <v>0</v>
      </c>
      <c r="W154" s="8">
        <f>IF(AND('TABLA DE PAGOS'!K154='TABLA DE PAGOS'!A$11,VLOOKUP('TABLA DE PAGOS'!A$7,SALDOS!B$3:E$200,4)='TABLA DE PAGOS'!A$16),INDEX(SALDOS!B$3:G$200,MATCH('TABLA DE PAGOS'!A$16,SALDOS!E$3:E$200,0),6),IF(AND(P154&gt;0.001,M154&gt;0.001),'TABLA DE PAGOS'!I154,0))</f>
        <v>0</v>
      </c>
    </row>
    <row r="155" spans="2:23">
      <c r="B155" s="33">
        <v>154</v>
      </c>
      <c r="C155" s="8">
        <f>IF('TABLA DE PAGOS'!K155='TABLA DE PAGOS'!A$12,0,IF('TABLA DE PAGOS'!K155='TABLA DE PAGOS'!A$11,'VALORES DE LIQUIDACIÓN'!A$4-'TABLA DE PAGOS'!M155,IF(AND('TABLA DE PAGOS'!J155&lt;'VALORES DE LIQUIDACIÓN'!A$4,'TABLA DE PAGOS'!K155='TABLA DE PAGOS'!A$9),'VALORES DE LIQUIDACIÓN'!A$4-'TABLA DE PAGOS'!J155,0)))</f>
        <v>0</v>
      </c>
      <c r="D155" s="8">
        <f>IF(P155&gt;0,'VALORES DE LIQUIDACIÓN'!A$4-'TABLA DE PAGOS'!J155,0)</f>
        <v>0</v>
      </c>
      <c r="E155" s="35">
        <f t="shared" si="4"/>
        <v>0</v>
      </c>
      <c r="F155" s="11">
        <f>IF(E155&gt;0,('DATOS GENERALES'!K$3+('DATOS GENERALES'!K$3*E155)),0)</f>
        <v>0</v>
      </c>
      <c r="G155" s="11">
        <f>IF(E155&gt;0,IF('TABLA DE PAGOS'!K155='TABLA DE PAGOS'!A$11,(P155*C155*F155)/36000,('TABLA DE PAGOS'!E155*C155*F155)/36000),0)</f>
        <v>0</v>
      </c>
      <c r="I155" s="8">
        <f>IF('TABLA DE PAGOS'!$J155&lt;='VALORES DE LIQUIDACIÓN'!A$4,0,'TABLA DE PAGOS'!$J155-'VALORES DE LIQUIDACIÓN'!A$4)</f>
        <v>4460</v>
      </c>
      <c r="J155" s="8">
        <f>IF(AND(I155&gt;0,I154=0),'VALORES DE LIQUIDACIÓN'!A$4-'TABLA DE PAGOS'!J154,0)</f>
        <v>0</v>
      </c>
      <c r="K155" s="8">
        <f>IF(AND(AND('TABLA DE PAGOS'!J154&lt;='VALORES DE LIQUIDACIÓN'!A$4,'TABLA DE PAGOS'!J155&gt;='VALORES DE LIQUIDACIÓN'!A$4),'TABLA DE PAGOS'!K155='TABLA DE PAGOS'!A$10),'TABLA DE PAGOS'!C154,IF(AND('TABLA DE PAGOS'!K155='TABLA DE PAGOS'!A$10,'TABLA DE PAGOS'!K156='TABLA DE PAGOS'!A$9),'TABLA DE PAGOS'!C155,IF(AND('TABLA DE PAGOS'!K155='TABLA DE PAGOS'!A$11,'TABLA DE PAGOS'!K156='TABLA DE PAGOS'!A$9),'TABLA DE PAGOS'!C154,0)))</f>
        <v>0</v>
      </c>
      <c r="L155" s="14"/>
      <c r="M155" s="11">
        <f>IF(I155=0,IF('TABLA DE PAGOS'!J155&lt;='TABLA DE PAGOS'!A$4,0,IF('TABLA DE PAGOS'!K155='TABLA DE PAGOS'!A$9,'TABLA DE PAGOS'!F155,IF('TABLA DE PAGOS'!K155='TABLA DE PAGOS'!A$11,(INDEX(SALDOS!B$3:G$200,MATCH('TABLA DE PAGOS'!A$12,SALDOS!E$3:E$200,0),6))-(INDEX(SALDOS!B$3:H$200,MATCH('TABLA DE PAGOS'!A$12,SALDOS!E$3:E$200,0),7)),0))),0)</f>
        <v>0</v>
      </c>
      <c r="N155" s="11">
        <f>IF(AND(I155&gt;0,I154=0),J155*MAX(SALDOS!J$3:J$200),0)</f>
        <v>0</v>
      </c>
      <c r="P155" s="8">
        <f>IF(I155=0,IF('TABLA DE PAGOS'!J155&lt;='TABLA DE PAGOS'!A$4,0,IF('TABLA DE PAGOS'!K155='TABLA DE PAGOS'!A$9,'TABLA DE PAGOS'!E155,IF('TABLA DE PAGOS'!K155='TABLA DE PAGOS'!A$11,INDEX(SALDOS!B$3:G$200,MATCH('TABLA DE PAGOS'!A$13,SALDOS!E$3:E$200,0),6),0))),0)</f>
        <v>0</v>
      </c>
      <c r="Q155" s="8">
        <f>IF(AND(I155&gt;0,I154&gt;0),'TABLA DE PAGOS'!E155,0)</f>
        <v>2925.91</v>
      </c>
      <c r="R155" s="8">
        <f t="shared" si="5"/>
        <v>0</v>
      </c>
      <c r="T155" s="8">
        <f>IF(AND(I155&gt;0,I154=0),'TABLA DE PAGOS'!H155,0)</f>
        <v>0</v>
      </c>
      <c r="U155" s="8">
        <f>IF(AND('TABLA DE PAGOS'!K155='TABLA DE PAGOS'!A$11,VLOOKUP('TABLA DE PAGOS'!A$7,SALDOS!B$3:E$200,4)='TABLA DE PAGOS'!A$14),INDEX(SALDOS!B$3:G$200,MATCH('TABLA DE PAGOS'!A$14,SALDOS!E$3:E$200,0),6),IF(AND(P155&gt;0.001,M155&gt;0.001),'TABLA DE PAGOS'!H155,0))</f>
        <v>0</v>
      </c>
      <c r="W155" s="8">
        <f>IF(AND('TABLA DE PAGOS'!K155='TABLA DE PAGOS'!A$11,VLOOKUP('TABLA DE PAGOS'!A$7,SALDOS!B$3:E$200,4)='TABLA DE PAGOS'!A$16),INDEX(SALDOS!B$3:G$200,MATCH('TABLA DE PAGOS'!A$16,SALDOS!E$3:E$200,0),6),IF(AND(P155&gt;0.001,M155&gt;0.001),'TABLA DE PAGOS'!I155,0))</f>
        <v>0</v>
      </c>
    </row>
    <row r="156" spans="2:23">
      <c r="B156" s="33">
        <v>155</v>
      </c>
      <c r="C156" s="8">
        <f>IF('TABLA DE PAGOS'!K156='TABLA DE PAGOS'!A$12,0,IF('TABLA DE PAGOS'!K156='TABLA DE PAGOS'!A$11,'VALORES DE LIQUIDACIÓN'!A$4-'TABLA DE PAGOS'!M156,IF(AND('TABLA DE PAGOS'!J156&lt;'VALORES DE LIQUIDACIÓN'!A$4,'TABLA DE PAGOS'!K156='TABLA DE PAGOS'!A$9),'VALORES DE LIQUIDACIÓN'!A$4-'TABLA DE PAGOS'!J156,0)))</f>
        <v>0</v>
      </c>
      <c r="D156" s="8">
        <f>IF(P156&gt;0,'VALORES DE LIQUIDACIÓN'!A$4-'TABLA DE PAGOS'!J156,0)</f>
        <v>0</v>
      </c>
      <c r="E156" s="35">
        <f t="shared" si="4"/>
        <v>0</v>
      </c>
      <c r="F156" s="11">
        <f>IF(E156&gt;0,('DATOS GENERALES'!K$3+('DATOS GENERALES'!K$3*E156)),0)</f>
        <v>0</v>
      </c>
      <c r="G156" s="11">
        <f>IF(E156&gt;0,IF('TABLA DE PAGOS'!K156='TABLA DE PAGOS'!A$11,(P156*C156*F156)/36000,('TABLA DE PAGOS'!E156*C156*F156)/36000),0)</f>
        <v>0</v>
      </c>
      <c r="I156" s="8">
        <f>IF('TABLA DE PAGOS'!$J156&lt;='VALORES DE LIQUIDACIÓN'!A$4,0,'TABLA DE PAGOS'!$J156-'VALORES DE LIQUIDACIÓN'!A$4)</f>
        <v>4491</v>
      </c>
      <c r="J156" s="8">
        <f>IF(AND(I156&gt;0,I155=0),'VALORES DE LIQUIDACIÓN'!A$4-'TABLA DE PAGOS'!J155,0)</f>
        <v>0</v>
      </c>
      <c r="K156" s="8">
        <f>IF(AND(AND('TABLA DE PAGOS'!J155&lt;='VALORES DE LIQUIDACIÓN'!A$4,'TABLA DE PAGOS'!J156&gt;='VALORES DE LIQUIDACIÓN'!A$4),'TABLA DE PAGOS'!K156='TABLA DE PAGOS'!A$10),'TABLA DE PAGOS'!C155,IF(AND('TABLA DE PAGOS'!K156='TABLA DE PAGOS'!A$10,'TABLA DE PAGOS'!K157='TABLA DE PAGOS'!A$9),'TABLA DE PAGOS'!C156,IF(AND('TABLA DE PAGOS'!K156='TABLA DE PAGOS'!A$11,'TABLA DE PAGOS'!K157='TABLA DE PAGOS'!A$9),'TABLA DE PAGOS'!C155,0)))</f>
        <v>0</v>
      </c>
      <c r="L156" s="14"/>
      <c r="M156" s="11">
        <f>IF(I156=0,IF('TABLA DE PAGOS'!J156&lt;='TABLA DE PAGOS'!A$4,0,IF('TABLA DE PAGOS'!K156='TABLA DE PAGOS'!A$9,'TABLA DE PAGOS'!F156,IF('TABLA DE PAGOS'!K156='TABLA DE PAGOS'!A$11,(INDEX(SALDOS!B$3:G$200,MATCH('TABLA DE PAGOS'!A$12,SALDOS!E$3:E$200,0),6))-(INDEX(SALDOS!B$3:H$200,MATCH('TABLA DE PAGOS'!A$12,SALDOS!E$3:E$200,0),7)),0))),0)</f>
        <v>0</v>
      </c>
      <c r="N156" s="11">
        <f>IF(AND(I156&gt;0,I155=0),J156*MAX(SALDOS!J$3:J$200),0)</f>
        <v>0</v>
      </c>
      <c r="P156" s="8">
        <f>IF(I156=0,IF('TABLA DE PAGOS'!J156&lt;='TABLA DE PAGOS'!A$4,0,IF('TABLA DE PAGOS'!K156='TABLA DE PAGOS'!A$9,'TABLA DE PAGOS'!E156,IF('TABLA DE PAGOS'!K156='TABLA DE PAGOS'!A$11,INDEX(SALDOS!B$3:G$200,MATCH('TABLA DE PAGOS'!A$13,SALDOS!E$3:E$200,0),6),0))),0)</f>
        <v>0</v>
      </c>
      <c r="Q156" s="8">
        <f>IF(AND(I156&gt;0,I155&gt;0),'TABLA DE PAGOS'!E156,0)</f>
        <v>2947.79</v>
      </c>
      <c r="R156" s="8">
        <f t="shared" si="5"/>
        <v>0</v>
      </c>
      <c r="T156" s="8">
        <f>IF(AND(I156&gt;0,I155=0),'TABLA DE PAGOS'!H156,0)</f>
        <v>0</v>
      </c>
      <c r="U156" s="8">
        <f>IF(AND('TABLA DE PAGOS'!K156='TABLA DE PAGOS'!A$11,VLOOKUP('TABLA DE PAGOS'!A$7,SALDOS!B$3:E$200,4)='TABLA DE PAGOS'!A$14),INDEX(SALDOS!B$3:G$200,MATCH('TABLA DE PAGOS'!A$14,SALDOS!E$3:E$200,0),6),IF(AND(P156&gt;0.001,M156&gt;0.001),'TABLA DE PAGOS'!H156,0))</f>
        <v>0</v>
      </c>
      <c r="W156" s="8">
        <f>IF(AND('TABLA DE PAGOS'!K156='TABLA DE PAGOS'!A$11,VLOOKUP('TABLA DE PAGOS'!A$7,SALDOS!B$3:E$200,4)='TABLA DE PAGOS'!A$16),INDEX(SALDOS!B$3:G$200,MATCH('TABLA DE PAGOS'!A$16,SALDOS!E$3:E$200,0),6),IF(AND(P156&gt;0.001,M156&gt;0.001),'TABLA DE PAGOS'!I156,0))</f>
        <v>0</v>
      </c>
    </row>
    <row r="157" spans="2:23">
      <c r="B157" s="33">
        <v>156</v>
      </c>
      <c r="C157" s="8">
        <f>IF('TABLA DE PAGOS'!K157='TABLA DE PAGOS'!A$12,0,IF('TABLA DE PAGOS'!K157='TABLA DE PAGOS'!A$11,'VALORES DE LIQUIDACIÓN'!A$4-'TABLA DE PAGOS'!M157,IF(AND('TABLA DE PAGOS'!J157&lt;'VALORES DE LIQUIDACIÓN'!A$4,'TABLA DE PAGOS'!K157='TABLA DE PAGOS'!A$9),'VALORES DE LIQUIDACIÓN'!A$4-'TABLA DE PAGOS'!J157,0)))</f>
        <v>0</v>
      </c>
      <c r="D157" s="8">
        <f>IF(P157&gt;0,'VALORES DE LIQUIDACIÓN'!A$4-'TABLA DE PAGOS'!J157,0)</f>
        <v>0</v>
      </c>
      <c r="E157" s="35">
        <f t="shared" si="4"/>
        <v>0</v>
      </c>
      <c r="F157" s="11">
        <f>IF(E157&gt;0,('DATOS GENERALES'!K$3+('DATOS GENERALES'!K$3*E157)),0)</f>
        <v>0</v>
      </c>
      <c r="G157" s="11">
        <f>IF(E157&gt;0,IF('TABLA DE PAGOS'!K157='TABLA DE PAGOS'!A$11,(P157*C157*F157)/36000,('TABLA DE PAGOS'!E157*C157*F157)/36000),0)</f>
        <v>0</v>
      </c>
      <c r="I157" s="8">
        <f>IF('TABLA DE PAGOS'!$J157&lt;='VALORES DE LIQUIDACIÓN'!A$4,0,'TABLA DE PAGOS'!$J157-'VALORES DE LIQUIDACIÓN'!A$4)</f>
        <v>4522</v>
      </c>
      <c r="J157" s="8">
        <f>IF(AND(I157&gt;0,I156=0),'VALORES DE LIQUIDACIÓN'!A$4-'TABLA DE PAGOS'!J156,0)</f>
        <v>0</v>
      </c>
      <c r="K157" s="8">
        <f>IF(AND(AND('TABLA DE PAGOS'!J156&lt;='VALORES DE LIQUIDACIÓN'!A$4,'TABLA DE PAGOS'!J157&gt;='VALORES DE LIQUIDACIÓN'!A$4),'TABLA DE PAGOS'!K157='TABLA DE PAGOS'!A$10),'TABLA DE PAGOS'!C156,IF(AND('TABLA DE PAGOS'!K157='TABLA DE PAGOS'!A$10,'TABLA DE PAGOS'!K158='TABLA DE PAGOS'!A$9),'TABLA DE PAGOS'!C157,IF(AND('TABLA DE PAGOS'!K157='TABLA DE PAGOS'!A$11,'TABLA DE PAGOS'!K158='TABLA DE PAGOS'!A$9),'TABLA DE PAGOS'!C156,0)))</f>
        <v>0</v>
      </c>
      <c r="L157" s="14"/>
      <c r="M157" s="11">
        <f>IF(I157=0,IF('TABLA DE PAGOS'!J157&lt;='TABLA DE PAGOS'!A$4,0,IF('TABLA DE PAGOS'!K157='TABLA DE PAGOS'!A$9,'TABLA DE PAGOS'!F157,IF('TABLA DE PAGOS'!K157='TABLA DE PAGOS'!A$11,(INDEX(SALDOS!B$3:G$200,MATCH('TABLA DE PAGOS'!A$12,SALDOS!E$3:E$200,0),6))-(INDEX(SALDOS!B$3:H$200,MATCH('TABLA DE PAGOS'!A$12,SALDOS!E$3:E$200,0),7)),0))),0)</f>
        <v>0</v>
      </c>
      <c r="N157" s="11">
        <f>IF(AND(I157&gt;0,I156=0),J157*MAX(SALDOS!J$3:J$200),0)</f>
        <v>0</v>
      </c>
      <c r="P157" s="8">
        <f>IF(I157=0,IF('TABLA DE PAGOS'!J157&lt;='TABLA DE PAGOS'!A$4,0,IF('TABLA DE PAGOS'!K157='TABLA DE PAGOS'!A$9,'TABLA DE PAGOS'!E157,IF('TABLA DE PAGOS'!K157='TABLA DE PAGOS'!A$11,INDEX(SALDOS!B$3:G$200,MATCH('TABLA DE PAGOS'!A$13,SALDOS!E$3:E$200,0),6),0))),0)</f>
        <v>0</v>
      </c>
      <c r="Q157" s="8">
        <f>IF(AND(I157&gt;0,I156&gt;0),'TABLA DE PAGOS'!E157,0)</f>
        <v>2976.39</v>
      </c>
      <c r="R157" s="8">
        <f t="shared" si="5"/>
        <v>0</v>
      </c>
      <c r="T157" s="8">
        <f>IF(AND(I157&gt;0,I156=0),'TABLA DE PAGOS'!H157,0)</f>
        <v>0</v>
      </c>
      <c r="U157" s="8">
        <f>IF(AND('TABLA DE PAGOS'!K157='TABLA DE PAGOS'!A$11,VLOOKUP('TABLA DE PAGOS'!A$7,SALDOS!B$3:E$200,4)='TABLA DE PAGOS'!A$14),INDEX(SALDOS!B$3:G$200,MATCH('TABLA DE PAGOS'!A$14,SALDOS!E$3:E$200,0),6),IF(AND(P157&gt;0.001,M157&gt;0.001),'TABLA DE PAGOS'!H157,0))</f>
        <v>0</v>
      </c>
      <c r="W157" s="8">
        <f>IF(AND('TABLA DE PAGOS'!K157='TABLA DE PAGOS'!A$11,VLOOKUP('TABLA DE PAGOS'!A$7,SALDOS!B$3:E$200,4)='TABLA DE PAGOS'!A$16),INDEX(SALDOS!B$3:G$200,MATCH('TABLA DE PAGOS'!A$16,SALDOS!E$3:E$200,0),6),IF(AND(P157&gt;0.001,M157&gt;0.001),'TABLA DE PAGOS'!I157,0))</f>
        <v>0</v>
      </c>
    </row>
    <row r="158" spans="2:23">
      <c r="B158" s="33"/>
      <c r="C158" s="8"/>
      <c r="D158" s="8"/>
      <c r="E158" s="35"/>
      <c r="F158" s="11"/>
      <c r="G158" s="11"/>
      <c r="I158" s="8"/>
      <c r="J158" s="8"/>
      <c r="K158" s="8"/>
      <c r="L158" s="14"/>
      <c r="M158" s="8"/>
      <c r="N158" s="11"/>
      <c r="P158" s="39"/>
      <c r="Q158" s="8"/>
      <c r="R158" s="8"/>
      <c r="T158" s="8"/>
      <c r="U158" s="8"/>
      <c r="W158" s="8"/>
    </row>
    <row r="159" spans="2:12">
      <c r="B159"/>
      <c r="L159" s="14"/>
    </row>
    <row r="160" spans="2:12">
      <c r="B160"/>
      <c r="L160" s="14"/>
    </row>
    <row r="161" spans="2:12">
      <c r="B161"/>
      <c r="L161" s="14"/>
    </row>
    <row r="162" spans="2:12">
      <c r="B162"/>
      <c r="L162" s="14"/>
    </row>
    <row r="163" spans="2:12">
      <c r="B163"/>
      <c r="L163" s="14"/>
    </row>
    <row r="164" spans="2:12">
      <c r="B164"/>
      <c r="L164" s="14"/>
    </row>
    <row r="165" spans="2:12">
      <c r="B165"/>
      <c r="L165" s="14"/>
    </row>
    <row r="166" spans="2:12">
      <c r="B166"/>
      <c r="L166" s="14"/>
    </row>
    <row r="167" spans="2:12">
      <c r="B167"/>
      <c r="L167" s="14"/>
    </row>
    <row r="168" spans="2:12">
      <c r="B168"/>
      <c r="L168" s="14"/>
    </row>
    <row r="169" spans="2:12">
      <c r="B169"/>
      <c r="L169" s="14"/>
    </row>
    <row r="170" spans="2:12">
      <c r="B170"/>
      <c r="L170" s="14"/>
    </row>
    <row r="171" spans="2:12">
      <c r="B171"/>
      <c r="L171" s="14"/>
    </row>
    <row r="172" spans="2:12">
      <c r="B172"/>
      <c r="L172" s="14"/>
    </row>
    <row r="173" spans="2:12">
      <c r="B173"/>
      <c r="L173" s="14"/>
    </row>
    <row r="174" spans="2:12">
      <c r="B174"/>
      <c r="L174" s="14"/>
    </row>
    <row r="175" spans="2:12">
      <c r="B175"/>
      <c r="L175" s="14"/>
    </row>
    <row r="176" spans="2:12">
      <c r="B176"/>
      <c r="L176" s="14"/>
    </row>
    <row r="177" spans="2:12">
      <c r="B177"/>
      <c r="L177" s="14"/>
    </row>
    <row r="178" spans="2:12">
      <c r="B178"/>
      <c r="L178" s="14"/>
    </row>
    <row r="179" spans="2:12">
      <c r="B179"/>
      <c r="L179" s="14"/>
    </row>
    <row r="180" spans="2:12">
      <c r="B180"/>
      <c r="L180" s="14"/>
    </row>
    <row r="181" spans="2:12">
      <c r="B181"/>
      <c r="L181" s="14"/>
    </row>
    <row r="182" spans="2:12">
      <c r="B182"/>
      <c r="L182" s="14"/>
    </row>
    <row r="183" spans="2:12">
      <c r="B183"/>
      <c r="L183" s="14"/>
    </row>
    <row r="184" spans="2:12">
      <c r="B184"/>
      <c r="L184" s="14"/>
    </row>
    <row r="185" spans="2:12">
      <c r="B185"/>
      <c r="L185" s="14"/>
    </row>
    <row r="186" spans="2:12">
      <c r="B186"/>
      <c r="L186" s="14"/>
    </row>
    <row r="187" spans="2:12">
      <c r="B187"/>
      <c r="L187" s="14"/>
    </row>
    <row r="188" spans="2:12">
      <c r="B188"/>
      <c r="L188" s="14"/>
    </row>
    <row r="189" spans="2:12">
      <c r="B189"/>
      <c r="L189" s="14"/>
    </row>
    <row r="190" spans="2:12">
      <c r="B190"/>
      <c r="L190" s="14"/>
    </row>
    <row r="191" spans="2:12">
      <c r="B191"/>
      <c r="L191" s="14"/>
    </row>
    <row r="192" spans="2:12">
      <c r="B192"/>
      <c r="L192" s="14"/>
    </row>
    <row r="193" spans="2:12">
      <c r="B193"/>
      <c r="L193" s="14"/>
    </row>
    <row r="194" spans="2:12">
      <c r="B194"/>
      <c r="L194" s="14"/>
    </row>
    <row r="195" spans="2:12">
      <c r="B195"/>
      <c r="L195" s="14"/>
    </row>
    <row r="196" spans="2:12">
      <c r="B196"/>
      <c r="L196" s="14"/>
    </row>
    <row r="197" spans="2:12">
      <c r="B197"/>
      <c r="L197" s="14"/>
    </row>
    <row r="198" spans="2:12">
      <c r="B198"/>
      <c r="L198" s="14"/>
    </row>
    <row r="199" spans="2:12">
      <c r="B199"/>
      <c r="L199" s="14"/>
    </row>
    <row r="200" spans="2:12">
      <c r="B200"/>
      <c r="L200" s="14"/>
    </row>
    <row r="201" spans="2:12">
      <c r="B201"/>
      <c r="L201" s="14"/>
    </row>
    <row r="202" spans="2:12">
      <c r="B202"/>
      <c r="L202" s="14"/>
    </row>
    <row r="203" spans="2:12">
      <c r="B203"/>
      <c r="L203" s="14"/>
    </row>
    <row r="204" spans="2:12">
      <c r="B204"/>
      <c r="L204" s="14"/>
    </row>
    <row r="205" spans="2:12">
      <c r="B205"/>
      <c r="L205" s="14"/>
    </row>
    <row r="206" spans="2:12">
      <c r="B206"/>
      <c r="L206" s="14"/>
    </row>
    <row r="207" spans="2:12">
      <c r="B207"/>
      <c r="L207" s="14"/>
    </row>
    <row r="208" spans="2:12">
      <c r="B208"/>
      <c r="L208" s="14"/>
    </row>
    <row r="209" spans="2:12">
      <c r="B209"/>
      <c r="L209" s="14"/>
    </row>
    <row r="210" spans="2:12">
      <c r="B210"/>
      <c r="L210" s="14"/>
    </row>
    <row r="211" spans="2:12">
      <c r="B211"/>
      <c r="L211" s="14"/>
    </row>
    <row r="212" spans="2:12">
      <c r="B212"/>
      <c r="L212" s="14"/>
    </row>
    <row r="213" spans="2:12">
      <c r="B213"/>
      <c r="L213" s="14"/>
    </row>
    <row r="214" spans="2:12">
      <c r="B214"/>
      <c r="L214" s="14"/>
    </row>
    <row r="215" spans="2:12">
      <c r="B215"/>
      <c r="L215" s="14"/>
    </row>
    <row r="216" spans="2:12">
      <c r="B216"/>
      <c r="L216" s="14"/>
    </row>
    <row r="217" spans="2:12">
      <c r="B217"/>
      <c r="L217" s="14"/>
    </row>
    <row r="218" spans="2:12">
      <c r="B218"/>
      <c r="L218" s="14"/>
    </row>
    <row r="219" spans="2:12">
      <c r="B219"/>
      <c r="L219" s="14"/>
    </row>
    <row r="220" spans="2:12">
      <c r="B220"/>
      <c r="L220" s="14"/>
    </row>
    <row r="221" spans="2:12">
      <c r="B221"/>
      <c r="L221" s="14"/>
    </row>
    <row r="222" spans="2:12">
      <c r="B222"/>
      <c r="L222" s="14"/>
    </row>
    <row r="223" spans="2:12">
      <c r="B223"/>
      <c r="L223" s="14"/>
    </row>
    <row r="224" spans="2:12">
      <c r="B224"/>
      <c r="L224" s="14"/>
    </row>
    <row r="225" spans="2:12">
      <c r="B225"/>
      <c r="L225" s="14"/>
    </row>
    <row r="226" spans="2:12">
      <c r="B226"/>
      <c r="L226" s="14"/>
    </row>
    <row r="227" spans="2:12">
      <c r="B227"/>
      <c r="L227" s="14"/>
    </row>
    <row r="228" spans="2:12">
      <c r="B228"/>
      <c r="L228" s="14"/>
    </row>
    <row r="229" spans="2:12">
      <c r="B229"/>
      <c r="L229" s="14"/>
    </row>
    <row r="230" spans="2:12">
      <c r="B230"/>
      <c r="L230" s="14"/>
    </row>
    <row r="231" spans="2:12">
      <c r="B231"/>
      <c r="L231" s="14"/>
    </row>
    <row r="232" spans="2:12">
      <c r="B232"/>
      <c r="L232" s="14"/>
    </row>
    <row r="233" spans="2:12">
      <c r="B233"/>
      <c r="L233" s="14"/>
    </row>
    <row r="234" spans="2:12">
      <c r="B234"/>
      <c r="L234" s="14"/>
    </row>
    <row r="235" spans="2:12">
      <c r="B235"/>
      <c r="L235" s="14"/>
    </row>
    <row r="236" spans="2:12">
      <c r="B236"/>
      <c r="L236" s="14"/>
    </row>
    <row r="237" spans="2:12">
      <c r="B237"/>
      <c r="L237" s="14"/>
    </row>
    <row r="238" spans="2:12">
      <c r="B238"/>
      <c r="L238" s="14"/>
    </row>
    <row r="239" spans="2:12">
      <c r="B239"/>
      <c r="L239" s="14"/>
    </row>
    <row r="240" spans="2:12">
      <c r="B240"/>
      <c r="L240" s="14"/>
    </row>
    <row r="241" spans="2:12">
      <c r="B241"/>
      <c r="L241" s="14"/>
    </row>
    <row r="242" spans="2:12">
      <c r="B242"/>
      <c r="L242" s="14"/>
    </row>
    <row r="243" spans="2:12">
      <c r="B243"/>
      <c r="L243" s="14"/>
    </row>
    <row r="244" spans="2:12">
      <c r="B244"/>
      <c r="L244" s="14"/>
    </row>
    <row r="245" spans="2:12">
      <c r="B245"/>
      <c r="L245" s="14"/>
    </row>
    <row r="246" spans="2:12">
      <c r="B246"/>
      <c r="L246" s="14"/>
    </row>
    <row r="247" spans="2:12">
      <c r="B247"/>
      <c r="L247" s="14"/>
    </row>
    <row r="248" spans="2:12">
      <c r="B248"/>
      <c r="L248" s="14"/>
    </row>
    <row r="249" spans="2:12">
      <c r="B249"/>
      <c r="L249" s="14"/>
    </row>
    <row r="250" spans="2:12">
      <c r="B250"/>
      <c r="L250" s="14"/>
    </row>
    <row r="251" spans="2:12">
      <c r="B251"/>
      <c r="L251" s="14"/>
    </row>
    <row r="252" spans="2:12">
      <c r="B252"/>
      <c r="L252" s="14"/>
    </row>
    <row r="253" spans="2:12">
      <c r="B253"/>
      <c r="L253" s="14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4"/>
  <sheetViews>
    <sheetView zoomScale="90" zoomScaleNormal="90" workbookViewId="0">
      <pane ySplit="1" topLeftCell="A151" activePane="bottomLeft" state="frozen"/>
      <selection/>
      <selection pane="bottomLeft" activeCell="C2" sqref="C2:M157"/>
    </sheetView>
  </sheetViews>
  <sheetFormatPr defaultColWidth="11.7428571428571" defaultRowHeight="12.75"/>
  <cols>
    <col min="1" max="1" width="15.6095238095238" customWidth="true"/>
    <col min="2" max="2" width="3.57142857142857" customWidth="true"/>
    <col min="3" max="3" width="8.63809523809524" style="17" customWidth="true"/>
    <col min="6" max="6" width="10.4857142857143" customWidth="true"/>
    <col min="8" max="8" width="9.4" customWidth="true"/>
    <col min="9" max="9" width="9.25714285714286" customWidth="true"/>
    <col min="10" max="11" width="10.8" customWidth="true"/>
    <col min="12" max="12" width="9.4" customWidth="true"/>
    <col min="13" max="13" width="10.4857142857143" customWidth="true"/>
    <col min="14" max="14" width="4.17142857142857" customWidth="true"/>
    <col min="15" max="16" width="9.25714285714286" style="18" customWidth="true"/>
    <col min="17" max="17" width="10.1904761904762" style="18" customWidth="true"/>
    <col min="18" max="18" width="10.647619047619" style="18" customWidth="true"/>
    <col min="19" max="19" width="13.7333333333333" style="18" customWidth="true"/>
    <col min="20" max="20" width="9.25714285714286" style="18" customWidth="true"/>
    <col min="21" max="21" width="14.352380952381" style="18" customWidth="true"/>
    <col min="22" max="22" width="13.1238095238095" style="18" customWidth="true"/>
    <col min="23" max="24" width="11.5428571428571" style="18" customWidth="true"/>
  </cols>
  <sheetData>
    <row r="1" ht="29" customHeight="true" spans="3:24">
      <c r="C1" s="19" t="s">
        <v>31</v>
      </c>
      <c r="D1" s="7" t="s">
        <v>32</v>
      </c>
      <c r="E1" s="7" t="s">
        <v>11</v>
      </c>
      <c r="F1" s="7" t="s">
        <v>10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O1"/>
      <c r="P1"/>
      <c r="Q1"/>
      <c r="R1"/>
      <c r="S1"/>
      <c r="T1"/>
      <c r="U1"/>
      <c r="V1"/>
      <c r="W1"/>
      <c r="X1"/>
    </row>
    <row r="2" ht="19.05" customHeight="true" spans="1:24">
      <c r="A2" s="20" t="s">
        <v>40</v>
      </c>
      <c r="C2" s="21">
        <v>1</v>
      </c>
      <c r="D2" s="8">
        <v>248726.96</v>
      </c>
      <c r="E2" s="8">
        <v>395.76</v>
      </c>
      <c r="F2" s="8">
        <v>2532.32</v>
      </c>
      <c r="G2" s="8">
        <v>2928.08</v>
      </c>
      <c r="H2" s="8">
        <v>202.28</v>
      </c>
      <c r="I2" s="8">
        <v>184.64</v>
      </c>
      <c r="J2" s="9">
        <v>44473</v>
      </c>
      <c r="K2" s="8" t="s">
        <v>41</v>
      </c>
      <c r="L2" s="8" t="s">
        <v>42</v>
      </c>
      <c r="M2" s="9" t="s">
        <v>42</v>
      </c>
      <c r="O2"/>
      <c r="P2"/>
      <c r="Q2"/>
      <c r="R2"/>
      <c r="S2"/>
      <c r="T2"/>
      <c r="U2"/>
      <c r="V2"/>
      <c r="W2"/>
      <c r="X2"/>
    </row>
    <row r="3" ht="21.55" customHeight="true" spans="1:24">
      <c r="A3" s="20"/>
      <c r="C3" s="21">
        <v>2</v>
      </c>
      <c r="D3" s="8">
        <v>248331.2</v>
      </c>
      <c r="E3" s="8">
        <v>641.02</v>
      </c>
      <c r="F3" s="8">
        <v>2305.2</v>
      </c>
      <c r="G3" s="8">
        <v>2946.22</v>
      </c>
      <c r="H3" s="8">
        <v>184.14</v>
      </c>
      <c r="I3" s="8">
        <v>184.64</v>
      </c>
      <c r="J3" s="9">
        <v>44504</v>
      </c>
      <c r="K3" s="8" t="s">
        <v>41</v>
      </c>
      <c r="L3" s="8" t="s">
        <v>42</v>
      </c>
      <c r="M3" s="9" t="s">
        <v>42</v>
      </c>
      <c r="O3"/>
      <c r="P3"/>
      <c r="Q3"/>
      <c r="R3"/>
      <c r="S3"/>
      <c r="T3"/>
      <c r="U3"/>
      <c r="V3"/>
      <c r="W3"/>
      <c r="X3"/>
    </row>
    <row r="4" ht="15.75" customHeight="true" spans="1:24">
      <c r="A4" s="22">
        <v>44565</v>
      </c>
      <c r="C4" s="21">
        <v>3</v>
      </c>
      <c r="D4" s="8">
        <v>247690.18</v>
      </c>
      <c r="E4" s="8">
        <v>567.35</v>
      </c>
      <c r="F4" s="8">
        <v>2373.42</v>
      </c>
      <c r="G4" s="8">
        <v>2940.77</v>
      </c>
      <c r="H4" s="8">
        <v>189.59</v>
      </c>
      <c r="I4" s="8">
        <v>184.64</v>
      </c>
      <c r="J4" s="9">
        <v>44536</v>
      </c>
      <c r="K4" s="8" t="s">
        <v>41</v>
      </c>
      <c r="L4" s="8" t="s">
        <v>42</v>
      </c>
      <c r="M4" s="9" t="s">
        <v>42</v>
      </c>
      <c r="O4"/>
      <c r="P4"/>
      <c r="Q4"/>
      <c r="R4"/>
      <c r="S4"/>
      <c r="T4"/>
      <c r="U4"/>
      <c r="V4"/>
      <c r="W4"/>
      <c r="X4"/>
    </row>
    <row r="5" ht="16.55" customHeight="true" spans="1:24">
      <c r="A5" s="20" t="s">
        <v>43</v>
      </c>
      <c r="C5" s="21">
        <v>4</v>
      </c>
      <c r="D5" s="8">
        <v>247122.83</v>
      </c>
      <c r="E5" s="8">
        <v>812.95</v>
      </c>
      <c r="F5" s="8">
        <v>2145.99</v>
      </c>
      <c r="G5" s="8">
        <v>2958.94</v>
      </c>
      <c r="H5" s="8">
        <v>171.42</v>
      </c>
      <c r="I5" s="8">
        <v>184.64</v>
      </c>
      <c r="J5" s="9">
        <v>44565</v>
      </c>
      <c r="K5" s="8" t="s">
        <v>41</v>
      </c>
      <c r="L5" s="8" t="s">
        <v>42</v>
      </c>
      <c r="M5" s="9" t="s">
        <v>42</v>
      </c>
      <c r="O5"/>
      <c r="P5"/>
      <c r="Q5"/>
      <c r="R5"/>
      <c r="S5"/>
      <c r="T5"/>
      <c r="U5"/>
      <c r="V5"/>
      <c r="W5"/>
      <c r="X5"/>
    </row>
    <row r="6" ht="14.9" customHeight="true" spans="1:24">
      <c r="A6" s="20"/>
      <c r="C6" s="21">
        <v>5</v>
      </c>
      <c r="D6" s="8">
        <v>246309.88</v>
      </c>
      <c r="E6" s="8">
        <v>661.28</v>
      </c>
      <c r="F6" s="8">
        <v>2286.44</v>
      </c>
      <c r="G6" s="8">
        <v>2947.72</v>
      </c>
      <c r="H6" s="8">
        <v>182.64</v>
      </c>
      <c r="I6" s="8">
        <v>184.64</v>
      </c>
      <c r="J6" s="9">
        <v>44596</v>
      </c>
      <c r="K6" s="8" t="s">
        <v>44</v>
      </c>
      <c r="L6" s="8" t="s">
        <v>44</v>
      </c>
      <c r="M6" s="9">
        <v>44656</v>
      </c>
      <c r="O6"/>
      <c r="P6" s="5"/>
      <c r="Q6" s="5"/>
      <c r="R6"/>
      <c r="S6"/>
      <c r="T6"/>
      <c r="U6"/>
      <c r="V6"/>
      <c r="W6"/>
      <c r="X6"/>
    </row>
    <row r="7" ht="15.75" customHeight="true" spans="1:24">
      <c r="A7" s="23">
        <f>MAX(CÁLCULOS!K$2:K$160)+1</f>
        <v>5</v>
      </c>
      <c r="C7" s="21">
        <v>6</v>
      </c>
      <c r="D7" s="8">
        <v>245648.6</v>
      </c>
      <c r="E7" s="8">
        <v>906.2</v>
      </c>
      <c r="F7" s="8">
        <v>2059.63</v>
      </c>
      <c r="G7" s="8">
        <v>2965.83</v>
      </c>
      <c r="H7" s="8">
        <v>164.53</v>
      </c>
      <c r="I7" s="8">
        <v>184.64</v>
      </c>
      <c r="J7" s="9">
        <v>44624</v>
      </c>
      <c r="K7" s="8" t="s">
        <v>42</v>
      </c>
      <c r="L7" s="8" t="s">
        <v>42</v>
      </c>
      <c r="M7" s="9" t="s">
        <v>42</v>
      </c>
      <c r="O7"/>
      <c r="P7"/>
      <c r="Q7"/>
      <c r="R7"/>
      <c r="S7"/>
      <c r="T7"/>
      <c r="U7"/>
      <c r="V7"/>
      <c r="W7"/>
      <c r="X7"/>
    </row>
    <row r="8" ht="21.55" customHeight="true" spans="1:24">
      <c r="A8" s="24" t="s">
        <v>45</v>
      </c>
      <c r="C8" s="21">
        <v>7</v>
      </c>
      <c r="D8" s="8">
        <v>244742.4</v>
      </c>
      <c r="E8" s="8">
        <v>728.61</v>
      </c>
      <c r="F8" s="8">
        <v>2092.75</v>
      </c>
      <c r="G8" s="8">
        <v>2821.36</v>
      </c>
      <c r="H8" s="8">
        <v>181.48</v>
      </c>
      <c r="I8" s="8">
        <v>0</v>
      </c>
      <c r="J8" s="9">
        <v>44655</v>
      </c>
      <c r="K8" s="8" t="s">
        <v>42</v>
      </c>
      <c r="L8" s="8" t="s">
        <v>42</v>
      </c>
      <c r="M8" s="9" t="s">
        <v>42</v>
      </c>
      <c r="O8"/>
      <c r="P8"/>
      <c r="Q8"/>
      <c r="R8"/>
      <c r="S8"/>
      <c r="T8"/>
      <c r="U8"/>
      <c r="V8"/>
      <c r="W8"/>
      <c r="X8"/>
    </row>
    <row r="9" ht="14.05" customHeight="true" spans="1:24">
      <c r="A9" s="25" t="s">
        <v>42</v>
      </c>
      <c r="C9" s="21">
        <v>8</v>
      </c>
      <c r="D9" s="8">
        <v>244013.79</v>
      </c>
      <c r="E9" s="8">
        <v>808.53</v>
      </c>
      <c r="F9" s="8">
        <v>2019.21</v>
      </c>
      <c r="G9" s="8">
        <v>2827.74</v>
      </c>
      <c r="H9" s="8">
        <v>175.1</v>
      </c>
      <c r="I9" s="8">
        <v>0</v>
      </c>
      <c r="J9" s="9">
        <v>44685</v>
      </c>
      <c r="K9" s="8" t="s">
        <v>42</v>
      </c>
      <c r="L9" s="8" t="s">
        <v>42</v>
      </c>
      <c r="M9" s="9" t="s">
        <v>42</v>
      </c>
      <c r="O9"/>
      <c r="P9"/>
      <c r="Q9"/>
      <c r="R9"/>
      <c r="S9"/>
      <c r="T9"/>
      <c r="U9"/>
      <c r="V9"/>
      <c r="W9"/>
      <c r="X9"/>
    </row>
    <row r="10" ht="14.05" customHeight="true" spans="1:24">
      <c r="A10" s="25" t="s">
        <v>41</v>
      </c>
      <c r="C10" s="21">
        <v>9</v>
      </c>
      <c r="D10" s="8">
        <v>243205.26</v>
      </c>
      <c r="E10" s="8">
        <v>597.08</v>
      </c>
      <c r="F10" s="8">
        <v>2213.78</v>
      </c>
      <c r="G10" s="8">
        <v>2810.86</v>
      </c>
      <c r="H10" s="8">
        <v>191.98</v>
      </c>
      <c r="I10" s="8">
        <v>0</v>
      </c>
      <c r="J10" s="9">
        <v>44718</v>
      </c>
      <c r="K10" s="8" t="s">
        <v>42</v>
      </c>
      <c r="L10" s="8" t="s">
        <v>42</v>
      </c>
      <c r="M10" s="9" t="s">
        <v>42</v>
      </c>
      <c r="O10"/>
      <c r="P10"/>
      <c r="Q10"/>
      <c r="R10"/>
      <c r="S10"/>
      <c r="T10"/>
      <c r="U10"/>
      <c r="V10"/>
      <c r="W10"/>
      <c r="X10"/>
    </row>
    <row r="11" ht="14.05" customHeight="true" spans="1:24">
      <c r="A11" s="25" t="s">
        <v>44</v>
      </c>
      <c r="C11" s="21">
        <v>10</v>
      </c>
      <c r="D11" s="8">
        <v>242608.18</v>
      </c>
      <c r="E11" s="8">
        <v>966.61</v>
      </c>
      <c r="F11" s="8">
        <v>1873.74</v>
      </c>
      <c r="G11" s="8">
        <v>2840.35</v>
      </c>
      <c r="H11" s="8">
        <v>162.49</v>
      </c>
      <c r="I11" s="8">
        <v>0</v>
      </c>
      <c r="J11" s="9">
        <v>44746</v>
      </c>
      <c r="K11" s="8" t="s">
        <v>42</v>
      </c>
      <c r="L11" s="8" t="s">
        <v>42</v>
      </c>
      <c r="M11" s="9" t="s">
        <v>42</v>
      </c>
      <c r="O11"/>
      <c r="P11"/>
      <c r="Q11" s="5"/>
      <c r="R11" s="5"/>
      <c r="S11"/>
      <c r="T11"/>
      <c r="U11"/>
      <c r="V11"/>
      <c r="W11"/>
      <c r="X11"/>
    </row>
    <row r="12" ht="14.05" customHeight="true" spans="1:24">
      <c r="A12" s="25" t="s">
        <v>46</v>
      </c>
      <c r="C12" s="21">
        <v>11</v>
      </c>
      <c r="D12" s="8">
        <v>241641.57</v>
      </c>
      <c r="E12" s="8">
        <v>757.42</v>
      </c>
      <c r="F12" s="8">
        <v>2066.24</v>
      </c>
      <c r="G12" s="8">
        <v>2823.66</v>
      </c>
      <c r="H12" s="8">
        <v>179.18</v>
      </c>
      <c r="I12" s="8">
        <v>0</v>
      </c>
      <c r="J12" s="9">
        <v>44777</v>
      </c>
      <c r="K12" s="8" t="s">
        <v>42</v>
      </c>
      <c r="L12" s="8" t="s">
        <v>42</v>
      </c>
      <c r="M12" s="9" t="s">
        <v>42</v>
      </c>
      <c r="O12"/>
      <c r="P12"/>
      <c r="Q12"/>
      <c r="R12"/>
      <c r="S12"/>
      <c r="T12"/>
      <c r="U12"/>
      <c r="V12"/>
      <c r="W12"/>
      <c r="X12"/>
    </row>
    <row r="13" ht="14.05" customHeight="true" spans="1:24">
      <c r="A13" s="25" t="s">
        <v>47</v>
      </c>
      <c r="C13" s="21">
        <v>12</v>
      </c>
      <c r="D13" s="8">
        <v>240884.15</v>
      </c>
      <c r="E13" s="8">
        <v>692.26</v>
      </c>
      <c r="F13" s="8">
        <v>2126.2</v>
      </c>
      <c r="G13" s="8">
        <v>2818.46</v>
      </c>
      <c r="H13" s="8">
        <v>184.38</v>
      </c>
      <c r="I13" s="8">
        <v>0</v>
      </c>
      <c r="J13" s="9">
        <v>44809</v>
      </c>
      <c r="K13" s="8" t="s">
        <v>42</v>
      </c>
      <c r="L13" s="8" t="s">
        <v>42</v>
      </c>
      <c r="M13" s="9" t="s">
        <v>42</v>
      </c>
      <c r="O13"/>
      <c r="P13"/>
      <c r="Q13"/>
      <c r="R13"/>
      <c r="S13"/>
      <c r="T13"/>
      <c r="U13"/>
      <c r="V13"/>
      <c r="W13"/>
      <c r="X13"/>
    </row>
    <row r="14" ht="14.05" customHeight="true" spans="1:24">
      <c r="A14" s="25" t="s">
        <v>48</v>
      </c>
      <c r="C14" s="21">
        <v>13</v>
      </c>
      <c r="D14" s="8">
        <v>240191.89</v>
      </c>
      <c r="E14" s="8">
        <v>914.89</v>
      </c>
      <c r="F14" s="8">
        <v>1921.33</v>
      </c>
      <c r="G14" s="8">
        <v>2836.22</v>
      </c>
      <c r="H14" s="8">
        <v>166.62</v>
      </c>
      <c r="I14" s="8">
        <v>0</v>
      </c>
      <c r="J14" s="9">
        <v>44838</v>
      </c>
      <c r="K14" s="8" t="s">
        <v>42</v>
      </c>
      <c r="L14" s="8" t="s">
        <v>42</v>
      </c>
      <c r="M14" s="9" t="s">
        <v>42</v>
      </c>
      <c r="O14"/>
      <c r="P14"/>
      <c r="Q14"/>
      <c r="R14"/>
      <c r="S14"/>
      <c r="T14"/>
      <c r="U14"/>
      <c r="V14"/>
      <c r="W14"/>
      <c r="X14"/>
    </row>
    <row r="15" ht="14.05" customHeight="true" spans="1:24">
      <c r="A15" s="25" t="s">
        <v>49</v>
      </c>
      <c r="C15" s="21">
        <v>14</v>
      </c>
      <c r="D15" s="8">
        <v>239277</v>
      </c>
      <c r="E15" s="8">
        <v>564.22</v>
      </c>
      <c r="F15" s="8">
        <v>2244.02</v>
      </c>
      <c r="G15" s="8">
        <v>2808.24</v>
      </c>
      <c r="H15" s="8">
        <v>194.6</v>
      </c>
      <c r="I15" s="8">
        <v>0</v>
      </c>
      <c r="J15" s="9">
        <v>44872</v>
      </c>
      <c r="K15" s="8" t="s">
        <v>42</v>
      </c>
      <c r="L15" s="8" t="s">
        <v>42</v>
      </c>
      <c r="M15" s="9" t="s">
        <v>42</v>
      </c>
      <c r="O15"/>
      <c r="P15"/>
      <c r="Q15"/>
      <c r="R15"/>
      <c r="S15"/>
      <c r="T15"/>
      <c r="U15"/>
      <c r="V15"/>
      <c r="W15"/>
      <c r="X15"/>
    </row>
    <row r="16" ht="14.05" customHeight="true" spans="1:24">
      <c r="A16" s="25" t="s">
        <v>50</v>
      </c>
      <c r="C16" s="21">
        <v>15</v>
      </c>
      <c r="D16" s="8">
        <v>238712.78</v>
      </c>
      <c r="E16" s="8">
        <v>999.3</v>
      </c>
      <c r="F16" s="8">
        <v>1843.66</v>
      </c>
      <c r="G16" s="8">
        <v>2842.96</v>
      </c>
      <c r="H16" s="8">
        <v>159.88</v>
      </c>
      <c r="I16" s="8">
        <v>0</v>
      </c>
      <c r="J16" s="9">
        <v>44900</v>
      </c>
      <c r="K16" s="8" t="s">
        <v>42</v>
      </c>
      <c r="L16" s="8" t="s">
        <v>42</v>
      </c>
      <c r="M16" s="9" t="s">
        <v>42</v>
      </c>
      <c r="O16"/>
      <c r="P16"/>
      <c r="Q16"/>
      <c r="R16"/>
      <c r="S16"/>
      <c r="T16"/>
      <c r="U16"/>
      <c r="V16"/>
      <c r="W16"/>
      <c r="X16"/>
    </row>
    <row r="17" ht="14.05" customHeight="true" spans="3:24">
      <c r="C17" s="21">
        <v>16</v>
      </c>
      <c r="D17" s="8">
        <v>237713.48</v>
      </c>
      <c r="E17" s="8">
        <v>865.18</v>
      </c>
      <c r="F17" s="8">
        <v>1967.08</v>
      </c>
      <c r="G17" s="8">
        <v>2832.26</v>
      </c>
      <c r="H17" s="8">
        <v>170.58</v>
      </c>
      <c r="I17" s="8">
        <v>0</v>
      </c>
      <c r="J17" s="9">
        <v>44930</v>
      </c>
      <c r="K17" s="8" t="s">
        <v>42</v>
      </c>
      <c r="L17" s="8" t="s">
        <v>42</v>
      </c>
      <c r="M17" s="9" t="s">
        <v>42</v>
      </c>
      <c r="O17"/>
      <c r="P17"/>
      <c r="Q17"/>
      <c r="R17"/>
      <c r="S17"/>
      <c r="T17"/>
      <c r="U17"/>
      <c r="V17"/>
      <c r="W17"/>
      <c r="X17"/>
    </row>
    <row r="18" ht="14.05" customHeight="true" spans="3:24">
      <c r="C18" s="21">
        <v>17</v>
      </c>
      <c r="D18" s="8">
        <v>236848.3</v>
      </c>
      <c r="E18" s="8">
        <v>659.97</v>
      </c>
      <c r="F18" s="8">
        <v>2155.91</v>
      </c>
      <c r="G18" s="8">
        <v>2815.88</v>
      </c>
      <c r="H18" s="8">
        <v>186.96</v>
      </c>
      <c r="I18" s="8">
        <v>0</v>
      </c>
      <c r="J18" s="9">
        <v>44963</v>
      </c>
      <c r="K18" s="8" t="s">
        <v>42</v>
      </c>
      <c r="L18" s="8" t="s">
        <v>42</v>
      </c>
      <c r="M18" s="9" t="s">
        <v>42</v>
      </c>
      <c r="O18"/>
      <c r="P18"/>
      <c r="Q18"/>
      <c r="R18"/>
      <c r="S18"/>
      <c r="T18"/>
      <c r="U18"/>
      <c r="V18"/>
      <c r="W18"/>
      <c r="X18"/>
    </row>
    <row r="19" ht="14.05" customHeight="true" spans="3:24">
      <c r="C19" s="21">
        <v>18</v>
      </c>
      <c r="D19" s="8">
        <v>236188.33</v>
      </c>
      <c r="E19" s="8">
        <v>1020.49</v>
      </c>
      <c r="F19" s="8">
        <v>1824.16</v>
      </c>
      <c r="G19" s="8">
        <v>2844.65</v>
      </c>
      <c r="H19" s="8">
        <v>158.19</v>
      </c>
      <c r="I19" s="8">
        <v>0</v>
      </c>
      <c r="J19" s="9">
        <v>44991</v>
      </c>
      <c r="K19" s="8" t="s">
        <v>42</v>
      </c>
      <c r="L19" s="8" t="s">
        <v>42</v>
      </c>
      <c r="M19" s="9" t="s">
        <v>42</v>
      </c>
      <c r="O19"/>
      <c r="P19"/>
      <c r="Q19"/>
      <c r="R19"/>
      <c r="S19"/>
      <c r="T19"/>
      <c r="U19"/>
      <c r="V19"/>
      <c r="W19"/>
      <c r="X19"/>
    </row>
    <row r="20" ht="14.05" customHeight="true" spans="3:24">
      <c r="C20" s="21">
        <v>19</v>
      </c>
      <c r="D20" s="8">
        <v>235167.84</v>
      </c>
      <c r="E20" s="8">
        <v>958.56</v>
      </c>
      <c r="F20" s="8">
        <v>1881.15</v>
      </c>
      <c r="G20" s="8">
        <v>2839.71</v>
      </c>
      <c r="H20" s="8">
        <v>163.13</v>
      </c>
      <c r="I20" s="8">
        <v>0</v>
      </c>
      <c r="J20" s="9">
        <v>45020</v>
      </c>
      <c r="K20" s="8" t="s">
        <v>42</v>
      </c>
      <c r="L20" s="8" t="s">
        <v>42</v>
      </c>
      <c r="M20" s="9" t="s">
        <v>42</v>
      </c>
      <c r="O20"/>
      <c r="P20"/>
      <c r="Q20"/>
      <c r="R20"/>
      <c r="S20"/>
      <c r="T20"/>
      <c r="U20"/>
      <c r="V20"/>
      <c r="W20"/>
      <c r="X20"/>
    </row>
    <row r="21" ht="14.05" customHeight="true" spans="3:24">
      <c r="C21" s="21">
        <v>20</v>
      </c>
      <c r="D21" s="8">
        <v>234209.28</v>
      </c>
      <c r="E21" s="8">
        <v>896.69</v>
      </c>
      <c r="F21" s="8">
        <v>1938.08</v>
      </c>
      <c r="G21" s="8">
        <v>2834.77</v>
      </c>
      <c r="H21" s="8">
        <v>168.07</v>
      </c>
      <c r="I21" s="8">
        <v>0</v>
      </c>
      <c r="J21" s="9">
        <v>45050</v>
      </c>
      <c r="K21" s="8" t="s">
        <v>42</v>
      </c>
      <c r="L21" s="8" t="s">
        <v>42</v>
      </c>
      <c r="M21" s="9" t="s">
        <v>42</v>
      </c>
      <c r="O21"/>
      <c r="P21"/>
      <c r="Q21"/>
      <c r="R21"/>
      <c r="S21"/>
      <c r="T21"/>
      <c r="U21"/>
      <c r="V21"/>
      <c r="W21"/>
      <c r="X21"/>
    </row>
    <row r="22" ht="14.05" customHeight="true" spans="3:24">
      <c r="C22" s="21">
        <v>21</v>
      </c>
      <c r="D22" s="8">
        <v>233312.59</v>
      </c>
      <c r="E22" s="8">
        <v>764.88</v>
      </c>
      <c r="F22" s="8">
        <v>2059.37</v>
      </c>
      <c r="G22" s="8">
        <v>2824.25</v>
      </c>
      <c r="H22" s="8">
        <v>178.59</v>
      </c>
      <c r="I22" s="8">
        <v>0</v>
      </c>
      <c r="J22" s="9">
        <v>45082</v>
      </c>
      <c r="K22" s="8" t="s">
        <v>42</v>
      </c>
      <c r="L22" s="8" t="s">
        <v>42</v>
      </c>
      <c r="M22" s="9" t="s">
        <v>42</v>
      </c>
      <c r="O22"/>
      <c r="P22"/>
      <c r="Q22"/>
      <c r="R22"/>
      <c r="S22"/>
      <c r="T22"/>
      <c r="U22"/>
      <c r="V22"/>
      <c r="W22"/>
      <c r="X22"/>
    </row>
    <row r="23" ht="14.05" customHeight="true" spans="3:24">
      <c r="C23" s="21">
        <v>22</v>
      </c>
      <c r="D23" s="8">
        <v>232547.71</v>
      </c>
      <c r="E23" s="8">
        <v>981.34</v>
      </c>
      <c r="F23" s="8">
        <v>1860.19</v>
      </c>
      <c r="G23" s="8">
        <v>2841.53</v>
      </c>
      <c r="H23" s="8">
        <v>161.31</v>
      </c>
      <c r="I23" s="8">
        <v>0</v>
      </c>
      <c r="J23" s="9">
        <v>45111</v>
      </c>
      <c r="K23" s="8" t="s">
        <v>42</v>
      </c>
      <c r="L23" s="8" t="s">
        <v>42</v>
      </c>
      <c r="M23" s="9" t="s">
        <v>42</v>
      </c>
      <c r="O23"/>
      <c r="P23"/>
      <c r="Q23"/>
      <c r="R23"/>
      <c r="S23"/>
      <c r="T23"/>
      <c r="U23"/>
      <c r="V23"/>
      <c r="W23"/>
      <c r="X23"/>
    </row>
    <row r="24" ht="14.05" customHeight="true" spans="3:24">
      <c r="C24" s="21">
        <v>23</v>
      </c>
      <c r="D24" s="8">
        <v>231566.37</v>
      </c>
      <c r="E24" s="8">
        <v>851.04</v>
      </c>
      <c r="F24" s="8">
        <v>1980.09</v>
      </c>
      <c r="G24" s="8">
        <v>2831.13</v>
      </c>
      <c r="H24" s="8">
        <v>171.71</v>
      </c>
      <c r="I24" s="8">
        <v>0</v>
      </c>
      <c r="J24" s="9">
        <v>45142</v>
      </c>
      <c r="K24" s="8" t="s">
        <v>42</v>
      </c>
      <c r="L24" s="8" t="s">
        <v>42</v>
      </c>
      <c r="M24" s="9" t="s">
        <v>42</v>
      </c>
      <c r="O24"/>
      <c r="P24"/>
      <c r="Q24"/>
      <c r="R24"/>
      <c r="S24"/>
      <c r="T24"/>
      <c r="U24"/>
      <c r="V24"/>
      <c r="W24"/>
      <c r="X24"/>
    </row>
    <row r="25" ht="14.05" customHeight="true" spans="3:24">
      <c r="C25" s="21">
        <v>24</v>
      </c>
      <c r="D25" s="8">
        <v>230715.33</v>
      </c>
      <c r="E25" s="8">
        <v>858.95</v>
      </c>
      <c r="F25" s="8">
        <v>1972.81</v>
      </c>
      <c r="G25" s="8">
        <v>2831.76</v>
      </c>
      <c r="H25" s="8">
        <v>171.08</v>
      </c>
      <c r="I25" s="8">
        <v>0</v>
      </c>
      <c r="J25" s="9">
        <v>45173</v>
      </c>
      <c r="K25" s="8" t="s">
        <v>42</v>
      </c>
      <c r="L25" s="8" t="s">
        <v>42</v>
      </c>
      <c r="M25" s="9" t="s">
        <v>42</v>
      </c>
      <c r="O25"/>
      <c r="P25"/>
      <c r="Q25"/>
      <c r="R25"/>
      <c r="S25"/>
      <c r="T25"/>
      <c r="U25"/>
      <c r="V25"/>
      <c r="W25"/>
      <c r="X25"/>
    </row>
    <row r="26" ht="14.05" customHeight="true" spans="3:24">
      <c r="C26" s="21">
        <v>25</v>
      </c>
      <c r="D26" s="8">
        <v>229856.38</v>
      </c>
      <c r="E26" s="8">
        <v>935.84</v>
      </c>
      <c r="F26" s="8">
        <v>1902.06</v>
      </c>
      <c r="G26" s="8">
        <v>2837.9</v>
      </c>
      <c r="H26" s="8">
        <v>164.94</v>
      </c>
      <c r="I26" s="8">
        <v>0</v>
      </c>
      <c r="J26" s="9">
        <v>45203</v>
      </c>
      <c r="K26" s="8" t="s">
        <v>42</v>
      </c>
      <c r="L26" s="8" t="s">
        <v>42</v>
      </c>
      <c r="M26" s="9" t="s">
        <v>42</v>
      </c>
      <c r="O26"/>
      <c r="P26"/>
      <c r="Q26"/>
      <c r="R26"/>
      <c r="S26"/>
      <c r="T26"/>
      <c r="U26"/>
      <c r="V26"/>
      <c r="W26"/>
      <c r="X26"/>
    </row>
    <row r="27" ht="14.05" customHeight="true" spans="3:24">
      <c r="C27" s="21">
        <v>26</v>
      </c>
      <c r="D27" s="8">
        <v>228920.54</v>
      </c>
      <c r="E27" s="8">
        <v>738.39</v>
      </c>
      <c r="F27" s="8">
        <v>2083.75</v>
      </c>
      <c r="G27" s="8">
        <v>2822.14</v>
      </c>
      <c r="H27" s="8">
        <v>180.7</v>
      </c>
      <c r="I27" s="8">
        <v>0</v>
      </c>
      <c r="J27" s="9">
        <v>45236</v>
      </c>
      <c r="K27" s="8" t="s">
        <v>42</v>
      </c>
      <c r="L27" s="8" t="s">
        <v>42</v>
      </c>
      <c r="M27" s="9" t="s">
        <v>42</v>
      </c>
      <c r="O27"/>
      <c r="P27"/>
      <c r="Q27"/>
      <c r="R27"/>
      <c r="S27"/>
      <c r="T27"/>
      <c r="U27"/>
      <c r="V27"/>
      <c r="W27"/>
      <c r="X27"/>
    </row>
    <row r="28" ht="14.05" customHeight="true" spans="3:24">
      <c r="C28" s="21">
        <v>27</v>
      </c>
      <c r="D28" s="8">
        <v>228182.15</v>
      </c>
      <c r="E28" s="8">
        <v>1087.68</v>
      </c>
      <c r="F28" s="8">
        <v>1762.33</v>
      </c>
      <c r="G28" s="8">
        <v>2850.01</v>
      </c>
      <c r="H28" s="8">
        <v>152.83</v>
      </c>
      <c r="I28" s="8">
        <v>0</v>
      </c>
      <c r="J28" s="9">
        <v>45264</v>
      </c>
      <c r="K28" s="8" t="s">
        <v>42</v>
      </c>
      <c r="L28" s="8" t="s">
        <v>42</v>
      </c>
      <c r="M28" s="9" t="s">
        <v>42</v>
      </c>
      <c r="O28"/>
      <c r="P28"/>
      <c r="Q28"/>
      <c r="R28"/>
      <c r="S28"/>
      <c r="T28"/>
      <c r="U28"/>
      <c r="V28"/>
      <c r="W28"/>
      <c r="X28"/>
    </row>
    <row r="29" ht="14.05" customHeight="true" spans="3:24">
      <c r="C29" s="21">
        <v>28</v>
      </c>
      <c r="D29" s="8">
        <v>227094.47</v>
      </c>
      <c r="E29" s="8">
        <v>892.59</v>
      </c>
      <c r="F29" s="8">
        <v>1941.85</v>
      </c>
      <c r="G29" s="8">
        <v>2834.44</v>
      </c>
      <c r="H29" s="8">
        <v>168.4</v>
      </c>
      <c r="I29" s="8">
        <v>0</v>
      </c>
      <c r="J29" s="9">
        <v>45295</v>
      </c>
      <c r="K29" s="8" t="s">
        <v>42</v>
      </c>
      <c r="L29" s="8" t="s">
        <v>42</v>
      </c>
      <c r="M29" s="9" t="s">
        <v>42</v>
      </c>
      <c r="O29"/>
      <c r="P29"/>
      <c r="Q29"/>
      <c r="R29"/>
      <c r="S29"/>
      <c r="T29"/>
      <c r="U29"/>
      <c r="V29"/>
      <c r="W29"/>
      <c r="X29"/>
    </row>
    <row r="30" ht="14.05" customHeight="true" spans="3:24">
      <c r="C30" s="21">
        <v>29</v>
      </c>
      <c r="D30" s="8">
        <v>226201.88</v>
      </c>
      <c r="E30" s="8">
        <v>833.09</v>
      </c>
      <c r="F30" s="8">
        <v>1996.61</v>
      </c>
      <c r="G30" s="8">
        <v>2829.7</v>
      </c>
      <c r="H30" s="8">
        <v>173.14</v>
      </c>
      <c r="I30" s="8">
        <v>0</v>
      </c>
      <c r="J30" s="9">
        <v>45327</v>
      </c>
      <c r="K30" s="8" t="s">
        <v>42</v>
      </c>
      <c r="L30" s="8" t="s">
        <v>42</v>
      </c>
      <c r="M30" s="9" t="s">
        <v>42</v>
      </c>
      <c r="O30"/>
      <c r="P30"/>
      <c r="Q30"/>
      <c r="R30"/>
      <c r="S30"/>
      <c r="T30"/>
      <c r="U30"/>
      <c r="V30"/>
      <c r="W30"/>
      <c r="X30"/>
    </row>
    <row r="31" ht="14.05" customHeight="true" spans="3:24">
      <c r="C31" s="21">
        <v>30</v>
      </c>
      <c r="D31" s="8">
        <v>225368.79</v>
      </c>
      <c r="E31" s="8">
        <v>1111.3</v>
      </c>
      <c r="F31" s="8">
        <v>1740.6</v>
      </c>
      <c r="G31" s="8">
        <v>2851.9</v>
      </c>
      <c r="H31" s="8">
        <v>150.94</v>
      </c>
      <c r="I31" s="8">
        <v>0</v>
      </c>
      <c r="J31" s="9">
        <v>45355</v>
      </c>
      <c r="K31" s="8" t="s">
        <v>42</v>
      </c>
      <c r="L31" s="8" t="s">
        <v>42</v>
      </c>
      <c r="M31" s="9" t="s">
        <v>42</v>
      </c>
      <c r="O31"/>
      <c r="P31"/>
      <c r="Q31"/>
      <c r="R31"/>
      <c r="S31"/>
      <c r="T31"/>
      <c r="U31"/>
      <c r="V31"/>
      <c r="W31"/>
      <c r="X31"/>
    </row>
    <row r="32" ht="14.05" customHeight="true" spans="3:24">
      <c r="C32" s="21">
        <v>31</v>
      </c>
      <c r="D32" s="8">
        <v>224257.49</v>
      </c>
      <c r="E32" s="8">
        <v>918.96</v>
      </c>
      <c r="F32" s="8">
        <v>1917.59</v>
      </c>
      <c r="G32" s="8">
        <v>2836.55</v>
      </c>
      <c r="H32" s="8">
        <v>166.29</v>
      </c>
      <c r="I32" s="8">
        <v>0</v>
      </c>
      <c r="J32" s="9">
        <v>45386</v>
      </c>
      <c r="K32" s="8" t="s">
        <v>42</v>
      </c>
      <c r="L32" s="8" t="s">
        <v>42</v>
      </c>
      <c r="M32" s="9" t="s">
        <v>42</v>
      </c>
      <c r="O32"/>
      <c r="P32"/>
      <c r="Q32"/>
      <c r="R32"/>
      <c r="S32"/>
      <c r="T32"/>
      <c r="U32"/>
      <c r="V32"/>
      <c r="W32"/>
      <c r="X32"/>
    </row>
    <row r="33" ht="14.05" customHeight="true" spans="3:24">
      <c r="C33" s="21">
        <v>32</v>
      </c>
      <c r="D33" s="8">
        <v>223338.53</v>
      </c>
      <c r="E33" s="8">
        <v>860.56</v>
      </c>
      <c r="F33" s="8">
        <v>1971.33</v>
      </c>
      <c r="G33" s="8">
        <v>2831.89</v>
      </c>
      <c r="H33" s="8">
        <v>170.95</v>
      </c>
      <c r="I33" s="8">
        <v>0</v>
      </c>
      <c r="J33" s="9">
        <v>45418</v>
      </c>
      <c r="K33" s="8" t="s">
        <v>42</v>
      </c>
      <c r="L33" s="8" t="s">
        <v>42</v>
      </c>
      <c r="M33" s="9" t="s">
        <v>42</v>
      </c>
      <c r="O33"/>
      <c r="P33"/>
      <c r="Q33"/>
      <c r="R33"/>
      <c r="S33"/>
      <c r="T33"/>
      <c r="U33"/>
      <c r="V33"/>
      <c r="W33"/>
      <c r="X33"/>
    </row>
    <row r="34" ht="14.05" customHeight="true" spans="3:24">
      <c r="C34" s="21">
        <v>33</v>
      </c>
      <c r="D34" s="8">
        <v>222477.97</v>
      </c>
      <c r="E34" s="8">
        <v>1068.87</v>
      </c>
      <c r="F34" s="8">
        <v>1779.64</v>
      </c>
      <c r="G34" s="8">
        <v>2848.51</v>
      </c>
      <c r="H34" s="8">
        <v>154.33</v>
      </c>
      <c r="I34" s="8">
        <v>0</v>
      </c>
      <c r="J34" s="9">
        <v>45447</v>
      </c>
      <c r="K34" s="8" t="s">
        <v>42</v>
      </c>
      <c r="L34" s="8" t="s">
        <v>42</v>
      </c>
      <c r="M34" s="9" t="s">
        <v>42</v>
      </c>
      <c r="O34"/>
      <c r="P34"/>
      <c r="Q34"/>
      <c r="R34"/>
      <c r="S34"/>
      <c r="T34"/>
      <c r="U34"/>
      <c r="V34"/>
      <c r="W34"/>
      <c r="X34"/>
    </row>
    <row r="35" ht="14.05" customHeight="true" spans="3:24">
      <c r="C35" s="21">
        <v>34</v>
      </c>
      <c r="D35" s="8">
        <v>221409.1</v>
      </c>
      <c r="E35" s="8">
        <v>1011.8</v>
      </c>
      <c r="F35" s="8">
        <v>1832.16</v>
      </c>
      <c r="G35" s="8">
        <v>2843.96</v>
      </c>
      <c r="H35" s="8">
        <v>158.88</v>
      </c>
      <c r="I35" s="8">
        <v>0</v>
      </c>
      <c r="J35" s="9">
        <v>45477</v>
      </c>
      <c r="K35" s="8" t="s">
        <v>42</v>
      </c>
      <c r="L35" s="8" t="s">
        <v>42</v>
      </c>
      <c r="M35" s="9" t="s">
        <v>42</v>
      </c>
      <c r="O35"/>
      <c r="P35"/>
      <c r="Q35"/>
      <c r="R35"/>
      <c r="S35"/>
      <c r="T35"/>
      <c r="U35"/>
      <c r="V35"/>
      <c r="W35"/>
      <c r="X35"/>
    </row>
    <row r="36" ht="14.05" customHeight="true" spans="3:24">
      <c r="C36" s="21">
        <v>35</v>
      </c>
      <c r="D36" s="8">
        <v>220397.3</v>
      </c>
      <c r="E36" s="8">
        <v>888.77</v>
      </c>
      <c r="F36" s="8">
        <v>1945.37</v>
      </c>
      <c r="G36" s="8">
        <v>2834.14</v>
      </c>
      <c r="H36" s="8">
        <v>168.7</v>
      </c>
      <c r="I36" s="26">
        <v>0</v>
      </c>
      <c r="J36" s="9">
        <v>45509</v>
      </c>
      <c r="K36" s="8" t="s">
        <v>42</v>
      </c>
      <c r="L36" s="8" t="s">
        <v>42</v>
      </c>
      <c r="M36" s="9" t="s">
        <v>42</v>
      </c>
      <c r="O36"/>
      <c r="P36"/>
      <c r="Q36"/>
      <c r="R36"/>
      <c r="S36"/>
      <c r="T36"/>
      <c r="U36"/>
      <c r="V36"/>
      <c r="W36"/>
      <c r="X36"/>
    </row>
    <row r="37" ht="14.05" customHeight="true" spans="3:24">
      <c r="C37" s="21">
        <v>36</v>
      </c>
      <c r="D37" s="8">
        <v>219508.53</v>
      </c>
      <c r="E37" s="8">
        <v>1028.89</v>
      </c>
      <c r="F37" s="8">
        <v>1816.43</v>
      </c>
      <c r="G37" s="8">
        <v>2845.32</v>
      </c>
      <c r="H37" s="8">
        <v>157.52</v>
      </c>
      <c r="I37" s="8">
        <v>0</v>
      </c>
      <c r="J37" s="9">
        <v>45539</v>
      </c>
      <c r="K37" s="8" t="s">
        <v>42</v>
      </c>
      <c r="L37" s="8" t="s">
        <v>42</v>
      </c>
      <c r="M37" s="9" t="s">
        <v>42</v>
      </c>
      <c r="O37"/>
      <c r="P37"/>
      <c r="Q37"/>
      <c r="R37"/>
      <c r="S37"/>
      <c r="T37"/>
      <c r="U37"/>
      <c r="V37"/>
      <c r="W37"/>
      <c r="X37"/>
    </row>
    <row r="38" ht="14.05" customHeight="true" spans="3:24">
      <c r="C38" s="21">
        <v>37</v>
      </c>
      <c r="D38" s="8">
        <v>218479.64</v>
      </c>
      <c r="E38" s="8">
        <v>1038.14</v>
      </c>
      <c r="F38" s="8">
        <v>1807.92</v>
      </c>
      <c r="G38" s="8">
        <v>2846.06</v>
      </c>
      <c r="H38" s="8">
        <v>156.78</v>
      </c>
      <c r="I38" s="8">
        <v>0</v>
      </c>
      <c r="J38" s="9">
        <v>45569</v>
      </c>
      <c r="K38" s="8" t="s">
        <v>42</v>
      </c>
      <c r="L38" s="8" t="s">
        <v>42</v>
      </c>
      <c r="M38" s="9" t="s">
        <v>42</v>
      </c>
      <c r="O38"/>
      <c r="P38"/>
      <c r="Q38"/>
      <c r="R38"/>
      <c r="S38"/>
      <c r="T38"/>
      <c r="U38"/>
      <c r="V38"/>
      <c r="W38"/>
      <c r="X38"/>
    </row>
    <row r="39" ht="14.05" customHeight="true" spans="3:24">
      <c r="C39" s="21">
        <v>38</v>
      </c>
      <c r="D39" s="8">
        <v>217441.5</v>
      </c>
      <c r="E39" s="8">
        <v>982.29</v>
      </c>
      <c r="F39" s="8">
        <v>1859.31</v>
      </c>
      <c r="G39" s="8">
        <v>2841.6</v>
      </c>
      <c r="H39" s="8">
        <v>161.24</v>
      </c>
      <c r="I39" s="8">
        <v>0</v>
      </c>
      <c r="J39" s="9">
        <v>45600</v>
      </c>
      <c r="K39" s="8" t="s">
        <v>42</v>
      </c>
      <c r="L39" s="8" t="s">
        <v>42</v>
      </c>
      <c r="M39" s="9" t="s">
        <v>42</v>
      </c>
      <c r="O39"/>
      <c r="P39"/>
      <c r="Q39"/>
      <c r="R39"/>
      <c r="S39"/>
      <c r="T39"/>
      <c r="U39"/>
      <c r="V39"/>
      <c r="W39"/>
      <c r="X39"/>
    </row>
    <row r="40" ht="14.05" customHeight="true" spans="3:24">
      <c r="C40" s="21">
        <v>39</v>
      </c>
      <c r="D40" s="8">
        <v>216459.21</v>
      </c>
      <c r="E40" s="8">
        <v>1056.31</v>
      </c>
      <c r="F40" s="8">
        <v>1791.2</v>
      </c>
      <c r="G40" s="8">
        <v>2847.51</v>
      </c>
      <c r="H40" s="8">
        <v>155.33</v>
      </c>
      <c r="I40" s="8">
        <v>0</v>
      </c>
      <c r="J40" s="9">
        <v>45630</v>
      </c>
      <c r="K40" s="8" t="s">
        <v>42</v>
      </c>
      <c r="L40" s="8" t="s">
        <v>42</v>
      </c>
      <c r="M40" s="9" t="s">
        <v>42</v>
      </c>
      <c r="O40"/>
      <c r="P40"/>
      <c r="Q40"/>
      <c r="R40"/>
      <c r="S40"/>
      <c r="T40"/>
      <c r="U40"/>
      <c r="V40"/>
      <c r="W40"/>
      <c r="X40"/>
    </row>
    <row r="41" ht="14.05" customHeight="true" spans="3:24">
      <c r="C41" s="21">
        <v>40</v>
      </c>
      <c r="D41" s="8">
        <v>215402.9</v>
      </c>
      <c r="E41" s="8">
        <v>872.11</v>
      </c>
      <c r="F41" s="8">
        <v>1960.7</v>
      </c>
      <c r="G41" s="8">
        <v>2832.81</v>
      </c>
      <c r="H41" s="8">
        <v>170.03</v>
      </c>
      <c r="I41" s="8">
        <v>0</v>
      </c>
      <c r="J41" s="9">
        <v>45663</v>
      </c>
      <c r="K41" s="8" t="s">
        <v>42</v>
      </c>
      <c r="L41" s="8" t="s">
        <v>42</v>
      </c>
      <c r="M41" s="9" t="s">
        <v>42</v>
      </c>
      <c r="O41"/>
      <c r="P41"/>
      <c r="Q41"/>
      <c r="R41"/>
      <c r="S41"/>
      <c r="T41"/>
      <c r="U41"/>
      <c r="V41"/>
      <c r="W41"/>
      <c r="X41"/>
    </row>
    <row r="42" ht="14.05" customHeight="true" spans="3:24">
      <c r="C42" s="21">
        <v>41</v>
      </c>
      <c r="D42" s="8">
        <v>214530.79</v>
      </c>
      <c r="E42" s="8">
        <v>1137.95</v>
      </c>
      <c r="F42" s="8">
        <v>1716.07</v>
      </c>
      <c r="G42" s="8">
        <v>2854.02</v>
      </c>
      <c r="H42" s="8">
        <v>148.82</v>
      </c>
      <c r="I42" s="8">
        <v>0</v>
      </c>
      <c r="J42" s="9">
        <v>45692</v>
      </c>
      <c r="K42" s="8" t="s">
        <v>42</v>
      </c>
      <c r="L42" s="8" t="s">
        <v>42</v>
      </c>
      <c r="M42" s="9" t="s">
        <v>42</v>
      </c>
      <c r="O42"/>
      <c r="P42"/>
      <c r="Q42"/>
      <c r="R42"/>
      <c r="S42"/>
      <c r="T42"/>
      <c r="U42"/>
      <c r="V42"/>
      <c r="W42"/>
      <c r="X42"/>
    </row>
    <row r="43" ht="14.05" customHeight="true" spans="3:24">
      <c r="C43" s="21">
        <v>42</v>
      </c>
      <c r="D43" s="8">
        <v>213392.84</v>
      </c>
      <c r="E43" s="8">
        <v>1211.82</v>
      </c>
      <c r="F43" s="8">
        <v>1648.1</v>
      </c>
      <c r="G43" s="8">
        <v>2859.92</v>
      </c>
      <c r="H43" s="8">
        <v>142.92</v>
      </c>
      <c r="I43" s="8">
        <v>0</v>
      </c>
      <c r="J43" s="9">
        <v>45720</v>
      </c>
      <c r="K43" s="8" t="s">
        <v>42</v>
      </c>
      <c r="L43" s="8" t="s">
        <v>42</v>
      </c>
      <c r="M43" s="9" t="s">
        <v>42</v>
      </c>
      <c r="O43"/>
      <c r="P43"/>
      <c r="Q43"/>
      <c r="R43"/>
      <c r="S43"/>
      <c r="T43"/>
      <c r="U43"/>
      <c r="V43"/>
      <c r="W43"/>
      <c r="X43"/>
    </row>
    <row r="44" ht="14.05" customHeight="true" spans="3:24">
      <c r="C44" s="21">
        <v>43</v>
      </c>
      <c r="D44" s="8">
        <v>212181.02</v>
      </c>
      <c r="E44" s="8">
        <v>1031.18</v>
      </c>
      <c r="F44" s="8">
        <v>1814.32</v>
      </c>
      <c r="G44" s="8">
        <v>2845.5</v>
      </c>
      <c r="H44" s="8">
        <v>157.34</v>
      </c>
      <c r="I44" s="8">
        <v>0</v>
      </c>
      <c r="J44" s="9">
        <v>45751</v>
      </c>
      <c r="K44" s="8" t="s">
        <v>42</v>
      </c>
      <c r="L44" s="8" t="s">
        <v>42</v>
      </c>
      <c r="M44" s="9" t="s">
        <v>42</v>
      </c>
      <c r="O44"/>
      <c r="P44"/>
      <c r="Q44"/>
      <c r="R44"/>
      <c r="S44"/>
      <c r="T44"/>
      <c r="U44"/>
      <c r="V44"/>
      <c r="W44"/>
      <c r="X44"/>
    </row>
    <row r="45" ht="14.05" customHeight="true" spans="3:24">
      <c r="C45" s="21">
        <v>44</v>
      </c>
      <c r="D45" s="8">
        <v>211149.84</v>
      </c>
      <c r="E45" s="8">
        <v>1040.76</v>
      </c>
      <c r="F45" s="8">
        <v>1805.51</v>
      </c>
      <c r="G45" s="8">
        <v>2846.27</v>
      </c>
      <c r="H45" s="8">
        <v>156.57</v>
      </c>
      <c r="I45" s="8">
        <v>0</v>
      </c>
      <c r="J45" s="9">
        <v>45782</v>
      </c>
      <c r="K45" s="8" t="s">
        <v>42</v>
      </c>
      <c r="L45" s="8" t="s">
        <v>42</v>
      </c>
      <c r="M45" s="9" t="s">
        <v>42</v>
      </c>
      <c r="O45"/>
      <c r="P45"/>
      <c r="Q45"/>
      <c r="R45"/>
      <c r="S45"/>
      <c r="T45"/>
      <c r="U45"/>
      <c r="V45"/>
      <c r="W45"/>
      <c r="X45"/>
    </row>
    <row r="46" ht="14.05" customHeight="true" spans="3:24">
      <c r="C46" s="21">
        <v>45</v>
      </c>
      <c r="D46" s="8">
        <v>210109.08</v>
      </c>
      <c r="E46" s="8">
        <v>1113.42</v>
      </c>
      <c r="F46" s="8">
        <v>1738.65</v>
      </c>
      <c r="G46" s="8">
        <v>2852.07</v>
      </c>
      <c r="H46" s="8">
        <v>150.77</v>
      </c>
      <c r="I46" s="8">
        <v>0</v>
      </c>
      <c r="J46" s="9">
        <v>45812</v>
      </c>
      <c r="K46" s="8" t="s">
        <v>42</v>
      </c>
      <c r="L46" s="8" t="s">
        <v>42</v>
      </c>
      <c r="M46" s="9" t="s">
        <v>42</v>
      </c>
      <c r="O46"/>
      <c r="P46"/>
      <c r="Q46"/>
      <c r="R46"/>
      <c r="S46"/>
      <c r="T46"/>
      <c r="U46"/>
      <c r="V46"/>
      <c r="W46"/>
      <c r="X46"/>
    </row>
    <row r="47" ht="14.05" customHeight="true" spans="3:24">
      <c r="C47" s="21">
        <v>46</v>
      </c>
      <c r="D47" s="8">
        <v>208995.66</v>
      </c>
      <c r="E47" s="8">
        <v>1123.42</v>
      </c>
      <c r="F47" s="8">
        <v>1729.44</v>
      </c>
      <c r="G47" s="8">
        <v>2852.86</v>
      </c>
      <c r="H47" s="8">
        <v>149.98</v>
      </c>
      <c r="I47" s="8">
        <v>0</v>
      </c>
      <c r="J47" s="9">
        <v>45842</v>
      </c>
      <c r="K47" s="8" t="s">
        <v>42</v>
      </c>
      <c r="L47" s="8" t="s">
        <v>42</v>
      </c>
      <c r="M47" s="9" t="s">
        <v>42</v>
      </c>
      <c r="O47"/>
      <c r="P47"/>
      <c r="Q47"/>
      <c r="R47"/>
      <c r="S47"/>
      <c r="T47"/>
      <c r="U47"/>
      <c r="V47"/>
      <c r="W47"/>
      <c r="X47"/>
    </row>
    <row r="48" ht="14.05" customHeight="true" spans="3:24">
      <c r="C48" s="21">
        <v>47</v>
      </c>
      <c r="D48" s="8">
        <v>207872.24</v>
      </c>
      <c r="E48" s="8">
        <v>1071.22</v>
      </c>
      <c r="F48" s="8">
        <v>1777.48</v>
      </c>
      <c r="G48" s="8">
        <v>2848.7</v>
      </c>
      <c r="H48" s="8">
        <v>154.14</v>
      </c>
      <c r="I48" s="8">
        <v>0</v>
      </c>
      <c r="J48" s="9">
        <v>45873</v>
      </c>
      <c r="K48" s="8" t="s">
        <v>42</v>
      </c>
      <c r="L48" s="8" t="s">
        <v>42</v>
      </c>
      <c r="M48" s="9" t="s">
        <v>42</v>
      </c>
      <c r="O48"/>
      <c r="P48"/>
      <c r="Q48"/>
      <c r="R48"/>
      <c r="S48"/>
      <c r="T48"/>
      <c r="U48"/>
      <c r="V48"/>
      <c r="W48"/>
      <c r="X48"/>
    </row>
    <row r="49" ht="14.05" customHeight="true" spans="3:24">
      <c r="C49" s="21">
        <v>48</v>
      </c>
      <c r="D49" s="8">
        <v>206801.02</v>
      </c>
      <c r="E49" s="8">
        <v>1081.17</v>
      </c>
      <c r="F49" s="8">
        <v>1768.32</v>
      </c>
      <c r="G49" s="8">
        <v>2849.49</v>
      </c>
      <c r="H49" s="8">
        <v>153.35</v>
      </c>
      <c r="I49" s="8">
        <v>0</v>
      </c>
      <c r="J49" s="9">
        <v>45904</v>
      </c>
      <c r="K49" s="8" t="s">
        <v>42</v>
      </c>
      <c r="L49" s="8" t="s">
        <v>42</v>
      </c>
      <c r="M49" s="9" t="s">
        <v>42</v>
      </c>
      <c r="O49"/>
      <c r="P49"/>
      <c r="Q49"/>
      <c r="R49"/>
      <c r="S49"/>
      <c r="T49"/>
      <c r="U49"/>
      <c r="V49"/>
      <c r="W49"/>
      <c r="X49"/>
    </row>
    <row r="50" ht="14.05" customHeight="true" spans="3:24">
      <c r="C50" s="21">
        <v>49</v>
      </c>
      <c r="D50" s="8">
        <v>205719.85</v>
      </c>
      <c r="E50" s="8">
        <v>1029.55</v>
      </c>
      <c r="F50" s="8">
        <v>1815.82</v>
      </c>
      <c r="G50" s="8">
        <v>2845.37</v>
      </c>
      <c r="H50" s="8">
        <v>157.47</v>
      </c>
      <c r="I50" s="8">
        <v>0</v>
      </c>
      <c r="J50" s="9">
        <v>45936</v>
      </c>
      <c r="K50" s="8" t="s">
        <v>42</v>
      </c>
      <c r="L50" s="8" t="s">
        <v>42</v>
      </c>
      <c r="M50" s="9" t="s">
        <v>42</v>
      </c>
      <c r="O50"/>
      <c r="P50"/>
      <c r="Q50"/>
      <c r="R50"/>
      <c r="S50"/>
      <c r="T50"/>
      <c r="U50"/>
      <c r="V50"/>
      <c r="W50"/>
      <c r="X50"/>
    </row>
    <row r="51" ht="14.05" customHeight="true" spans="3:24">
      <c r="C51" s="21">
        <v>50</v>
      </c>
      <c r="D51" s="8">
        <v>204690.3</v>
      </c>
      <c r="E51" s="8">
        <v>1223.5</v>
      </c>
      <c r="F51" s="8">
        <v>1637.35</v>
      </c>
      <c r="G51" s="8">
        <v>2860.85</v>
      </c>
      <c r="H51" s="8">
        <v>141.99</v>
      </c>
      <c r="I51" s="8">
        <v>0</v>
      </c>
      <c r="J51" s="9">
        <v>45965</v>
      </c>
      <c r="K51" s="8" t="s">
        <v>42</v>
      </c>
      <c r="L51" s="8" t="s">
        <v>42</v>
      </c>
      <c r="M51" s="9" t="s">
        <v>42</v>
      </c>
      <c r="O51"/>
      <c r="P51"/>
      <c r="Q51"/>
      <c r="R51"/>
      <c r="S51"/>
      <c r="T51"/>
      <c r="U51"/>
      <c r="V51"/>
      <c r="W51"/>
      <c r="X51"/>
    </row>
    <row r="52" ht="14.05" customHeight="true" spans="3:24">
      <c r="C52" s="21">
        <v>51</v>
      </c>
      <c r="D52" s="8">
        <v>203466.8</v>
      </c>
      <c r="E52" s="8">
        <v>1173.14</v>
      </c>
      <c r="F52" s="8">
        <v>1683.69</v>
      </c>
      <c r="G52" s="8">
        <v>2856.83</v>
      </c>
      <c r="H52" s="8">
        <v>146.01</v>
      </c>
      <c r="I52" s="8">
        <v>0</v>
      </c>
      <c r="J52" s="9">
        <v>45995</v>
      </c>
      <c r="K52" s="8" t="s">
        <v>42</v>
      </c>
      <c r="L52" s="8" t="s">
        <v>42</v>
      </c>
      <c r="M52" s="9" t="s">
        <v>42</v>
      </c>
      <c r="O52"/>
      <c r="P52"/>
      <c r="Q52"/>
      <c r="R52"/>
      <c r="S52"/>
      <c r="T52"/>
      <c r="U52"/>
      <c r="V52"/>
      <c r="W52"/>
      <c r="X52"/>
    </row>
    <row r="53" ht="14.05" customHeight="true" spans="3:24">
      <c r="C53" s="21">
        <v>52</v>
      </c>
      <c r="D53" s="8">
        <v>202293.66</v>
      </c>
      <c r="E53" s="8">
        <v>1062.42</v>
      </c>
      <c r="F53" s="8">
        <v>1785.58</v>
      </c>
      <c r="G53" s="8">
        <v>2848</v>
      </c>
      <c r="H53" s="8">
        <v>154.84</v>
      </c>
      <c r="I53" s="8">
        <v>0</v>
      </c>
      <c r="J53" s="9">
        <v>46027</v>
      </c>
      <c r="K53" s="8" t="s">
        <v>42</v>
      </c>
      <c r="L53" s="8" t="s">
        <v>42</v>
      </c>
      <c r="M53" s="9" t="s">
        <v>42</v>
      </c>
      <c r="O53"/>
      <c r="P53"/>
      <c r="Q53"/>
      <c r="R53"/>
      <c r="S53"/>
      <c r="T53"/>
      <c r="U53"/>
      <c r="V53"/>
      <c r="W53"/>
      <c r="X53"/>
    </row>
    <row r="54" ht="14.05" customHeight="true" spans="3:24">
      <c r="C54" s="21">
        <v>53</v>
      </c>
      <c r="D54" s="8">
        <v>201231.24</v>
      </c>
      <c r="E54" s="8">
        <v>1193.25</v>
      </c>
      <c r="F54" s="8">
        <v>1665.19</v>
      </c>
      <c r="G54" s="8">
        <v>2858.44</v>
      </c>
      <c r="H54" s="8">
        <v>144.4</v>
      </c>
      <c r="I54" s="8">
        <v>0</v>
      </c>
      <c r="J54" s="9">
        <v>46057</v>
      </c>
      <c r="K54" s="8" t="s">
        <v>42</v>
      </c>
      <c r="L54" s="8" t="s">
        <v>42</v>
      </c>
      <c r="M54" s="9" t="s">
        <v>42</v>
      </c>
      <c r="O54"/>
      <c r="P54"/>
      <c r="Q54"/>
      <c r="R54"/>
      <c r="S54"/>
      <c r="T54"/>
      <c r="U54"/>
      <c r="V54"/>
      <c r="W54"/>
      <c r="X54"/>
    </row>
    <row r="55" ht="14.05" customHeight="true" spans="3:24">
      <c r="C55" s="21">
        <v>54</v>
      </c>
      <c r="D55" s="8">
        <v>200037.99</v>
      </c>
      <c r="E55" s="8">
        <v>1323.9</v>
      </c>
      <c r="F55" s="8">
        <v>1544.96</v>
      </c>
      <c r="G55" s="8">
        <v>2868.86</v>
      </c>
      <c r="H55" s="8">
        <v>133.98</v>
      </c>
      <c r="I55" s="8">
        <v>0</v>
      </c>
      <c r="J55" s="9">
        <v>46085</v>
      </c>
      <c r="K55" s="8" t="s">
        <v>42</v>
      </c>
      <c r="L55" s="8" t="s">
        <v>42</v>
      </c>
      <c r="M55" s="9" t="s">
        <v>42</v>
      </c>
      <c r="O55"/>
      <c r="P55"/>
      <c r="Q55"/>
      <c r="R55"/>
      <c r="S55"/>
      <c r="T55"/>
      <c r="U55"/>
      <c r="V55"/>
      <c r="W55"/>
      <c r="X55"/>
    </row>
    <row r="56" ht="14.05" customHeight="true" spans="3:24">
      <c r="C56" s="21">
        <v>55</v>
      </c>
      <c r="D56" s="8">
        <v>198714.09</v>
      </c>
      <c r="E56" s="8">
        <v>1037.18</v>
      </c>
      <c r="F56" s="8">
        <v>1808.8</v>
      </c>
      <c r="G56" s="8">
        <v>2845.98</v>
      </c>
      <c r="H56" s="8">
        <v>156.86</v>
      </c>
      <c r="I56" s="8">
        <v>0</v>
      </c>
      <c r="J56" s="9">
        <v>46118</v>
      </c>
      <c r="K56" s="8" t="s">
        <v>42</v>
      </c>
      <c r="L56" s="8" t="s">
        <v>42</v>
      </c>
      <c r="M56" s="9" t="s">
        <v>42</v>
      </c>
      <c r="O56"/>
      <c r="P56"/>
      <c r="Q56"/>
      <c r="R56"/>
      <c r="S56"/>
      <c r="T56"/>
      <c r="U56"/>
      <c r="V56"/>
      <c r="W56"/>
      <c r="X56"/>
    </row>
    <row r="57" ht="14.05" customHeight="true" spans="3:24">
      <c r="C57" s="21">
        <v>56</v>
      </c>
      <c r="D57" s="8">
        <v>197676.91</v>
      </c>
      <c r="E57" s="8">
        <v>1343.72</v>
      </c>
      <c r="F57" s="8">
        <v>1526.72</v>
      </c>
      <c r="G57" s="8">
        <v>2870.44</v>
      </c>
      <c r="H57" s="8">
        <v>132.4</v>
      </c>
      <c r="I57" s="8">
        <v>0</v>
      </c>
      <c r="J57" s="9">
        <v>46146</v>
      </c>
      <c r="K57" s="8" t="s">
        <v>42</v>
      </c>
      <c r="L57" s="8" t="s">
        <v>42</v>
      </c>
      <c r="M57" s="9" t="s">
        <v>42</v>
      </c>
      <c r="O57"/>
      <c r="P57"/>
      <c r="Q57"/>
      <c r="R57"/>
      <c r="S57"/>
      <c r="T57"/>
      <c r="U57"/>
      <c r="V57"/>
      <c r="W57"/>
      <c r="X57"/>
    </row>
    <row r="58" ht="14.05" customHeight="true" spans="3:24">
      <c r="C58" s="21">
        <v>57</v>
      </c>
      <c r="D58" s="8">
        <v>196333.19</v>
      </c>
      <c r="E58" s="8">
        <v>1178.45</v>
      </c>
      <c r="F58" s="8">
        <v>1678.81</v>
      </c>
      <c r="G58" s="8">
        <v>2857.26</v>
      </c>
      <c r="H58" s="8">
        <v>145.58</v>
      </c>
      <c r="I58" s="8">
        <v>0</v>
      </c>
      <c r="J58" s="9">
        <v>46177</v>
      </c>
      <c r="K58" s="8" t="s">
        <v>42</v>
      </c>
      <c r="L58" s="8" t="s">
        <v>42</v>
      </c>
      <c r="M58" s="9" t="s">
        <v>42</v>
      </c>
      <c r="O58"/>
      <c r="P58"/>
      <c r="Q58"/>
      <c r="R58"/>
      <c r="S58"/>
      <c r="T58"/>
      <c r="U58"/>
      <c r="V58"/>
      <c r="W58"/>
      <c r="X58"/>
    </row>
    <row r="59" ht="14.05" customHeight="true" spans="3:24">
      <c r="C59" s="21">
        <v>58</v>
      </c>
      <c r="D59" s="8">
        <v>195154.74</v>
      </c>
      <c r="E59" s="8">
        <v>1130.89</v>
      </c>
      <c r="F59" s="8">
        <v>1722.57</v>
      </c>
      <c r="G59" s="8">
        <v>2853.46</v>
      </c>
      <c r="H59" s="8">
        <v>149.38</v>
      </c>
      <c r="I59" s="8">
        <v>0</v>
      </c>
      <c r="J59" s="9">
        <v>46209</v>
      </c>
      <c r="K59" s="8" t="s">
        <v>42</v>
      </c>
      <c r="L59" s="8" t="s">
        <v>42</v>
      </c>
      <c r="M59" s="9" t="s">
        <v>42</v>
      </c>
      <c r="O59"/>
      <c r="P59"/>
      <c r="Q59"/>
      <c r="R59"/>
      <c r="S59"/>
      <c r="T59"/>
      <c r="U59"/>
      <c r="V59"/>
      <c r="W59"/>
      <c r="X59"/>
    </row>
    <row r="60" ht="14.05" customHeight="true" spans="3:24">
      <c r="C60" s="21">
        <v>59</v>
      </c>
      <c r="D60" s="8">
        <v>194023.85</v>
      </c>
      <c r="E60" s="8">
        <v>1316.22</v>
      </c>
      <c r="F60" s="8">
        <v>1552.03</v>
      </c>
      <c r="G60" s="8">
        <v>2868.25</v>
      </c>
      <c r="H60" s="8">
        <v>134.59</v>
      </c>
      <c r="I60" s="8">
        <v>0</v>
      </c>
      <c r="J60" s="9">
        <v>46238</v>
      </c>
      <c r="K60" s="8" t="s">
        <v>42</v>
      </c>
      <c r="L60" s="8" t="s">
        <v>42</v>
      </c>
      <c r="M60" s="9" t="s">
        <v>42</v>
      </c>
      <c r="O60"/>
      <c r="P60"/>
      <c r="Q60"/>
      <c r="R60"/>
      <c r="S60"/>
      <c r="T60"/>
      <c r="U60"/>
      <c r="V60"/>
      <c r="W60"/>
      <c r="X60"/>
    </row>
    <row r="61" ht="14.05" customHeight="true" spans="3:24">
      <c r="C61" s="21">
        <v>60</v>
      </c>
      <c r="D61" s="8">
        <v>192707.63</v>
      </c>
      <c r="E61" s="8">
        <v>1212.13</v>
      </c>
      <c r="F61" s="8">
        <v>1647.81</v>
      </c>
      <c r="G61" s="8">
        <v>2859.94</v>
      </c>
      <c r="H61" s="8">
        <v>142.9</v>
      </c>
      <c r="I61" s="8">
        <v>0</v>
      </c>
      <c r="J61" s="9">
        <v>46269</v>
      </c>
      <c r="K61" s="8" t="s">
        <v>42</v>
      </c>
      <c r="L61" s="8" t="s">
        <v>42</v>
      </c>
      <c r="M61" s="9" t="s">
        <v>42</v>
      </c>
      <c r="O61"/>
      <c r="P61"/>
      <c r="Q61"/>
      <c r="R61"/>
      <c r="S61"/>
      <c r="T61"/>
      <c r="U61"/>
      <c r="V61"/>
      <c r="W61"/>
      <c r="X61"/>
    </row>
    <row r="62" ht="14.05" customHeight="true" spans="3:24">
      <c r="C62" s="21">
        <v>61</v>
      </c>
      <c r="D62" s="8">
        <v>191495.5</v>
      </c>
      <c r="E62" s="8">
        <v>1223.39</v>
      </c>
      <c r="F62" s="8">
        <v>1637.45</v>
      </c>
      <c r="G62" s="8">
        <v>2860.84</v>
      </c>
      <c r="H62" s="8">
        <v>142</v>
      </c>
      <c r="I62" s="8">
        <v>0</v>
      </c>
      <c r="J62" s="9">
        <v>46300</v>
      </c>
      <c r="K62" s="8" t="s">
        <v>42</v>
      </c>
      <c r="L62" s="8" t="s">
        <v>42</v>
      </c>
      <c r="M62" s="9" t="s">
        <v>42</v>
      </c>
      <c r="O62"/>
      <c r="P62"/>
      <c r="Q62"/>
      <c r="R62"/>
      <c r="S62"/>
      <c r="T62"/>
      <c r="U62"/>
      <c r="V62"/>
      <c r="W62"/>
      <c r="X62"/>
    </row>
    <row r="63" ht="14.05" customHeight="true" spans="3:24">
      <c r="C63" s="21">
        <v>62</v>
      </c>
      <c r="D63" s="8">
        <v>190272.11</v>
      </c>
      <c r="E63" s="8">
        <v>1291.8</v>
      </c>
      <c r="F63" s="8">
        <v>1574.5</v>
      </c>
      <c r="G63" s="8">
        <v>2866.3</v>
      </c>
      <c r="H63" s="8">
        <v>136.54</v>
      </c>
      <c r="I63" s="8">
        <v>0</v>
      </c>
      <c r="J63" s="9">
        <v>46330</v>
      </c>
      <c r="K63" s="8" t="s">
        <v>42</v>
      </c>
      <c r="L63" s="8" t="s">
        <v>42</v>
      </c>
      <c r="M63" s="9" t="s">
        <v>42</v>
      </c>
      <c r="O63"/>
      <c r="P63"/>
      <c r="Q63"/>
      <c r="R63"/>
      <c r="S63"/>
      <c r="T63"/>
      <c r="U63"/>
      <c r="V63"/>
      <c r="W63"/>
      <c r="X63"/>
    </row>
    <row r="64" ht="14.05" customHeight="true" spans="3:24">
      <c r="C64" s="21">
        <v>63</v>
      </c>
      <c r="D64" s="8">
        <v>188980.31</v>
      </c>
      <c r="E64" s="8">
        <v>1303.42</v>
      </c>
      <c r="F64" s="8">
        <v>1563.81</v>
      </c>
      <c r="G64" s="8">
        <v>2867.23</v>
      </c>
      <c r="H64" s="8">
        <v>135.61</v>
      </c>
      <c r="I64" s="8">
        <v>0</v>
      </c>
      <c r="J64" s="9">
        <v>46360</v>
      </c>
      <c r="K64" s="8" t="s">
        <v>42</v>
      </c>
      <c r="L64" s="8" t="s">
        <v>42</v>
      </c>
      <c r="M64" s="9" t="s">
        <v>42</v>
      </c>
      <c r="O64"/>
      <c r="P64"/>
      <c r="Q64"/>
      <c r="R64"/>
      <c r="S64"/>
      <c r="T64"/>
      <c r="U64"/>
      <c r="V64"/>
      <c r="W64"/>
      <c r="X64"/>
    </row>
    <row r="65" ht="14.05" customHeight="true" spans="3:24">
      <c r="C65" s="27">
        <v>64</v>
      </c>
      <c r="D65" s="28">
        <v>187676.89</v>
      </c>
      <c r="E65" s="28">
        <v>1258.88</v>
      </c>
      <c r="F65" s="28">
        <v>1604.79</v>
      </c>
      <c r="G65" s="28">
        <v>2863.67</v>
      </c>
      <c r="H65" s="28">
        <v>139.17</v>
      </c>
      <c r="I65" s="28">
        <v>0</v>
      </c>
      <c r="J65" s="29">
        <v>46391</v>
      </c>
      <c r="K65" s="28" t="s">
        <v>42</v>
      </c>
      <c r="L65" s="28" t="s">
        <v>42</v>
      </c>
      <c r="M65" s="9" t="s">
        <v>42</v>
      </c>
      <c r="O65"/>
      <c r="P65"/>
      <c r="Q65"/>
      <c r="R65"/>
      <c r="S65"/>
      <c r="T65"/>
      <c r="U65"/>
      <c r="V65"/>
      <c r="W65"/>
      <c r="X65"/>
    </row>
    <row r="66" ht="14.05" customHeight="true" spans="3:24">
      <c r="C66" s="27">
        <v>65</v>
      </c>
      <c r="D66" s="28">
        <v>186418.01</v>
      </c>
      <c r="E66" s="28">
        <v>1270.58</v>
      </c>
      <c r="F66" s="28">
        <v>1594.03</v>
      </c>
      <c r="G66" s="28">
        <v>2864.61</v>
      </c>
      <c r="H66" s="28">
        <v>138.23</v>
      </c>
      <c r="I66" s="28">
        <v>0</v>
      </c>
      <c r="J66" s="29">
        <v>46422</v>
      </c>
      <c r="K66" s="28" t="s">
        <v>42</v>
      </c>
      <c r="L66" s="28" t="s">
        <v>42</v>
      </c>
      <c r="M66" s="9" t="s">
        <v>42</v>
      </c>
      <c r="O66"/>
      <c r="P66"/>
      <c r="Q66"/>
      <c r="R66"/>
      <c r="S66"/>
      <c r="T66"/>
      <c r="U66"/>
      <c r="V66"/>
      <c r="W66"/>
      <c r="X66"/>
    </row>
    <row r="67" ht="14.05" customHeight="true" spans="3:24">
      <c r="C67" s="27">
        <v>66</v>
      </c>
      <c r="D67" s="28">
        <v>185147.43</v>
      </c>
      <c r="E67" s="28">
        <v>1448.88</v>
      </c>
      <c r="F67" s="28">
        <v>1429.96</v>
      </c>
      <c r="G67" s="28">
        <v>2878.84</v>
      </c>
      <c r="H67" s="28">
        <v>124</v>
      </c>
      <c r="I67" s="28">
        <v>0</v>
      </c>
      <c r="J67" s="29">
        <v>46450</v>
      </c>
      <c r="K67" s="28" t="s">
        <v>42</v>
      </c>
      <c r="L67" s="28" t="s">
        <v>42</v>
      </c>
      <c r="M67" s="9" t="s">
        <v>42</v>
      </c>
      <c r="O67"/>
      <c r="P67"/>
      <c r="Q67"/>
      <c r="R67"/>
      <c r="S67"/>
      <c r="T67"/>
      <c r="U67"/>
      <c r="V67"/>
      <c r="W67"/>
      <c r="X67"/>
    </row>
    <row r="68" ht="14.05" customHeight="true" spans="3:24">
      <c r="C68" s="27">
        <v>67</v>
      </c>
      <c r="D68" s="28">
        <v>183698.55</v>
      </c>
      <c r="E68" s="28">
        <v>1240.78</v>
      </c>
      <c r="F68" s="28">
        <v>1621.45</v>
      </c>
      <c r="G68" s="28">
        <v>2862.23</v>
      </c>
      <c r="H68" s="28">
        <v>140.61</v>
      </c>
      <c r="I68" s="28">
        <v>0</v>
      </c>
      <c r="J68" s="29">
        <v>46482</v>
      </c>
      <c r="K68" s="28" t="s">
        <v>42</v>
      </c>
      <c r="L68" s="28" t="s">
        <v>42</v>
      </c>
      <c r="M68" s="9" t="s">
        <v>42</v>
      </c>
      <c r="O68"/>
      <c r="P68"/>
      <c r="Q68"/>
      <c r="R68"/>
      <c r="S68"/>
      <c r="T68"/>
      <c r="U68"/>
      <c r="V68"/>
      <c r="W68"/>
      <c r="X68"/>
    </row>
    <row r="69" ht="14.05" customHeight="true" spans="3:24">
      <c r="C69" s="27">
        <v>68</v>
      </c>
      <c r="D69" s="28">
        <v>182457.77</v>
      </c>
      <c r="E69" s="28">
        <v>1416.76</v>
      </c>
      <c r="F69" s="28">
        <v>1459.51</v>
      </c>
      <c r="G69" s="28">
        <v>2876.27</v>
      </c>
      <c r="H69" s="28">
        <v>126.57</v>
      </c>
      <c r="I69" s="28">
        <v>0</v>
      </c>
      <c r="J69" s="29">
        <v>46511</v>
      </c>
      <c r="K69" s="28" t="s">
        <v>42</v>
      </c>
      <c r="L69" s="28" t="s">
        <v>42</v>
      </c>
      <c r="M69" s="9" t="s">
        <v>42</v>
      </c>
      <c r="O69"/>
      <c r="P69"/>
      <c r="Q69"/>
      <c r="R69"/>
      <c r="S69"/>
      <c r="T69"/>
      <c r="U69"/>
      <c r="V69"/>
      <c r="W69"/>
      <c r="X69"/>
    </row>
    <row r="70" ht="14.05" customHeight="true" spans="3:24">
      <c r="C70" s="27">
        <v>69</v>
      </c>
      <c r="D70" s="28">
        <v>181041.01</v>
      </c>
      <c r="E70" s="28">
        <v>1320.54</v>
      </c>
      <c r="F70" s="28">
        <v>1548.05</v>
      </c>
      <c r="G70" s="28">
        <v>2868.59</v>
      </c>
      <c r="H70" s="28">
        <v>134.25</v>
      </c>
      <c r="I70" s="28">
        <v>0</v>
      </c>
      <c r="J70" s="29">
        <v>46542</v>
      </c>
      <c r="K70" s="28" t="s">
        <v>42</v>
      </c>
      <c r="L70" s="28" t="s">
        <v>42</v>
      </c>
      <c r="M70" s="9" t="s">
        <v>42</v>
      </c>
      <c r="O70"/>
      <c r="P70"/>
      <c r="Q70"/>
      <c r="R70"/>
      <c r="S70"/>
      <c r="T70"/>
      <c r="U70"/>
      <c r="V70"/>
      <c r="W70"/>
      <c r="X70"/>
    </row>
    <row r="71" ht="14.05" customHeight="true" spans="3:24">
      <c r="C71" s="27">
        <v>70</v>
      </c>
      <c r="D71" s="28">
        <v>179720.47</v>
      </c>
      <c r="E71" s="28">
        <v>1332.81</v>
      </c>
      <c r="F71" s="28">
        <v>1536.76</v>
      </c>
      <c r="G71" s="28">
        <v>2869.57</v>
      </c>
      <c r="H71" s="28">
        <v>133.27</v>
      </c>
      <c r="I71" s="28">
        <v>0</v>
      </c>
      <c r="J71" s="29">
        <v>46573</v>
      </c>
      <c r="K71" s="28" t="s">
        <v>42</v>
      </c>
      <c r="L71" s="28" t="s">
        <v>42</v>
      </c>
      <c r="M71" s="9" t="s">
        <v>42</v>
      </c>
      <c r="O71"/>
      <c r="P71"/>
      <c r="Q71"/>
      <c r="R71"/>
      <c r="S71"/>
      <c r="T71"/>
      <c r="U71"/>
      <c r="V71"/>
      <c r="W71"/>
      <c r="X71"/>
    </row>
    <row r="72" ht="14.05" customHeight="true" spans="3:24">
      <c r="C72" s="27">
        <v>71</v>
      </c>
      <c r="D72" s="28">
        <v>178387.66</v>
      </c>
      <c r="E72" s="28">
        <v>1398.67</v>
      </c>
      <c r="F72" s="28">
        <v>1476.16</v>
      </c>
      <c r="G72" s="28">
        <v>2874.83</v>
      </c>
      <c r="H72" s="28">
        <v>128.01</v>
      </c>
      <c r="I72" s="28">
        <v>0</v>
      </c>
      <c r="J72" s="29">
        <v>46603</v>
      </c>
      <c r="K72" s="28" t="s">
        <v>42</v>
      </c>
      <c r="L72" s="28" t="s">
        <v>42</v>
      </c>
      <c r="M72" s="9" t="s">
        <v>42</v>
      </c>
      <c r="O72"/>
      <c r="P72"/>
      <c r="Q72"/>
      <c r="R72"/>
      <c r="S72"/>
      <c r="T72"/>
      <c r="U72"/>
      <c r="V72"/>
      <c r="W72"/>
      <c r="X72"/>
    </row>
    <row r="73" ht="14.05" customHeight="true" spans="3:24">
      <c r="C73" s="27">
        <v>72</v>
      </c>
      <c r="D73" s="28">
        <v>176988.99</v>
      </c>
      <c r="E73" s="28">
        <v>1252.09</v>
      </c>
      <c r="F73" s="28">
        <v>1611.04</v>
      </c>
      <c r="G73" s="28">
        <v>2863.13</v>
      </c>
      <c r="H73" s="28">
        <v>139.71</v>
      </c>
      <c r="I73" s="28">
        <v>0</v>
      </c>
      <c r="J73" s="29">
        <v>46636</v>
      </c>
      <c r="K73" s="28" t="s">
        <v>42</v>
      </c>
      <c r="L73" s="28" t="s">
        <v>42</v>
      </c>
      <c r="M73" s="9" t="s">
        <v>42</v>
      </c>
      <c r="O73"/>
      <c r="P73"/>
      <c r="Q73"/>
      <c r="R73"/>
      <c r="S73"/>
      <c r="T73"/>
      <c r="U73"/>
      <c r="V73"/>
      <c r="W73"/>
      <c r="X73"/>
    </row>
    <row r="74" ht="14.05" customHeight="true" spans="3:24">
      <c r="C74" s="27">
        <v>73</v>
      </c>
      <c r="D74" s="28">
        <v>175736.9</v>
      </c>
      <c r="E74" s="28">
        <v>1527.87</v>
      </c>
      <c r="F74" s="28">
        <v>1357.27</v>
      </c>
      <c r="G74" s="28">
        <v>2885.14</v>
      </c>
      <c r="H74" s="28">
        <v>117.7</v>
      </c>
      <c r="I74" s="28">
        <v>0</v>
      </c>
      <c r="J74" s="29">
        <v>46664</v>
      </c>
      <c r="K74" s="28" t="s">
        <v>42</v>
      </c>
      <c r="L74" s="28" t="s">
        <v>42</v>
      </c>
      <c r="M74" s="9" t="s">
        <v>42</v>
      </c>
      <c r="O74"/>
      <c r="P74"/>
      <c r="Q74"/>
      <c r="R74"/>
      <c r="S74"/>
      <c r="T74"/>
      <c r="U74"/>
      <c r="V74"/>
      <c r="W74"/>
      <c r="X74"/>
    </row>
    <row r="75" ht="14.05" customHeight="true" spans="3:24">
      <c r="C75" s="27">
        <v>74</v>
      </c>
      <c r="D75" s="28">
        <v>174209.03</v>
      </c>
      <c r="E75" s="28">
        <v>1384.03</v>
      </c>
      <c r="F75" s="28">
        <v>1489.63</v>
      </c>
      <c r="G75" s="28">
        <v>2873.66</v>
      </c>
      <c r="H75" s="28">
        <v>129.18</v>
      </c>
      <c r="I75" s="28">
        <v>0</v>
      </c>
      <c r="J75" s="29">
        <v>46695</v>
      </c>
      <c r="K75" s="28" t="s">
        <v>42</v>
      </c>
      <c r="L75" s="28" t="s">
        <v>42</v>
      </c>
      <c r="M75" s="9" t="s">
        <v>42</v>
      </c>
      <c r="O75"/>
      <c r="P75"/>
      <c r="Q75"/>
      <c r="R75"/>
      <c r="S75"/>
      <c r="T75"/>
      <c r="U75"/>
      <c r="V75"/>
      <c r="W75"/>
      <c r="X75"/>
    </row>
    <row r="76" ht="14.05" customHeight="true" spans="3:24">
      <c r="C76" s="21">
        <v>75</v>
      </c>
      <c r="D76" s="8">
        <v>172825</v>
      </c>
      <c r="E76" s="8">
        <v>1345.08</v>
      </c>
      <c r="F76" s="8">
        <v>1525.47</v>
      </c>
      <c r="G76" s="8">
        <v>2870.55</v>
      </c>
      <c r="H76" s="8">
        <v>132.29</v>
      </c>
      <c r="I76" s="8">
        <v>0</v>
      </c>
      <c r="J76" s="9">
        <v>46727</v>
      </c>
      <c r="K76" s="8" t="s">
        <v>42</v>
      </c>
      <c r="L76" s="8" t="s">
        <v>42</v>
      </c>
      <c r="M76" s="9" t="s">
        <v>42</v>
      </c>
      <c r="O76"/>
      <c r="P76"/>
      <c r="Q76"/>
      <c r="R76"/>
      <c r="S76"/>
      <c r="T76"/>
      <c r="U76"/>
      <c r="V76"/>
      <c r="W76"/>
      <c r="X76"/>
    </row>
    <row r="77" ht="14.05" customHeight="true" spans="3:24">
      <c r="C77" s="21">
        <v>76</v>
      </c>
      <c r="D77" s="8">
        <v>171479.92</v>
      </c>
      <c r="E77" s="8">
        <v>1512.19</v>
      </c>
      <c r="F77" s="8">
        <v>1371.7</v>
      </c>
      <c r="G77" s="8">
        <v>2883.89</v>
      </c>
      <c r="H77" s="8">
        <v>118.95</v>
      </c>
      <c r="I77" s="8">
        <v>0</v>
      </c>
      <c r="J77" s="9">
        <v>46756</v>
      </c>
      <c r="K77" s="8" t="s">
        <v>42</v>
      </c>
      <c r="L77" s="8" t="s">
        <v>42</v>
      </c>
      <c r="M77" s="9" t="s">
        <v>42</v>
      </c>
      <c r="O77"/>
      <c r="P77"/>
      <c r="Q77"/>
      <c r="R77"/>
      <c r="S77"/>
      <c r="T77"/>
      <c r="U77"/>
      <c r="V77"/>
      <c r="W77"/>
      <c r="X77"/>
    </row>
    <row r="78" ht="14.05" customHeight="true" spans="3:24">
      <c r="C78" s="21">
        <v>77</v>
      </c>
      <c r="D78" s="8">
        <v>169967.73</v>
      </c>
      <c r="E78" s="8">
        <v>1423.44</v>
      </c>
      <c r="F78" s="8">
        <v>1453.37</v>
      </c>
      <c r="G78" s="8">
        <v>2876.81</v>
      </c>
      <c r="H78" s="8">
        <v>126.03</v>
      </c>
      <c r="I78" s="8">
        <v>0</v>
      </c>
      <c r="J78" s="9">
        <v>46787</v>
      </c>
      <c r="K78" s="8" t="s">
        <v>42</v>
      </c>
      <c r="L78" s="8" t="s">
        <v>42</v>
      </c>
      <c r="M78" s="9" t="s">
        <v>42</v>
      </c>
      <c r="O78"/>
      <c r="P78"/>
      <c r="Q78"/>
      <c r="R78"/>
      <c r="S78"/>
      <c r="T78"/>
      <c r="U78"/>
      <c r="V78"/>
      <c r="W78"/>
      <c r="X78"/>
    </row>
    <row r="79" ht="14.05" customHeight="true" spans="3:24">
      <c r="C79" s="21">
        <v>78</v>
      </c>
      <c r="D79" s="8">
        <v>168544.29</v>
      </c>
      <c r="E79" s="8">
        <v>1436.67</v>
      </c>
      <c r="F79" s="8">
        <v>1441.19</v>
      </c>
      <c r="G79" s="8">
        <v>2877.86</v>
      </c>
      <c r="H79" s="8">
        <v>124.98</v>
      </c>
      <c r="I79" s="8">
        <v>0</v>
      </c>
      <c r="J79" s="9">
        <v>46818</v>
      </c>
      <c r="K79" s="8" t="s">
        <v>42</v>
      </c>
      <c r="L79" s="8" t="s">
        <v>42</v>
      </c>
      <c r="M79" s="9" t="s">
        <v>42</v>
      </c>
      <c r="O79"/>
      <c r="P79"/>
      <c r="Q79"/>
      <c r="R79"/>
      <c r="S79"/>
      <c r="T79"/>
      <c r="U79"/>
      <c r="V79"/>
      <c r="W79"/>
      <c r="X79"/>
    </row>
    <row r="80" ht="14.05" customHeight="true" spans="3:24">
      <c r="C80" s="21">
        <v>79</v>
      </c>
      <c r="D80" s="8">
        <v>167107.62</v>
      </c>
      <c r="E80" s="8">
        <v>1550.2</v>
      </c>
      <c r="F80" s="8">
        <v>1336.72</v>
      </c>
      <c r="G80" s="8">
        <v>2886.92</v>
      </c>
      <c r="H80" s="8">
        <v>115.92</v>
      </c>
      <c r="I80" s="8">
        <v>0</v>
      </c>
      <c r="J80" s="9">
        <v>46847</v>
      </c>
      <c r="K80" s="8" t="s">
        <v>42</v>
      </c>
      <c r="L80" s="8" t="s">
        <v>42</v>
      </c>
      <c r="M80" s="9" t="s">
        <v>42</v>
      </c>
      <c r="O80"/>
      <c r="P80"/>
      <c r="Q80"/>
      <c r="R80"/>
      <c r="S80"/>
      <c r="T80"/>
      <c r="U80"/>
      <c r="V80"/>
      <c r="W80"/>
      <c r="X80"/>
    </row>
    <row r="81" ht="14.05" customHeight="true" spans="3:24">
      <c r="C81" s="21">
        <v>80</v>
      </c>
      <c r="D81" s="8">
        <v>165557.42</v>
      </c>
      <c r="E81" s="8">
        <v>1514.05</v>
      </c>
      <c r="F81" s="8">
        <v>1369.99</v>
      </c>
      <c r="G81" s="8">
        <v>2884.04</v>
      </c>
      <c r="H81" s="8">
        <v>118.8</v>
      </c>
      <c r="I81" s="8">
        <v>0</v>
      </c>
      <c r="J81" s="9">
        <v>46877</v>
      </c>
      <c r="K81" s="8" t="s">
        <v>42</v>
      </c>
      <c r="L81" s="8" t="s">
        <v>42</v>
      </c>
      <c r="M81" s="9" t="s">
        <v>42</v>
      </c>
      <c r="O81"/>
      <c r="P81"/>
      <c r="Q81"/>
      <c r="R81"/>
      <c r="S81"/>
      <c r="T81"/>
      <c r="U81"/>
      <c r="V81"/>
      <c r="W81"/>
      <c r="X81"/>
    </row>
    <row r="82" ht="14.05" customHeight="true" spans="3:24">
      <c r="C82" s="21">
        <v>81</v>
      </c>
      <c r="D82" s="8">
        <v>164043.37</v>
      </c>
      <c r="E82" s="8">
        <v>1429.31</v>
      </c>
      <c r="F82" s="8">
        <v>1447.96</v>
      </c>
      <c r="G82" s="8">
        <v>2877.27</v>
      </c>
      <c r="H82" s="8">
        <v>125.57</v>
      </c>
      <c r="I82" s="8">
        <v>0</v>
      </c>
      <c r="J82" s="9">
        <v>46909</v>
      </c>
      <c r="K82" s="8" t="s">
        <v>42</v>
      </c>
      <c r="L82" s="8" t="s">
        <v>42</v>
      </c>
      <c r="M82" s="9" t="s">
        <v>42</v>
      </c>
      <c r="O82"/>
      <c r="P82"/>
      <c r="Q82"/>
      <c r="R82"/>
      <c r="S82"/>
      <c r="T82"/>
      <c r="U82"/>
      <c r="V82"/>
      <c r="W82"/>
      <c r="X82"/>
    </row>
    <row r="83" ht="14.05" customHeight="true" spans="3:24">
      <c r="C83" s="21">
        <v>82</v>
      </c>
      <c r="D83" s="8">
        <v>162614.06</v>
      </c>
      <c r="E83" s="8">
        <v>1589.26</v>
      </c>
      <c r="F83" s="8">
        <v>1300.78</v>
      </c>
      <c r="G83" s="8">
        <v>2890.04</v>
      </c>
      <c r="H83" s="8">
        <v>112.8</v>
      </c>
      <c r="I83" s="8">
        <v>0</v>
      </c>
      <c r="J83" s="9">
        <v>46938</v>
      </c>
      <c r="K83" s="8" t="s">
        <v>42</v>
      </c>
      <c r="L83" s="8" t="s">
        <v>42</v>
      </c>
      <c r="M83" s="9" t="s">
        <v>42</v>
      </c>
      <c r="O83"/>
      <c r="P83"/>
      <c r="Q83"/>
      <c r="R83"/>
      <c r="S83"/>
      <c r="T83"/>
      <c r="U83"/>
      <c r="V83"/>
      <c r="W83"/>
      <c r="X83"/>
    </row>
    <row r="84" ht="14.05" customHeight="true" spans="3:24">
      <c r="C84" s="21">
        <v>83</v>
      </c>
      <c r="D84" s="8">
        <v>161024.8</v>
      </c>
      <c r="E84" s="8">
        <v>1506.54</v>
      </c>
      <c r="F84" s="8">
        <v>1376.9</v>
      </c>
      <c r="G84" s="8">
        <v>2883.44</v>
      </c>
      <c r="H84" s="8">
        <v>119.4</v>
      </c>
      <c r="I84" s="8">
        <v>0</v>
      </c>
      <c r="J84" s="9">
        <v>46969</v>
      </c>
      <c r="K84" s="8" t="s">
        <v>42</v>
      </c>
      <c r="L84" s="8" t="s">
        <v>42</v>
      </c>
      <c r="M84" s="9" t="s">
        <v>42</v>
      </c>
      <c r="O84"/>
      <c r="P84"/>
      <c r="Q84"/>
      <c r="R84"/>
      <c r="S84"/>
      <c r="T84"/>
      <c r="U84"/>
      <c r="V84"/>
      <c r="W84"/>
      <c r="X84"/>
    </row>
    <row r="85" ht="14.05" customHeight="true" spans="3:24">
      <c r="C85" s="21">
        <v>84</v>
      </c>
      <c r="D85" s="8">
        <v>159518.26</v>
      </c>
      <c r="E85" s="8">
        <v>1520.54</v>
      </c>
      <c r="F85" s="8">
        <v>1364.01</v>
      </c>
      <c r="G85" s="8">
        <v>2884.55</v>
      </c>
      <c r="H85" s="8">
        <v>118.29</v>
      </c>
      <c r="I85" s="8">
        <v>0</v>
      </c>
      <c r="J85" s="9">
        <v>47000</v>
      </c>
      <c r="K85" s="8" t="s">
        <v>42</v>
      </c>
      <c r="L85" s="8" t="s">
        <v>42</v>
      </c>
      <c r="M85" s="9" t="s">
        <v>42</v>
      </c>
      <c r="O85"/>
      <c r="P85"/>
      <c r="Q85"/>
      <c r="R85"/>
      <c r="S85"/>
      <c r="T85"/>
      <c r="U85"/>
      <c r="V85"/>
      <c r="W85"/>
      <c r="X85"/>
    </row>
    <row r="86" ht="14.05" customHeight="true" spans="3:24">
      <c r="C86" s="21">
        <v>85</v>
      </c>
      <c r="D86" s="8">
        <v>157997.72</v>
      </c>
      <c r="E86" s="8">
        <v>1582.03</v>
      </c>
      <c r="F86" s="8">
        <v>1307.43</v>
      </c>
      <c r="G86" s="8">
        <v>2889.46</v>
      </c>
      <c r="H86" s="8">
        <v>113.38</v>
      </c>
      <c r="I86" s="8">
        <v>0</v>
      </c>
      <c r="J86" s="9">
        <v>47030</v>
      </c>
      <c r="K86" s="8" t="s">
        <v>42</v>
      </c>
      <c r="L86" s="8" t="s">
        <v>42</v>
      </c>
      <c r="M86" s="9" t="s">
        <v>42</v>
      </c>
      <c r="O86"/>
      <c r="P86"/>
      <c r="Q86"/>
      <c r="R86"/>
      <c r="S86"/>
      <c r="T86"/>
      <c r="U86"/>
      <c r="V86"/>
      <c r="W86"/>
      <c r="X86"/>
    </row>
    <row r="87" ht="14.05" customHeight="true" spans="3:24">
      <c r="C87" s="21">
        <v>86</v>
      </c>
      <c r="D87" s="8">
        <v>156415.69</v>
      </c>
      <c r="E87" s="8">
        <v>1455.6</v>
      </c>
      <c r="F87" s="8">
        <v>1423.77</v>
      </c>
      <c r="G87" s="8">
        <v>2879.37</v>
      </c>
      <c r="H87" s="8">
        <v>123.47</v>
      </c>
      <c r="I87" s="8">
        <v>0</v>
      </c>
      <c r="J87" s="9">
        <v>47063</v>
      </c>
      <c r="K87" s="8" t="s">
        <v>42</v>
      </c>
      <c r="L87" s="8" t="s">
        <v>42</v>
      </c>
      <c r="M87" s="9" t="s">
        <v>42</v>
      </c>
      <c r="O87"/>
      <c r="P87"/>
      <c r="Q87"/>
      <c r="R87"/>
      <c r="S87"/>
      <c r="T87"/>
      <c r="U87"/>
      <c r="V87"/>
      <c r="W87"/>
      <c r="X87"/>
    </row>
    <row r="88" ht="14.05" customHeight="true" spans="3:24">
      <c r="C88" s="21">
        <v>87</v>
      </c>
      <c r="D88" s="8">
        <v>154960.09</v>
      </c>
      <c r="E88" s="8">
        <v>1702.24</v>
      </c>
      <c r="F88" s="8">
        <v>1196.81</v>
      </c>
      <c r="G88" s="8">
        <v>2899.05</v>
      </c>
      <c r="H88" s="8">
        <v>103.79</v>
      </c>
      <c r="I88" s="8">
        <v>0</v>
      </c>
      <c r="J88" s="9">
        <v>47091</v>
      </c>
      <c r="K88" s="8" t="s">
        <v>42</v>
      </c>
      <c r="L88" s="8" t="s">
        <v>42</v>
      </c>
      <c r="M88" s="9" t="s">
        <v>42</v>
      </c>
      <c r="O88"/>
      <c r="P88"/>
      <c r="Q88"/>
      <c r="R88"/>
      <c r="S88"/>
      <c r="T88"/>
      <c r="U88"/>
      <c r="V88"/>
      <c r="W88"/>
      <c r="X88"/>
    </row>
    <row r="89" ht="14.05" customHeight="true" spans="3:24">
      <c r="C89" s="21">
        <v>88</v>
      </c>
      <c r="D89" s="8">
        <v>153257.85</v>
      </c>
      <c r="E89" s="8">
        <v>1578.72</v>
      </c>
      <c r="F89" s="8">
        <v>1310.48</v>
      </c>
      <c r="G89" s="8">
        <v>2889.2</v>
      </c>
      <c r="H89" s="8">
        <v>113.64</v>
      </c>
      <c r="I89" s="8">
        <v>0</v>
      </c>
      <c r="J89" s="9">
        <v>47122</v>
      </c>
      <c r="K89" s="8" t="s">
        <v>42</v>
      </c>
      <c r="L89" s="8" t="s">
        <v>42</v>
      </c>
      <c r="M89" s="9" t="s">
        <v>42</v>
      </c>
      <c r="O89"/>
      <c r="P89"/>
      <c r="Q89"/>
      <c r="R89"/>
      <c r="S89"/>
      <c r="T89"/>
      <c r="U89"/>
      <c r="V89"/>
      <c r="W89"/>
      <c r="X89"/>
    </row>
    <row r="90" ht="14.05" customHeight="true" spans="3:24">
      <c r="C90" s="21">
        <v>89</v>
      </c>
      <c r="D90" s="8">
        <v>151679.13</v>
      </c>
      <c r="E90" s="8">
        <v>1547.92</v>
      </c>
      <c r="F90" s="8">
        <v>1338.82</v>
      </c>
      <c r="G90" s="8">
        <v>2886.74</v>
      </c>
      <c r="H90" s="8">
        <v>116.1</v>
      </c>
      <c r="I90" s="8">
        <v>0</v>
      </c>
      <c r="J90" s="9">
        <v>47154</v>
      </c>
      <c r="K90" s="8" t="s">
        <v>42</v>
      </c>
      <c r="L90" s="8" t="s">
        <v>42</v>
      </c>
      <c r="M90" s="9" t="s">
        <v>42</v>
      </c>
      <c r="O90"/>
      <c r="P90"/>
      <c r="Q90"/>
      <c r="R90"/>
      <c r="S90"/>
      <c r="T90"/>
      <c r="U90"/>
      <c r="V90"/>
      <c r="W90"/>
      <c r="X90"/>
    </row>
    <row r="91" ht="14.05" customHeight="true" spans="3:24">
      <c r="C91" s="21">
        <v>90</v>
      </c>
      <c r="D91" s="8">
        <v>150131.21</v>
      </c>
      <c r="E91" s="8">
        <v>1742.78</v>
      </c>
      <c r="F91" s="8">
        <v>1159.51</v>
      </c>
      <c r="G91" s="8">
        <v>2902.29</v>
      </c>
      <c r="H91" s="8">
        <v>100.55</v>
      </c>
      <c r="I91" s="8">
        <v>0</v>
      </c>
      <c r="J91" s="9">
        <v>47182</v>
      </c>
      <c r="K91" s="8" t="s">
        <v>42</v>
      </c>
      <c r="L91" s="8" t="s">
        <v>42</v>
      </c>
      <c r="M91" s="9" t="s">
        <v>42</v>
      </c>
      <c r="O91"/>
      <c r="P91"/>
      <c r="Q91"/>
      <c r="R91"/>
      <c r="S91"/>
      <c r="T91"/>
      <c r="U91"/>
      <c r="V91"/>
      <c r="W91"/>
      <c r="X91"/>
    </row>
    <row r="92" ht="14.05" customHeight="true" spans="3:24">
      <c r="C92" s="21">
        <v>91</v>
      </c>
      <c r="D92" s="8">
        <v>148388.43</v>
      </c>
      <c r="E92" s="8">
        <v>1668.45</v>
      </c>
      <c r="F92" s="8">
        <v>1227.91</v>
      </c>
      <c r="G92" s="8">
        <v>2896.36</v>
      </c>
      <c r="H92" s="8">
        <v>106.48</v>
      </c>
      <c r="I92" s="8">
        <v>0</v>
      </c>
      <c r="J92" s="9">
        <v>47212</v>
      </c>
      <c r="K92" s="8" t="s">
        <v>42</v>
      </c>
      <c r="L92" s="8" t="s">
        <v>42</v>
      </c>
      <c r="M92" s="9" t="s">
        <v>42</v>
      </c>
      <c r="O92"/>
      <c r="P92"/>
      <c r="Q92"/>
      <c r="R92"/>
      <c r="S92"/>
      <c r="T92"/>
      <c r="U92"/>
      <c r="V92"/>
      <c r="W92"/>
      <c r="X92"/>
    </row>
    <row r="93" ht="14.05" customHeight="true" spans="3:24">
      <c r="C93" s="21">
        <v>92</v>
      </c>
      <c r="D93" s="8">
        <v>146719.98</v>
      </c>
      <c r="E93" s="8">
        <v>1683.44</v>
      </c>
      <c r="F93" s="8">
        <v>1214.11</v>
      </c>
      <c r="G93" s="8">
        <v>2897.55</v>
      </c>
      <c r="H93" s="8">
        <v>105.29</v>
      </c>
      <c r="I93" s="8">
        <v>0</v>
      </c>
      <c r="J93" s="9">
        <v>47242</v>
      </c>
      <c r="K93" s="8" t="s">
        <v>42</v>
      </c>
      <c r="L93" s="8" t="s">
        <v>42</v>
      </c>
      <c r="M93" s="9" t="s">
        <v>42</v>
      </c>
      <c r="O93"/>
      <c r="P93"/>
      <c r="Q93"/>
      <c r="R93"/>
      <c r="S93"/>
      <c r="T93"/>
      <c r="U93"/>
      <c r="V93"/>
      <c r="W93"/>
      <c r="X93"/>
    </row>
    <row r="94" ht="14.05" customHeight="true" spans="3:24">
      <c r="C94" s="21">
        <v>93</v>
      </c>
      <c r="D94" s="8">
        <v>145036.54</v>
      </c>
      <c r="E94" s="8">
        <v>1655.11</v>
      </c>
      <c r="F94" s="8">
        <v>1240.18</v>
      </c>
      <c r="G94" s="8">
        <v>2895.29</v>
      </c>
      <c r="H94" s="8">
        <v>107.55</v>
      </c>
      <c r="I94" s="8">
        <v>0</v>
      </c>
      <c r="J94" s="9">
        <v>47273</v>
      </c>
      <c r="K94" s="8" t="s">
        <v>42</v>
      </c>
      <c r="L94" s="8" t="s">
        <v>42</v>
      </c>
      <c r="M94" s="9" t="s">
        <v>42</v>
      </c>
      <c r="O94"/>
      <c r="P94"/>
      <c r="Q94"/>
      <c r="R94"/>
      <c r="S94"/>
      <c r="T94"/>
      <c r="U94"/>
      <c r="V94"/>
      <c r="W94"/>
      <c r="X94"/>
    </row>
    <row r="95" ht="14.05" customHeight="true" spans="3:24">
      <c r="C95" s="21">
        <v>94</v>
      </c>
      <c r="D95" s="8">
        <v>143381.43</v>
      </c>
      <c r="E95" s="8">
        <v>1713.47</v>
      </c>
      <c r="F95" s="8">
        <v>1186.48</v>
      </c>
      <c r="G95" s="8">
        <v>2899.95</v>
      </c>
      <c r="H95" s="8">
        <v>102.89</v>
      </c>
      <c r="I95" s="8">
        <v>0</v>
      </c>
      <c r="J95" s="9">
        <v>47303</v>
      </c>
      <c r="K95" s="8" t="s">
        <v>42</v>
      </c>
      <c r="L95" s="8" t="s">
        <v>42</v>
      </c>
      <c r="M95" s="9" t="s">
        <v>42</v>
      </c>
      <c r="O95"/>
      <c r="P95"/>
      <c r="Q95"/>
      <c r="R95"/>
      <c r="S95"/>
      <c r="T95"/>
      <c r="U95"/>
      <c r="V95"/>
      <c r="W95"/>
      <c r="X95"/>
    </row>
    <row r="96" ht="14.05" customHeight="true" spans="3:24">
      <c r="C96" s="21">
        <v>95</v>
      </c>
      <c r="D96" s="8">
        <v>141667.96</v>
      </c>
      <c r="E96" s="8">
        <v>1601.48</v>
      </c>
      <c r="F96" s="8">
        <v>1289.53</v>
      </c>
      <c r="G96" s="8">
        <v>2891.01</v>
      </c>
      <c r="H96" s="8">
        <v>111.83</v>
      </c>
      <c r="I96" s="8">
        <v>0</v>
      </c>
      <c r="J96" s="9">
        <v>47336</v>
      </c>
      <c r="K96" s="8" t="s">
        <v>42</v>
      </c>
      <c r="L96" s="8" t="s">
        <v>42</v>
      </c>
      <c r="M96" s="9" t="s">
        <v>42</v>
      </c>
      <c r="O96"/>
      <c r="P96"/>
      <c r="Q96"/>
      <c r="R96"/>
      <c r="S96"/>
      <c r="T96"/>
      <c r="U96"/>
      <c r="V96"/>
      <c r="W96"/>
      <c r="X96"/>
    </row>
    <row r="97" ht="14.05" customHeight="true" spans="3:24">
      <c r="C97" s="21">
        <v>96</v>
      </c>
      <c r="D97" s="8">
        <v>140066.48</v>
      </c>
      <c r="E97" s="8">
        <v>1785.26</v>
      </c>
      <c r="F97" s="8">
        <v>1120.42</v>
      </c>
      <c r="G97" s="8">
        <v>2905.68</v>
      </c>
      <c r="H97" s="8">
        <v>97.16</v>
      </c>
      <c r="I97" s="8">
        <v>0</v>
      </c>
      <c r="J97" s="9">
        <v>47365</v>
      </c>
      <c r="K97" s="8" t="s">
        <v>42</v>
      </c>
      <c r="L97" s="8" t="s">
        <v>42</v>
      </c>
      <c r="M97" s="9" t="s">
        <v>42</v>
      </c>
      <c r="O97"/>
      <c r="P97"/>
      <c r="Q97"/>
      <c r="R97"/>
      <c r="S97"/>
      <c r="T97"/>
      <c r="U97"/>
      <c r="V97"/>
      <c r="W97"/>
      <c r="X97"/>
    </row>
    <row r="98" ht="14.05" customHeight="true" spans="3:24">
      <c r="C98" s="21">
        <v>97</v>
      </c>
      <c r="D98" s="8">
        <v>138281.22</v>
      </c>
      <c r="E98" s="8">
        <v>1759.33</v>
      </c>
      <c r="F98" s="8">
        <v>1144.28</v>
      </c>
      <c r="G98" s="8">
        <v>2903.61</v>
      </c>
      <c r="H98" s="8">
        <v>99.23</v>
      </c>
      <c r="I98" s="8">
        <v>0</v>
      </c>
      <c r="J98" s="9">
        <v>47395</v>
      </c>
      <c r="K98" s="8" t="s">
        <v>42</v>
      </c>
      <c r="L98" s="8" t="s">
        <v>42</v>
      </c>
      <c r="M98" s="9" t="s">
        <v>42</v>
      </c>
      <c r="O98"/>
      <c r="P98"/>
      <c r="Q98"/>
      <c r="R98"/>
      <c r="S98"/>
      <c r="T98"/>
      <c r="U98"/>
      <c r="V98"/>
      <c r="W98"/>
      <c r="X98"/>
    </row>
    <row r="99" ht="14.05" customHeight="true" spans="3:24">
      <c r="C99" s="21">
        <v>98</v>
      </c>
      <c r="D99" s="8">
        <v>136521.89</v>
      </c>
      <c r="E99" s="8">
        <v>1693.31</v>
      </c>
      <c r="F99" s="8">
        <v>1205.03</v>
      </c>
      <c r="G99" s="8">
        <v>2898.34</v>
      </c>
      <c r="H99" s="8">
        <v>104.5</v>
      </c>
      <c r="I99" s="8">
        <v>0</v>
      </c>
      <c r="J99" s="9">
        <v>47427</v>
      </c>
      <c r="K99" s="8" t="s">
        <v>42</v>
      </c>
      <c r="L99" s="8" t="s">
        <v>42</v>
      </c>
      <c r="M99" s="9" t="s">
        <v>42</v>
      </c>
      <c r="O99"/>
      <c r="P99"/>
      <c r="Q99"/>
      <c r="R99"/>
      <c r="S99"/>
      <c r="T99"/>
      <c r="U99"/>
      <c r="V99"/>
      <c r="W99"/>
      <c r="X99"/>
    </row>
    <row r="100" ht="14.05" customHeight="true" spans="3:24">
      <c r="C100" s="21">
        <v>99</v>
      </c>
      <c r="D100" s="8">
        <v>134828.58</v>
      </c>
      <c r="E100" s="8">
        <v>1830.79</v>
      </c>
      <c r="F100" s="8">
        <v>1078.52</v>
      </c>
      <c r="G100" s="8">
        <v>2909.31</v>
      </c>
      <c r="H100" s="8">
        <v>93.53</v>
      </c>
      <c r="I100" s="8">
        <v>0</v>
      </c>
      <c r="J100" s="9">
        <v>47456</v>
      </c>
      <c r="K100" s="8" t="s">
        <v>42</v>
      </c>
      <c r="L100" s="8" t="s">
        <v>42</v>
      </c>
      <c r="M100" s="9" t="s">
        <v>42</v>
      </c>
      <c r="O100"/>
      <c r="P100"/>
      <c r="Q100"/>
      <c r="R100"/>
      <c r="S100"/>
      <c r="T100"/>
      <c r="U100"/>
      <c r="V100"/>
      <c r="W100"/>
      <c r="X100"/>
    </row>
    <row r="101" ht="14.05" customHeight="true" spans="3:24">
      <c r="C101" s="21">
        <v>100</v>
      </c>
      <c r="D101" s="8">
        <v>132997.79</v>
      </c>
      <c r="E101" s="8">
        <v>1766.98</v>
      </c>
      <c r="F101" s="8">
        <v>1137.24</v>
      </c>
      <c r="G101" s="8">
        <v>2904.22</v>
      </c>
      <c r="H101" s="8">
        <v>98.62</v>
      </c>
      <c r="I101" s="8">
        <v>0</v>
      </c>
      <c r="J101" s="9">
        <v>47487</v>
      </c>
      <c r="K101" s="8" t="s">
        <v>42</v>
      </c>
      <c r="L101" s="8" t="s">
        <v>42</v>
      </c>
      <c r="M101" s="9" t="s">
        <v>42</v>
      </c>
      <c r="O101"/>
      <c r="P101"/>
      <c r="Q101"/>
      <c r="R101"/>
      <c r="S101"/>
      <c r="T101"/>
      <c r="U101"/>
      <c r="V101"/>
      <c r="W101"/>
      <c r="X101"/>
    </row>
    <row r="102" ht="14.05" customHeight="true" spans="3:24">
      <c r="C102" s="21">
        <v>101</v>
      </c>
      <c r="D102" s="8">
        <v>131230.81</v>
      </c>
      <c r="E102" s="8">
        <v>1783.4</v>
      </c>
      <c r="F102" s="8">
        <v>1122.13</v>
      </c>
      <c r="G102" s="8">
        <v>2905.53</v>
      </c>
      <c r="H102" s="8">
        <v>97.31</v>
      </c>
      <c r="I102" s="8">
        <v>0</v>
      </c>
      <c r="J102" s="9">
        <v>47518</v>
      </c>
      <c r="K102" s="8" t="s">
        <v>42</v>
      </c>
      <c r="L102" s="8" t="s">
        <v>42</v>
      </c>
      <c r="M102" s="9" t="s">
        <v>42</v>
      </c>
      <c r="O102"/>
      <c r="P102"/>
      <c r="Q102"/>
      <c r="R102"/>
      <c r="S102"/>
      <c r="T102"/>
      <c r="U102"/>
      <c r="V102"/>
      <c r="W102"/>
      <c r="X102"/>
    </row>
    <row r="103" ht="14.05" customHeight="true" spans="3:24">
      <c r="C103" s="21">
        <v>102</v>
      </c>
      <c r="D103" s="8">
        <v>129447.41</v>
      </c>
      <c r="E103" s="8">
        <v>1916.37</v>
      </c>
      <c r="F103" s="8">
        <v>999.77</v>
      </c>
      <c r="G103" s="8">
        <v>2916.14</v>
      </c>
      <c r="H103" s="8">
        <v>86.7</v>
      </c>
      <c r="I103" s="8">
        <v>0</v>
      </c>
      <c r="J103" s="9">
        <v>47546</v>
      </c>
      <c r="K103" s="8" t="s">
        <v>42</v>
      </c>
      <c r="L103" s="8" t="s">
        <v>42</v>
      </c>
      <c r="M103" s="9" t="s">
        <v>42</v>
      </c>
      <c r="O103"/>
      <c r="P103"/>
      <c r="Q103"/>
      <c r="R103"/>
      <c r="S103"/>
      <c r="T103"/>
      <c r="U103"/>
      <c r="V103"/>
      <c r="W103"/>
      <c r="X103"/>
    </row>
    <row r="104" ht="14.05" customHeight="true" spans="3:24">
      <c r="C104" s="21">
        <v>103</v>
      </c>
      <c r="D104" s="8">
        <v>127531.04</v>
      </c>
      <c r="E104" s="8">
        <v>1817.77</v>
      </c>
      <c r="F104" s="8">
        <v>1090.5</v>
      </c>
      <c r="G104" s="8">
        <v>2908.27</v>
      </c>
      <c r="H104" s="8">
        <v>94.57</v>
      </c>
      <c r="I104" s="8">
        <v>0</v>
      </c>
      <c r="J104" s="9">
        <v>47577</v>
      </c>
      <c r="K104" s="8" t="s">
        <v>42</v>
      </c>
      <c r="L104" s="8" t="s">
        <v>42</v>
      </c>
      <c r="M104" s="9" t="s">
        <v>42</v>
      </c>
      <c r="O104"/>
      <c r="P104"/>
      <c r="Q104"/>
      <c r="R104"/>
      <c r="S104"/>
      <c r="T104"/>
      <c r="U104"/>
      <c r="V104"/>
      <c r="W104"/>
      <c r="X104"/>
    </row>
    <row r="105" ht="14.05" customHeight="true" spans="3:24">
      <c r="C105" s="21">
        <v>104</v>
      </c>
      <c r="D105" s="8">
        <v>125713.27</v>
      </c>
      <c r="E105" s="8">
        <v>1796.98</v>
      </c>
      <c r="F105" s="8">
        <v>1109.63</v>
      </c>
      <c r="G105" s="8">
        <v>2906.61</v>
      </c>
      <c r="H105" s="8">
        <v>96.23</v>
      </c>
      <c r="I105" s="8">
        <v>0</v>
      </c>
      <c r="J105" s="9">
        <v>47609</v>
      </c>
      <c r="K105" s="8" t="s">
        <v>42</v>
      </c>
      <c r="L105" s="8" t="s">
        <v>42</v>
      </c>
      <c r="M105" s="9" t="s">
        <v>42</v>
      </c>
      <c r="O105"/>
      <c r="P105"/>
      <c r="Q105"/>
      <c r="R105"/>
      <c r="S105"/>
      <c r="T105"/>
      <c r="U105"/>
      <c r="V105"/>
      <c r="W105"/>
      <c r="X105"/>
    </row>
    <row r="106" ht="14.05" customHeight="true" spans="3:24">
      <c r="C106" s="21">
        <v>105</v>
      </c>
      <c r="D106" s="8">
        <v>123916.29</v>
      </c>
      <c r="E106" s="8">
        <v>1925.65</v>
      </c>
      <c r="F106" s="8">
        <v>991.23</v>
      </c>
      <c r="G106" s="8">
        <v>2916.88</v>
      </c>
      <c r="H106" s="8">
        <v>85.96</v>
      </c>
      <c r="I106" s="8">
        <v>0</v>
      </c>
      <c r="J106" s="9">
        <v>47638</v>
      </c>
      <c r="K106" s="8" t="s">
        <v>42</v>
      </c>
      <c r="L106" s="8" t="s">
        <v>42</v>
      </c>
      <c r="M106" s="9" t="s">
        <v>42</v>
      </c>
      <c r="O106"/>
      <c r="P106"/>
      <c r="Q106"/>
      <c r="R106"/>
      <c r="S106"/>
      <c r="T106"/>
      <c r="U106"/>
      <c r="V106"/>
      <c r="W106"/>
      <c r="X106"/>
    </row>
    <row r="107" ht="14.05" customHeight="true" spans="3:24">
      <c r="C107" s="21">
        <v>106</v>
      </c>
      <c r="D107" s="8">
        <v>121990.64</v>
      </c>
      <c r="E107" s="8">
        <v>1905.83</v>
      </c>
      <c r="F107" s="8">
        <v>1009.47</v>
      </c>
      <c r="G107" s="8">
        <v>2915.3</v>
      </c>
      <c r="H107" s="8">
        <v>87.54</v>
      </c>
      <c r="I107" s="8">
        <v>0</v>
      </c>
      <c r="J107" s="9">
        <v>47668</v>
      </c>
      <c r="K107" s="8" t="s">
        <v>42</v>
      </c>
      <c r="L107" s="8" t="s">
        <v>42</v>
      </c>
      <c r="M107" s="9" t="s">
        <v>42</v>
      </c>
      <c r="O107"/>
      <c r="P107"/>
      <c r="Q107"/>
      <c r="R107"/>
      <c r="S107"/>
      <c r="T107"/>
      <c r="U107"/>
      <c r="V107"/>
      <c r="W107"/>
      <c r="X107"/>
    </row>
    <row r="108" ht="14.05" customHeight="true" spans="3:24">
      <c r="C108" s="21">
        <v>107</v>
      </c>
      <c r="D108" s="8">
        <v>120084.81</v>
      </c>
      <c r="E108" s="8">
        <v>1850.97</v>
      </c>
      <c r="F108" s="8">
        <v>1059.95</v>
      </c>
      <c r="G108" s="8">
        <v>2910.92</v>
      </c>
      <c r="H108" s="8">
        <v>91.92</v>
      </c>
      <c r="I108" s="8">
        <v>0</v>
      </c>
      <c r="J108" s="9">
        <v>47700</v>
      </c>
      <c r="K108" s="8" t="s">
        <v>42</v>
      </c>
      <c r="L108" s="8" t="s">
        <v>42</v>
      </c>
      <c r="M108" s="9" t="s">
        <v>42</v>
      </c>
      <c r="O108"/>
      <c r="P108"/>
      <c r="Q108"/>
      <c r="R108"/>
      <c r="S108"/>
      <c r="T108"/>
      <c r="U108"/>
      <c r="V108"/>
      <c r="W108"/>
      <c r="X108"/>
    </row>
    <row r="109" ht="14.05" customHeight="true" spans="3:24">
      <c r="C109" s="21">
        <v>108</v>
      </c>
      <c r="D109" s="8">
        <v>118233.84</v>
      </c>
      <c r="E109" s="8">
        <v>1939.61</v>
      </c>
      <c r="F109" s="8">
        <v>978.39</v>
      </c>
      <c r="G109" s="8">
        <v>2918</v>
      </c>
      <c r="H109" s="8">
        <v>84.84</v>
      </c>
      <c r="I109" s="8">
        <v>0</v>
      </c>
      <c r="J109" s="9">
        <v>47730</v>
      </c>
      <c r="K109" s="8" t="s">
        <v>42</v>
      </c>
      <c r="L109" s="8" t="s">
        <v>42</v>
      </c>
      <c r="M109" s="9" t="s">
        <v>42</v>
      </c>
      <c r="O109"/>
      <c r="P109"/>
      <c r="Q109"/>
      <c r="R109"/>
      <c r="S109"/>
      <c r="T109"/>
      <c r="U109"/>
      <c r="V109"/>
      <c r="W109"/>
      <c r="X109"/>
    </row>
    <row r="110" ht="14.05" customHeight="true" spans="3:24">
      <c r="C110" s="21">
        <v>109</v>
      </c>
      <c r="D110" s="8">
        <v>116294.23</v>
      </c>
      <c r="E110" s="8">
        <v>1957.06</v>
      </c>
      <c r="F110" s="8">
        <v>962.33</v>
      </c>
      <c r="G110" s="8">
        <v>2919.39</v>
      </c>
      <c r="H110" s="8">
        <v>83.45</v>
      </c>
      <c r="I110" s="8">
        <v>0</v>
      </c>
      <c r="J110" s="9">
        <v>47760</v>
      </c>
      <c r="K110" s="8" t="s">
        <v>42</v>
      </c>
      <c r="L110" s="8" t="s">
        <v>42</v>
      </c>
      <c r="M110" s="9" t="s">
        <v>42</v>
      </c>
      <c r="O110"/>
      <c r="P110"/>
      <c r="Q110"/>
      <c r="R110"/>
      <c r="S110"/>
      <c r="T110"/>
      <c r="U110"/>
      <c r="V110"/>
      <c r="W110"/>
      <c r="X110"/>
    </row>
    <row r="111" ht="14.05" customHeight="true" spans="3:24">
      <c r="C111" s="21">
        <v>110</v>
      </c>
      <c r="D111" s="8">
        <v>114337.17</v>
      </c>
      <c r="E111" s="8">
        <v>1940.38</v>
      </c>
      <c r="F111" s="8">
        <v>977.68</v>
      </c>
      <c r="G111" s="8">
        <v>2918.06</v>
      </c>
      <c r="H111" s="8">
        <v>84.78</v>
      </c>
      <c r="I111" s="8">
        <v>0</v>
      </c>
      <c r="J111" s="9">
        <v>47791</v>
      </c>
      <c r="K111" s="8" t="s">
        <v>42</v>
      </c>
      <c r="L111" s="8" t="s">
        <v>42</v>
      </c>
      <c r="M111" s="9" t="s">
        <v>42</v>
      </c>
      <c r="O111"/>
      <c r="P111"/>
      <c r="Q111"/>
      <c r="R111"/>
      <c r="S111"/>
      <c r="T111"/>
      <c r="U111"/>
      <c r="V111"/>
      <c r="W111"/>
      <c r="X111"/>
    </row>
    <row r="112" ht="14.05" customHeight="true" spans="3:24">
      <c r="C112" s="21">
        <v>111</v>
      </c>
      <c r="D112" s="8">
        <v>112396.79</v>
      </c>
      <c r="E112" s="8">
        <v>1992.1</v>
      </c>
      <c r="F112" s="8">
        <v>930.08</v>
      </c>
      <c r="G112" s="8">
        <v>2922.18</v>
      </c>
      <c r="H112" s="8">
        <v>80.66</v>
      </c>
      <c r="I112" s="8">
        <v>0</v>
      </c>
      <c r="J112" s="9">
        <v>47821</v>
      </c>
      <c r="K112" s="8" t="s">
        <v>42</v>
      </c>
      <c r="L112" s="8" t="s">
        <v>42</v>
      </c>
      <c r="M112" s="9" t="s">
        <v>42</v>
      </c>
      <c r="O112"/>
      <c r="P112"/>
      <c r="Q112"/>
      <c r="R112"/>
      <c r="S112"/>
      <c r="T112"/>
      <c r="U112"/>
      <c r="V112"/>
      <c r="W112"/>
      <c r="X112"/>
    </row>
    <row r="113" ht="14.05" customHeight="true" spans="3:24">
      <c r="C113" s="21">
        <v>112</v>
      </c>
      <c r="D113" s="8">
        <v>110404.69</v>
      </c>
      <c r="E113" s="8">
        <v>1910.73</v>
      </c>
      <c r="F113" s="8">
        <v>1004.96</v>
      </c>
      <c r="G113" s="8">
        <v>2915.69</v>
      </c>
      <c r="H113" s="8">
        <v>87.15</v>
      </c>
      <c r="I113" s="8">
        <v>0</v>
      </c>
      <c r="J113" s="9">
        <v>47854</v>
      </c>
      <c r="K113" s="8" t="s">
        <v>42</v>
      </c>
      <c r="L113" s="8" t="s">
        <v>42</v>
      </c>
      <c r="M113" s="9" t="s">
        <v>42</v>
      </c>
      <c r="O113"/>
      <c r="P113"/>
      <c r="Q113"/>
      <c r="R113"/>
      <c r="S113"/>
      <c r="T113"/>
      <c r="U113"/>
      <c r="V113"/>
      <c r="W113"/>
      <c r="X113"/>
    </row>
    <row r="114" ht="14.05" customHeight="true" spans="3:24">
      <c r="C114" s="21">
        <v>113</v>
      </c>
      <c r="D114" s="8">
        <v>108493.96</v>
      </c>
      <c r="E114" s="8">
        <v>2059.72</v>
      </c>
      <c r="F114" s="8">
        <v>867.86</v>
      </c>
      <c r="G114" s="8">
        <v>2927.58</v>
      </c>
      <c r="H114" s="8">
        <v>75.26</v>
      </c>
      <c r="I114" s="8">
        <v>0</v>
      </c>
      <c r="J114" s="9">
        <v>47883</v>
      </c>
      <c r="K114" s="8" t="s">
        <v>42</v>
      </c>
      <c r="L114" s="8" t="s">
        <v>42</v>
      </c>
      <c r="M114" s="9" t="s">
        <v>42</v>
      </c>
      <c r="O114"/>
      <c r="P114"/>
      <c r="Q114"/>
      <c r="R114"/>
      <c r="S114"/>
      <c r="T114"/>
      <c r="U114"/>
      <c r="V114"/>
      <c r="W114"/>
      <c r="X114"/>
    </row>
    <row r="115" ht="14.05" customHeight="true" spans="3:24">
      <c r="C115" s="21">
        <v>114</v>
      </c>
      <c r="D115" s="8">
        <v>106434.24</v>
      </c>
      <c r="E115" s="8">
        <v>2109.52</v>
      </c>
      <c r="F115" s="8">
        <v>822.03</v>
      </c>
      <c r="G115" s="8">
        <v>2931.55</v>
      </c>
      <c r="H115" s="8">
        <v>71.29</v>
      </c>
      <c r="I115" s="8">
        <v>0</v>
      </c>
      <c r="J115" s="9">
        <v>47911</v>
      </c>
      <c r="K115" s="8" t="s">
        <v>42</v>
      </c>
      <c r="L115" s="8" t="s">
        <v>42</v>
      </c>
      <c r="M115" s="9" t="s">
        <v>42</v>
      </c>
      <c r="O115"/>
      <c r="P115"/>
      <c r="Q115"/>
      <c r="R115"/>
      <c r="S115"/>
      <c r="T115"/>
      <c r="U115"/>
      <c r="V115"/>
      <c r="W115"/>
      <c r="X115"/>
    </row>
    <row r="116" ht="14.05" customHeight="true" spans="3:24">
      <c r="C116" s="21">
        <v>115</v>
      </c>
      <c r="D116" s="8">
        <v>104324.72</v>
      </c>
      <c r="E116" s="8">
        <v>2033.42</v>
      </c>
      <c r="F116" s="8">
        <v>892.06</v>
      </c>
      <c r="G116" s="8">
        <v>2925.48</v>
      </c>
      <c r="H116" s="8">
        <v>77.36</v>
      </c>
      <c r="I116" s="8">
        <v>0</v>
      </c>
      <c r="J116" s="9">
        <v>47942</v>
      </c>
      <c r="K116" s="8" t="s">
        <v>42</v>
      </c>
      <c r="L116" s="8" t="s">
        <v>42</v>
      </c>
      <c r="M116" s="9" t="s">
        <v>42</v>
      </c>
      <c r="O116"/>
      <c r="P116"/>
      <c r="Q116"/>
      <c r="R116"/>
      <c r="S116"/>
      <c r="T116"/>
      <c r="U116"/>
      <c r="V116"/>
      <c r="W116"/>
      <c r="X116"/>
    </row>
    <row r="117" ht="14.05" customHeight="true" spans="3:24">
      <c r="C117" s="21">
        <v>116</v>
      </c>
      <c r="D117" s="8">
        <v>102291.3</v>
      </c>
      <c r="E117" s="8">
        <v>2052.31</v>
      </c>
      <c r="F117" s="8">
        <v>874.68</v>
      </c>
      <c r="G117" s="8">
        <v>2926.99</v>
      </c>
      <c r="H117" s="8">
        <v>75.85</v>
      </c>
      <c r="I117" s="8">
        <v>0</v>
      </c>
      <c r="J117" s="9">
        <v>47973</v>
      </c>
      <c r="K117" s="8" t="s">
        <v>42</v>
      </c>
      <c r="L117" s="8" t="s">
        <v>42</v>
      </c>
      <c r="M117" s="9" t="s">
        <v>42</v>
      </c>
      <c r="O117"/>
      <c r="P117"/>
      <c r="Q117"/>
      <c r="R117"/>
      <c r="S117"/>
      <c r="T117"/>
      <c r="U117"/>
      <c r="V117"/>
      <c r="W117"/>
      <c r="X117"/>
    </row>
    <row r="118" ht="14.05" customHeight="true" spans="3:24">
      <c r="C118" s="21">
        <v>117</v>
      </c>
      <c r="D118" s="8">
        <v>100238.99</v>
      </c>
      <c r="E118" s="8">
        <v>2101.43</v>
      </c>
      <c r="F118" s="8">
        <v>829.48</v>
      </c>
      <c r="G118" s="8">
        <v>2930.91</v>
      </c>
      <c r="H118" s="8">
        <v>71.93</v>
      </c>
      <c r="I118" s="8">
        <v>0</v>
      </c>
      <c r="J118" s="9">
        <v>48003</v>
      </c>
      <c r="K118" s="8" t="s">
        <v>42</v>
      </c>
      <c r="L118" s="8" t="s">
        <v>42</v>
      </c>
      <c r="M118" s="9" t="s">
        <v>42</v>
      </c>
      <c r="O118"/>
      <c r="P118"/>
      <c r="Q118"/>
      <c r="R118"/>
      <c r="S118"/>
      <c r="T118"/>
      <c r="U118"/>
      <c r="V118"/>
      <c r="W118"/>
      <c r="X118"/>
    </row>
    <row r="119" ht="14.05" customHeight="true" spans="3:24">
      <c r="C119" s="21">
        <v>118</v>
      </c>
      <c r="D119" s="8">
        <v>98137.56</v>
      </c>
      <c r="E119" s="8">
        <v>2120.33</v>
      </c>
      <c r="F119" s="8">
        <v>812.09</v>
      </c>
      <c r="G119" s="8">
        <v>2932.42</v>
      </c>
      <c r="H119" s="8">
        <v>70.42</v>
      </c>
      <c r="I119" s="8">
        <v>0</v>
      </c>
      <c r="J119" s="9">
        <v>48033</v>
      </c>
      <c r="K119" s="8" t="s">
        <v>42</v>
      </c>
      <c r="L119" s="8" t="s">
        <v>42</v>
      </c>
      <c r="M119" s="9" t="s">
        <v>42</v>
      </c>
      <c r="O119"/>
      <c r="P119"/>
      <c r="Q119"/>
      <c r="R119"/>
      <c r="S119"/>
      <c r="T119"/>
      <c r="U119"/>
      <c r="V119"/>
      <c r="W119"/>
      <c r="X119"/>
    </row>
    <row r="120" ht="14.05" customHeight="true" spans="3:24">
      <c r="C120" s="21">
        <v>119</v>
      </c>
      <c r="D120" s="8">
        <v>96017.23</v>
      </c>
      <c r="E120" s="8">
        <v>2110.61</v>
      </c>
      <c r="F120" s="8">
        <v>821.03</v>
      </c>
      <c r="G120" s="8">
        <v>2931.64</v>
      </c>
      <c r="H120" s="8">
        <v>71.2</v>
      </c>
      <c r="I120" s="8">
        <v>0</v>
      </c>
      <c r="J120" s="9">
        <v>48064</v>
      </c>
      <c r="K120" s="8" t="s">
        <v>42</v>
      </c>
      <c r="L120" s="8" t="s">
        <v>42</v>
      </c>
      <c r="M120" s="9" t="s">
        <v>42</v>
      </c>
      <c r="O120"/>
      <c r="P120"/>
      <c r="Q120"/>
      <c r="R120"/>
      <c r="S120"/>
      <c r="T120"/>
      <c r="U120"/>
      <c r="V120"/>
      <c r="W120"/>
      <c r="X120"/>
    </row>
    <row r="121" ht="14.05" customHeight="true" spans="3:24">
      <c r="C121" s="21">
        <v>120</v>
      </c>
      <c r="D121" s="8">
        <v>93906.62</v>
      </c>
      <c r="E121" s="8">
        <v>2130.23</v>
      </c>
      <c r="F121" s="8">
        <v>802.98</v>
      </c>
      <c r="G121" s="8">
        <v>2933.21</v>
      </c>
      <c r="H121" s="8">
        <v>69.63</v>
      </c>
      <c r="I121" s="8">
        <v>0</v>
      </c>
      <c r="J121" s="9">
        <v>48095</v>
      </c>
      <c r="K121" s="8" t="s">
        <v>42</v>
      </c>
      <c r="L121" s="8" t="s">
        <v>42</v>
      </c>
      <c r="M121" s="9" t="s">
        <v>42</v>
      </c>
      <c r="O121"/>
      <c r="P121"/>
      <c r="Q121"/>
      <c r="R121"/>
      <c r="S121"/>
      <c r="T121"/>
      <c r="U121"/>
      <c r="V121"/>
      <c r="W121"/>
      <c r="X121"/>
    </row>
    <row r="122" ht="14.05" customHeight="true" spans="3:24">
      <c r="C122" s="21">
        <v>121</v>
      </c>
      <c r="D122" s="8">
        <v>91776.39</v>
      </c>
      <c r="E122" s="8">
        <v>2122.51</v>
      </c>
      <c r="F122" s="8">
        <v>810.08</v>
      </c>
      <c r="G122" s="8">
        <v>2932.59</v>
      </c>
      <c r="H122" s="8">
        <v>70.25</v>
      </c>
      <c r="I122" s="8">
        <v>0</v>
      </c>
      <c r="J122" s="9">
        <v>48127</v>
      </c>
      <c r="K122" s="8" t="s">
        <v>42</v>
      </c>
      <c r="L122" s="8" t="s">
        <v>42</v>
      </c>
      <c r="M122" s="9" t="s">
        <v>42</v>
      </c>
      <c r="O122"/>
      <c r="P122"/>
      <c r="Q122"/>
      <c r="R122"/>
      <c r="S122"/>
      <c r="T122"/>
      <c r="U122"/>
      <c r="V122"/>
      <c r="W122"/>
      <c r="X122"/>
    </row>
    <row r="123" ht="14.05" customHeight="true" spans="3:24">
      <c r="C123" s="21">
        <v>122</v>
      </c>
      <c r="D123" s="8">
        <v>89653.88</v>
      </c>
      <c r="E123" s="8">
        <v>2223.49</v>
      </c>
      <c r="F123" s="8">
        <v>717.16</v>
      </c>
      <c r="G123" s="8">
        <v>2940.65</v>
      </c>
      <c r="H123" s="8">
        <v>62.19</v>
      </c>
      <c r="I123" s="8">
        <v>0</v>
      </c>
      <c r="J123" s="9">
        <v>48156</v>
      </c>
      <c r="K123" s="8" t="s">
        <v>42</v>
      </c>
      <c r="L123" s="8" t="s">
        <v>42</v>
      </c>
      <c r="M123" s="9" t="s">
        <v>42</v>
      </c>
      <c r="O123"/>
      <c r="P123"/>
      <c r="Q123"/>
      <c r="R123"/>
      <c r="S123"/>
      <c r="T123"/>
      <c r="U123"/>
      <c r="V123"/>
      <c r="W123"/>
      <c r="X123"/>
    </row>
    <row r="124" ht="14.05" customHeight="true" spans="3:24">
      <c r="C124" s="21">
        <v>123</v>
      </c>
      <c r="D124" s="8">
        <v>87430.39</v>
      </c>
      <c r="E124" s="8">
        <v>2216.61</v>
      </c>
      <c r="F124" s="8">
        <v>723.49</v>
      </c>
      <c r="G124" s="8">
        <v>2940.1</v>
      </c>
      <c r="H124" s="8">
        <v>62.74</v>
      </c>
      <c r="I124" s="8">
        <v>0</v>
      </c>
      <c r="J124" s="9">
        <v>48186</v>
      </c>
      <c r="K124" s="8" t="s">
        <v>42</v>
      </c>
      <c r="L124" s="8" t="s">
        <v>42</v>
      </c>
      <c r="M124" s="9" t="s">
        <v>42</v>
      </c>
      <c r="O124"/>
      <c r="P124"/>
      <c r="Q124"/>
      <c r="R124"/>
      <c r="S124"/>
      <c r="T124"/>
      <c r="U124"/>
      <c r="V124"/>
      <c r="W124"/>
      <c r="X124"/>
    </row>
    <row r="125" ht="14.05" customHeight="true" spans="3:24">
      <c r="C125" s="21">
        <v>124</v>
      </c>
      <c r="D125" s="8">
        <v>85213.78</v>
      </c>
      <c r="E125" s="8">
        <v>2185.46</v>
      </c>
      <c r="F125" s="8">
        <v>752.15</v>
      </c>
      <c r="G125" s="8">
        <v>2937.61</v>
      </c>
      <c r="H125" s="8">
        <v>65.23</v>
      </c>
      <c r="I125" s="8">
        <v>0</v>
      </c>
      <c r="J125" s="9">
        <v>48218</v>
      </c>
      <c r="K125" s="8" t="s">
        <v>42</v>
      </c>
      <c r="L125" s="8" t="s">
        <v>42</v>
      </c>
      <c r="M125" s="9" t="s">
        <v>42</v>
      </c>
      <c r="O125"/>
      <c r="P125"/>
      <c r="Q125"/>
      <c r="R125"/>
      <c r="S125"/>
      <c r="T125"/>
      <c r="U125"/>
      <c r="V125"/>
      <c r="W125"/>
      <c r="X125"/>
    </row>
    <row r="126" ht="14.05" customHeight="true" spans="3:24">
      <c r="C126" s="21">
        <v>125</v>
      </c>
      <c r="D126" s="8">
        <v>83028.32</v>
      </c>
      <c r="E126" s="8">
        <v>2256.2</v>
      </c>
      <c r="F126" s="8">
        <v>687.06</v>
      </c>
      <c r="G126" s="8">
        <v>2943.26</v>
      </c>
      <c r="H126" s="8">
        <v>59.58</v>
      </c>
      <c r="I126" s="8">
        <v>0</v>
      </c>
      <c r="J126" s="9">
        <v>48248</v>
      </c>
      <c r="K126" s="8" t="s">
        <v>42</v>
      </c>
      <c r="L126" s="8" t="s">
        <v>42</v>
      </c>
      <c r="M126" s="9" t="s">
        <v>42</v>
      </c>
      <c r="O126"/>
      <c r="P126"/>
      <c r="Q126"/>
      <c r="R126"/>
      <c r="S126"/>
      <c r="T126"/>
      <c r="U126"/>
      <c r="V126"/>
      <c r="W126"/>
      <c r="X126"/>
    </row>
    <row r="127" ht="14.05" customHeight="true" spans="3:24">
      <c r="C127" s="21">
        <v>126</v>
      </c>
      <c r="D127" s="8">
        <v>80772.12</v>
      </c>
      <c r="E127" s="8">
        <v>2300.7</v>
      </c>
      <c r="F127" s="8">
        <v>646.11</v>
      </c>
      <c r="G127" s="8">
        <v>2946.81</v>
      </c>
      <c r="H127" s="8">
        <v>56.03</v>
      </c>
      <c r="I127" s="8">
        <v>0</v>
      </c>
      <c r="J127" s="9">
        <v>48277</v>
      </c>
      <c r="K127" s="8" t="s">
        <v>42</v>
      </c>
      <c r="L127" s="8" t="s">
        <v>42</v>
      </c>
      <c r="M127" s="9" t="s">
        <v>42</v>
      </c>
      <c r="O127"/>
      <c r="P127"/>
      <c r="Q127"/>
      <c r="R127"/>
      <c r="S127"/>
      <c r="T127"/>
      <c r="U127"/>
      <c r="V127"/>
      <c r="W127"/>
      <c r="X127"/>
    </row>
    <row r="128" ht="14.05" customHeight="true" spans="3:24">
      <c r="C128" s="21">
        <v>127</v>
      </c>
      <c r="D128" s="8">
        <v>78471.42</v>
      </c>
      <c r="E128" s="8">
        <v>2250.13</v>
      </c>
      <c r="F128" s="8">
        <v>692.64</v>
      </c>
      <c r="G128" s="8">
        <v>2942.77</v>
      </c>
      <c r="H128" s="8">
        <v>60.07</v>
      </c>
      <c r="I128" s="8">
        <v>0</v>
      </c>
      <c r="J128" s="9">
        <v>48309</v>
      </c>
      <c r="K128" s="8" t="s">
        <v>42</v>
      </c>
      <c r="L128" s="8" t="s">
        <v>42</v>
      </c>
      <c r="M128" s="9" t="s">
        <v>42</v>
      </c>
      <c r="O128"/>
      <c r="P128"/>
      <c r="Q128"/>
      <c r="R128"/>
      <c r="S128"/>
      <c r="T128"/>
      <c r="U128"/>
      <c r="V128"/>
      <c r="W128"/>
      <c r="X128"/>
    </row>
    <row r="129" ht="14.05" customHeight="true" spans="3:24">
      <c r="C129" s="21">
        <v>128</v>
      </c>
      <c r="D129" s="8">
        <v>76221.29</v>
      </c>
      <c r="E129" s="8">
        <v>2340.26</v>
      </c>
      <c r="F129" s="8">
        <v>609.71</v>
      </c>
      <c r="G129" s="8">
        <v>2949.97</v>
      </c>
      <c r="H129" s="8">
        <v>52.87</v>
      </c>
      <c r="I129" s="8">
        <v>0</v>
      </c>
      <c r="J129" s="9">
        <v>48338</v>
      </c>
      <c r="K129" s="8" t="s">
        <v>42</v>
      </c>
      <c r="L129" s="8" t="s">
        <v>42</v>
      </c>
      <c r="M129" s="9" t="s">
        <v>42</v>
      </c>
      <c r="O129"/>
      <c r="P129"/>
      <c r="Q129"/>
      <c r="R129"/>
      <c r="S129"/>
      <c r="T129"/>
      <c r="U129"/>
      <c r="V129"/>
      <c r="W129"/>
      <c r="X129"/>
    </row>
    <row r="130" ht="14.05" customHeight="true" spans="3:24">
      <c r="C130" s="21">
        <v>129</v>
      </c>
      <c r="D130" s="8">
        <v>73881.03</v>
      </c>
      <c r="E130" s="8">
        <v>2316.32</v>
      </c>
      <c r="F130" s="8">
        <v>631.74</v>
      </c>
      <c r="G130" s="8">
        <v>2948.06</v>
      </c>
      <c r="H130" s="8">
        <v>54.78</v>
      </c>
      <c r="I130" s="8">
        <v>0</v>
      </c>
      <c r="J130" s="9">
        <v>48369</v>
      </c>
      <c r="K130" s="8" t="s">
        <v>42</v>
      </c>
      <c r="L130" s="8" t="s">
        <v>42</v>
      </c>
      <c r="M130" s="9" t="s">
        <v>42</v>
      </c>
      <c r="O130"/>
      <c r="P130"/>
      <c r="Q130"/>
      <c r="R130"/>
      <c r="S130"/>
      <c r="T130"/>
      <c r="U130"/>
      <c r="V130"/>
      <c r="W130"/>
      <c r="X130"/>
    </row>
    <row r="131" ht="14.05" customHeight="true" spans="3:19">
      <c r="C131" s="21">
        <v>130</v>
      </c>
      <c r="D131" s="8">
        <v>71564.71</v>
      </c>
      <c r="E131" s="8">
        <v>2337.83</v>
      </c>
      <c r="F131" s="8">
        <v>611.94</v>
      </c>
      <c r="G131" s="8">
        <v>2949.77</v>
      </c>
      <c r="H131" s="8">
        <v>53.07</v>
      </c>
      <c r="I131" s="8">
        <v>0</v>
      </c>
      <c r="J131" s="9">
        <v>48400</v>
      </c>
      <c r="K131" s="8" t="s">
        <v>42</v>
      </c>
      <c r="L131" s="8" t="s">
        <v>42</v>
      </c>
      <c r="M131" s="9" t="s">
        <v>42</v>
      </c>
      <c r="S131"/>
    </row>
    <row r="132" ht="14.05" customHeight="true" spans="3:19">
      <c r="C132" s="21">
        <v>131</v>
      </c>
      <c r="D132" s="8">
        <v>69226.88</v>
      </c>
      <c r="E132" s="8">
        <v>2380.31</v>
      </c>
      <c r="F132" s="8">
        <v>572.85</v>
      </c>
      <c r="G132" s="8">
        <v>2953.16</v>
      </c>
      <c r="H132" s="8">
        <v>49.68</v>
      </c>
      <c r="I132" s="8">
        <v>0</v>
      </c>
      <c r="J132" s="9">
        <v>48430</v>
      </c>
      <c r="K132" s="8" t="s">
        <v>42</v>
      </c>
      <c r="L132" s="8" t="s">
        <v>42</v>
      </c>
      <c r="M132" s="9" t="s">
        <v>42</v>
      </c>
      <c r="S132"/>
    </row>
    <row r="133" ht="14.05" customHeight="true" spans="3:19">
      <c r="C133" s="21">
        <v>132</v>
      </c>
      <c r="D133" s="8">
        <v>66846.57</v>
      </c>
      <c r="E133" s="8">
        <v>2341.6</v>
      </c>
      <c r="F133" s="8">
        <v>608.47</v>
      </c>
      <c r="G133" s="8">
        <v>2950.07</v>
      </c>
      <c r="H133" s="8">
        <v>52.77</v>
      </c>
      <c r="I133" s="8">
        <v>0</v>
      </c>
      <c r="J133" s="9">
        <v>48463</v>
      </c>
      <c r="K133" s="8" t="s">
        <v>42</v>
      </c>
      <c r="L133" s="8" t="s">
        <v>42</v>
      </c>
      <c r="M133" s="9" t="s">
        <v>42</v>
      </c>
      <c r="S133"/>
    </row>
    <row r="134" ht="14.05" customHeight="true" spans="3:19">
      <c r="C134" s="21">
        <v>133</v>
      </c>
      <c r="D134" s="8">
        <v>64504.97</v>
      </c>
      <c r="E134" s="8">
        <v>2461.45</v>
      </c>
      <c r="F134" s="8">
        <v>498.19</v>
      </c>
      <c r="G134" s="8">
        <v>2959.64</v>
      </c>
      <c r="H134" s="8">
        <v>43.2</v>
      </c>
      <c r="I134" s="8">
        <v>0</v>
      </c>
      <c r="J134" s="9">
        <v>48491</v>
      </c>
      <c r="K134" s="8" t="s">
        <v>42</v>
      </c>
      <c r="L134" s="8" t="s">
        <v>42</v>
      </c>
      <c r="M134" s="9" t="s">
        <v>42</v>
      </c>
      <c r="S134"/>
    </row>
    <row r="135" ht="14.05" customHeight="true" spans="3:19">
      <c r="C135" s="21">
        <v>134</v>
      </c>
      <c r="D135" s="8">
        <v>62043.52</v>
      </c>
      <c r="E135" s="8">
        <v>2426.31</v>
      </c>
      <c r="F135" s="8">
        <v>530.52</v>
      </c>
      <c r="G135" s="8">
        <v>2956.83</v>
      </c>
      <c r="H135" s="8">
        <v>46.01</v>
      </c>
      <c r="I135" s="8">
        <v>0</v>
      </c>
      <c r="J135" s="9">
        <v>48522</v>
      </c>
      <c r="K135" s="8" t="s">
        <v>42</v>
      </c>
      <c r="L135" s="8" t="s">
        <v>42</v>
      </c>
      <c r="M135" s="9" t="s">
        <v>42</v>
      </c>
      <c r="S135"/>
    </row>
    <row r="136" ht="14.05" customHeight="true" spans="3:19">
      <c r="C136" s="21">
        <v>135</v>
      </c>
      <c r="D136" s="8">
        <v>59617.21</v>
      </c>
      <c r="E136" s="8">
        <v>2430.99</v>
      </c>
      <c r="F136" s="8">
        <v>526.22</v>
      </c>
      <c r="G136" s="8">
        <v>2957.21</v>
      </c>
      <c r="H136" s="8">
        <v>45.63</v>
      </c>
      <c r="I136" s="8">
        <v>0</v>
      </c>
      <c r="J136" s="9">
        <v>48554</v>
      </c>
      <c r="K136" s="8" t="s">
        <v>42</v>
      </c>
      <c r="L136" s="8" t="s">
        <v>42</v>
      </c>
      <c r="M136" s="9" t="s">
        <v>42</v>
      </c>
      <c r="S136"/>
    </row>
    <row r="137" ht="14.05" customHeight="true" spans="3:19">
      <c r="C137" s="21">
        <v>136</v>
      </c>
      <c r="D137" s="8">
        <v>57186.22</v>
      </c>
      <c r="E137" s="8">
        <v>2505.73</v>
      </c>
      <c r="F137" s="8">
        <v>457.44</v>
      </c>
      <c r="G137" s="8">
        <v>2963.17</v>
      </c>
      <c r="H137" s="8">
        <v>39.67</v>
      </c>
      <c r="I137" s="8">
        <v>0</v>
      </c>
      <c r="J137" s="9">
        <v>48583</v>
      </c>
      <c r="K137" s="8" t="s">
        <v>42</v>
      </c>
      <c r="L137" s="8" t="s">
        <v>42</v>
      </c>
      <c r="M137" s="9" t="s">
        <v>42</v>
      </c>
      <c r="S137"/>
    </row>
    <row r="138" ht="14.05" customHeight="true" spans="3:19">
      <c r="C138" s="21">
        <v>137</v>
      </c>
      <c r="D138" s="8">
        <v>54680.49</v>
      </c>
      <c r="E138" s="8">
        <v>2494.73</v>
      </c>
      <c r="F138" s="8">
        <v>467.56</v>
      </c>
      <c r="G138" s="8">
        <v>2962.29</v>
      </c>
      <c r="H138" s="8">
        <v>40.55</v>
      </c>
      <c r="I138" s="8">
        <v>0</v>
      </c>
      <c r="J138" s="9">
        <v>48614</v>
      </c>
      <c r="K138" s="8" t="s">
        <v>42</v>
      </c>
      <c r="L138" s="8" t="s">
        <v>42</v>
      </c>
      <c r="M138" s="9" t="s">
        <v>42</v>
      </c>
      <c r="S138"/>
    </row>
    <row r="139" ht="14.05" customHeight="true" spans="3:19">
      <c r="C139" s="21">
        <v>138</v>
      </c>
      <c r="D139" s="8">
        <v>52185.76</v>
      </c>
      <c r="E139" s="8">
        <v>2564.84</v>
      </c>
      <c r="F139" s="8">
        <v>403.05</v>
      </c>
      <c r="G139" s="8">
        <v>2967.89</v>
      </c>
      <c r="H139" s="8">
        <v>34.95</v>
      </c>
      <c r="I139" s="8">
        <v>0</v>
      </c>
      <c r="J139" s="9">
        <v>48642</v>
      </c>
      <c r="K139" s="8" t="s">
        <v>42</v>
      </c>
      <c r="L139" s="8" t="s">
        <v>42</v>
      </c>
      <c r="M139" s="9" t="s">
        <v>42</v>
      </c>
      <c r="S139"/>
    </row>
    <row r="140" ht="14.05" customHeight="true" spans="3:19">
      <c r="C140" s="21">
        <v>139</v>
      </c>
      <c r="D140" s="8">
        <v>49620.92</v>
      </c>
      <c r="E140" s="8">
        <v>2541.75</v>
      </c>
      <c r="F140" s="8">
        <v>424.3</v>
      </c>
      <c r="G140" s="8">
        <v>2966.05</v>
      </c>
      <c r="H140" s="8">
        <v>36.79</v>
      </c>
      <c r="I140" s="8">
        <v>0</v>
      </c>
      <c r="J140" s="9">
        <v>48673</v>
      </c>
      <c r="K140" s="8" t="s">
        <v>42</v>
      </c>
      <c r="L140" s="8" t="s">
        <v>42</v>
      </c>
      <c r="M140" s="9" t="s">
        <v>42</v>
      </c>
      <c r="S140"/>
    </row>
    <row r="141" ht="14.05" customHeight="true" spans="3:19">
      <c r="C141" s="21">
        <v>140</v>
      </c>
      <c r="D141" s="8">
        <v>47079.17</v>
      </c>
      <c r="E141" s="8">
        <v>2579.48</v>
      </c>
      <c r="F141" s="8">
        <v>389.58</v>
      </c>
      <c r="G141" s="8">
        <v>2969.06</v>
      </c>
      <c r="H141" s="8">
        <v>33.78</v>
      </c>
      <c r="I141" s="8">
        <v>0</v>
      </c>
      <c r="J141" s="9">
        <v>48703</v>
      </c>
      <c r="K141" s="8" t="s">
        <v>42</v>
      </c>
      <c r="L141" s="8" t="s">
        <v>42</v>
      </c>
      <c r="M141" s="9" t="s">
        <v>42</v>
      </c>
      <c r="S141"/>
    </row>
    <row r="142" ht="14.05" customHeight="true" spans="3:19">
      <c r="C142" s="21">
        <v>141</v>
      </c>
      <c r="D142" s="8">
        <v>44499.69</v>
      </c>
      <c r="E142" s="8">
        <v>2562.65</v>
      </c>
      <c r="F142" s="8">
        <v>405.06</v>
      </c>
      <c r="G142" s="8">
        <v>2967.71</v>
      </c>
      <c r="H142" s="8">
        <v>35.13</v>
      </c>
      <c r="I142" s="8">
        <v>0</v>
      </c>
      <c r="J142" s="9">
        <v>48736</v>
      </c>
      <c r="K142" s="8" t="s">
        <v>42</v>
      </c>
      <c r="L142" s="8" t="s">
        <v>42</v>
      </c>
      <c r="M142" s="9" t="s">
        <v>42</v>
      </c>
      <c r="S142"/>
    </row>
    <row r="143" ht="14.05" customHeight="true" spans="3:19">
      <c r="C143" s="21">
        <v>142</v>
      </c>
      <c r="D143" s="8">
        <v>41937.04</v>
      </c>
      <c r="E143" s="8">
        <v>2650.86</v>
      </c>
      <c r="F143" s="8">
        <v>323.89</v>
      </c>
      <c r="G143" s="8">
        <v>2974.75</v>
      </c>
      <c r="H143" s="8">
        <v>28.09</v>
      </c>
      <c r="I143" s="8">
        <v>0</v>
      </c>
      <c r="J143" s="9">
        <v>48764</v>
      </c>
      <c r="K143" s="8" t="s">
        <v>42</v>
      </c>
      <c r="L143" s="8" t="s">
        <v>42</v>
      </c>
      <c r="M143" s="9" t="s">
        <v>42</v>
      </c>
      <c r="S143"/>
    </row>
    <row r="144" ht="14.05" customHeight="true" spans="3:19">
      <c r="C144" s="21">
        <v>143</v>
      </c>
      <c r="D144" s="8">
        <v>39286.18</v>
      </c>
      <c r="E144" s="8">
        <v>2637.78</v>
      </c>
      <c r="F144" s="8">
        <v>335.93</v>
      </c>
      <c r="G144" s="8">
        <v>2973.71</v>
      </c>
      <c r="H144" s="8">
        <v>29.13</v>
      </c>
      <c r="I144" s="8">
        <v>0</v>
      </c>
      <c r="J144" s="9">
        <v>48795</v>
      </c>
      <c r="K144" s="8" t="s">
        <v>42</v>
      </c>
      <c r="L144" s="8" t="s">
        <v>42</v>
      </c>
      <c r="M144" s="9" t="s">
        <v>42</v>
      </c>
      <c r="S144"/>
    </row>
    <row r="145" ht="14.05" customHeight="true" spans="3:19">
      <c r="C145" s="21">
        <v>144</v>
      </c>
      <c r="D145" s="8">
        <v>36648.4</v>
      </c>
      <c r="E145" s="8">
        <v>2651.31</v>
      </c>
      <c r="F145" s="8">
        <v>323.48</v>
      </c>
      <c r="G145" s="8">
        <v>2974.79</v>
      </c>
      <c r="H145" s="8">
        <v>28.05</v>
      </c>
      <c r="I145" s="8">
        <v>0</v>
      </c>
      <c r="J145" s="9">
        <v>48827</v>
      </c>
      <c r="K145" s="8" t="s">
        <v>42</v>
      </c>
      <c r="L145" s="8" t="s">
        <v>42</v>
      </c>
      <c r="M145" s="9" t="s">
        <v>42</v>
      </c>
      <c r="S145"/>
    </row>
    <row r="146" ht="14.05" customHeight="true" spans="3:19">
      <c r="C146" s="21">
        <v>145</v>
      </c>
      <c r="D146" s="8">
        <v>33997.09</v>
      </c>
      <c r="E146" s="8">
        <v>2707.31</v>
      </c>
      <c r="F146" s="8">
        <v>271.95</v>
      </c>
      <c r="G146" s="8">
        <v>2979.26</v>
      </c>
      <c r="H146" s="8">
        <v>23.58</v>
      </c>
      <c r="I146" s="8">
        <v>0</v>
      </c>
      <c r="J146" s="9">
        <v>48856</v>
      </c>
      <c r="K146" s="8" t="s">
        <v>42</v>
      </c>
      <c r="L146" s="8" t="s">
        <v>42</v>
      </c>
      <c r="M146" s="9" t="s">
        <v>42</v>
      </c>
      <c r="S146"/>
    </row>
    <row r="147" ht="14.05" customHeight="true" spans="3:19">
      <c r="C147" s="21">
        <v>146</v>
      </c>
      <c r="D147" s="8">
        <v>31289.78</v>
      </c>
      <c r="E147" s="8">
        <v>2712.09</v>
      </c>
      <c r="F147" s="8">
        <v>267.55</v>
      </c>
      <c r="G147" s="8">
        <v>2979.64</v>
      </c>
      <c r="H147" s="8">
        <v>23.2</v>
      </c>
      <c r="I147" s="8">
        <v>0</v>
      </c>
      <c r="J147" s="9">
        <v>48887</v>
      </c>
      <c r="K147" s="8" t="s">
        <v>42</v>
      </c>
      <c r="L147" s="8" t="s">
        <v>42</v>
      </c>
      <c r="M147" s="9" t="s">
        <v>42</v>
      </c>
      <c r="S147"/>
    </row>
    <row r="148" ht="14.05" customHeight="true" spans="3:19">
      <c r="C148" s="21">
        <v>147</v>
      </c>
      <c r="D148" s="8">
        <v>28577.69</v>
      </c>
      <c r="E148" s="8">
        <v>2737.29</v>
      </c>
      <c r="F148" s="8">
        <v>244.36</v>
      </c>
      <c r="G148" s="8">
        <v>2981.65</v>
      </c>
      <c r="H148" s="8">
        <v>21.19</v>
      </c>
      <c r="I148" s="8">
        <v>0</v>
      </c>
      <c r="J148" s="9">
        <v>48918</v>
      </c>
      <c r="K148" s="8" t="s">
        <v>42</v>
      </c>
      <c r="L148" s="8" t="s">
        <v>42</v>
      </c>
      <c r="M148" s="9" t="s">
        <v>42</v>
      </c>
      <c r="S148"/>
    </row>
    <row r="149" ht="14.05" customHeight="true" spans="3:19">
      <c r="C149" s="21">
        <v>148</v>
      </c>
      <c r="D149" s="8">
        <v>25840.4</v>
      </c>
      <c r="E149" s="8">
        <v>2770.47</v>
      </c>
      <c r="F149" s="8">
        <v>213.83</v>
      </c>
      <c r="G149" s="8">
        <v>2984.3</v>
      </c>
      <c r="H149" s="8">
        <v>18.54</v>
      </c>
      <c r="I149" s="8">
        <v>0</v>
      </c>
      <c r="J149" s="9">
        <v>48948</v>
      </c>
      <c r="K149" s="8" t="s">
        <v>42</v>
      </c>
      <c r="L149" s="8" t="s">
        <v>42</v>
      </c>
      <c r="M149" s="9" t="s">
        <v>42</v>
      </c>
      <c r="S149"/>
    </row>
    <row r="150" ht="14.05" customHeight="true" spans="3:19">
      <c r="C150" s="21">
        <v>149</v>
      </c>
      <c r="D150" s="8">
        <v>23069.93</v>
      </c>
      <c r="E150" s="8">
        <v>2774.64</v>
      </c>
      <c r="F150" s="8">
        <v>209.99</v>
      </c>
      <c r="G150" s="8">
        <v>2984.63</v>
      </c>
      <c r="H150" s="8">
        <v>18.21</v>
      </c>
      <c r="I150" s="8">
        <v>0</v>
      </c>
      <c r="J150" s="9">
        <v>48981</v>
      </c>
      <c r="K150" s="8" t="s">
        <v>42</v>
      </c>
      <c r="L150" s="8" t="s">
        <v>42</v>
      </c>
      <c r="M150" s="9" t="s">
        <v>42</v>
      </c>
      <c r="S150"/>
    </row>
    <row r="151" ht="14.05" customHeight="true" spans="3:19">
      <c r="C151" s="21">
        <v>150</v>
      </c>
      <c r="D151" s="8">
        <v>20295.29</v>
      </c>
      <c r="E151" s="8">
        <v>2832.5</v>
      </c>
      <c r="F151" s="8">
        <v>156.75</v>
      </c>
      <c r="G151" s="8">
        <v>2989.25</v>
      </c>
      <c r="H151" s="8">
        <v>13.59</v>
      </c>
      <c r="I151" s="8">
        <v>0</v>
      </c>
      <c r="J151" s="9">
        <v>49009</v>
      </c>
      <c r="K151" s="8" t="s">
        <v>42</v>
      </c>
      <c r="L151" s="8" t="s">
        <v>42</v>
      </c>
      <c r="M151" s="9" t="s">
        <v>42</v>
      </c>
      <c r="S151"/>
    </row>
    <row r="152" ht="14.05" customHeight="true" spans="3:19">
      <c r="C152" s="21">
        <v>151</v>
      </c>
      <c r="D152" s="8">
        <v>17462.79</v>
      </c>
      <c r="E152" s="8">
        <v>2851.04</v>
      </c>
      <c r="F152" s="8">
        <v>139.69</v>
      </c>
      <c r="G152" s="8">
        <v>2990.73</v>
      </c>
      <c r="H152" s="8">
        <v>12.11</v>
      </c>
      <c r="I152" s="8">
        <v>0</v>
      </c>
      <c r="J152" s="9">
        <v>49038</v>
      </c>
      <c r="K152" s="8" t="s">
        <v>42</v>
      </c>
      <c r="L152" s="8" t="s">
        <v>42</v>
      </c>
      <c r="M152" s="9" t="s">
        <v>42</v>
      </c>
      <c r="S152"/>
    </row>
    <row r="153" ht="14.05" customHeight="true" spans="3:19">
      <c r="C153" s="21">
        <v>152</v>
      </c>
      <c r="D153" s="8">
        <v>14611.75</v>
      </c>
      <c r="E153" s="8">
        <v>2871.44</v>
      </c>
      <c r="F153" s="8">
        <v>120.91</v>
      </c>
      <c r="G153" s="8">
        <v>2992.35</v>
      </c>
      <c r="H153" s="8">
        <v>10.49</v>
      </c>
      <c r="I153" s="8">
        <v>0</v>
      </c>
      <c r="J153" s="9">
        <v>49068</v>
      </c>
      <c r="K153" s="8" t="s">
        <v>42</v>
      </c>
      <c r="L153" s="8" t="s">
        <v>42</v>
      </c>
      <c r="M153" s="9" t="s">
        <v>42</v>
      </c>
      <c r="S153"/>
    </row>
    <row r="154" ht="14.05" customHeight="true" spans="3:19">
      <c r="C154" s="21">
        <v>153</v>
      </c>
      <c r="D154" s="8">
        <v>11740.31</v>
      </c>
      <c r="E154" s="8">
        <v>2890.22</v>
      </c>
      <c r="F154" s="8">
        <v>103.63</v>
      </c>
      <c r="G154" s="8">
        <v>2993.85</v>
      </c>
      <c r="H154" s="8">
        <v>8.99</v>
      </c>
      <c r="I154" s="8">
        <v>0</v>
      </c>
      <c r="J154" s="9">
        <v>49100</v>
      </c>
      <c r="K154" s="8" t="s">
        <v>42</v>
      </c>
      <c r="L154" s="8" t="s">
        <v>42</v>
      </c>
      <c r="M154" s="9" t="s">
        <v>42</v>
      </c>
      <c r="S154"/>
    </row>
    <row r="155" ht="14.05" customHeight="true" spans="3:19">
      <c r="C155" s="21">
        <v>154</v>
      </c>
      <c r="D155" s="8">
        <v>8850.09</v>
      </c>
      <c r="E155" s="8">
        <v>2925.91</v>
      </c>
      <c r="F155" s="8">
        <v>70.79</v>
      </c>
      <c r="G155" s="8">
        <v>2996.7</v>
      </c>
      <c r="H155" s="8">
        <v>6.14</v>
      </c>
      <c r="I155" s="8">
        <v>0</v>
      </c>
      <c r="J155" s="9">
        <v>49129</v>
      </c>
      <c r="K155" s="8" t="s">
        <v>42</v>
      </c>
      <c r="L155" s="8" t="s">
        <v>42</v>
      </c>
      <c r="M155" s="9" t="s">
        <v>42</v>
      </c>
      <c r="S155"/>
    </row>
    <row r="156" ht="14.05" customHeight="true" spans="3:19">
      <c r="C156" s="21">
        <v>155</v>
      </c>
      <c r="D156" s="8">
        <v>5924.18</v>
      </c>
      <c r="E156" s="8">
        <v>2947.79</v>
      </c>
      <c r="F156" s="8">
        <v>50.66</v>
      </c>
      <c r="G156" s="8">
        <v>2998.45</v>
      </c>
      <c r="H156" s="8">
        <v>4.39</v>
      </c>
      <c r="I156" s="8">
        <v>0</v>
      </c>
      <c r="J156" s="9">
        <v>49160</v>
      </c>
      <c r="K156" s="8" t="s">
        <v>42</v>
      </c>
      <c r="L156" s="8" t="s">
        <v>42</v>
      </c>
      <c r="M156" s="9" t="s">
        <v>42</v>
      </c>
      <c r="S156"/>
    </row>
    <row r="157" ht="14.05" customHeight="true" spans="3:19">
      <c r="C157" s="21">
        <v>156</v>
      </c>
      <c r="D157" s="8">
        <v>2976.39</v>
      </c>
      <c r="E157" s="8">
        <v>2976.39</v>
      </c>
      <c r="F157" s="8">
        <v>25.45</v>
      </c>
      <c r="G157" s="8">
        <v>3001.84</v>
      </c>
      <c r="H157" s="8">
        <v>2.21</v>
      </c>
      <c r="I157" s="8">
        <v>0</v>
      </c>
      <c r="J157" s="9">
        <v>49191</v>
      </c>
      <c r="K157" s="8" t="s">
        <v>42</v>
      </c>
      <c r="L157" s="8" t="s">
        <v>42</v>
      </c>
      <c r="M157" s="9" t="s">
        <v>42</v>
      </c>
      <c r="S157"/>
    </row>
    <row r="158" spans="19:19">
      <c r="S158"/>
    </row>
    <row r="159" spans="19:19">
      <c r="S159"/>
    </row>
    <row r="160" spans="19:19">
      <c r="S160"/>
    </row>
    <row r="161" spans="19:19">
      <c r="S161"/>
    </row>
    <row r="162" spans="19:19">
      <c r="S162"/>
    </row>
    <row r="163" spans="19:19">
      <c r="S163"/>
    </row>
    <row r="164" spans="6:19">
      <c r="F164" s="14"/>
      <c r="S164"/>
    </row>
    <row r="165" spans="19:19">
      <c r="S165"/>
    </row>
    <row r="166" spans="19:19">
      <c r="S166"/>
    </row>
    <row r="167" spans="19:19">
      <c r="S167"/>
    </row>
    <row r="168" spans="19:19">
      <c r="S168"/>
    </row>
    <row r="169" spans="19:19">
      <c r="S169"/>
    </row>
    <row r="170" spans="19:19">
      <c r="S170"/>
    </row>
    <row r="171" spans="19:19">
      <c r="S171"/>
    </row>
    <row r="172" spans="19:19">
      <c r="S172"/>
    </row>
    <row r="173" spans="19:19">
      <c r="S173"/>
    </row>
    <row r="174" spans="19:19">
      <c r="S174"/>
    </row>
    <row r="175" spans="19:19">
      <c r="S175"/>
    </row>
    <row r="176" spans="19:19">
      <c r="S176"/>
    </row>
    <row r="177" spans="19:19">
      <c r="S177"/>
    </row>
    <row r="178" spans="19:19">
      <c r="S178"/>
    </row>
    <row r="179" spans="19:19">
      <c r="S179"/>
    </row>
    <row r="180" spans="19:19">
      <c r="S180"/>
    </row>
    <row r="181" spans="19:19">
      <c r="S181"/>
    </row>
    <row r="182" spans="19:19">
      <c r="S182"/>
    </row>
    <row r="183" spans="19:19">
      <c r="S183"/>
    </row>
    <row r="184" spans="19:19">
      <c r="S184"/>
    </row>
    <row r="185" spans="19:19">
      <c r="S185"/>
    </row>
    <row r="186" spans="19:19">
      <c r="S186"/>
    </row>
    <row r="187" spans="19:19">
      <c r="S187"/>
    </row>
    <row r="188" spans="19:19">
      <c r="S188"/>
    </row>
    <row r="189" spans="19:19">
      <c r="S189"/>
    </row>
    <row r="190" spans="19:19">
      <c r="S190"/>
    </row>
    <row r="191" spans="19:19">
      <c r="S191"/>
    </row>
    <row r="192" spans="19:19">
      <c r="S192"/>
    </row>
    <row r="193" spans="19:19">
      <c r="S193"/>
    </row>
    <row r="194" spans="19:19">
      <c r="S194"/>
    </row>
    <row r="195" spans="19:19">
      <c r="S195"/>
    </row>
    <row r="196" spans="19:19">
      <c r="S196"/>
    </row>
    <row r="197" spans="19:19">
      <c r="S197"/>
    </row>
    <row r="198" spans="19:19">
      <c r="S198"/>
    </row>
    <row r="199" spans="19:19">
      <c r="S199"/>
    </row>
    <row r="200" spans="19:19">
      <c r="S200"/>
    </row>
    <row r="201" spans="19:19">
      <c r="S201"/>
    </row>
    <row r="202" spans="19:19">
      <c r="S202"/>
    </row>
    <row r="203" spans="19:19">
      <c r="S203"/>
    </row>
    <row r="204" spans="19:19">
      <c r="S204"/>
    </row>
    <row r="205" spans="19:19">
      <c r="S205"/>
    </row>
    <row r="206" spans="19:19">
      <c r="S206"/>
    </row>
    <row r="207" spans="19:19">
      <c r="S207"/>
    </row>
    <row r="208" spans="19:19">
      <c r="S208"/>
    </row>
    <row r="209" spans="19:19">
      <c r="S209"/>
    </row>
    <row r="210" spans="19:19">
      <c r="S210"/>
    </row>
    <row r="211" spans="19:19">
      <c r="S211"/>
    </row>
    <row r="212" spans="19:19">
      <c r="S212"/>
    </row>
    <row r="213" spans="19:19">
      <c r="S213"/>
    </row>
    <row r="214" spans="19:19">
      <c r="S214"/>
    </row>
    <row r="215" spans="19:19">
      <c r="S215"/>
    </row>
    <row r="216" spans="19:19">
      <c r="S216"/>
    </row>
    <row r="217" spans="19:19">
      <c r="S217"/>
    </row>
    <row r="218" spans="19:19">
      <c r="S218"/>
    </row>
    <row r="219" spans="19:19">
      <c r="S219"/>
    </row>
    <row r="220" spans="19:19">
      <c r="S220"/>
    </row>
    <row r="221" spans="19:19">
      <c r="S221"/>
    </row>
    <row r="222" spans="19:19">
      <c r="S222"/>
    </row>
    <row r="223" spans="19:19">
      <c r="S223"/>
    </row>
    <row r="224" spans="19:19">
      <c r="S224"/>
    </row>
    <row r="225" spans="19:19">
      <c r="S225"/>
    </row>
    <row r="226" spans="19:19">
      <c r="S226"/>
    </row>
    <row r="227" spans="19:19">
      <c r="S227"/>
    </row>
    <row r="228" spans="19:19">
      <c r="S228"/>
    </row>
    <row r="229" spans="19:19">
      <c r="S229"/>
    </row>
    <row r="230" spans="19:19">
      <c r="S230"/>
    </row>
    <row r="231" spans="19:19">
      <c r="S231"/>
    </row>
    <row r="232" spans="19:19">
      <c r="S232"/>
    </row>
    <row r="233" spans="19:19">
      <c r="S233"/>
    </row>
    <row r="234" spans="19:19">
      <c r="S234"/>
    </row>
    <row r="235" spans="19:19">
      <c r="S235"/>
    </row>
    <row r="236" spans="19:19">
      <c r="S236"/>
    </row>
    <row r="237" spans="19:19">
      <c r="S237"/>
    </row>
    <row r="238" spans="19:19">
      <c r="S238"/>
    </row>
    <row r="239" spans="19:19">
      <c r="S239"/>
    </row>
    <row r="240" spans="19:19">
      <c r="S240"/>
    </row>
    <row r="241" spans="19:19">
      <c r="S241"/>
    </row>
    <row r="242" spans="19:19">
      <c r="S242"/>
    </row>
    <row r="243" spans="19:19">
      <c r="S243"/>
    </row>
    <row r="244" spans="19:19">
      <c r="S244"/>
    </row>
    <row r="245" spans="19:19">
      <c r="S245"/>
    </row>
    <row r="246" spans="19:19">
      <c r="S246"/>
    </row>
    <row r="247" spans="19:19">
      <c r="S247"/>
    </row>
    <row r="248" spans="19:19">
      <c r="S248"/>
    </row>
    <row r="249" spans="19:19">
      <c r="S249"/>
    </row>
    <row r="250" spans="19:19">
      <c r="S250"/>
    </row>
    <row r="251" spans="19:19">
      <c r="S251"/>
    </row>
    <row r="252" spans="19:19">
      <c r="S252"/>
    </row>
    <row r="253" spans="19:19">
      <c r="S253"/>
    </row>
    <row r="254" spans="19:19">
      <c r="S254"/>
    </row>
    <row r="255" spans="19:19">
      <c r="S255"/>
    </row>
    <row r="256" spans="19:19">
      <c r="S256"/>
    </row>
    <row r="257" spans="19:19">
      <c r="S257"/>
    </row>
    <row r="258" spans="19:19">
      <c r="S258"/>
    </row>
    <row r="259" spans="19:19">
      <c r="S259"/>
    </row>
    <row r="260" spans="19:19">
      <c r="S260"/>
    </row>
    <row r="261" spans="19:19">
      <c r="S261"/>
    </row>
    <row r="262" spans="19:19">
      <c r="S262"/>
    </row>
    <row r="263" spans="19:19">
      <c r="S263"/>
    </row>
    <row r="264" spans="19:19">
      <c r="S264"/>
    </row>
    <row r="265" spans="19:19">
      <c r="S265"/>
    </row>
    <row r="266" spans="19:19">
      <c r="S266"/>
    </row>
    <row r="267" spans="19:19">
      <c r="S267"/>
    </row>
    <row r="268" spans="19:19">
      <c r="S268"/>
    </row>
    <row r="269" spans="19:19">
      <c r="S269"/>
    </row>
    <row r="270" spans="19:19">
      <c r="S270"/>
    </row>
    <row r="271" spans="19:19">
      <c r="S271"/>
    </row>
    <row r="272" spans="19:19">
      <c r="S272"/>
    </row>
    <row r="273" spans="19:19">
      <c r="S273"/>
    </row>
    <row r="274" spans="19:19">
      <c r="S274"/>
    </row>
    <row r="275" spans="19:19">
      <c r="S275"/>
    </row>
    <row r="276" spans="19:19">
      <c r="S276"/>
    </row>
    <row r="277" spans="19:19">
      <c r="S277"/>
    </row>
    <row r="278" spans="19:19">
      <c r="S278"/>
    </row>
    <row r="279" spans="19:19">
      <c r="S279"/>
    </row>
    <row r="280" spans="19:19">
      <c r="S280"/>
    </row>
    <row r="281" spans="19:19">
      <c r="S281"/>
    </row>
    <row r="282" spans="19:19">
      <c r="S282"/>
    </row>
    <row r="283" spans="19:19">
      <c r="S283"/>
    </row>
    <row r="284" spans="19:19">
      <c r="S284"/>
    </row>
    <row r="285" spans="19:19">
      <c r="S285"/>
    </row>
    <row r="286" spans="19:19">
      <c r="S286"/>
    </row>
    <row r="287" spans="19:19">
      <c r="S287"/>
    </row>
    <row r="288" spans="19:19">
      <c r="S288"/>
    </row>
    <row r="289" spans="19:19">
      <c r="S289"/>
    </row>
    <row r="290" spans="19:19">
      <c r="S290"/>
    </row>
    <row r="291" spans="19:19">
      <c r="S291"/>
    </row>
    <row r="292" spans="19:19">
      <c r="S292"/>
    </row>
    <row r="293" spans="19:19">
      <c r="S293"/>
    </row>
    <row r="294" spans="19:19">
      <c r="S294"/>
    </row>
  </sheetData>
  <mergeCells count="2">
    <mergeCell ref="A2:A3"/>
    <mergeCell ref="A5:A6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"/>
  <sheetViews>
    <sheetView tabSelected="1" zoomScale="90" zoomScaleNormal="90" workbookViewId="0">
      <selection activeCell="F23" sqref="F23"/>
    </sheetView>
  </sheetViews>
  <sheetFormatPr defaultColWidth="11.7428571428571" defaultRowHeight="12.75" outlineLevelRow="2"/>
  <cols>
    <col min="1" max="1" width="16.5333333333333" customWidth="true"/>
    <col min="2" max="3" width="19.3809523809524" customWidth="true"/>
    <col min="5" max="5" width="9.25714285714286" customWidth="true"/>
    <col min="6" max="6" width="20.0666666666667" customWidth="true"/>
    <col min="7" max="7" width="7.64761904761905" customWidth="true"/>
    <col min="8" max="8" width="22.3809523809524" customWidth="true"/>
    <col min="9" max="9" width="20.0666666666667" customWidth="true"/>
    <col min="10" max="10" width="18.847619047619" customWidth="true"/>
    <col min="11" max="11" width="8.47619047619048" customWidth="true"/>
    <col min="12" max="12" width="17.4380952380952" customWidth="true"/>
  </cols>
  <sheetData>
    <row r="2" ht="24" customHeight="true" spans="1:12">
      <c r="A2" s="7" t="s">
        <v>51</v>
      </c>
      <c r="B2" s="7" t="s">
        <v>52</v>
      </c>
      <c r="C2" s="7" t="s">
        <v>53</v>
      </c>
      <c r="D2" s="7" t="s">
        <v>54</v>
      </c>
      <c r="E2" s="7" t="s">
        <v>55</v>
      </c>
      <c r="F2" s="7" t="s">
        <v>56</v>
      </c>
      <c r="G2" s="7" t="s">
        <v>57</v>
      </c>
      <c r="H2" s="7" t="s">
        <v>58</v>
      </c>
      <c r="I2" s="7" t="s">
        <v>59</v>
      </c>
      <c r="J2" s="7" t="s">
        <v>60</v>
      </c>
      <c r="K2" s="7" t="s">
        <v>61</v>
      </c>
      <c r="L2" s="7" t="s">
        <v>62</v>
      </c>
    </row>
    <row r="3" spans="1:12">
      <c r="A3" s="15" t="s">
        <v>63</v>
      </c>
      <c r="B3" s="16">
        <v>44439</v>
      </c>
      <c r="C3" s="16">
        <v>49191</v>
      </c>
      <c r="D3" t="s">
        <v>42</v>
      </c>
      <c r="E3" t="s">
        <v>64</v>
      </c>
      <c r="F3" t="s">
        <v>65</v>
      </c>
      <c r="G3">
        <v>4752</v>
      </c>
      <c r="H3" s="16">
        <v>44624</v>
      </c>
      <c r="I3" t="s">
        <v>42</v>
      </c>
      <c r="J3">
        <v>156</v>
      </c>
      <c r="K3">
        <v>9.93</v>
      </c>
      <c r="L3">
        <v>10.78</v>
      </c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01"/>
  <sheetViews>
    <sheetView zoomScale="90" zoomScaleNormal="90" topLeftCell="A12" workbookViewId="0">
      <selection activeCell="K22" sqref="K22"/>
    </sheetView>
  </sheetViews>
  <sheetFormatPr defaultColWidth="11.7428571428571" defaultRowHeight="12.75"/>
  <cols>
    <col min="3" max="3" width="16.3619047619048" style="5" customWidth="true"/>
    <col min="4" max="4" width="18.6571428571429" style="5" customWidth="true"/>
    <col min="5" max="5" width="13.4285714285714" customWidth="true"/>
    <col min="6" max="6" width="17.7428571428571" customWidth="true"/>
    <col min="7" max="7" width="15.2380952380952" customWidth="true"/>
    <col min="8" max="8" width="19.447619047619" customWidth="true"/>
    <col min="9" max="9" width="4.32380952380952" customWidth="true"/>
    <col min="10" max="10" width="15.8761904761905" style="6" customWidth="true"/>
    <col min="11" max="11" width="6.47619047619048" customWidth="true"/>
  </cols>
  <sheetData>
    <row r="1" spans="3:4">
      <c r="C1"/>
      <c r="D1"/>
    </row>
    <row r="2" ht="38.95" customHeight="true" spans="2:10">
      <c r="B2" s="7" t="s">
        <v>31</v>
      </c>
      <c r="C2" s="7" t="s">
        <v>66</v>
      </c>
      <c r="D2" s="7" t="s">
        <v>53</v>
      </c>
      <c r="E2" s="7" t="s">
        <v>67</v>
      </c>
      <c r="F2" s="7" t="s">
        <v>68</v>
      </c>
      <c r="G2" s="7" t="s">
        <v>69</v>
      </c>
      <c r="H2" s="7" t="s">
        <v>70</v>
      </c>
      <c r="J2" s="7" t="s">
        <v>71</v>
      </c>
    </row>
    <row r="3" ht="16.55" customHeight="true" spans="2:12">
      <c r="B3" s="8">
        <v>3</v>
      </c>
      <c r="C3" s="9">
        <v>44504</v>
      </c>
      <c r="D3" s="9">
        <v>44536</v>
      </c>
      <c r="E3" s="10" t="s">
        <v>50</v>
      </c>
      <c r="F3" s="8">
        <v>0</v>
      </c>
      <c r="G3" s="11">
        <v>0</v>
      </c>
      <c r="H3" s="11">
        <v>0</v>
      </c>
      <c r="J3" s="11">
        <f>IF(AND(E3='TABLA DE PAGOS'!A$12,B3=MAX(CÁLCULOS!R$2:R$160)),F3,IF(AND(B3=MAX(CÁLCULOS!R$2:R$160),E3='TABLA DE PAGOS'!A$13),VLOOKUP(MAX(CÁLCULOS!R$2:R$160),'TABLA DE PAGOS'!C$2:F$160,4)/(D3-C3),IF(VLOOKUP(MAX(CÁLCULOS!R$2:R$160),B$3:E$200,4)='TABLA DE PAGOS'!A$12,IF(AND(F3&gt;0,E3='TABLA DE PAGOS'!A$12),VLOOKUP('TABLA DE PAGOS'!A$12,E$3:F$200,2),0),0)))</f>
        <v>0</v>
      </c>
      <c r="L3" s="13"/>
    </row>
    <row r="4" ht="16.55" customHeight="true" spans="2:10">
      <c r="B4" s="8">
        <v>4</v>
      </c>
      <c r="C4" s="9">
        <v>44536</v>
      </c>
      <c r="D4" s="9">
        <v>44565</v>
      </c>
      <c r="E4" s="10" t="s">
        <v>50</v>
      </c>
      <c r="F4" s="8">
        <v>0</v>
      </c>
      <c r="G4" s="11">
        <v>0</v>
      </c>
      <c r="H4" s="11">
        <v>0</v>
      </c>
      <c r="J4" s="11">
        <f>IF(AND(E4='TABLA DE PAGOS'!A$12,B4=MAX(CÁLCULOS!R$2:R$160)),F4,IF(AND(B4=MAX(CÁLCULOS!R$2:R$160),E4='TABLA DE PAGOS'!A$13),VLOOKUP(MAX(CÁLCULOS!R$2:R$160),'TABLA DE PAGOS'!C$2:F$160,4)/(D4-C4),IF(VLOOKUP(MAX(CÁLCULOS!R$2:R$160),B$3:E$200,4)='TABLA DE PAGOS'!A$12,IF(AND(F4&gt;0,E4='TABLA DE PAGOS'!A$12),VLOOKUP('TABLA DE PAGOS'!A$12,E$3:F$200,2),0),0)))</f>
        <v>0</v>
      </c>
    </row>
    <row r="5" ht="16.55" customHeight="true" spans="2:10">
      <c r="B5" s="8">
        <v>5</v>
      </c>
      <c r="C5" s="9">
        <v>44565</v>
      </c>
      <c r="D5" s="9">
        <v>44596</v>
      </c>
      <c r="E5" s="10" t="s">
        <v>50</v>
      </c>
      <c r="F5" s="8" t="s">
        <v>42</v>
      </c>
      <c r="G5" s="11">
        <v>0</v>
      </c>
      <c r="H5" s="11">
        <v>0</v>
      </c>
      <c r="J5" s="11">
        <f>IF(AND(E5='TABLA DE PAGOS'!A$12,B5=MAX(CÁLCULOS!R$2:R$160)),F5,IF(AND(B5=MAX(CÁLCULOS!R$2:R$160),E5='TABLA DE PAGOS'!A$13),VLOOKUP(MAX(CÁLCULOS!R$2:R$160),'TABLA DE PAGOS'!C$2:F$160,4)/(D5-C5),IF(VLOOKUP(MAX(CÁLCULOS!R$2:R$160),B$3:E$200,4)='TABLA DE PAGOS'!A$12,IF(AND(F5&gt;0,E5='TABLA DE PAGOS'!A$12),VLOOKUP('TABLA DE PAGOS'!A$12,E$3:F$200,2),0),0)))</f>
        <v>0</v>
      </c>
    </row>
    <row r="6" ht="16.55" customHeight="true" spans="2:10">
      <c r="B6" s="8">
        <v>5</v>
      </c>
      <c r="C6" s="9">
        <v>44565</v>
      </c>
      <c r="D6" s="9">
        <v>44596</v>
      </c>
      <c r="E6" s="10" t="s">
        <v>47</v>
      </c>
      <c r="F6" s="8" t="s">
        <v>42</v>
      </c>
      <c r="G6" s="11">
        <v>277.64</v>
      </c>
      <c r="H6" s="11">
        <v>0</v>
      </c>
      <c r="J6" s="11">
        <f>IF(AND(E6='TABLA DE PAGOS'!A$12,B6=MAX(CÁLCULOS!R$2:R$160)),F6,IF(AND(B6=MAX(CÁLCULOS!R$2:R$160),E6='TABLA DE PAGOS'!A$13),VLOOKUP(MAX(CÁLCULOS!R$2:R$160),'TABLA DE PAGOS'!C$2:F$160,4)/(D6-C6),IF(VLOOKUP(MAX(CÁLCULOS!R$2:R$160),B$3:E$200,4)='TABLA DE PAGOS'!A$12,IF(AND(F6&gt;0,E6='TABLA DE PAGOS'!A$12),VLOOKUP('TABLA DE PAGOS'!A$12,E$3:F$200,2),0),0)))</f>
        <v>0</v>
      </c>
    </row>
    <row r="7" ht="16.55" customHeight="true" spans="2:10">
      <c r="B7" s="8">
        <v>5</v>
      </c>
      <c r="C7" s="9">
        <v>44565</v>
      </c>
      <c r="D7" s="9">
        <v>44596</v>
      </c>
      <c r="E7" s="10" t="s">
        <v>72</v>
      </c>
      <c r="F7" s="8">
        <v>0.084217</v>
      </c>
      <c r="G7" s="11">
        <v>0.163744</v>
      </c>
      <c r="H7" s="11">
        <v>0.08</v>
      </c>
      <c r="J7" s="11">
        <f>IF(AND(E7='TABLA DE PAGOS'!A$12,B7=MAX(CÁLCULOS!R$2:R$160)),F7,IF(AND(B7=MAX(CÁLCULOS!R$2:R$160),E7='TABLA DE PAGOS'!A$13),VLOOKUP(MAX(CÁLCULOS!R$2:R$160),'TABLA DE PAGOS'!C$2:F$160,4)/(D7-C7),IF(VLOOKUP(MAX(CÁLCULOS!R$2:R$160),B$3:E$200,4)='TABLA DE PAGOS'!A$12,IF(AND(F7&gt;0,E7='TABLA DE PAGOS'!A$12),VLOOKUP('TABLA DE PAGOS'!A$12,E$3:F$200,2),0),0)))</f>
        <v>0</v>
      </c>
    </row>
    <row r="8" ht="16.55" customHeight="true" spans="2:10">
      <c r="B8" s="8">
        <v>5</v>
      </c>
      <c r="C8" s="9">
        <v>44565</v>
      </c>
      <c r="D8" s="9">
        <v>44596</v>
      </c>
      <c r="E8" s="10" t="s">
        <v>49</v>
      </c>
      <c r="F8" s="8" t="s">
        <v>42</v>
      </c>
      <c r="G8" s="11">
        <v>38.09</v>
      </c>
      <c r="H8" s="11">
        <v>0</v>
      </c>
      <c r="J8" s="11">
        <f>IF(AND(E8='TABLA DE PAGOS'!A$12,B8=MAX(CÁLCULOS!R$2:R$160)),F8,IF(AND(B8=MAX(CÁLCULOS!R$2:R$160),E8='TABLA DE PAGOS'!A$13),VLOOKUP(MAX(CÁLCULOS!R$2:R$160),'TABLA DE PAGOS'!C$2:F$160,4)/(D8-C8),IF(VLOOKUP(MAX(CÁLCULOS!R$2:R$160),B$3:E$200,4)='TABLA DE PAGOS'!A$12,IF(AND(F8&gt;0,E8='TABLA DE PAGOS'!A$12),VLOOKUP('TABLA DE PAGOS'!A$12,E$3:F$200,2),0),0)))</f>
        <v>0</v>
      </c>
    </row>
    <row r="9" ht="16.55" customHeight="true" spans="2:10">
      <c r="B9" s="8">
        <v>6</v>
      </c>
      <c r="C9" s="9" t="s">
        <v>42</v>
      </c>
      <c r="D9" s="9" t="s">
        <v>42</v>
      </c>
      <c r="E9" s="10" t="s">
        <v>50</v>
      </c>
      <c r="F9" s="8" t="s">
        <v>42</v>
      </c>
      <c r="G9" s="11">
        <v>184.64</v>
      </c>
      <c r="H9" s="11">
        <v>0</v>
      </c>
      <c r="J9" s="11">
        <f>IF(AND(E9='TABLA DE PAGOS'!A$12,B9=MAX(CÁLCULOS!R$2:R$160)),F9,IF(AND(B9=MAX(CÁLCULOS!R$2:R$160),E9='TABLA DE PAGOS'!A$13),VLOOKUP(MAX(CÁLCULOS!R$2:R$160),'TABLA DE PAGOS'!C$2:F$160,4)/(D9-C9),IF(VLOOKUP(MAX(CÁLCULOS!R$2:R$160),B$3:E$200,4)='TABLA DE PAGOS'!A$12,IF(AND(F9&gt;0,E9='TABLA DE PAGOS'!A$12),VLOOKUP('TABLA DE PAGOS'!A$12,E$3:F$200,2),0),0)))</f>
        <v>0</v>
      </c>
    </row>
    <row r="10" ht="16.55" customHeight="true" spans="2:10">
      <c r="B10" s="8">
        <v>6</v>
      </c>
      <c r="C10" s="9">
        <v>44596</v>
      </c>
      <c r="D10" s="9">
        <v>44624</v>
      </c>
      <c r="E10" s="10" t="s">
        <v>47</v>
      </c>
      <c r="F10" s="8" t="s">
        <v>42</v>
      </c>
      <c r="G10" s="11">
        <v>906.2</v>
      </c>
      <c r="H10" s="11">
        <v>0</v>
      </c>
      <c r="J10" s="11">
        <f>IF(AND(E10='TABLA DE PAGOS'!A$12,B10=MAX(CÁLCULOS!R$2:R$160)),F10,IF(AND(B10=MAX(CÁLCULOS!R$2:R$160),E10='TABLA DE PAGOS'!A$13),VLOOKUP(MAX(CÁLCULOS!R$2:R$160),'TABLA DE PAGOS'!C$2:F$160,4)/(D10-C10),IF(VLOOKUP(MAX(CÁLCULOS!R$2:R$160),B$3:E$200,4)='TABLA DE PAGOS'!A$12,IF(AND(F10&gt;0,E10='TABLA DE PAGOS'!A$12),VLOOKUP('TABLA DE PAGOS'!A$12,E$3:F$200,2),0),0)))</f>
        <v>0</v>
      </c>
    </row>
    <row r="11" ht="16.55" customHeight="true" spans="2:13">
      <c r="B11" s="8">
        <v>6</v>
      </c>
      <c r="C11" s="9">
        <v>44596</v>
      </c>
      <c r="D11" s="9">
        <v>44624</v>
      </c>
      <c r="E11" s="10" t="s">
        <v>73</v>
      </c>
      <c r="F11" s="8">
        <v>0</v>
      </c>
      <c r="G11" s="11">
        <v>0.01</v>
      </c>
      <c r="H11" s="11">
        <v>0</v>
      </c>
      <c r="J11" s="11">
        <f>IF(AND(E11='TABLA DE PAGOS'!A$12,B11=MAX(CÁLCULOS!R$2:R$160)),F11,IF(AND(B11=MAX(CÁLCULOS!R$2:R$160),E11='TABLA DE PAGOS'!A$13),VLOOKUP(MAX(CÁLCULOS!R$2:R$160),'TABLA DE PAGOS'!C$2:F$160,4)/(D11-C11),IF(VLOOKUP(MAX(CÁLCULOS!R$2:R$160),B$3:E$200,4)='TABLA DE PAGOS'!A$12,IF(AND(F11&gt;0,E11='TABLA DE PAGOS'!A$12),VLOOKUP('TABLA DE PAGOS'!A$12,E$3:F$200,2),0),0)))</f>
        <v>0</v>
      </c>
      <c r="M11" s="14"/>
    </row>
    <row r="12" ht="16.55" customHeight="true" spans="2:10">
      <c r="B12" s="8">
        <v>6</v>
      </c>
      <c r="C12" s="9">
        <v>44596</v>
      </c>
      <c r="D12" s="9">
        <v>44624</v>
      </c>
      <c r="E12" s="10" t="s">
        <v>46</v>
      </c>
      <c r="F12" s="8">
        <v>0</v>
      </c>
      <c r="G12" s="11">
        <v>2059.617052</v>
      </c>
      <c r="H12" s="11">
        <v>0</v>
      </c>
      <c r="J12" s="11">
        <f>IF(AND(E12='TABLA DE PAGOS'!A$12,B12=MAX(CÁLCULOS!R$2:R$160)),F12,IF(AND(B12=MAX(CÁLCULOS!R$2:R$160),E12='TABLA DE PAGOS'!A$13),VLOOKUP(MAX(CÁLCULOS!R$2:R$160),'TABLA DE PAGOS'!C$2:F$160,4)/(D12-C12),IF(VLOOKUP(MAX(CÁLCULOS!R$2:R$160),B$3:E$200,4)='TABLA DE PAGOS'!A$12,IF(AND(F12&gt;0,E12='TABLA DE PAGOS'!A$12),VLOOKUP('TABLA DE PAGOS'!A$12,E$3:F$200,2),0),0)))</f>
        <v>0</v>
      </c>
    </row>
    <row r="13" ht="16.55" customHeight="true" spans="2:10">
      <c r="B13" s="8">
        <v>6</v>
      </c>
      <c r="C13" s="9">
        <v>44596</v>
      </c>
      <c r="D13" s="9">
        <v>44624</v>
      </c>
      <c r="E13" s="10" t="s">
        <v>48</v>
      </c>
      <c r="F13" s="12" t="s">
        <v>42</v>
      </c>
      <c r="G13" s="11">
        <v>164.53</v>
      </c>
      <c r="H13" s="11">
        <v>0</v>
      </c>
      <c r="J13" s="11">
        <f>IF(AND(E13='TABLA DE PAGOS'!A$12,B13=MAX(CÁLCULOS!R$2:R$160)),F13,IF(AND(B13=MAX(CÁLCULOS!R$2:R$160),E13='TABLA DE PAGOS'!A$13),VLOOKUP(MAX(CÁLCULOS!R$2:R$160),'TABLA DE PAGOS'!C$2:F$160,4)/(D13-C13),IF(VLOOKUP(MAX(CÁLCULOS!R$2:R$160),B$3:E$200,4)='TABLA DE PAGOS'!A$12,IF(AND(F13&gt;0,E13='TABLA DE PAGOS'!A$12),VLOOKUP('TABLA DE PAGOS'!A$12,E$3:F$200,2),0),0)))</f>
        <v>0</v>
      </c>
    </row>
    <row r="14" ht="16.55" customHeight="true" spans="2:10">
      <c r="B14" s="8">
        <v>6</v>
      </c>
      <c r="C14" s="9">
        <v>44596</v>
      </c>
      <c r="D14" s="9">
        <v>44624</v>
      </c>
      <c r="E14" s="10" t="s">
        <v>72</v>
      </c>
      <c r="F14" s="8">
        <v>0.295774</v>
      </c>
      <c r="G14" s="11">
        <v>8.707083</v>
      </c>
      <c r="H14" s="11">
        <v>0</v>
      </c>
      <c r="J14" s="11">
        <f>IF(AND(E14='TABLA DE PAGOS'!A$12,B14=MAX(CÁLCULOS!R$2:R$160)),F14,IF(AND(B14=MAX(CÁLCULOS!R$2:R$160),E14='TABLA DE PAGOS'!A$13),VLOOKUP(MAX(CÁLCULOS!R$2:R$160),'TABLA DE PAGOS'!C$2:F$160,4)/(D14-C14),IF(VLOOKUP(MAX(CÁLCULOS!R$2:R$160),B$3:E$200,4)='TABLA DE PAGOS'!A$12,IF(AND(F14&gt;0,E14='TABLA DE PAGOS'!A$12),VLOOKUP('TABLA DE PAGOS'!A$12,E$3:F$200,2),0),0)))</f>
        <v>0</v>
      </c>
    </row>
    <row r="15" ht="16.55" customHeight="true" spans="2:10">
      <c r="B15" s="8">
        <v>7</v>
      </c>
      <c r="C15" s="9" t="s">
        <v>42</v>
      </c>
      <c r="D15" s="9" t="s">
        <v>42</v>
      </c>
      <c r="E15" s="10" t="s">
        <v>50</v>
      </c>
      <c r="F15" s="8" t="s">
        <v>42</v>
      </c>
      <c r="G15" s="11">
        <v>184.64</v>
      </c>
      <c r="H15" s="11">
        <v>0</v>
      </c>
      <c r="J15" s="11">
        <f>IF(AND(E15='TABLA DE PAGOS'!A$12,B15=MAX(CÁLCULOS!R$2:R$160)),F15,IF(AND(B15=MAX(CÁLCULOS!R$2:R$160),E15='TABLA DE PAGOS'!A$13),VLOOKUP(MAX(CÁLCULOS!R$2:R$160),'TABLA DE PAGOS'!C$2:F$160,4)/(D15-C15),IF(VLOOKUP(MAX(CÁLCULOS!R$2:R$160),B$3:E$200,4)='TABLA DE PAGOS'!A$12,IF(AND(F15&gt;0,E15='TABLA DE PAGOS'!A$12),VLOOKUP('TABLA DE PAGOS'!A$12,E$3:F$200,2),0),0)))</f>
        <v>0</v>
      </c>
    </row>
    <row r="16" ht="16.55" customHeight="true" spans="2:10">
      <c r="B16" s="8">
        <v>7</v>
      </c>
      <c r="C16" s="9">
        <v>44624</v>
      </c>
      <c r="D16" s="9">
        <v>44655</v>
      </c>
      <c r="E16" s="10" t="s">
        <v>46</v>
      </c>
      <c r="F16" s="8">
        <v>0</v>
      </c>
      <c r="G16" s="11">
        <v>2092.751472</v>
      </c>
      <c r="H16" s="11">
        <v>0</v>
      </c>
      <c r="J16" s="11">
        <f>IF(AND(E16='TABLA DE PAGOS'!A$12,B16=MAX(CÁLCULOS!R$2:R$160)),F16,IF(AND(B16=MAX(CÁLCULOS!R$2:R$160),E16='TABLA DE PAGOS'!A$13),VLOOKUP(MAX(CÁLCULOS!R$2:R$160),'TABLA DE PAGOS'!C$2:F$160,4)/(D16-C16),IF(VLOOKUP(MAX(CÁLCULOS!R$2:R$160),B$3:E$200,4)='TABLA DE PAGOS'!A$12,IF(AND(F16&gt;0,E16='TABLA DE PAGOS'!A$12),VLOOKUP('TABLA DE PAGOS'!A$12,E$3:F$200,2),0),0)))</f>
        <v>0</v>
      </c>
    </row>
    <row r="17" ht="16.55" customHeight="true" spans="2:10">
      <c r="B17" s="8">
        <v>7</v>
      </c>
      <c r="C17" s="9">
        <v>44624</v>
      </c>
      <c r="D17" s="9">
        <v>44655</v>
      </c>
      <c r="E17" s="10" t="s">
        <v>47</v>
      </c>
      <c r="F17" s="8" t="s">
        <v>42</v>
      </c>
      <c r="G17" s="11">
        <v>728.61</v>
      </c>
      <c r="H17" s="11">
        <v>0</v>
      </c>
      <c r="J17" s="11">
        <f>IF(AND(E17='TABLA DE PAGOS'!A$12,B17=MAX(CÁLCULOS!R$2:R$160)),F17,IF(AND(B17=MAX(CÁLCULOS!R$2:R$160),E17='TABLA DE PAGOS'!A$13),VLOOKUP(MAX(CÁLCULOS!R$2:R$160),'TABLA DE PAGOS'!C$2:F$160,4)/(D17-C17),IF(VLOOKUP(MAX(CÁLCULOS!R$2:R$160),B$3:E$200,4)='TABLA DE PAGOS'!A$12,IF(AND(F17&gt;0,E17='TABLA DE PAGOS'!A$12),VLOOKUP('TABLA DE PAGOS'!A$12,E$3:F$200,2),0),0)))</f>
        <v>0</v>
      </c>
    </row>
    <row r="18" ht="16.55" customHeight="true" spans="2:10">
      <c r="B18" s="8">
        <v>7</v>
      </c>
      <c r="C18" s="9">
        <v>44624</v>
      </c>
      <c r="D18" s="9">
        <v>44655</v>
      </c>
      <c r="E18" s="10" t="s">
        <v>48</v>
      </c>
      <c r="F18" s="8" t="s">
        <v>42</v>
      </c>
      <c r="G18" s="11">
        <v>181.48</v>
      </c>
      <c r="H18" s="11">
        <v>0</v>
      </c>
      <c r="J18" s="11">
        <f>IF(AND(E18='TABLA DE PAGOS'!A$12,B18=MAX(CÁLCULOS!R$2:R$160)),F18,IF(AND(B18=MAX(CÁLCULOS!R$2:R$160),E18='TABLA DE PAGOS'!A$13),VLOOKUP(MAX(CÁLCULOS!R$2:R$160),'TABLA DE PAGOS'!C$2:F$160,4)/(D18-C18),IF(VLOOKUP(MAX(CÁLCULOS!R$2:R$160),B$3:E$200,4)='TABLA DE PAGOS'!A$12,IF(AND(F18&gt;0,E18='TABLA DE PAGOS'!A$12),VLOOKUP('TABLA DE PAGOS'!A$12,E$3:F$200,2),0),0)))</f>
        <v>0</v>
      </c>
    </row>
    <row r="19" ht="16.55" customHeight="true" spans="2:10">
      <c r="B19" s="8">
        <v>7</v>
      </c>
      <c r="C19" s="9">
        <v>44624</v>
      </c>
      <c r="D19" s="9">
        <v>44655</v>
      </c>
      <c r="E19" s="10" t="s">
        <v>72</v>
      </c>
      <c r="F19" s="8">
        <v>0.215142</v>
      </c>
      <c r="G19" s="12">
        <v>3.166425</v>
      </c>
      <c r="H19" s="11">
        <v>0</v>
      </c>
      <c r="J19" s="11">
        <f>IF(AND(E19='TABLA DE PAGOS'!A$12,B19=MAX(CÁLCULOS!R$2:R$160)),F19,IF(AND(B19=MAX(CÁLCULOS!R$2:R$160),E19='TABLA DE PAGOS'!A$13),VLOOKUP(MAX(CÁLCULOS!R$2:R$160),'TABLA DE PAGOS'!C$2:F$160,4)/(D19-C19),IF(VLOOKUP(MAX(CÁLCULOS!R$2:R$160),B$3:E$200,4)='TABLA DE PAGOS'!A$12,IF(AND(F19&gt;0,E19='TABLA DE PAGOS'!A$12),VLOOKUP('TABLA DE PAGOS'!A$12,E$3:F$200,2),0),0)))</f>
        <v>0</v>
      </c>
    </row>
    <row r="20" ht="16.55" customHeight="true" spans="2:10">
      <c r="B20" s="8">
        <v>8</v>
      </c>
      <c r="C20" s="9" t="s">
        <v>42</v>
      </c>
      <c r="D20" s="9" t="s">
        <v>42</v>
      </c>
      <c r="E20" s="10" t="s">
        <v>50</v>
      </c>
      <c r="F20" s="8" t="s">
        <v>42</v>
      </c>
      <c r="G20" s="11">
        <v>184.64</v>
      </c>
      <c r="H20" s="11">
        <v>0</v>
      </c>
      <c r="J20" s="11">
        <f>IF(AND(E20='TABLA DE PAGOS'!A$12,B20=MAX(CÁLCULOS!R$2:R$160)),F20,IF(AND(B20=MAX(CÁLCULOS!R$2:R$160),E20='TABLA DE PAGOS'!A$13),VLOOKUP(MAX(CÁLCULOS!R$2:R$160),'TABLA DE PAGOS'!C$2:F$160,4)/(D20-C20),IF(VLOOKUP(MAX(CÁLCULOS!R$2:R$160),B$3:E$200,4)='TABLA DE PAGOS'!A$12,IF(AND(F20&gt;0,E20='TABLA DE PAGOS'!A$12),VLOOKUP('TABLA DE PAGOS'!A$12,E$3:F$200,2),0),0)))</f>
        <v>0</v>
      </c>
    </row>
    <row r="21" ht="16.55" customHeight="true" spans="2:10">
      <c r="B21" s="8">
        <v>8</v>
      </c>
      <c r="C21" s="9">
        <v>44655</v>
      </c>
      <c r="D21" s="9">
        <v>44685</v>
      </c>
      <c r="E21" s="10" t="s">
        <v>46</v>
      </c>
      <c r="F21" s="8">
        <v>67.307137</v>
      </c>
      <c r="G21" s="11">
        <v>134.614274</v>
      </c>
      <c r="H21" s="11">
        <v>0</v>
      </c>
      <c r="J21" s="11">
        <f>IF(AND(E21='TABLA DE PAGOS'!A$12,B21=MAX(CÁLCULOS!R$2:R$160)),F21,IF(AND(B21=MAX(CÁLCULOS!R$2:R$160),E21='TABLA DE PAGOS'!A$13),VLOOKUP(MAX(CÁLCULOS!R$2:R$160),'TABLA DE PAGOS'!C$2:F$160,4)/(D21-C21),IF(VLOOKUP(MAX(CÁLCULOS!R$2:R$160),B$3:E$200,4)='TABLA DE PAGOS'!A$12,IF(AND(F21&gt;0,E21='TABLA DE PAGOS'!A$12),VLOOKUP('TABLA DE PAGOS'!A$12,E$3:F$200,2),0),0)))</f>
        <v>67.307137</v>
      </c>
    </row>
    <row r="22" ht="16.55" customHeight="true" spans="2:10">
      <c r="B22" s="8">
        <v>8</v>
      </c>
      <c r="C22" s="9">
        <v>44655</v>
      </c>
      <c r="D22" s="9">
        <v>44685</v>
      </c>
      <c r="E22" s="10" t="s">
        <v>47</v>
      </c>
      <c r="F22" s="8" t="s">
        <v>42</v>
      </c>
      <c r="G22" s="11">
        <v>808.53</v>
      </c>
      <c r="H22" s="11">
        <v>0</v>
      </c>
      <c r="J22" s="11">
        <f>IF(AND(E22='TABLA DE PAGOS'!A$12,B22=MAX(CÁLCULOS!R$2:R$160)),F22,IF(AND(B22=MAX(CÁLCULOS!R$2:R$160),E22='TABLA DE PAGOS'!A$13),VLOOKUP(MAX(CÁLCULOS!R$2:R$160),'TABLA DE PAGOS'!C$2:F$160,4)/(D22-C22),IF(VLOOKUP(MAX(CÁLCULOS!R$2:R$160),B$3:E$200,4)='TABLA DE PAGOS'!A$12,IF(AND(F22&gt;0,E22='TABLA DE PAGOS'!A$12),VLOOKUP('TABLA DE PAGOS'!A$12,E$3:F$200,2),0),0)))</f>
        <v>67.307</v>
      </c>
    </row>
    <row r="23" ht="16.55" customHeight="true" spans="2:10">
      <c r="B23" s="8">
        <v>8</v>
      </c>
      <c r="C23" s="9">
        <v>44655</v>
      </c>
      <c r="D23" s="9">
        <v>44685</v>
      </c>
      <c r="E23" s="10" t="s">
        <v>48</v>
      </c>
      <c r="F23" s="12" t="s">
        <v>42</v>
      </c>
      <c r="G23" s="11">
        <v>175.1</v>
      </c>
      <c r="H23" s="11">
        <v>0</v>
      </c>
      <c r="J23" s="11">
        <f>IF(AND(E23='TABLA DE PAGOS'!A$12,B23=MAX(CÁLCULOS!R$2:R$160)),F23,IF(AND(B23=MAX(CÁLCULOS!R$2:R$160),E23='TABLA DE PAGOS'!A$13),VLOOKUP(MAX(CÁLCULOS!R$2:R$160),'TABLA DE PAGOS'!C$2:F$160,4)/(D23-C23),IF(VLOOKUP(MAX(CÁLCULOS!R$2:R$160),B$3:E$200,4)='TABLA DE PAGOS'!A$12,IF(AND(F23&gt;0,E23='TABLA DE PAGOS'!A$12),VLOOKUP('TABLA DE PAGOS'!A$12,E$3:F$200,2),0),0)))</f>
        <v>0</v>
      </c>
    </row>
    <row r="24" ht="16.55" customHeight="true" spans="2:10">
      <c r="B24" s="8">
        <v>9</v>
      </c>
      <c r="C24" s="9" t="s">
        <v>42</v>
      </c>
      <c r="D24" s="9" t="s">
        <v>42</v>
      </c>
      <c r="E24" s="10" t="s">
        <v>50</v>
      </c>
      <c r="F24" s="8" t="s">
        <v>42</v>
      </c>
      <c r="G24" s="11">
        <v>184.64</v>
      </c>
      <c r="H24" s="11">
        <v>0</v>
      </c>
      <c r="J24" s="11">
        <f>IF(AND(E24='TABLA DE PAGOS'!A$12,B24=MAX(CÁLCULOS!R$2:R$160)),F24,IF(AND(B24=MAX(CÁLCULOS!R$2:R$160),E24='TABLA DE PAGOS'!A$13),VLOOKUP(MAX(CÁLCULOS!R$2:R$160),'TABLA DE PAGOS'!C$2:F$160,4)/(D24-C24),IF(VLOOKUP(MAX(CÁLCULOS!R$2:R$160),B$3:E$200,4)='TABLA DE PAGOS'!A$12,IF(AND(F24&gt;0,E24='TABLA DE PAGOS'!A$12),VLOOKUP('TABLA DE PAGOS'!A$12,E$3:F$200,2),0),0)))</f>
        <v>0</v>
      </c>
    </row>
    <row r="25" ht="16.55" customHeight="true" spans="2:10">
      <c r="B25" s="8">
        <v>9</v>
      </c>
      <c r="C25" s="9">
        <v>44685</v>
      </c>
      <c r="D25" s="9">
        <v>44718</v>
      </c>
      <c r="E25" s="10" t="s">
        <v>47</v>
      </c>
      <c r="F25" s="8" t="s">
        <v>42</v>
      </c>
      <c r="G25" s="11">
        <v>597.08</v>
      </c>
      <c r="H25" s="11">
        <v>0</v>
      </c>
      <c r="J25" s="11">
        <f>IF(AND(E25='TABLA DE PAGOS'!A$12,B25=MAX(CÁLCULOS!R$2:R$160)),F25,IF(AND(B25=MAX(CÁLCULOS!R$2:R$160),E25='TABLA DE PAGOS'!A$13),VLOOKUP(MAX(CÁLCULOS!R$2:R$160),'TABLA DE PAGOS'!C$2:F$160,4)/(D25-C25),IF(VLOOKUP(MAX(CÁLCULOS!R$2:R$160),B$3:E$200,4)='TABLA DE PAGOS'!A$12,IF(AND(F25&gt;0,E25='TABLA DE PAGOS'!A$12),VLOOKUP('TABLA DE PAGOS'!A$12,E$3:F$200,2),0),0)))</f>
        <v>0</v>
      </c>
    </row>
    <row r="26" ht="16.55" customHeight="true" spans="2:10">
      <c r="B26" s="8">
        <v>10</v>
      </c>
      <c r="C26" s="9" t="s">
        <v>42</v>
      </c>
      <c r="D26" s="9" t="s">
        <v>42</v>
      </c>
      <c r="E26" s="10" t="s">
        <v>50</v>
      </c>
      <c r="F26" s="8" t="s">
        <v>42</v>
      </c>
      <c r="G26" s="11">
        <v>184.64</v>
      </c>
      <c r="H26" s="11">
        <v>0</v>
      </c>
      <c r="J26" s="11">
        <f>IF(AND(E26='TABLA DE PAGOS'!A$12,B26=MAX(CÁLCULOS!R$2:R$160)),F26,IF(AND(B26=MAX(CÁLCULOS!R$2:R$160),E26='TABLA DE PAGOS'!A$13),VLOOKUP(MAX(CÁLCULOS!R$2:R$160),'TABLA DE PAGOS'!C$2:F$160,4)/(D26-C26),IF(VLOOKUP(MAX(CÁLCULOS!R$2:R$160),B$3:E$200,4)='TABLA DE PAGOS'!A$12,IF(AND(F26&gt;0,E26='TABLA DE PAGOS'!A$12),VLOOKUP('TABLA DE PAGOS'!A$12,E$3:F$200,2),0),0)))</f>
        <v>0</v>
      </c>
    </row>
    <row r="27" ht="16.55" customHeight="true" spans="2:10">
      <c r="B27" s="8">
        <v>10</v>
      </c>
      <c r="C27" s="9">
        <v>44718</v>
      </c>
      <c r="D27" s="9">
        <v>44746</v>
      </c>
      <c r="E27" s="10" t="s">
        <v>47</v>
      </c>
      <c r="F27" s="8" t="s">
        <v>42</v>
      </c>
      <c r="G27" s="11">
        <v>966.61</v>
      </c>
      <c r="H27" s="11">
        <v>0</v>
      </c>
      <c r="J27" s="11">
        <f>IF(AND(E27='TABLA DE PAGOS'!A$12,B27=MAX(CÁLCULOS!R$2:R$160)),F27,IF(AND(B27=MAX(CÁLCULOS!R$2:R$160),E27='TABLA DE PAGOS'!A$13),VLOOKUP(MAX(CÁLCULOS!R$2:R$160),'TABLA DE PAGOS'!C$2:F$160,4)/(D27-C27),IF(VLOOKUP(MAX(CÁLCULOS!R$2:R$160),B$3:E$200,4)='TABLA DE PAGOS'!A$12,IF(AND(F27&gt;0,E27='TABLA DE PAGOS'!A$12),VLOOKUP('TABLA DE PAGOS'!A$12,E$3:F$200,2),0),0)))</f>
        <v>0</v>
      </c>
    </row>
    <row r="28" ht="16.55" customHeight="true" spans="2:10">
      <c r="B28" s="8">
        <v>11</v>
      </c>
      <c r="C28" s="9" t="s">
        <v>42</v>
      </c>
      <c r="D28" s="9" t="s">
        <v>42</v>
      </c>
      <c r="E28" s="10" t="s">
        <v>50</v>
      </c>
      <c r="F28" s="8" t="s">
        <v>42</v>
      </c>
      <c r="G28" s="11">
        <v>184.64</v>
      </c>
      <c r="H28" s="11">
        <v>0</v>
      </c>
      <c r="J28" s="11">
        <f>IF(AND(E28='TABLA DE PAGOS'!A$12,B28=MAX(CÁLCULOS!R$2:R$160)),F28,IF(AND(B28=MAX(CÁLCULOS!R$2:R$160),E28='TABLA DE PAGOS'!A$13),VLOOKUP(MAX(CÁLCULOS!R$2:R$160),'TABLA DE PAGOS'!C$2:F$160,4)/(D28-C28),IF(VLOOKUP(MAX(CÁLCULOS!R$2:R$160),B$3:E$200,4)='TABLA DE PAGOS'!A$12,IF(AND(F28&gt;0,E28='TABLA DE PAGOS'!A$12),VLOOKUP('TABLA DE PAGOS'!A$12,E$3:F$200,2),0),0)))</f>
        <v>0</v>
      </c>
    </row>
    <row r="29" ht="16.55" customHeight="true" spans="2:10">
      <c r="B29" s="8">
        <v>11</v>
      </c>
      <c r="C29" s="9">
        <v>44746</v>
      </c>
      <c r="D29" s="9">
        <v>44777</v>
      </c>
      <c r="E29" s="10" t="s">
        <v>47</v>
      </c>
      <c r="F29" s="8" t="s">
        <v>42</v>
      </c>
      <c r="G29" s="11">
        <v>757.42</v>
      </c>
      <c r="H29" s="11">
        <v>0</v>
      </c>
      <c r="J29" s="11">
        <f>IF(AND(E29='TABLA DE PAGOS'!A$12,B29=MAX(CÁLCULOS!R$2:R$160)),F29,IF(AND(B29=MAX(CÁLCULOS!R$2:R$160),E29='TABLA DE PAGOS'!A$13),VLOOKUP(MAX(CÁLCULOS!R$2:R$160),'TABLA DE PAGOS'!C$2:F$160,4)/(D29-C29),IF(VLOOKUP(MAX(CÁLCULOS!R$2:R$160),B$3:E$200,4)='TABLA DE PAGOS'!A$12,IF(AND(F29&gt;0,E29='TABLA DE PAGOS'!A$12),VLOOKUP('TABLA DE PAGOS'!A$12,E$3:F$200,2),0),0)))</f>
        <v>0</v>
      </c>
    </row>
    <row r="30" ht="16.55" customHeight="true" spans="2:10">
      <c r="B30" s="8">
        <v>12</v>
      </c>
      <c r="C30" s="9" t="s">
        <v>42</v>
      </c>
      <c r="D30" s="9" t="s">
        <v>42</v>
      </c>
      <c r="E30" s="10" t="s">
        <v>50</v>
      </c>
      <c r="F30" s="8" t="s">
        <v>42</v>
      </c>
      <c r="G30" s="11">
        <v>184.64</v>
      </c>
      <c r="H30" s="11">
        <v>0</v>
      </c>
      <c r="J30" s="11">
        <f>IF(AND(E30='TABLA DE PAGOS'!A$12,B30=MAX(CÁLCULOS!R$2:R$160)),F30,IF(AND(B30=MAX(CÁLCULOS!R$2:R$160),E30='TABLA DE PAGOS'!A$13),VLOOKUP(MAX(CÁLCULOS!R$2:R$160),'TABLA DE PAGOS'!C$2:F$160,4)/(D30-C30),IF(VLOOKUP(MAX(CÁLCULOS!R$2:R$160),B$3:E$200,4)='TABLA DE PAGOS'!A$12,IF(AND(F30&gt;0,E30='TABLA DE PAGOS'!A$12),VLOOKUP('TABLA DE PAGOS'!A$12,E$3:F$200,2),0),0)))</f>
        <v>0</v>
      </c>
    </row>
    <row r="31" ht="16.55" customHeight="true" spans="2:10">
      <c r="B31" s="8">
        <v>12</v>
      </c>
      <c r="C31" s="9">
        <v>44777</v>
      </c>
      <c r="D31" s="9">
        <v>44809</v>
      </c>
      <c r="E31" s="10" t="s">
        <v>47</v>
      </c>
      <c r="F31" s="8" t="s">
        <v>42</v>
      </c>
      <c r="G31" s="11">
        <v>692.26</v>
      </c>
      <c r="H31" s="11">
        <v>0</v>
      </c>
      <c r="J31" s="11">
        <f>IF(AND(E31='TABLA DE PAGOS'!A$12,B31=MAX(CÁLCULOS!R$2:R$160)),F31,IF(AND(B31=MAX(CÁLCULOS!R$2:R$160),E31='TABLA DE PAGOS'!A$13),VLOOKUP(MAX(CÁLCULOS!R$2:R$160),'TABLA DE PAGOS'!C$2:F$160,4)/(D31-C31),IF(VLOOKUP(MAX(CÁLCULOS!R$2:R$160),B$3:E$200,4)='TABLA DE PAGOS'!A$12,IF(AND(F31&gt;0,E31='TABLA DE PAGOS'!A$12),VLOOKUP('TABLA DE PAGOS'!A$12,E$3:F$200,2),0),0)))</f>
        <v>0</v>
      </c>
    </row>
    <row r="32" ht="16.55" customHeight="true" spans="2:10">
      <c r="B32" s="8">
        <v>13</v>
      </c>
      <c r="C32" s="9" t="s">
        <v>42</v>
      </c>
      <c r="D32" s="9" t="s">
        <v>42</v>
      </c>
      <c r="E32" s="10" t="s">
        <v>50</v>
      </c>
      <c r="F32" s="8" t="s">
        <v>42</v>
      </c>
      <c r="G32" s="11">
        <v>184.64</v>
      </c>
      <c r="H32" s="11">
        <v>0</v>
      </c>
      <c r="J32" s="11">
        <f>IF(AND(E32='TABLA DE PAGOS'!A$12,B32=MAX(CÁLCULOS!R$2:R$160)),F32,IF(AND(B32=MAX(CÁLCULOS!R$2:R$160),E32='TABLA DE PAGOS'!A$13),VLOOKUP(MAX(CÁLCULOS!R$2:R$160),'TABLA DE PAGOS'!C$2:F$160,4)/(D32-C32),IF(VLOOKUP(MAX(CÁLCULOS!R$2:R$160),B$3:E$200,4)='TABLA DE PAGOS'!A$12,IF(AND(F32&gt;0,E32='TABLA DE PAGOS'!A$12),VLOOKUP('TABLA DE PAGOS'!A$12,E$3:F$200,2),0),0)))</f>
        <v>0</v>
      </c>
    </row>
    <row r="33" ht="16.55" customHeight="true" spans="2:10">
      <c r="B33" s="8">
        <v>13</v>
      </c>
      <c r="C33" s="9">
        <v>44809</v>
      </c>
      <c r="D33" s="9">
        <v>44838</v>
      </c>
      <c r="E33" s="10" t="s">
        <v>47</v>
      </c>
      <c r="F33" s="8" t="s">
        <v>42</v>
      </c>
      <c r="G33" s="11">
        <v>914.89</v>
      </c>
      <c r="H33" s="11">
        <v>0</v>
      </c>
      <c r="J33" s="11">
        <f>IF(AND(E33='TABLA DE PAGOS'!A$12,B33=MAX(CÁLCULOS!R$2:R$160)),F33,IF(AND(B33=MAX(CÁLCULOS!R$2:R$160),E33='TABLA DE PAGOS'!A$13),VLOOKUP(MAX(CÁLCULOS!R$2:R$160),'TABLA DE PAGOS'!C$2:F$160,4)/(D33-C33),IF(VLOOKUP(MAX(CÁLCULOS!R$2:R$160),B$3:E$200,4)='TABLA DE PAGOS'!A$12,IF(AND(F33&gt;0,E33='TABLA DE PAGOS'!A$12),VLOOKUP('TABLA DE PAGOS'!A$12,E$3:F$200,2),0),0)))</f>
        <v>0</v>
      </c>
    </row>
    <row r="34" ht="16.55" customHeight="true" spans="2:10">
      <c r="B34" s="8">
        <v>14</v>
      </c>
      <c r="C34" s="9" t="s">
        <v>42</v>
      </c>
      <c r="D34" s="9" t="s">
        <v>42</v>
      </c>
      <c r="E34" s="10" t="s">
        <v>50</v>
      </c>
      <c r="F34" s="8" t="s">
        <v>42</v>
      </c>
      <c r="G34" s="11">
        <v>184.64</v>
      </c>
      <c r="H34" s="11">
        <v>0</v>
      </c>
      <c r="J34" s="11">
        <f>IF(AND(E34='TABLA DE PAGOS'!A$12,B34=MAX(CÁLCULOS!R$2:R$160)),F34,IF(AND(B34=MAX(CÁLCULOS!R$2:R$160),E34='TABLA DE PAGOS'!A$13),VLOOKUP(MAX(CÁLCULOS!R$2:R$160),'TABLA DE PAGOS'!C$2:F$160,4)/(D34-C34),IF(VLOOKUP(MAX(CÁLCULOS!R$2:R$160),B$3:E$200,4)='TABLA DE PAGOS'!A$12,IF(AND(F34&gt;0,E34='TABLA DE PAGOS'!A$12),VLOOKUP('TABLA DE PAGOS'!A$12,E$3:F$200,2),0),0)))</f>
        <v>0</v>
      </c>
    </row>
    <row r="35" ht="16.55" customHeight="true" spans="2:10">
      <c r="B35" s="8">
        <v>14</v>
      </c>
      <c r="C35" s="9">
        <v>44838</v>
      </c>
      <c r="D35" s="9">
        <v>44872</v>
      </c>
      <c r="E35" s="10" t="s">
        <v>47</v>
      </c>
      <c r="F35" s="8" t="s">
        <v>42</v>
      </c>
      <c r="G35" s="11">
        <v>564.22</v>
      </c>
      <c r="H35" s="11">
        <v>0</v>
      </c>
      <c r="J35" s="11">
        <f>IF(AND(E35='TABLA DE PAGOS'!A$12,B35=MAX(CÁLCULOS!R$2:R$160)),F35,IF(AND(B35=MAX(CÁLCULOS!R$2:R$160),E35='TABLA DE PAGOS'!A$13),VLOOKUP(MAX(CÁLCULOS!R$2:R$160),'TABLA DE PAGOS'!C$2:F$160,4)/(D35-C35),IF(VLOOKUP(MAX(CÁLCULOS!R$2:R$160),B$3:E$200,4)='TABLA DE PAGOS'!A$12,IF(AND(F35&gt;0,E35='TABLA DE PAGOS'!A$12),VLOOKUP('TABLA DE PAGOS'!A$12,E$3:F$200,2),0),0)))</f>
        <v>0</v>
      </c>
    </row>
    <row r="36" ht="16.55" customHeight="true" spans="2:10">
      <c r="B36" s="8">
        <v>15</v>
      </c>
      <c r="C36" s="9" t="s">
        <v>42</v>
      </c>
      <c r="D36" s="9" t="s">
        <v>42</v>
      </c>
      <c r="E36" s="10" t="s">
        <v>50</v>
      </c>
      <c r="F36" s="8" t="s">
        <v>42</v>
      </c>
      <c r="G36" s="11">
        <v>184.64</v>
      </c>
      <c r="H36" s="11">
        <v>0</v>
      </c>
      <c r="J36" s="11">
        <f>IF(AND(E36='TABLA DE PAGOS'!A$12,B36=MAX(CÁLCULOS!R$2:R$160)),F36,IF(AND(B36=MAX(CÁLCULOS!R$2:R$160),E36='TABLA DE PAGOS'!A$13),VLOOKUP(MAX(CÁLCULOS!R$2:R$160),'TABLA DE PAGOS'!C$2:F$160,4)/(D36-C36),IF(VLOOKUP(MAX(CÁLCULOS!R$2:R$160),B$3:E$200,4)='TABLA DE PAGOS'!A$12,IF(AND(F36&gt;0,E36='TABLA DE PAGOS'!A$12),VLOOKUP('TABLA DE PAGOS'!A$12,E$3:F$200,2),0),0)))</f>
        <v>0</v>
      </c>
    </row>
    <row r="37" ht="16.55" customHeight="true" spans="2:10">
      <c r="B37" s="8">
        <v>15</v>
      </c>
      <c r="C37" s="9">
        <v>44872</v>
      </c>
      <c r="D37" s="9">
        <v>44900</v>
      </c>
      <c r="E37" s="10" t="s">
        <v>47</v>
      </c>
      <c r="F37" s="8" t="s">
        <v>42</v>
      </c>
      <c r="G37" s="11">
        <v>999.3</v>
      </c>
      <c r="H37" s="11">
        <v>0</v>
      </c>
      <c r="J37" s="11">
        <f>IF(AND(E37='TABLA DE PAGOS'!A$12,B37=MAX(CÁLCULOS!R$2:R$160)),F37,IF(AND(B37=MAX(CÁLCULOS!R$2:R$160),E37='TABLA DE PAGOS'!A$13),VLOOKUP(MAX(CÁLCULOS!R$2:R$160),'TABLA DE PAGOS'!C$2:F$160,4)/(D37-C37),IF(VLOOKUP(MAX(CÁLCULOS!R$2:R$160),B$3:E$200,4)='TABLA DE PAGOS'!A$12,IF(AND(F37&gt;0,E37='TABLA DE PAGOS'!A$12),VLOOKUP('TABLA DE PAGOS'!A$12,E$3:F$200,2),0),0)))</f>
        <v>0</v>
      </c>
    </row>
    <row r="38" ht="16.55" customHeight="true" spans="2:10">
      <c r="B38" s="8">
        <v>16</v>
      </c>
      <c r="C38" s="9" t="s">
        <v>42</v>
      </c>
      <c r="D38" s="9" t="s">
        <v>42</v>
      </c>
      <c r="E38" s="10" t="s">
        <v>50</v>
      </c>
      <c r="F38" s="8" t="s">
        <v>42</v>
      </c>
      <c r="G38" s="11">
        <v>184.64</v>
      </c>
      <c r="H38" s="11">
        <v>0</v>
      </c>
      <c r="J38" s="11">
        <f>IF(AND(E38='TABLA DE PAGOS'!A$12,B38=MAX(CÁLCULOS!R$2:R$160)),F38,IF(AND(B38=MAX(CÁLCULOS!R$2:R$160),E38='TABLA DE PAGOS'!A$13),VLOOKUP(MAX(CÁLCULOS!R$2:R$160),'TABLA DE PAGOS'!C$2:F$160,4)/(D38-C38),IF(VLOOKUP(MAX(CÁLCULOS!R$2:R$160),B$3:E$200,4)='TABLA DE PAGOS'!A$12,IF(AND(F38&gt;0,E38='TABLA DE PAGOS'!A$12),VLOOKUP('TABLA DE PAGOS'!A$12,E$3:F$200,2),0),0)))</f>
        <v>0</v>
      </c>
    </row>
    <row r="39" ht="16.55" customHeight="true" spans="2:10">
      <c r="B39" s="8">
        <v>16</v>
      </c>
      <c r="C39" s="9">
        <v>44900</v>
      </c>
      <c r="D39" s="9">
        <v>44930</v>
      </c>
      <c r="E39" s="10" t="s">
        <v>47</v>
      </c>
      <c r="F39" s="8" t="s">
        <v>42</v>
      </c>
      <c r="G39" s="11">
        <v>865.18</v>
      </c>
      <c r="H39" s="11">
        <v>0</v>
      </c>
      <c r="J39" s="11">
        <f>IF(AND(E39='TABLA DE PAGOS'!A$12,B39=MAX(CÁLCULOS!R$2:R$160)),F39,IF(AND(B39=MAX(CÁLCULOS!R$2:R$160),E39='TABLA DE PAGOS'!A$13),VLOOKUP(MAX(CÁLCULOS!R$2:R$160),'TABLA DE PAGOS'!C$2:F$160,4)/(D39-C39),IF(VLOOKUP(MAX(CÁLCULOS!R$2:R$160),B$3:E$200,4)='TABLA DE PAGOS'!A$12,IF(AND(F39&gt;0,E39='TABLA DE PAGOS'!A$12),VLOOKUP('TABLA DE PAGOS'!A$12,E$3:F$200,2),0),0)))</f>
        <v>0</v>
      </c>
    </row>
    <row r="40" ht="16.55" customHeight="true" spans="2:10">
      <c r="B40" s="8">
        <v>17</v>
      </c>
      <c r="C40" s="9" t="s">
        <v>42</v>
      </c>
      <c r="D40" s="9" t="s">
        <v>42</v>
      </c>
      <c r="E40" s="10" t="s">
        <v>50</v>
      </c>
      <c r="F40" s="8" t="s">
        <v>42</v>
      </c>
      <c r="G40" s="11">
        <v>184.64</v>
      </c>
      <c r="H40" s="11">
        <v>0</v>
      </c>
      <c r="J40" s="11">
        <f>IF(AND(E40='TABLA DE PAGOS'!A$12,B40=MAX(CÁLCULOS!R$2:R$160)),F40,IF(AND(B40=MAX(CÁLCULOS!R$2:R$160),E40='TABLA DE PAGOS'!A$13),VLOOKUP(MAX(CÁLCULOS!R$2:R$160),'TABLA DE PAGOS'!C$2:F$160,4)/(D40-C40),IF(VLOOKUP(MAX(CÁLCULOS!R$2:R$160),B$3:E$200,4)='TABLA DE PAGOS'!A$12,IF(AND(F40&gt;0,E40='TABLA DE PAGOS'!A$12),VLOOKUP('TABLA DE PAGOS'!A$12,E$3:F$200,2),0),0)))</f>
        <v>0</v>
      </c>
    </row>
    <row r="41" ht="16.55" customHeight="true" spans="2:10">
      <c r="B41" s="8">
        <v>17</v>
      </c>
      <c r="C41" s="9">
        <v>44930</v>
      </c>
      <c r="D41" s="9">
        <v>44963</v>
      </c>
      <c r="E41" s="10" t="s">
        <v>47</v>
      </c>
      <c r="F41" s="8" t="s">
        <v>42</v>
      </c>
      <c r="G41" s="11">
        <v>659.97</v>
      </c>
      <c r="H41" s="11">
        <v>0</v>
      </c>
      <c r="J41" s="11">
        <f>IF(AND(E41='TABLA DE PAGOS'!A$12,B41=MAX(CÁLCULOS!R$2:R$160)),F41,IF(AND(B41=MAX(CÁLCULOS!R$2:R$160),E41='TABLA DE PAGOS'!A$13),VLOOKUP(MAX(CÁLCULOS!R$2:R$160),'TABLA DE PAGOS'!C$2:F$160,4)/(D41-C41),IF(VLOOKUP(MAX(CÁLCULOS!R$2:R$160),B$3:E$200,4)='TABLA DE PAGOS'!A$12,IF(AND(F41&gt;0,E41='TABLA DE PAGOS'!A$12),VLOOKUP('TABLA DE PAGOS'!A$12,E$3:F$200,2),0),0)))</f>
        <v>0</v>
      </c>
    </row>
    <row r="42" ht="16.55" customHeight="true" spans="2:10">
      <c r="B42" s="8">
        <v>18</v>
      </c>
      <c r="C42" s="9" t="s">
        <v>42</v>
      </c>
      <c r="D42" s="9" t="s">
        <v>42</v>
      </c>
      <c r="E42" s="10" t="s">
        <v>50</v>
      </c>
      <c r="F42" s="8" t="s">
        <v>42</v>
      </c>
      <c r="G42" s="11">
        <v>184.64</v>
      </c>
      <c r="H42" s="11">
        <v>0</v>
      </c>
      <c r="J42" s="11">
        <f>IF(AND(E42='TABLA DE PAGOS'!A$12,B42=MAX(CÁLCULOS!R$2:R$160)),F42,IF(AND(B42=MAX(CÁLCULOS!R$2:R$160),E42='TABLA DE PAGOS'!A$13),VLOOKUP(MAX(CÁLCULOS!R$2:R$160),'TABLA DE PAGOS'!C$2:F$160,4)/(D42-C42),IF(VLOOKUP(MAX(CÁLCULOS!R$2:R$160),B$3:E$200,4)='TABLA DE PAGOS'!A$12,IF(AND(F42&gt;0,E42='TABLA DE PAGOS'!A$12),VLOOKUP('TABLA DE PAGOS'!A$12,E$3:F$200,2),0),0)))</f>
        <v>0</v>
      </c>
    </row>
    <row r="43" ht="16.55" customHeight="true" spans="2:10">
      <c r="B43" s="8">
        <v>18</v>
      </c>
      <c r="C43" s="9">
        <v>44963</v>
      </c>
      <c r="D43" s="9">
        <v>44991</v>
      </c>
      <c r="E43" s="10" t="s">
        <v>47</v>
      </c>
      <c r="F43" s="8" t="s">
        <v>42</v>
      </c>
      <c r="G43" s="11">
        <v>1020.49</v>
      </c>
      <c r="H43" s="11">
        <v>0</v>
      </c>
      <c r="J43" s="11">
        <f>IF(AND(E43='TABLA DE PAGOS'!A$12,B43=MAX(CÁLCULOS!R$2:R$160)),F43,IF(AND(B43=MAX(CÁLCULOS!R$2:R$160),E43='TABLA DE PAGOS'!A$13),VLOOKUP(MAX(CÁLCULOS!R$2:R$160),'TABLA DE PAGOS'!C$2:F$160,4)/(D43-C43),IF(VLOOKUP(MAX(CÁLCULOS!R$2:R$160),B$3:E$200,4)='TABLA DE PAGOS'!A$12,IF(AND(F43&gt;0,E43='TABLA DE PAGOS'!A$12),VLOOKUP('TABLA DE PAGOS'!A$12,E$3:F$200,2),0),0)))</f>
        <v>0</v>
      </c>
    </row>
    <row r="44" ht="16.55" customHeight="true" spans="2:10">
      <c r="B44" s="8">
        <v>19</v>
      </c>
      <c r="C44" s="9" t="s">
        <v>42</v>
      </c>
      <c r="D44" s="9" t="s">
        <v>42</v>
      </c>
      <c r="E44" s="10" t="s">
        <v>50</v>
      </c>
      <c r="F44" s="8" t="s">
        <v>42</v>
      </c>
      <c r="G44" s="11">
        <v>184.64</v>
      </c>
      <c r="H44" s="11">
        <v>0</v>
      </c>
      <c r="J44" s="11">
        <f>IF(AND(E44='TABLA DE PAGOS'!A$12,B44=MAX(CÁLCULOS!R$2:R$160)),F44,IF(AND(B44=MAX(CÁLCULOS!R$2:R$160),E44='TABLA DE PAGOS'!A$13),VLOOKUP(MAX(CÁLCULOS!R$2:R$160),'TABLA DE PAGOS'!C$2:F$160,4)/(D44-C44),IF(VLOOKUP(MAX(CÁLCULOS!R$2:R$160),B$3:E$200,4)='TABLA DE PAGOS'!A$12,IF(AND(F44&gt;0,E44='TABLA DE PAGOS'!A$12),VLOOKUP('TABLA DE PAGOS'!A$12,E$3:F$200,2),0),0)))</f>
        <v>0</v>
      </c>
    </row>
    <row r="45" ht="16.55" customHeight="true" spans="2:10">
      <c r="B45" s="8">
        <v>19</v>
      </c>
      <c r="C45" s="9">
        <v>44991</v>
      </c>
      <c r="D45" s="9">
        <v>45020</v>
      </c>
      <c r="E45" s="10" t="s">
        <v>47</v>
      </c>
      <c r="F45" s="8" t="s">
        <v>42</v>
      </c>
      <c r="G45" s="11">
        <v>958.56</v>
      </c>
      <c r="H45" s="11">
        <v>0</v>
      </c>
      <c r="J45" s="11">
        <f>IF(AND(E45='TABLA DE PAGOS'!A$12,B45=MAX(CÁLCULOS!R$2:R$160)),F45,IF(AND(B45=MAX(CÁLCULOS!R$2:R$160),E45='TABLA DE PAGOS'!A$13),VLOOKUP(MAX(CÁLCULOS!R$2:R$160),'TABLA DE PAGOS'!C$2:F$160,4)/(D45-C45),IF(VLOOKUP(MAX(CÁLCULOS!R$2:R$160),B$3:E$200,4)='TABLA DE PAGOS'!A$12,IF(AND(F45&gt;0,E45='TABLA DE PAGOS'!A$12),VLOOKUP('TABLA DE PAGOS'!A$12,E$3:F$200,2),0),0)))</f>
        <v>0</v>
      </c>
    </row>
    <row r="46" ht="16.55" customHeight="true" spans="2:10">
      <c r="B46" s="8">
        <v>20</v>
      </c>
      <c r="C46" s="9" t="s">
        <v>42</v>
      </c>
      <c r="D46" s="9" t="s">
        <v>42</v>
      </c>
      <c r="E46" s="10" t="s">
        <v>50</v>
      </c>
      <c r="F46" s="8" t="s">
        <v>42</v>
      </c>
      <c r="G46" s="11">
        <v>184.64</v>
      </c>
      <c r="H46" s="11">
        <v>0</v>
      </c>
      <c r="J46" s="11">
        <f>IF(AND(E46='TABLA DE PAGOS'!A$12,B46=MAX(CÁLCULOS!R$2:R$160)),F46,IF(AND(B46=MAX(CÁLCULOS!R$2:R$160),E46='TABLA DE PAGOS'!A$13),VLOOKUP(MAX(CÁLCULOS!R$2:R$160),'TABLA DE PAGOS'!C$2:F$160,4)/(D46-C46),IF(VLOOKUP(MAX(CÁLCULOS!R$2:R$160),B$3:E$200,4)='TABLA DE PAGOS'!A$12,IF(AND(F46&gt;0,E46='TABLA DE PAGOS'!A$12),VLOOKUP('TABLA DE PAGOS'!A$12,E$3:F$200,2),0),0)))</f>
        <v>0</v>
      </c>
    </row>
    <row r="47" ht="16.55" customHeight="true" spans="2:10">
      <c r="B47" s="8">
        <v>20</v>
      </c>
      <c r="C47" s="9">
        <v>45020</v>
      </c>
      <c r="D47" s="9">
        <v>45050</v>
      </c>
      <c r="E47" s="10" t="s">
        <v>47</v>
      </c>
      <c r="F47" s="8" t="s">
        <v>42</v>
      </c>
      <c r="G47" s="11">
        <v>896.69</v>
      </c>
      <c r="H47" s="11">
        <v>0</v>
      </c>
      <c r="J47" s="11">
        <f>IF(AND(E47='TABLA DE PAGOS'!A$12,B47=MAX(CÁLCULOS!R$2:R$160)),F47,IF(AND(B47=MAX(CÁLCULOS!R$2:R$160),E47='TABLA DE PAGOS'!A$13),VLOOKUP(MAX(CÁLCULOS!R$2:R$160),'TABLA DE PAGOS'!C$2:F$160,4)/(D47-C47),IF(VLOOKUP(MAX(CÁLCULOS!R$2:R$160),B$3:E$200,4)='TABLA DE PAGOS'!A$12,IF(AND(F47&gt;0,E47='TABLA DE PAGOS'!A$12),VLOOKUP('TABLA DE PAGOS'!A$12,E$3:F$200,2),0),0)))</f>
        <v>0</v>
      </c>
    </row>
    <row r="48" ht="16.55" customHeight="true" spans="2:10">
      <c r="B48" s="8">
        <v>21</v>
      </c>
      <c r="C48" s="9" t="s">
        <v>42</v>
      </c>
      <c r="D48" s="9" t="s">
        <v>42</v>
      </c>
      <c r="E48" s="10" t="s">
        <v>50</v>
      </c>
      <c r="F48" s="8" t="s">
        <v>42</v>
      </c>
      <c r="G48" s="11">
        <v>184.64</v>
      </c>
      <c r="H48" s="11">
        <v>0</v>
      </c>
      <c r="J48" s="11">
        <f>IF(AND(E48='TABLA DE PAGOS'!A$12,B48=MAX(CÁLCULOS!R$2:R$160)),F48,IF(AND(B48=MAX(CÁLCULOS!R$2:R$160),E48='TABLA DE PAGOS'!A$13),VLOOKUP(MAX(CÁLCULOS!R$2:R$160),'TABLA DE PAGOS'!C$2:F$160,4)/(D48-C48),IF(VLOOKUP(MAX(CÁLCULOS!R$2:R$160),B$3:E$200,4)='TABLA DE PAGOS'!A$12,IF(AND(F48&gt;0,E48='TABLA DE PAGOS'!A$12),VLOOKUP('TABLA DE PAGOS'!A$12,E$3:F$200,2),0),0)))</f>
        <v>0</v>
      </c>
    </row>
    <row r="49" ht="16.55" customHeight="true" spans="2:10">
      <c r="B49" s="8">
        <v>21</v>
      </c>
      <c r="C49" s="9">
        <v>45050</v>
      </c>
      <c r="D49" s="9">
        <v>45082</v>
      </c>
      <c r="E49" s="10" t="s">
        <v>47</v>
      </c>
      <c r="F49" s="8" t="s">
        <v>42</v>
      </c>
      <c r="G49" s="11">
        <v>764.88</v>
      </c>
      <c r="H49" s="11">
        <v>0</v>
      </c>
      <c r="J49" s="11">
        <f>IF(AND(E49='TABLA DE PAGOS'!A$12,B49=MAX(CÁLCULOS!R$2:R$160)),F49,IF(AND(B49=MAX(CÁLCULOS!R$2:R$160),E49='TABLA DE PAGOS'!A$13),VLOOKUP(MAX(CÁLCULOS!R$2:R$160),'TABLA DE PAGOS'!C$2:F$160,4)/(D49-C49),IF(VLOOKUP(MAX(CÁLCULOS!R$2:R$160),B$3:E$200,4)='TABLA DE PAGOS'!A$12,IF(AND(F49&gt;0,E49='TABLA DE PAGOS'!A$12),VLOOKUP('TABLA DE PAGOS'!A$12,E$3:F$200,2),0),0)))</f>
        <v>0</v>
      </c>
    </row>
    <row r="50" ht="16.55" customHeight="true" spans="2:10">
      <c r="B50" s="8">
        <v>22</v>
      </c>
      <c r="C50" s="9" t="s">
        <v>42</v>
      </c>
      <c r="D50" s="9" t="s">
        <v>42</v>
      </c>
      <c r="E50" s="10" t="s">
        <v>50</v>
      </c>
      <c r="F50" s="8" t="s">
        <v>42</v>
      </c>
      <c r="G50" s="11">
        <v>184.64</v>
      </c>
      <c r="H50" s="11">
        <v>0</v>
      </c>
      <c r="J50" s="11">
        <f>IF(AND(E50='TABLA DE PAGOS'!A$12,B50=MAX(CÁLCULOS!R$2:R$160)),F50,IF(AND(B50=MAX(CÁLCULOS!R$2:R$160),E50='TABLA DE PAGOS'!A$13),VLOOKUP(MAX(CÁLCULOS!R$2:R$160),'TABLA DE PAGOS'!C$2:F$160,4)/(D50-C50),IF(VLOOKUP(MAX(CÁLCULOS!R$2:R$160),B$3:E$200,4)='TABLA DE PAGOS'!A$12,IF(AND(F50&gt;0,E50='TABLA DE PAGOS'!A$12),VLOOKUP('TABLA DE PAGOS'!A$12,E$3:F$200,2),0),0)))</f>
        <v>0</v>
      </c>
    </row>
    <row r="51" ht="16.55" customHeight="true" spans="2:10">
      <c r="B51" s="8">
        <v>22</v>
      </c>
      <c r="C51" s="9">
        <v>45082</v>
      </c>
      <c r="D51" s="9">
        <v>45111</v>
      </c>
      <c r="E51" s="10" t="s">
        <v>47</v>
      </c>
      <c r="F51" s="8" t="s">
        <v>42</v>
      </c>
      <c r="G51" s="11">
        <v>981.34</v>
      </c>
      <c r="H51" s="11">
        <v>0</v>
      </c>
      <c r="J51" s="11">
        <f>IF(AND(E51='TABLA DE PAGOS'!A$12,B51=MAX(CÁLCULOS!R$2:R$160)),F51,IF(AND(B51=MAX(CÁLCULOS!R$2:R$160),E51='TABLA DE PAGOS'!A$13),VLOOKUP(MAX(CÁLCULOS!R$2:R$160),'TABLA DE PAGOS'!C$2:F$160,4)/(D51-C51),IF(VLOOKUP(MAX(CÁLCULOS!R$2:R$160),B$3:E$200,4)='TABLA DE PAGOS'!A$12,IF(AND(F51&gt;0,E51='TABLA DE PAGOS'!A$12),VLOOKUP('TABLA DE PAGOS'!A$12,E$3:F$200,2),0),0)))</f>
        <v>0</v>
      </c>
    </row>
    <row r="52" ht="16.55" customHeight="true" spans="2:10">
      <c r="B52" s="8">
        <v>23</v>
      </c>
      <c r="C52" s="9" t="s">
        <v>42</v>
      </c>
      <c r="D52" s="9" t="s">
        <v>42</v>
      </c>
      <c r="E52" s="10" t="s">
        <v>50</v>
      </c>
      <c r="F52" s="8" t="s">
        <v>42</v>
      </c>
      <c r="G52" s="11">
        <v>184.64</v>
      </c>
      <c r="H52" s="11">
        <v>0</v>
      </c>
      <c r="J52" s="11">
        <f>IF(AND(E52='TABLA DE PAGOS'!A$12,B52=MAX(CÁLCULOS!R$2:R$160)),F52,IF(AND(B52=MAX(CÁLCULOS!R$2:R$160),E52='TABLA DE PAGOS'!A$13),VLOOKUP(MAX(CÁLCULOS!R$2:R$160),'TABLA DE PAGOS'!C$2:F$160,4)/(D52-C52),IF(VLOOKUP(MAX(CÁLCULOS!R$2:R$160),B$3:E$200,4)='TABLA DE PAGOS'!A$12,IF(AND(F52&gt;0,E52='TABLA DE PAGOS'!A$12),VLOOKUP('TABLA DE PAGOS'!A$12,E$3:F$200,2),0),0)))</f>
        <v>0</v>
      </c>
    </row>
    <row r="53" ht="16.55" customHeight="true" spans="2:10">
      <c r="B53" s="8">
        <v>23</v>
      </c>
      <c r="C53" s="9">
        <v>45111</v>
      </c>
      <c r="D53" s="9">
        <v>45142</v>
      </c>
      <c r="E53" s="10" t="s">
        <v>47</v>
      </c>
      <c r="F53" s="8" t="s">
        <v>42</v>
      </c>
      <c r="G53" s="11">
        <v>851.04</v>
      </c>
      <c r="H53" s="11">
        <v>0</v>
      </c>
      <c r="J53" s="11">
        <f>IF(AND(E53='TABLA DE PAGOS'!A$12,B53=MAX(CÁLCULOS!R$2:R$160)),F53,IF(AND(B53=MAX(CÁLCULOS!R$2:R$160),E53='TABLA DE PAGOS'!A$13),VLOOKUP(MAX(CÁLCULOS!R$2:R$160),'TABLA DE PAGOS'!C$2:F$160,4)/(D53-C53),IF(VLOOKUP(MAX(CÁLCULOS!R$2:R$160),B$3:E$200,4)='TABLA DE PAGOS'!A$12,IF(AND(F53&gt;0,E53='TABLA DE PAGOS'!A$12),VLOOKUP('TABLA DE PAGOS'!A$12,E$3:F$200,2),0),0)))</f>
        <v>0</v>
      </c>
    </row>
    <row r="54" ht="16.55" customHeight="true" spans="2:10">
      <c r="B54" s="8">
        <v>24</v>
      </c>
      <c r="C54" s="9" t="s">
        <v>42</v>
      </c>
      <c r="D54" s="9" t="s">
        <v>42</v>
      </c>
      <c r="E54" s="10" t="s">
        <v>50</v>
      </c>
      <c r="F54" s="8" t="s">
        <v>42</v>
      </c>
      <c r="G54" s="11">
        <v>184.64</v>
      </c>
      <c r="H54" s="11">
        <v>0</v>
      </c>
      <c r="J54" s="11">
        <f>IF(AND(E54='TABLA DE PAGOS'!A$12,B54=MAX(CÁLCULOS!R$2:R$160)),F54,IF(AND(B54=MAX(CÁLCULOS!R$2:R$160),E54='TABLA DE PAGOS'!A$13),VLOOKUP(MAX(CÁLCULOS!R$2:R$160),'TABLA DE PAGOS'!C$2:F$160,4)/(D54-C54),IF(VLOOKUP(MAX(CÁLCULOS!R$2:R$160),B$3:E$200,4)='TABLA DE PAGOS'!A$12,IF(AND(F54&gt;0,E54='TABLA DE PAGOS'!A$12),VLOOKUP('TABLA DE PAGOS'!A$12,E$3:F$200,2),0),0)))</f>
        <v>0</v>
      </c>
    </row>
    <row r="55" ht="16.55" customHeight="true" spans="2:10">
      <c r="B55" s="8">
        <v>24</v>
      </c>
      <c r="C55" s="9">
        <v>45142</v>
      </c>
      <c r="D55" s="9">
        <v>45173</v>
      </c>
      <c r="E55" s="10" t="s">
        <v>47</v>
      </c>
      <c r="F55" s="8" t="s">
        <v>42</v>
      </c>
      <c r="G55" s="11">
        <v>858.95</v>
      </c>
      <c r="H55" s="11">
        <v>0</v>
      </c>
      <c r="J55" s="11">
        <f>IF(AND(E55='TABLA DE PAGOS'!A$12,B55=MAX(CÁLCULOS!R$2:R$160)),F55,IF(AND(B55=MAX(CÁLCULOS!R$2:R$160),E55='TABLA DE PAGOS'!A$13),VLOOKUP(MAX(CÁLCULOS!R$2:R$160),'TABLA DE PAGOS'!C$2:F$160,4)/(D55-C55),IF(VLOOKUP(MAX(CÁLCULOS!R$2:R$160),B$3:E$200,4)='TABLA DE PAGOS'!A$12,IF(AND(F55&gt;0,E55='TABLA DE PAGOS'!A$12),VLOOKUP('TABLA DE PAGOS'!A$12,E$3:F$200,2),0),0)))</f>
        <v>0</v>
      </c>
    </row>
    <row r="56" ht="16.55" customHeight="true" spans="2:10">
      <c r="B56" s="8">
        <v>25</v>
      </c>
      <c r="C56" s="9" t="s">
        <v>42</v>
      </c>
      <c r="D56" s="9" t="s">
        <v>42</v>
      </c>
      <c r="E56" s="10" t="s">
        <v>50</v>
      </c>
      <c r="F56" s="8" t="s">
        <v>42</v>
      </c>
      <c r="G56" s="11">
        <v>184.64</v>
      </c>
      <c r="H56" s="11">
        <v>0</v>
      </c>
      <c r="J56" s="11">
        <f>IF(AND(E56='TABLA DE PAGOS'!A$12,B56=MAX(CÁLCULOS!R$2:R$160)),F56,IF(AND(B56=MAX(CÁLCULOS!R$2:R$160),E56='TABLA DE PAGOS'!A$13),VLOOKUP(MAX(CÁLCULOS!R$2:R$160),'TABLA DE PAGOS'!C$2:F$160,4)/(D56-C56),IF(VLOOKUP(MAX(CÁLCULOS!R$2:R$160),B$3:E$200,4)='TABLA DE PAGOS'!A$12,IF(AND(F56&gt;0,E56='TABLA DE PAGOS'!A$12),VLOOKUP('TABLA DE PAGOS'!A$12,E$3:F$200,2),0),0)))</f>
        <v>0</v>
      </c>
    </row>
    <row r="57" ht="16.55" customHeight="true" spans="2:10">
      <c r="B57" s="8">
        <v>25</v>
      </c>
      <c r="C57" s="9">
        <v>45173</v>
      </c>
      <c r="D57" s="9">
        <v>45203</v>
      </c>
      <c r="E57" s="10" t="s">
        <v>47</v>
      </c>
      <c r="F57" s="8" t="s">
        <v>42</v>
      </c>
      <c r="G57" s="11">
        <v>935.84</v>
      </c>
      <c r="H57" s="11">
        <v>0</v>
      </c>
      <c r="J57" s="11">
        <f>IF(AND(E57='TABLA DE PAGOS'!A$12,B57=MAX(CÁLCULOS!R$2:R$160)),F57,IF(AND(B57=MAX(CÁLCULOS!R$2:R$160),E57='TABLA DE PAGOS'!A$13),VLOOKUP(MAX(CÁLCULOS!R$2:R$160),'TABLA DE PAGOS'!C$2:F$160,4)/(D57-C57),IF(VLOOKUP(MAX(CÁLCULOS!R$2:R$160),B$3:E$200,4)='TABLA DE PAGOS'!A$12,IF(AND(F57&gt;0,E57='TABLA DE PAGOS'!A$12),VLOOKUP('TABLA DE PAGOS'!A$12,E$3:F$200,2),0),0)))</f>
        <v>0</v>
      </c>
    </row>
    <row r="58" ht="16.55" customHeight="true" spans="2:10">
      <c r="B58" s="8">
        <v>26</v>
      </c>
      <c r="C58" s="9" t="s">
        <v>42</v>
      </c>
      <c r="D58" s="9" t="s">
        <v>42</v>
      </c>
      <c r="E58" s="10" t="s">
        <v>50</v>
      </c>
      <c r="F58" s="8" t="s">
        <v>42</v>
      </c>
      <c r="G58" s="11">
        <v>184.64</v>
      </c>
      <c r="H58" s="11">
        <v>0</v>
      </c>
      <c r="J58" s="11">
        <f>IF(AND(E58='TABLA DE PAGOS'!A$12,B58=MAX(CÁLCULOS!R$2:R$160)),F58,IF(AND(B58=MAX(CÁLCULOS!R$2:R$160),E58='TABLA DE PAGOS'!A$13),VLOOKUP(MAX(CÁLCULOS!R$2:R$160),'TABLA DE PAGOS'!C$2:F$160,4)/(D58-C58),IF(VLOOKUP(MAX(CÁLCULOS!R$2:R$160),B$3:E$200,4)='TABLA DE PAGOS'!A$12,IF(AND(F58&gt;0,E58='TABLA DE PAGOS'!A$12),VLOOKUP('TABLA DE PAGOS'!A$12,E$3:F$200,2),0),0)))</f>
        <v>0</v>
      </c>
    </row>
    <row r="59" ht="16.55" customHeight="true" spans="2:10">
      <c r="B59" s="8">
        <v>26</v>
      </c>
      <c r="C59" s="9">
        <v>45203</v>
      </c>
      <c r="D59" s="9">
        <v>45236</v>
      </c>
      <c r="E59" s="10" t="s">
        <v>47</v>
      </c>
      <c r="F59" s="8" t="s">
        <v>42</v>
      </c>
      <c r="G59" s="11">
        <v>738.39</v>
      </c>
      <c r="H59" s="11">
        <v>0</v>
      </c>
      <c r="J59" s="11">
        <f>IF(AND(E59='TABLA DE PAGOS'!A$12,B59=MAX(CÁLCULOS!R$2:R$160)),F59,IF(AND(B59=MAX(CÁLCULOS!R$2:R$160),E59='TABLA DE PAGOS'!A$13),VLOOKUP(MAX(CÁLCULOS!R$2:R$160),'TABLA DE PAGOS'!C$2:F$160,4)/(D59-C59),IF(VLOOKUP(MAX(CÁLCULOS!R$2:R$160),B$3:E$200,4)='TABLA DE PAGOS'!A$12,IF(AND(F59&gt;0,E59='TABLA DE PAGOS'!A$12),VLOOKUP('TABLA DE PAGOS'!A$12,E$3:F$200,2),0),0)))</f>
        <v>0</v>
      </c>
    </row>
    <row r="60" ht="16.55" customHeight="true" spans="2:10">
      <c r="B60" s="8">
        <v>27</v>
      </c>
      <c r="C60" s="9" t="s">
        <v>42</v>
      </c>
      <c r="D60" s="9" t="s">
        <v>42</v>
      </c>
      <c r="E60" s="10" t="s">
        <v>50</v>
      </c>
      <c r="F60" s="8" t="s">
        <v>42</v>
      </c>
      <c r="G60" s="11">
        <v>184.64</v>
      </c>
      <c r="H60" s="11">
        <v>0</v>
      </c>
      <c r="J60" s="11">
        <f>IF(AND(E60='TABLA DE PAGOS'!A$12,B60=MAX(CÁLCULOS!R$2:R$160)),F60,IF(AND(B60=MAX(CÁLCULOS!R$2:R$160),E60='TABLA DE PAGOS'!A$13),VLOOKUP(MAX(CÁLCULOS!R$2:R$160),'TABLA DE PAGOS'!C$2:F$160,4)/(D60-C60),IF(VLOOKUP(MAX(CÁLCULOS!R$2:R$160),B$3:E$200,4)='TABLA DE PAGOS'!A$12,IF(AND(F60&gt;0,E60='TABLA DE PAGOS'!A$12),VLOOKUP('TABLA DE PAGOS'!A$12,E$3:F$200,2),0),0)))</f>
        <v>0</v>
      </c>
    </row>
    <row r="61" ht="16.55" customHeight="true" spans="2:10">
      <c r="B61" s="8">
        <v>27</v>
      </c>
      <c r="C61" s="9">
        <v>45236</v>
      </c>
      <c r="D61" s="9">
        <v>45264</v>
      </c>
      <c r="E61" s="10" t="s">
        <v>47</v>
      </c>
      <c r="F61" s="8" t="s">
        <v>42</v>
      </c>
      <c r="G61" s="11">
        <v>1087.68</v>
      </c>
      <c r="H61" s="11">
        <v>0</v>
      </c>
      <c r="J61" s="11">
        <f>IF(AND(E61='TABLA DE PAGOS'!A$12,B61=MAX(CÁLCULOS!R$2:R$160)),F61,IF(AND(B61=MAX(CÁLCULOS!R$2:R$160),E61='TABLA DE PAGOS'!A$13),VLOOKUP(MAX(CÁLCULOS!R$2:R$160),'TABLA DE PAGOS'!C$2:F$160,4)/(D61-C61),IF(VLOOKUP(MAX(CÁLCULOS!R$2:R$160),B$3:E$200,4)='TABLA DE PAGOS'!A$12,IF(AND(F61&gt;0,E61='TABLA DE PAGOS'!A$12),VLOOKUP('TABLA DE PAGOS'!A$12,E$3:F$200,2),0),0)))</f>
        <v>0</v>
      </c>
    </row>
    <row r="62" ht="16.55" customHeight="true" spans="2:10">
      <c r="B62" s="8">
        <v>28</v>
      </c>
      <c r="C62" s="9" t="s">
        <v>42</v>
      </c>
      <c r="D62" s="9" t="s">
        <v>42</v>
      </c>
      <c r="E62" s="10" t="s">
        <v>50</v>
      </c>
      <c r="F62" s="8" t="s">
        <v>42</v>
      </c>
      <c r="G62" s="11">
        <v>184.64</v>
      </c>
      <c r="H62" s="11">
        <v>0</v>
      </c>
      <c r="J62" s="11">
        <f>IF(AND(E62='TABLA DE PAGOS'!A$12,B62=MAX(CÁLCULOS!R$2:R$160)),F62,IF(AND(B62=MAX(CÁLCULOS!R$2:R$160),E62='TABLA DE PAGOS'!A$13),VLOOKUP(MAX(CÁLCULOS!R$2:R$160),'TABLA DE PAGOS'!C$2:F$160,4)/(D62-C62),IF(VLOOKUP(MAX(CÁLCULOS!R$2:R$160),B$3:E$200,4)='TABLA DE PAGOS'!A$12,IF(AND(F62&gt;0,E62='TABLA DE PAGOS'!A$12),VLOOKUP('TABLA DE PAGOS'!A$12,E$3:F$200,2),0),0)))</f>
        <v>0</v>
      </c>
    </row>
    <row r="63" ht="16.55" customHeight="true" spans="2:10">
      <c r="B63" s="8">
        <v>28</v>
      </c>
      <c r="C63" s="9">
        <v>45264</v>
      </c>
      <c r="D63" s="9">
        <v>45295</v>
      </c>
      <c r="E63" s="10" t="s">
        <v>47</v>
      </c>
      <c r="F63" s="8" t="s">
        <v>42</v>
      </c>
      <c r="G63" s="11">
        <v>892.59</v>
      </c>
      <c r="H63" s="11">
        <v>0</v>
      </c>
      <c r="J63" s="11">
        <f>IF(AND(E63='TABLA DE PAGOS'!A$12,B63=MAX(CÁLCULOS!R$2:R$160)),F63,IF(AND(B63=MAX(CÁLCULOS!R$2:R$160),E63='TABLA DE PAGOS'!A$13),VLOOKUP(MAX(CÁLCULOS!R$2:R$160),'TABLA DE PAGOS'!C$2:F$160,4)/(D63-C63),IF(VLOOKUP(MAX(CÁLCULOS!R$2:R$160),B$3:E$200,4)='TABLA DE PAGOS'!A$12,IF(AND(F63&gt;0,E63='TABLA DE PAGOS'!A$12),VLOOKUP('TABLA DE PAGOS'!A$12,E$3:F$200,2),0),0)))</f>
        <v>0</v>
      </c>
    </row>
    <row r="64" ht="16.55" customHeight="true" spans="2:10">
      <c r="B64" s="8">
        <v>29</v>
      </c>
      <c r="C64" s="9" t="s">
        <v>42</v>
      </c>
      <c r="D64" s="9" t="s">
        <v>42</v>
      </c>
      <c r="E64" s="10" t="s">
        <v>50</v>
      </c>
      <c r="F64" s="8" t="s">
        <v>42</v>
      </c>
      <c r="G64" s="11">
        <v>184.64</v>
      </c>
      <c r="H64" s="11">
        <v>0</v>
      </c>
      <c r="J64" s="11">
        <f>IF(AND(E64='TABLA DE PAGOS'!A$12,B64=MAX(CÁLCULOS!R$2:R$160)),F64,IF(AND(B64=MAX(CÁLCULOS!R$2:R$160),E64='TABLA DE PAGOS'!A$13),VLOOKUP(MAX(CÁLCULOS!R$2:R$160),'TABLA DE PAGOS'!C$2:F$160,4)/(D64-C64),IF(VLOOKUP(MAX(CÁLCULOS!R$2:R$160),B$3:E$200,4)='TABLA DE PAGOS'!A$12,IF(AND(F64&gt;0,E64='TABLA DE PAGOS'!A$12),VLOOKUP('TABLA DE PAGOS'!A$12,E$3:F$200,2),0),0)))</f>
        <v>0</v>
      </c>
    </row>
    <row r="65" ht="16.55" customHeight="true" spans="2:10">
      <c r="B65" s="8">
        <v>29</v>
      </c>
      <c r="C65" s="9">
        <v>45295</v>
      </c>
      <c r="D65" s="9">
        <v>45327</v>
      </c>
      <c r="E65" s="10" t="s">
        <v>47</v>
      </c>
      <c r="F65" s="8" t="s">
        <v>42</v>
      </c>
      <c r="G65" s="11">
        <v>833.09</v>
      </c>
      <c r="H65" s="11">
        <v>0</v>
      </c>
      <c r="J65" s="11">
        <f>IF(AND(E65='TABLA DE PAGOS'!A$12,B65=MAX(CÁLCULOS!R$2:R$160)),F65,IF(AND(B65=MAX(CÁLCULOS!R$2:R$160),E65='TABLA DE PAGOS'!A$13),VLOOKUP(MAX(CÁLCULOS!R$2:R$160),'TABLA DE PAGOS'!C$2:F$160,4)/(D65-C65),IF(VLOOKUP(MAX(CÁLCULOS!R$2:R$160),B$3:E$200,4)='TABLA DE PAGOS'!A$12,IF(AND(F65&gt;0,E65='TABLA DE PAGOS'!A$12),VLOOKUP('TABLA DE PAGOS'!A$12,E$3:F$200,2),0),0)))</f>
        <v>0</v>
      </c>
    </row>
    <row r="66" ht="16.55" customHeight="true" spans="2:10">
      <c r="B66" s="8">
        <v>30</v>
      </c>
      <c r="C66" s="9" t="s">
        <v>42</v>
      </c>
      <c r="D66" s="9" t="s">
        <v>42</v>
      </c>
      <c r="E66" s="10" t="s">
        <v>50</v>
      </c>
      <c r="F66" s="8" t="s">
        <v>42</v>
      </c>
      <c r="G66" s="11">
        <v>184.64</v>
      </c>
      <c r="H66" s="11">
        <v>0</v>
      </c>
      <c r="J66" s="11">
        <f>IF(AND(E66='TABLA DE PAGOS'!A$12,B66=MAX(CÁLCULOS!R$2:R$160)),F66,IF(AND(B66=MAX(CÁLCULOS!R$2:R$160),E66='TABLA DE PAGOS'!A$13),VLOOKUP(MAX(CÁLCULOS!R$2:R$160),'TABLA DE PAGOS'!C$2:F$160,4)/(D66-C66),IF(VLOOKUP(MAX(CÁLCULOS!R$2:R$160),B$3:E$200,4)='TABLA DE PAGOS'!A$12,IF(AND(F66&gt;0,E66='TABLA DE PAGOS'!A$12),VLOOKUP('TABLA DE PAGOS'!A$12,E$3:F$200,2),0),0)))</f>
        <v>0</v>
      </c>
    </row>
    <row r="67" ht="16.55" customHeight="true" spans="2:10">
      <c r="B67" s="8">
        <v>30</v>
      </c>
      <c r="C67" s="9">
        <v>45327</v>
      </c>
      <c r="D67" s="9">
        <v>45355</v>
      </c>
      <c r="E67" s="10" t="s">
        <v>47</v>
      </c>
      <c r="F67" s="8" t="s">
        <v>42</v>
      </c>
      <c r="G67" s="11">
        <v>1111.3</v>
      </c>
      <c r="H67" s="11">
        <v>0</v>
      </c>
      <c r="J67" s="11">
        <f>IF(AND(E67='TABLA DE PAGOS'!A$12,B67=MAX(CÁLCULOS!R$2:R$160)),F67,IF(AND(B67=MAX(CÁLCULOS!R$2:R$160),E67='TABLA DE PAGOS'!A$13),VLOOKUP(MAX(CÁLCULOS!R$2:R$160),'TABLA DE PAGOS'!C$2:F$160,4)/(D67-C67),IF(VLOOKUP(MAX(CÁLCULOS!R$2:R$160),B$3:E$200,4)='TABLA DE PAGOS'!A$12,IF(AND(F67&gt;0,E67='TABLA DE PAGOS'!A$12),VLOOKUP('TABLA DE PAGOS'!A$12,E$3:F$200,2),0),0)))</f>
        <v>0</v>
      </c>
    </row>
    <row r="68" ht="16.55" customHeight="true" spans="2:10">
      <c r="B68" s="8">
        <v>31</v>
      </c>
      <c r="C68" s="9" t="s">
        <v>42</v>
      </c>
      <c r="D68" s="9" t="s">
        <v>42</v>
      </c>
      <c r="E68" s="10" t="s">
        <v>50</v>
      </c>
      <c r="F68" s="8" t="s">
        <v>42</v>
      </c>
      <c r="G68" s="11">
        <v>184.64</v>
      </c>
      <c r="H68" s="11">
        <v>0</v>
      </c>
      <c r="J68" s="11">
        <f>IF(AND(E68='TABLA DE PAGOS'!A$12,B68=MAX(CÁLCULOS!R$2:R$160)),F68,IF(AND(B68=MAX(CÁLCULOS!R$2:R$160),E68='TABLA DE PAGOS'!A$13),VLOOKUP(MAX(CÁLCULOS!R$2:R$160),'TABLA DE PAGOS'!C$2:F$160,4)/(D68-C68),IF(VLOOKUP(MAX(CÁLCULOS!R$2:R$160),B$3:E$200,4)='TABLA DE PAGOS'!A$12,IF(AND(F68&gt;0,E68='TABLA DE PAGOS'!A$12),VLOOKUP('TABLA DE PAGOS'!A$12,E$3:F$200,2),0),0)))</f>
        <v>0</v>
      </c>
    </row>
    <row r="69" ht="16.55" customHeight="true" spans="2:10">
      <c r="B69" s="8">
        <v>31</v>
      </c>
      <c r="C69" s="9">
        <v>45355</v>
      </c>
      <c r="D69" s="9">
        <v>45386</v>
      </c>
      <c r="E69" s="10" t="s">
        <v>47</v>
      </c>
      <c r="F69" s="8" t="s">
        <v>42</v>
      </c>
      <c r="G69" s="11">
        <v>918.96</v>
      </c>
      <c r="H69" s="11">
        <v>0</v>
      </c>
      <c r="J69" s="11">
        <f>IF(AND(E69='TABLA DE PAGOS'!A$12,B69=MAX(CÁLCULOS!R$2:R$160)),F69,IF(AND(B69=MAX(CÁLCULOS!R$2:R$160),E69='TABLA DE PAGOS'!A$13),VLOOKUP(MAX(CÁLCULOS!R$2:R$160),'TABLA DE PAGOS'!C$2:F$160,4)/(D69-C69),IF(VLOOKUP(MAX(CÁLCULOS!R$2:R$160),B$3:E$200,4)='TABLA DE PAGOS'!A$12,IF(AND(F69&gt;0,E69='TABLA DE PAGOS'!A$12),VLOOKUP('TABLA DE PAGOS'!A$12,E$3:F$200,2),0),0)))</f>
        <v>0</v>
      </c>
    </row>
    <row r="70" ht="16.55" customHeight="true" spans="2:10">
      <c r="B70" s="8">
        <v>32</v>
      </c>
      <c r="C70" s="9" t="s">
        <v>42</v>
      </c>
      <c r="D70" s="9" t="s">
        <v>42</v>
      </c>
      <c r="E70" s="10" t="s">
        <v>50</v>
      </c>
      <c r="F70" s="8" t="s">
        <v>42</v>
      </c>
      <c r="G70" s="11">
        <v>184.64</v>
      </c>
      <c r="H70" s="11">
        <v>0</v>
      </c>
      <c r="J70" s="11">
        <f>IF(AND(E70='TABLA DE PAGOS'!A$12,B70=MAX(CÁLCULOS!R$2:R$160)),F70,IF(AND(B70=MAX(CÁLCULOS!R$2:R$160),E70='TABLA DE PAGOS'!A$13),VLOOKUP(MAX(CÁLCULOS!R$2:R$160),'TABLA DE PAGOS'!C$2:F$160,4)/(D70-C70),IF(VLOOKUP(MAX(CÁLCULOS!R$2:R$160),B$3:E$200,4)='TABLA DE PAGOS'!A$12,IF(AND(F70&gt;0,E70='TABLA DE PAGOS'!A$12),VLOOKUP('TABLA DE PAGOS'!A$12,E$3:F$200,2),0),0)))</f>
        <v>0</v>
      </c>
    </row>
    <row r="71" ht="16.55" customHeight="true" spans="2:10">
      <c r="B71" s="8">
        <v>32</v>
      </c>
      <c r="C71" s="9">
        <v>45386</v>
      </c>
      <c r="D71" s="9">
        <v>45418</v>
      </c>
      <c r="E71" s="10" t="s">
        <v>47</v>
      </c>
      <c r="F71" s="8" t="s">
        <v>42</v>
      </c>
      <c r="G71" s="11">
        <v>860.56</v>
      </c>
      <c r="H71" s="11">
        <v>0</v>
      </c>
      <c r="J71" s="11">
        <f>IF(AND(E71='TABLA DE PAGOS'!A$12,B71=MAX(CÁLCULOS!R$2:R$160)),F71,IF(AND(B71=MAX(CÁLCULOS!R$2:R$160),E71='TABLA DE PAGOS'!A$13),VLOOKUP(MAX(CÁLCULOS!R$2:R$160),'TABLA DE PAGOS'!C$2:F$160,4)/(D71-C71),IF(VLOOKUP(MAX(CÁLCULOS!R$2:R$160),B$3:E$200,4)='TABLA DE PAGOS'!A$12,IF(AND(F71&gt;0,E71='TABLA DE PAGOS'!A$12),VLOOKUP('TABLA DE PAGOS'!A$12,E$3:F$200,2),0),0)))</f>
        <v>0</v>
      </c>
    </row>
    <row r="72" ht="16.55" customHeight="true" spans="2:10">
      <c r="B72" s="8">
        <v>33</v>
      </c>
      <c r="C72" s="9" t="s">
        <v>42</v>
      </c>
      <c r="D72" s="9" t="s">
        <v>42</v>
      </c>
      <c r="E72" s="10" t="s">
        <v>50</v>
      </c>
      <c r="F72" s="8" t="s">
        <v>42</v>
      </c>
      <c r="G72" s="11">
        <v>184.64</v>
      </c>
      <c r="H72" s="11">
        <v>0</v>
      </c>
      <c r="J72" s="11">
        <f>IF(AND(E72='TABLA DE PAGOS'!A$12,B72=MAX(CÁLCULOS!R$2:R$160)),F72,IF(AND(B72=MAX(CÁLCULOS!R$2:R$160),E72='TABLA DE PAGOS'!A$13),VLOOKUP(MAX(CÁLCULOS!R$2:R$160),'TABLA DE PAGOS'!C$2:F$160,4)/(D72-C72),IF(VLOOKUP(MAX(CÁLCULOS!R$2:R$160),B$3:E$200,4)='TABLA DE PAGOS'!A$12,IF(AND(F72&gt;0,E72='TABLA DE PAGOS'!A$12),VLOOKUP('TABLA DE PAGOS'!A$12,E$3:F$200,2),0),0)))</f>
        <v>0</v>
      </c>
    </row>
    <row r="73" ht="16.55" customHeight="true" spans="2:10">
      <c r="B73" s="8">
        <v>33</v>
      </c>
      <c r="C73" s="9">
        <v>45418</v>
      </c>
      <c r="D73" s="9">
        <v>45447</v>
      </c>
      <c r="E73" s="10" t="s">
        <v>47</v>
      </c>
      <c r="F73" s="8" t="s">
        <v>42</v>
      </c>
      <c r="G73" s="11">
        <v>1068.87</v>
      </c>
      <c r="H73" s="11">
        <v>0</v>
      </c>
      <c r="J73" s="11">
        <f>IF(AND(E73='TABLA DE PAGOS'!A$12,B73=MAX(CÁLCULOS!R$2:R$160)),F73,IF(AND(B73=MAX(CÁLCULOS!R$2:R$160),E73='TABLA DE PAGOS'!A$13),VLOOKUP(MAX(CÁLCULOS!R$2:R$160),'TABLA DE PAGOS'!C$2:F$160,4)/(D73-C73),IF(VLOOKUP(MAX(CÁLCULOS!R$2:R$160),B$3:E$200,4)='TABLA DE PAGOS'!A$12,IF(AND(F73&gt;0,E73='TABLA DE PAGOS'!A$12),VLOOKUP('TABLA DE PAGOS'!A$12,E$3:F$200,2),0),0)))</f>
        <v>0</v>
      </c>
    </row>
    <row r="74" ht="16.55" customHeight="true" spans="2:10">
      <c r="B74" s="8">
        <v>34</v>
      </c>
      <c r="C74" s="9" t="s">
        <v>42</v>
      </c>
      <c r="D74" s="9" t="s">
        <v>42</v>
      </c>
      <c r="E74" s="10" t="s">
        <v>50</v>
      </c>
      <c r="F74" s="8" t="s">
        <v>42</v>
      </c>
      <c r="G74" s="11">
        <v>184.64</v>
      </c>
      <c r="H74" s="11">
        <v>0</v>
      </c>
      <c r="J74" s="11">
        <f>IF(AND(E74='TABLA DE PAGOS'!A$12,B74=MAX(CÁLCULOS!R$2:R$160)),F74,IF(AND(B74=MAX(CÁLCULOS!R$2:R$160),E74='TABLA DE PAGOS'!A$13),VLOOKUP(MAX(CÁLCULOS!R$2:R$160),'TABLA DE PAGOS'!C$2:F$160,4)/(D74-C74),IF(VLOOKUP(MAX(CÁLCULOS!R$2:R$160),B$3:E$200,4)='TABLA DE PAGOS'!A$12,IF(AND(F74&gt;0,E74='TABLA DE PAGOS'!A$12),VLOOKUP('TABLA DE PAGOS'!A$12,E$3:F$200,2),0),0)))</f>
        <v>0</v>
      </c>
    </row>
    <row r="75" ht="16.55" customHeight="true" spans="2:10">
      <c r="B75" s="8">
        <v>34</v>
      </c>
      <c r="C75" s="9">
        <v>45447</v>
      </c>
      <c r="D75" s="9">
        <v>45477</v>
      </c>
      <c r="E75" s="10" t="s">
        <v>47</v>
      </c>
      <c r="F75" s="8" t="s">
        <v>42</v>
      </c>
      <c r="G75" s="11">
        <v>1011.8</v>
      </c>
      <c r="H75" s="11">
        <v>0</v>
      </c>
      <c r="J75" s="11">
        <f>IF(AND(E75='TABLA DE PAGOS'!A$12,B75=MAX(CÁLCULOS!R$2:R$160)),F75,IF(AND(B75=MAX(CÁLCULOS!R$2:R$160),E75='TABLA DE PAGOS'!A$13),VLOOKUP(MAX(CÁLCULOS!R$2:R$160),'TABLA DE PAGOS'!C$2:F$160,4)/(D75-C75),IF(VLOOKUP(MAX(CÁLCULOS!R$2:R$160),B$3:E$200,4)='TABLA DE PAGOS'!A$12,IF(AND(F75&gt;0,E75='TABLA DE PAGOS'!A$12),VLOOKUP('TABLA DE PAGOS'!A$12,E$3:F$200,2),0),0)))</f>
        <v>0</v>
      </c>
    </row>
    <row r="76" ht="16.55" customHeight="true" spans="2:10">
      <c r="B76" s="8">
        <v>35</v>
      </c>
      <c r="C76" s="9" t="s">
        <v>42</v>
      </c>
      <c r="D76" s="9" t="s">
        <v>42</v>
      </c>
      <c r="E76" s="10" t="s">
        <v>50</v>
      </c>
      <c r="F76" s="8" t="s">
        <v>42</v>
      </c>
      <c r="G76" s="11">
        <v>184.64</v>
      </c>
      <c r="H76" s="11">
        <v>0</v>
      </c>
      <c r="J76" s="11">
        <f>IF(AND(E76='TABLA DE PAGOS'!A$12,B76=MAX(CÁLCULOS!R$2:R$160)),F76,IF(AND(B76=MAX(CÁLCULOS!R$2:R$160),E76='TABLA DE PAGOS'!A$13),VLOOKUP(MAX(CÁLCULOS!R$2:R$160),'TABLA DE PAGOS'!C$2:F$160,4)/(D76-C76),IF(VLOOKUP(MAX(CÁLCULOS!R$2:R$160),B$3:E$200,4)='TABLA DE PAGOS'!A$12,IF(AND(F76&gt;0,E76='TABLA DE PAGOS'!A$12),VLOOKUP('TABLA DE PAGOS'!A$12,E$3:F$200,2),0),0)))</f>
        <v>0</v>
      </c>
    </row>
    <row r="77" ht="16.55" customHeight="true" spans="2:10">
      <c r="B77" s="8">
        <v>35</v>
      </c>
      <c r="C77" s="9">
        <v>45477</v>
      </c>
      <c r="D77" s="9">
        <v>45509</v>
      </c>
      <c r="E77" s="10" t="s">
        <v>47</v>
      </c>
      <c r="F77" s="8" t="s">
        <v>42</v>
      </c>
      <c r="G77" s="11">
        <v>888.77</v>
      </c>
      <c r="H77" s="11">
        <v>0</v>
      </c>
      <c r="J77" s="11">
        <f>IF(AND(E77='TABLA DE PAGOS'!A$12,B77=MAX(CÁLCULOS!R$2:R$160)),F77,IF(AND(B77=MAX(CÁLCULOS!R$2:R$160),E77='TABLA DE PAGOS'!A$13),VLOOKUP(MAX(CÁLCULOS!R$2:R$160),'TABLA DE PAGOS'!C$2:F$160,4)/(D77-C77),IF(VLOOKUP(MAX(CÁLCULOS!R$2:R$160),B$3:E$200,4)='TABLA DE PAGOS'!A$12,IF(AND(F77&gt;0,E77='TABLA DE PAGOS'!A$12),VLOOKUP('TABLA DE PAGOS'!A$12,E$3:F$200,2),0),0)))</f>
        <v>0</v>
      </c>
    </row>
    <row r="78" ht="16.55" customHeight="true" spans="2:10">
      <c r="B78" s="8">
        <v>36</v>
      </c>
      <c r="C78" s="9" t="s">
        <v>42</v>
      </c>
      <c r="D78" s="9" t="s">
        <v>42</v>
      </c>
      <c r="E78" s="10" t="s">
        <v>50</v>
      </c>
      <c r="F78" s="8" t="s">
        <v>42</v>
      </c>
      <c r="G78" s="11">
        <v>184.53</v>
      </c>
      <c r="H78" s="11">
        <v>0</v>
      </c>
      <c r="J78" s="11">
        <f>IF(AND(E78='TABLA DE PAGOS'!A$12,B78=MAX(CÁLCULOS!R$2:R$160)),F78,IF(AND(B78=MAX(CÁLCULOS!R$2:R$160),E78='TABLA DE PAGOS'!A$13),VLOOKUP(MAX(CÁLCULOS!R$2:R$160),'TABLA DE PAGOS'!C$2:F$160,4)/(D78-C78),IF(VLOOKUP(MAX(CÁLCULOS!R$2:R$160),B$3:E$200,4)='TABLA DE PAGOS'!A$12,IF(AND(F78&gt;0,E78='TABLA DE PAGOS'!A$12),VLOOKUP('TABLA DE PAGOS'!A$12,E$3:F$200,2),0),0)))</f>
        <v>0</v>
      </c>
    </row>
    <row r="79" ht="16.55" customHeight="true" spans="2:10">
      <c r="B79" s="8">
        <v>36</v>
      </c>
      <c r="C79" s="9">
        <v>45509</v>
      </c>
      <c r="D79" s="9">
        <v>45539</v>
      </c>
      <c r="E79" s="10" t="s">
        <v>47</v>
      </c>
      <c r="F79" s="8" t="s">
        <v>42</v>
      </c>
      <c r="G79" s="11">
        <v>1028.89</v>
      </c>
      <c r="H79" s="11">
        <v>0</v>
      </c>
      <c r="J79" s="11">
        <f>IF(AND(E79='TABLA DE PAGOS'!A$12,B79=MAX(CÁLCULOS!R$2:R$160)),F79,IF(AND(B79=MAX(CÁLCULOS!R$2:R$160),E79='TABLA DE PAGOS'!A$13),VLOOKUP(MAX(CÁLCULOS!R$2:R$160),'TABLA DE PAGOS'!C$2:F$160,4)/(D79-C79),IF(VLOOKUP(MAX(CÁLCULOS!R$2:R$160),B$3:E$200,4)='TABLA DE PAGOS'!A$12,IF(AND(F79&gt;0,E79='TABLA DE PAGOS'!A$12),VLOOKUP('TABLA DE PAGOS'!A$12,E$3:F$200,2),0),0)))</f>
        <v>0</v>
      </c>
    </row>
    <row r="80" ht="16.55" customHeight="true" spans="2:10">
      <c r="B80" s="8">
        <v>37</v>
      </c>
      <c r="C80" s="9">
        <v>45539</v>
      </c>
      <c r="D80" s="9">
        <v>45569</v>
      </c>
      <c r="E80" s="10" t="s">
        <v>47</v>
      </c>
      <c r="F80" s="8" t="s">
        <v>42</v>
      </c>
      <c r="G80" s="11">
        <v>1038.14</v>
      </c>
      <c r="H80" s="11">
        <v>0</v>
      </c>
      <c r="J80" s="11">
        <f>IF(AND(E80='TABLA DE PAGOS'!A$12,B80=MAX(CÁLCULOS!R$2:R$160)),F80,IF(AND(B80=MAX(CÁLCULOS!R$2:R$160),E80='TABLA DE PAGOS'!A$13),VLOOKUP(MAX(CÁLCULOS!R$2:R$160),'TABLA DE PAGOS'!C$2:F$160,4)/(D80-C80),IF(VLOOKUP(MAX(CÁLCULOS!R$2:R$160),B$3:E$200,4)='TABLA DE PAGOS'!A$12,IF(AND(F80&gt;0,E80='TABLA DE PAGOS'!A$12),VLOOKUP('TABLA DE PAGOS'!A$12,E$3:F$200,2),0),0)))</f>
        <v>0</v>
      </c>
    </row>
    <row r="81" ht="16.55" customHeight="true" spans="2:10">
      <c r="B81" s="8">
        <v>38</v>
      </c>
      <c r="C81" s="9">
        <v>45569</v>
      </c>
      <c r="D81" s="9">
        <v>45600</v>
      </c>
      <c r="E81" s="10" t="s">
        <v>47</v>
      </c>
      <c r="F81" s="8" t="s">
        <v>42</v>
      </c>
      <c r="G81" s="11">
        <v>982.29</v>
      </c>
      <c r="H81" s="11">
        <v>0</v>
      </c>
      <c r="J81" s="11">
        <f>IF(AND(E81='TABLA DE PAGOS'!A$12,B81=MAX(CÁLCULOS!R$2:R$160)),F81,IF(AND(B81=MAX(CÁLCULOS!R$2:R$160),E81='TABLA DE PAGOS'!A$13),VLOOKUP(MAX(CÁLCULOS!R$2:R$160),'TABLA DE PAGOS'!C$2:F$160,4)/(D81-C81),IF(VLOOKUP(MAX(CÁLCULOS!R$2:R$160),B$3:E$200,4)='TABLA DE PAGOS'!A$12,IF(AND(F81&gt;0,E81='TABLA DE PAGOS'!A$12),VLOOKUP('TABLA DE PAGOS'!A$12,E$3:F$200,2),0),0)))</f>
        <v>0</v>
      </c>
    </row>
    <row r="82" ht="16.55" customHeight="true" spans="2:10">
      <c r="B82" s="8">
        <v>39</v>
      </c>
      <c r="C82" s="9">
        <v>45600</v>
      </c>
      <c r="D82" s="9">
        <v>45630</v>
      </c>
      <c r="E82" s="10" t="s">
        <v>47</v>
      </c>
      <c r="F82" s="8" t="s">
        <v>42</v>
      </c>
      <c r="G82" s="11">
        <v>1056.31</v>
      </c>
      <c r="H82" s="11">
        <v>0</v>
      </c>
      <c r="J82" s="11">
        <f>IF(AND(E82='TABLA DE PAGOS'!A$12,B82=MAX(CÁLCULOS!R$2:R$160)),F82,IF(AND(B82=MAX(CÁLCULOS!R$2:R$160),E82='TABLA DE PAGOS'!A$13),VLOOKUP(MAX(CÁLCULOS!R$2:R$160),'TABLA DE PAGOS'!C$2:F$160,4)/(D82-C82),IF(VLOOKUP(MAX(CÁLCULOS!R$2:R$160),B$3:E$200,4)='TABLA DE PAGOS'!A$12,IF(AND(F82&gt;0,E82='TABLA DE PAGOS'!A$12),VLOOKUP('TABLA DE PAGOS'!A$12,E$3:F$200,2),0),0)))</f>
        <v>0</v>
      </c>
    </row>
    <row r="83" ht="16.55" customHeight="true" spans="2:10">
      <c r="B83" s="8">
        <v>40</v>
      </c>
      <c r="C83" s="9">
        <v>45630</v>
      </c>
      <c r="D83" s="9">
        <v>45663</v>
      </c>
      <c r="E83" s="10" t="s">
        <v>47</v>
      </c>
      <c r="F83" s="8" t="s">
        <v>42</v>
      </c>
      <c r="G83" s="11">
        <v>872.11</v>
      </c>
      <c r="H83" s="11">
        <v>0</v>
      </c>
      <c r="J83" s="11">
        <f>IF(AND(E83='TABLA DE PAGOS'!A$12,B83=MAX(CÁLCULOS!R$2:R$160)),F83,IF(AND(B83=MAX(CÁLCULOS!R$2:R$160),E83='TABLA DE PAGOS'!A$13),VLOOKUP(MAX(CÁLCULOS!R$2:R$160),'TABLA DE PAGOS'!C$2:F$160,4)/(D83-C83),IF(VLOOKUP(MAX(CÁLCULOS!R$2:R$160),B$3:E$200,4)='TABLA DE PAGOS'!A$12,IF(AND(F83&gt;0,E83='TABLA DE PAGOS'!A$12),VLOOKUP('TABLA DE PAGOS'!A$12,E$3:F$200,2),0),0)))</f>
        <v>0</v>
      </c>
    </row>
    <row r="84" ht="16.55" customHeight="true" spans="2:10">
      <c r="B84" s="8">
        <v>41</v>
      </c>
      <c r="C84" s="9">
        <v>45663</v>
      </c>
      <c r="D84" s="9">
        <v>45692</v>
      </c>
      <c r="E84" s="10" t="s">
        <v>47</v>
      </c>
      <c r="F84" s="8" t="s">
        <v>42</v>
      </c>
      <c r="G84" s="11">
        <v>1137.95</v>
      </c>
      <c r="H84" s="11">
        <v>0</v>
      </c>
      <c r="J84" s="11">
        <f>IF(AND(E84='TABLA DE PAGOS'!A$12,B84=MAX(CÁLCULOS!R$2:R$160)),F84,IF(AND(B84=MAX(CÁLCULOS!R$2:R$160),E84='TABLA DE PAGOS'!A$13),VLOOKUP(MAX(CÁLCULOS!R$2:R$160),'TABLA DE PAGOS'!C$2:F$160,4)/(D84-C84),IF(VLOOKUP(MAX(CÁLCULOS!R$2:R$160),B$3:E$200,4)='TABLA DE PAGOS'!A$12,IF(AND(F84&gt;0,E84='TABLA DE PAGOS'!A$12),VLOOKUP('TABLA DE PAGOS'!A$12,E$3:F$200,2),0),0)))</f>
        <v>0</v>
      </c>
    </row>
    <row r="85" ht="16.55" customHeight="true" spans="2:10">
      <c r="B85" s="8">
        <v>42</v>
      </c>
      <c r="C85" s="9">
        <v>45692</v>
      </c>
      <c r="D85" s="9">
        <v>45720</v>
      </c>
      <c r="E85" s="10" t="s">
        <v>47</v>
      </c>
      <c r="F85" s="8" t="s">
        <v>42</v>
      </c>
      <c r="G85" s="11">
        <v>1211.82</v>
      </c>
      <c r="H85" s="11">
        <v>0</v>
      </c>
      <c r="J85" s="11">
        <f>IF(AND(E85='TABLA DE PAGOS'!A$12,B85=MAX(CÁLCULOS!R$2:R$160)),F85,IF(AND(B85=MAX(CÁLCULOS!R$2:R$160),E85='TABLA DE PAGOS'!A$13),VLOOKUP(MAX(CÁLCULOS!R$2:R$160),'TABLA DE PAGOS'!C$2:F$160,4)/(D85-C85),IF(VLOOKUP(MAX(CÁLCULOS!R$2:R$160),B$3:E$200,4)='TABLA DE PAGOS'!A$12,IF(AND(F85&gt;0,E85='TABLA DE PAGOS'!A$12),VLOOKUP('TABLA DE PAGOS'!A$12,E$3:F$200,2),0),0)))</f>
        <v>0</v>
      </c>
    </row>
    <row r="86" ht="16.55" customHeight="true" spans="2:10">
      <c r="B86" s="8">
        <v>43</v>
      </c>
      <c r="C86" s="9">
        <v>45720</v>
      </c>
      <c r="D86" s="9">
        <v>45751</v>
      </c>
      <c r="E86" s="10" t="s">
        <v>47</v>
      </c>
      <c r="F86" s="8" t="s">
        <v>42</v>
      </c>
      <c r="G86" s="11">
        <v>1031.18</v>
      </c>
      <c r="H86" s="11">
        <v>0</v>
      </c>
      <c r="J86" s="11">
        <f>IF(AND(E86='TABLA DE PAGOS'!A$12,B86=MAX(CÁLCULOS!R$2:R$160)),F86,IF(AND(B86=MAX(CÁLCULOS!R$2:R$160),E86='TABLA DE PAGOS'!A$13),VLOOKUP(MAX(CÁLCULOS!R$2:R$160),'TABLA DE PAGOS'!C$2:F$160,4)/(D86-C86),IF(VLOOKUP(MAX(CÁLCULOS!R$2:R$160),B$3:E$200,4)='TABLA DE PAGOS'!A$12,IF(AND(F86&gt;0,E86='TABLA DE PAGOS'!A$12),VLOOKUP('TABLA DE PAGOS'!A$12,E$3:F$200,2),0),0)))</f>
        <v>0</v>
      </c>
    </row>
    <row r="87" ht="16.55" customHeight="true" spans="2:10">
      <c r="B87" s="8">
        <v>44</v>
      </c>
      <c r="C87" s="9">
        <v>45751</v>
      </c>
      <c r="D87" s="9">
        <v>45782</v>
      </c>
      <c r="E87" s="10" t="s">
        <v>47</v>
      </c>
      <c r="F87" s="8" t="s">
        <v>42</v>
      </c>
      <c r="G87" s="11">
        <v>1040.76</v>
      </c>
      <c r="H87" s="11">
        <v>0</v>
      </c>
      <c r="J87" s="11">
        <f>IF(AND(E87='TABLA DE PAGOS'!A$12,B87=MAX(CÁLCULOS!R$2:R$160)),F87,IF(AND(B87=MAX(CÁLCULOS!R$2:R$160),E87='TABLA DE PAGOS'!A$13),VLOOKUP(MAX(CÁLCULOS!R$2:R$160),'TABLA DE PAGOS'!C$2:F$160,4)/(D87-C87),IF(VLOOKUP(MAX(CÁLCULOS!R$2:R$160),B$3:E$200,4)='TABLA DE PAGOS'!A$12,IF(AND(F87&gt;0,E87='TABLA DE PAGOS'!A$12),VLOOKUP('TABLA DE PAGOS'!A$12,E$3:F$200,2),0),0)))</f>
        <v>0</v>
      </c>
    </row>
    <row r="88" ht="16.55" customHeight="true" spans="2:10">
      <c r="B88" s="8">
        <v>45</v>
      </c>
      <c r="C88" s="9">
        <v>45782</v>
      </c>
      <c r="D88" s="9">
        <v>45812</v>
      </c>
      <c r="E88" s="10" t="s">
        <v>47</v>
      </c>
      <c r="F88" s="8" t="s">
        <v>42</v>
      </c>
      <c r="G88" s="11">
        <v>1113.42</v>
      </c>
      <c r="H88" s="11">
        <v>0</v>
      </c>
      <c r="J88" s="11">
        <f>IF(AND(E88='TABLA DE PAGOS'!A$12,B88=MAX(CÁLCULOS!R$2:R$160)),F88,IF(AND(B88=MAX(CÁLCULOS!R$2:R$160),E88='TABLA DE PAGOS'!A$13),VLOOKUP(MAX(CÁLCULOS!R$2:R$160),'TABLA DE PAGOS'!C$2:F$160,4)/(D88-C88),IF(VLOOKUP(MAX(CÁLCULOS!R$2:R$160),B$3:E$200,4)='TABLA DE PAGOS'!A$12,IF(AND(F88&gt;0,E88='TABLA DE PAGOS'!A$12),VLOOKUP('TABLA DE PAGOS'!A$12,E$3:F$200,2),0),0)))</f>
        <v>0</v>
      </c>
    </row>
    <row r="89" ht="16.55" customHeight="true" spans="2:10">
      <c r="B89" s="8">
        <v>46</v>
      </c>
      <c r="C89" s="9">
        <v>45812</v>
      </c>
      <c r="D89" s="9">
        <v>45842</v>
      </c>
      <c r="E89" s="10" t="s">
        <v>47</v>
      </c>
      <c r="F89" s="8" t="s">
        <v>42</v>
      </c>
      <c r="G89" s="11">
        <v>1123.42</v>
      </c>
      <c r="H89" s="11">
        <v>0</v>
      </c>
      <c r="J89" s="11">
        <f>IF(AND(E89='TABLA DE PAGOS'!A$12,B89=MAX(CÁLCULOS!R$2:R$160)),F89,IF(AND(B89=MAX(CÁLCULOS!R$2:R$160),E89='TABLA DE PAGOS'!A$13),VLOOKUP(MAX(CÁLCULOS!R$2:R$160),'TABLA DE PAGOS'!C$2:F$160,4)/(D89-C89),IF(VLOOKUP(MAX(CÁLCULOS!R$2:R$160),B$3:E$200,4)='TABLA DE PAGOS'!A$12,IF(AND(F89&gt;0,E89='TABLA DE PAGOS'!A$12),VLOOKUP('TABLA DE PAGOS'!A$12,E$3:F$200,2),0),0)))</f>
        <v>0</v>
      </c>
    </row>
    <row r="90" ht="16.55" customHeight="true" spans="2:10">
      <c r="B90" s="8">
        <v>47</v>
      </c>
      <c r="C90" s="9">
        <v>45842</v>
      </c>
      <c r="D90" s="9">
        <v>45873</v>
      </c>
      <c r="E90" s="10" t="s">
        <v>47</v>
      </c>
      <c r="F90" s="8" t="s">
        <v>42</v>
      </c>
      <c r="G90" s="11">
        <v>1071.22</v>
      </c>
      <c r="H90" s="11">
        <v>0</v>
      </c>
      <c r="J90" s="11">
        <f>IF(AND(E90='TABLA DE PAGOS'!A$12,B90=MAX(CÁLCULOS!R$2:R$160)),F90,IF(AND(B90=MAX(CÁLCULOS!R$2:R$160),E90='TABLA DE PAGOS'!A$13),VLOOKUP(MAX(CÁLCULOS!R$2:R$160),'TABLA DE PAGOS'!C$2:F$160,4)/(D90-C90),IF(VLOOKUP(MAX(CÁLCULOS!R$2:R$160),B$3:E$200,4)='TABLA DE PAGOS'!A$12,IF(AND(F90&gt;0,E90='TABLA DE PAGOS'!A$12),VLOOKUP('TABLA DE PAGOS'!A$12,E$3:F$200,2),0),0)))</f>
        <v>0</v>
      </c>
    </row>
    <row r="91" ht="16.55" customHeight="true" spans="2:10">
      <c r="B91" s="8">
        <v>48</v>
      </c>
      <c r="C91" s="9">
        <v>45873</v>
      </c>
      <c r="D91" s="9">
        <v>45904</v>
      </c>
      <c r="E91" s="10" t="s">
        <v>47</v>
      </c>
      <c r="F91" s="8" t="s">
        <v>42</v>
      </c>
      <c r="G91" s="11">
        <v>1081.17</v>
      </c>
      <c r="H91" s="11">
        <v>0</v>
      </c>
      <c r="J91" s="11">
        <f>IF(AND(E91='TABLA DE PAGOS'!A$12,B91=MAX(CÁLCULOS!R$2:R$160)),F91,IF(AND(B91=MAX(CÁLCULOS!R$2:R$160),E91='TABLA DE PAGOS'!A$13),VLOOKUP(MAX(CÁLCULOS!R$2:R$160),'TABLA DE PAGOS'!C$2:F$160,4)/(D91-C91),IF(VLOOKUP(MAX(CÁLCULOS!R$2:R$160),B$3:E$200,4)='TABLA DE PAGOS'!A$12,IF(AND(F91&gt;0,E91='TABLA DE PAGOS'!A$12),VLOOKUP('TABLA DE PAGOS'!A$12,E$3:F$200,2),0),0)))</f>
        <v>0</v>
      </c>
    </row>
    <row r="92" ht="16.55" customHeight="true" spans="2:10">
      <c r="B92" s="8">
        <v>49</v>
      </c>
      <c r="C92" s="9">
        <v>45904</v>
      </c>
      <c r="D92" s="9">
        <v>45936</v>
      </c>
      <c r="E92" s="10" t="s">
        <v>47</v>
      </c>
      <c r="F92" s="8" t="s">
        <v>42</v>
      </c>
      <c r="G92" s="11">
        <v>1029.55</v>
      </c>
      <c r="H92" s="11">
        <v>0</v>
      </c>
      <c r="J92" s="11">
        <f>IF(AND(E92='TABLA DE PAGOS'!A$12,B92=MAX(CÁLCULOS!R$2:R$160)),F92,IF(AND(B92=MAX(CÁLCULOS!R$2:R$160),E92='TABLA DE PAGOS'!A$13),VLOOKUP(MAX(CÁLCULOS!R$2:R$160),'TABLA DE PAGOS'!C$2:F$160,4)/(D92-C92),IF(VLOOKUP(MAX(CÁLCULOS!R$2:R$160),B$3:E$200,4)='TABLA DE PAGOS'!A$12,IF(AND(F92&gt;0,E92='TABLA DE PAGOS'!A$12),VLOOKUP('TABLA DE PAGOS'!A$12,E$3:F$200,2),0),0)))</f>
        <v>0</v>
      </c>
    </row>
    <row r="93" ht="16.55" customHeight="true" spans="2:10">
      <c r="B93" s="8">
        <v>50</v>
      </c>
      <c r="C93" s="9">
        <v>45936</v>
      </c>
      <c r="D93" s="9">
        <v>45965</v>
      </c>
      <c r="E93" s="10" t="s">
        <v>47</v>
      </c>
      <c r="F93" s="8" t="s">
        <v>42</v>
      </c>
      <c r="G93" s="11">
        <v>1223.5</v>
      </c>
      <c r="H93" s="11">
        <v>0</v>
      </c>
      <c r="J93" s="11">
        <f>IF(AND(E93='TABLA DE PAGOS'!A$12,B93=MAX(CÁLCULOS!R$2:R$160)),F93,IF(AND(B93=MAX(CÁLCULOS!R$2:R$160),E93='TABLA DE PAGOS'!A$13),VLOOKUP(MAX(CÁLCULOS!R$2:R$160),'TABLA DE PAGOS'!C$2:F$160,4)/(D93-C93),IF(VLOOKUP(MAX(CÁLCULOS!R$2:R$160),B$3:E$200,4)='TABLA DE PAGOS'!A$12,IF(AND(F93&gt;0,E93='TABLA DE PAGOS'!A$12),VLOOKUP('TABLA DE PAGOS'!A$12,E$3:F$200,2),0),0)))</f>
        <v>0</v>
      </c>
    </row>
    <row r="94" ht="16.55" customHeight="true" spans="2:10">
      <c r="B94" s="8">
        <v>51</v>
      </c>
      <c r="C94" s="9">
        <v>45965</v>
      </c>
      <c r="D94" s="9">
        <v>45995</v>
      </c>
      <c r="E94" s="10" t="s">
        <v>47</v>
      </c>
      <c r="F94" s="8" t="s">
        <v>42</v>
      </c>
      <c r="G94" s="11">
        <v>1173.14</v>
      </c>
      <c r="H94" s="11">
        <v>0</v>
      </c>
      <c r="J94" s="11">
        <f>IF(AND(E94='TABLA DE PAGOS'!A$12,B94=MAX(CÁLCULOS!R$2:R$160)),F94,IF(AND(B94=MAX(CÁLCULOS!R$2:R$160),E94='TABLA DE PAGOS'!A$13),VLOOKUP(MAX(CÁLCULOS!R$2:R$160),'TABLA DE PAGOS'!C$2:F$160,4)/(D94-C94),IF(VLOOKUP(MAX(CÁLCULOS!R$2:R$160),B$3:E$200,4)='TABLA DE PAGOS'!A$12,IF(AND(F94&gt;0,E94='TABLA DE PAGOS'!A$12),VLOOKUP('TABLA DE PAGOS'!A$12,E$3:F$200,2),0),0)))</f>
        <v>0</v>
      </c>
    </row>
    <row r="95" ht="16.55" customHeight="true" spans="2:10">
      <c r="B95" s="8">
        <v>52</v>
      </c>
      <c r="C95" s="9">
        <v>45995</v>
      </c>
      <c r="D95" s="9">
        <v>46027</v>
      </c>
      <c r="E95" s="10" t="s">
        <v>47</v>
      </c>
      <c r="F95" s="8" t="s">
        <v>42</v>
      </c>
      <c r="G95" s="11">
        <v>1062.42</v>
      </c>
      <c r="H95" s="11">
        <v>0</v>
      </c>
      <c r="J95" s="11">
        <f>IF(AND(E95='TABLA DE PAGOS'!A$12,B95=MAX(CÁLCULOS!R$2:R$160)),F95,IF(AND(B95=MAX(CÁLCULOS!R$2:R$160),E95='TABLA DE PAGOS'!A$13),VLOOKUP(MAX(CÁLCULOS!R$2:R$160),'TABLA DE PAGOS'!C$2:F$160,4)/(D95-C95),IF(VLOOKUP(MAX(CÁLCULOS!R$2:R$160),B$3:E$200,4)='TABLA DE PAGOS'!A$12,IF(AND(F95&gt;0,E95='TABLA DE PAGOS'!A$12),VLOOKUP('TABLA DE PAGOS'!A$12,E$3:F$200,2),0),0)))</f>
        <v>0</v>
      </c>
    </row>
    <row r="96" ht="16.55" customHeight="true" spans="2:10">
      <c r="B96" s="8">
        <v>53</v>
      </c>
      <c r="C96" s="9">
        <v>46027</v>
      </c>
      <c r="D96" s="9">
        <v>46057</v>
      </c>
      <c r="E96" s="10" t="s">
        <v>47</v>
      </c>
      <c r="F96" s="8" t="s">
        <v>42</v>
      </c>
      <c r="G96" s="11">
        <v>1193.25</v>
      </c>
      <c r="H96" s="11">
        <v>0</v>
      </c>
      <c r="J96" s="11">
        <f>IF(AND(E96='TABLA DE PAGOS'!A$12,B96=MAX(CÁLCULOS!R$2:R$160)),F96,IF(AND(B96=MAX(CÁLCULOS!R$2:R$160),E96='TABLA DE PAGOS'!A$13),VLOOKUP(MAX(CÁLCULOS!R$2:R$160),'TABLA DE PAGOS'!C$2:F$160,4)/(D96-C96),IF(VLOOKUP(MAX(CÁLCULOS!R$2:R$160),B$3:E$200,4)='TABLA DE PAGOS'!A$12,IF(AND(F96&gt;0,E96='TABLA DE PAGOS'!A$12),VLOOKUP('TABLA DE PAGOS'!A$12,E$3:F$200,2),0),0)))</f>
        <v>0</v>
      </c>
    </row>
    <row r="97" ht="16.55" customHeight="true" spans="2:10">
      <c r="B97" s="8">
        <v>54</v>
      </c>
      <c r="C97" s="9">
        <v>46057</v>
      </c>
      <c r="D97" s="9">
        <v>46085</v>
      </c>
      <c r="E97" s="10" t="s">
        <v>47</v>
      </c>
      <c r="F97" s="8" t="s">
        <v>42</v>
      </c>
      <c r="G97" s="11">
        <v>1323.9</v>
      </c>
      <c r="H97" s="11">
        <v>0</v>
      </c>
      <c r="J97" s="11">
        <f>IF(AND(E97='TABLA DE PAGOS'!A$12,B97=MAX(CÁLCULOS!R$2:R$160)),F97,IF(AND(B97=MAX(CÁLCULOS!R$2:R$160),E97='TABLA DE PAGOS'!A$13),VLOOKUP(MAX(CÁLCULOS!R$2:R$160),'TABLA DE PAGOS'!C$2:F$160,4)/(D97-C97),IF(VLOOKUP(MAX(CÁLCULOS!R$2:R$160),B$3:E$200,4)='TABLA DE PAGOS'!A$12,IF(AND(F97&gt;0,E97='TABLA DE PAGOS'!A$12),VLOOKUP('TABLA DE PAGOS'!A$12,E$3:F$200,2),0),0)))</f>
        <v>0</v>
      </c>
    </row>
    <row r="98" ht="16.55" customHeight="true" spans="2:10">
      <c r="B98" s="8">
        <v>55</v>
      </c>
      <c r="C98" s="9">
        <v>46085</v>
      </c>
      <c r="D98" s="9">
        <v>46118</v>
      </c>
      <c r="E98" s="10" t="s">
        <v>47</v>
      </c>
      <c r="F98" s="8" t="s">
        <v>42</v>
      </c>
      <c r="G98" s="11">
        <v>1037.18</v>
      </c>
      <c r="H98" s="11">
        <v>0</v>
      </c>
      <c r="J98" s="11">
        <f>IF(AND(E98='TABLA DE PAGOS'!A$12,B98=MAX(CÁLCULOS!R$2:R$160)),F98,IF(AND(B98=MAX(CÁLCULOS!R$2:R$160),E98='TABLA DE PAGOS'!A$13),VLOOKUP(MAX(CÁLCULOS!R$2:R$160),'TABLA DE PAGOS'!C$2:F$160,4)/(D98-C98),IF(VLOOKUP(MAX(CÁLCULOS!R$2:R$160),B$3:E$200,4)='TABLA DE PAGOS'!A$12,IF(AND(F98&gt;0,E98='TABLA DE PAGOS'!A$12),VLOOKUP('TABLA DE PAGOS'!A$12,E$3:F$200,2),0),0)))</f>
        <v>0</v>
      </c>
    </row>
    <row r="99" ht="16.55" customHeight="true" spans="2:10">
      <c r="B99" s="8">
        <v>56</v>
      </c>
      <c r="C99" s="9">
        <v>46118</v>
      </c>
      <c r="D99" s="9">
        <v>46146</v>
      </c>
      <c r="E99" s="10" t="s">
        <v>47</v>
      </c>
      <c r="F99" s="8" t="s">
        <v>42</v>
      </c>
      <c r="G99" s="11">
        <v>1343.72</v>
      </c>
      <c r="H99" s="11">
        <v>0</v>
      </c>
      <c r="J99" s="11">
        <f>IF(AND(E99='TABLA DE PAGOS'!A$12,B99=MAX(CÁLCULOS!R$2:R$160)),F99,IF(AND(B99=MAX(CÁLCULOS!R$2:R$160),E99='TABLA DE PAGOS'!A$13),VLOOKUP(MAX(CÁLCULOS!R$2:R$160),'TABLA DE PAGOS'!C$2:F$160,4)/(D99-C99),IF(VLOOKUP(MAX(CÁLCULOS!R$2:R$160),B$3:E$200,4)='TABLA DE PAGOS'!A$12,IF(AND(F99&gt;0,E99='TABLA DE PAGOS'!A$12),VLOOKUP('TABLA DE PAGOS'!A$12,E$3:F$200,2),0),0)))</f>
        <v>0</v>
      </c>
    </row>
    <row r="100" ht="16.55" customHeight="true" spans="2:10">
      <c r="B100" s="8">
        <v>57</v>
      </c>
      <c r="C100" s="9">
        <v>46146</v>
      </c>
      <c r="D100" s="9">
        <v>46177</v>
      </c>
      <c r="E100" s="10" t="s">
        <v>47</v>
      </c>
      <c r="F100" s="8" t="s">
        <v>42</v>
      </c>
      <c r="G100" s="11">
        <v>1178.45</v>
      </c>
      <c r="H100" s="11">
        <v>0</v>
      </c>
      <c r="J100" s="11">
        <f>IF(AND(E100='TABLA DE PAGOS'!A$12,B100=MAX(CÁLCULOS!R$2:R$160)),F100,IF(AND(B100=MAX(CÁLCULOS!R$2:R$160),E100='TABLA DE PAGOS'!A$13),VLOOKUP(MAX(CÁLCULOS!R$2:R$160),'TABLA DE PAGOS'!C$2:F$160,4)/(D100-C100),IF(VLOOKUP(MAX(CÁLCULOS!R$2:R$160),B$3:E$200,4)='TABLA DE PAGOS'!A$12,IF(AND(F100&gt;0,E100='TABLA DE PAGOS'!A$12),VLOOKUP('TABLA DE PAGOS'!A$12,E$3:F$200,2),0),0)))</f>
        <v>0</v>
      </c>
    </row>
    <row r="101" ht="16.55" customHeight="true" spans="2:10">
      <c r="B101" s="8">
        <v>58</v>
      </c>
      <c r="C101" s="9">
        <v>46177</v>
      </c>
      <c r="D101" s="9">
        <v>46209</v>
      </c>
      <c r="E101" s="10" t="s">
        <v>47</v>
      </c>
      <c r="F101" s="8" t="s">
        <v>42</v>
      </c>
      <c r="G101" s="11">
        <v>1130.89</v>
      </c>
      <c r="H101" s="11">
        <v>0</v>
      </c>
      <c r="J101" s="11">
        <f>IF(AND(E101='TABLA DE PAGOS'!A$12,B101=MAX(CÁLCULOS!R$2:R$160)),F101,IF(AND(B101=MAX(CÁLCULOS!R$2:R$160),E101='TABLA DE PAGOS'!A$13),VLOOKUP(MAX(CÁLCULOS!R$2:R$160),'TABLA DE PAGOS'!C$2:F$160,4)/(D101-C101),IF(VLOOKUP(MAX(CÁLCULOS!R$2:R$160),B$3:E$200,4)='TABLA DE PAGOS'!A$12,IF(AND(F101&gt;0,E101='TABLA DE PAGOS'!A$12),VLOOKUP('TABLA DE PAGOS'!A$12,E$3:F$200,2),0),0)))</f>
        <v>0</v>
      </c>
    </row>
    <row r="102" ht="16.55" customHeight="true" spans="2:10">
      <c r="B102" s="8">
        <v>59</v>
      </c>
      <c r="C102" s="9">
        <v>46209</v>
      </c>
      <c r="D102" s="9">
        <v>46238</v>
      </c>
      <c r="E102" s="10" t="s">
        <v>47</v>
      </c>
      <c r="F102" s="8" t="s">
        <v>42</v>
      </c>
      <c r="G102" s="11">
        <v>1316.22</v>
      </c>
      <c r="H102" s="11">
        <v>0</v>
      </c>
      <c r="J102" s="11">
        <f>IF(AND(E102='TABLA DE PAGOS'!A$12,B102=MAX(CÁLCULOS!R$2:R$160)),F102,IF(AND(B102=MAX(CÁLCULOS!R$2:R$160),E102='TABLA DE PAGOS'!A$13),VLOOKUP(MAX(CÁLCULOS!R$2:R$160),'TABLA DE PAGOS'!C$2:F$160,4)/(D102-C102),IF(VLOOKUP(MAX(CÁLCULOS!R$2:R$160),B$3:E$200,4)='TABLA DE PAGOS'!A$12,IF(AND(F102&gt;0,E102='TABLA DE PAGOS'!A$12),VLOOKUP('TABLA DE PAGOS'!A$12,E$3:F$200,2),0),0)))</f>
        <v>0</v>
      </c>
    </row>
    <row r="103" ht="16.55" customHeight="true" spans="2:10">
      <c r="B103" s="8">
        <v>60</v>
      </c>
      <c r="C103" s="9">
        <v>46238</v>
      </c>
      <c r="D103" s="9">
        <v>46269</v>
      </c>
      <c r="E103" s="10" t="s">
        <v>47</v>
      </c>
      <c r="F103" s="8" t="s">
        <v>42</v>
      </c>
      <c r="G103" s="11">
        <v>1212.13</v>
      </c>
      <c r="H103" s="11">
        <v>0</v>
      </c>
      <c r="J103" s="11">
        <f>IF(AND(E103='TABLA DE PAGOS'!A$12,B103=MAX(CÁLCULOS!R$2:R$160)),F103,IF(AND(B103=MAX(CÁLCULOS!R$2:R$160),E103='TABLA DE PAGOS'!A$13),VLOOKUP(MAX(CÁLCULOS!R$2:R$160),'TABLA DE PAGOS'!C$2:F$160,4)/(D103-C103),IF(VLOOKUP(MAX(CÁLCULOS!R$2:R$160),B$3:E$200,4)='TABLA DE PAGOS'!A$12,IF(AND(F103&gt;0,E103='TABLA DE PAGOS'!A$12),VLOOKUP('TABLA DE PAGOS'!A$12,E$3:F$200,2),0),0)))</f>
        <v>0</v>
      </c>
    </row>
    <row r="104" ht="16.55" customHeight="true" spans="2:10">
      <c r="B104" s="8">
        <v>61</v>
      </c>
      <c r="C104" s="9">
        <v>46269</v>
      </c>
      <c r="D104" s="9">
        <v>46300</v>
      </c>
      <c r="E104" s="10" t="s">
        <v>47</v>
      </c>
      <c r="F104" s="8" t="s">
        <v>42</v>
      </c>
      <c r="G104" s="11">
        <v>1223.39</v>
      </c>
      <c r="H104" s="11">
        <v>0</v>
      </c>
      <c r="J104" s="11">
        <f>IF(AND(E104='TABLA DE PAGOS'!A$12,B104=MAX(CÁLCULOS!R$2:R$160)),F104,IF(AND(B104=MAX(CÁLCULOS!R$2:R$160),E104='TABLA DE PAGOS'!A$13),VLOOKUP(MAX(CÁLCULOS!R$2:R$160),'TABLA DE PAGOS'!C$2:F$160,4)/(D104-C104),IF(VLOOKUP(MAX(CÁLCULOS!R$2:R$160),B$3:E$200,4)='TABLA DE PAGOS'!A$12,IF(AND(F104&gt;0,E104='TABLA DE PAGOS'!A$12),VLOOKUP('TABLA DE PAGOS'!A$12,E$3:F$200,2),0),0)))</f>
        <v>0</v>
      </c>
    </row>
    <row r="105" ht="16.55" customHeight="true" spans="2:10">
      <c r="B105" s="8">
        <v>62</v>
      </c>
      <c r="C105" s="9">
        <v>46300</v>
      </c>
      <c r="D105" s="9">
        <v>46330</v>
      </c>
      <c r="E105" s="10" t="s">
        <v>47</v>
      </c>
      <c r="F105" s="8" t="s">
        <v>42</v>
      </c>
      <c r="G105" s="8">
        <v>1291.8</v>
      </c>
      <c r="H105" s="8">
        <v>0</v>
      </c>
      <c r="J105" s="11">
        <f>IF(AND(E105='TABLA DE PAGOS'!A$12,B105=MAX(CÁLCULOS!R$2:R$160)),F105,IF(AND(B105=MAX(CÁLCULOS!R$2:R$160),E105='TABLA DE PAGOS'!A$13),VLOOKUP(MAX(CÁLCULOS!R$2:R$160),'TABLA DE PAGOS'!C$2:F$160,4)/(D105-C105),IF(VLOOKUP(MAX(CÁLCULOS!R$2:R$160),B$3:E$200,4)='TABLA DE PAGOS'!A$12,IF(AND(F105&gt;0,E105='TABLA DE PAGOS'!A$12),VLOOKUP('TABLA DE PAGOS'!A$12,E$3:F$200,2),0),0)))</f>
        <v>0</v>
      </c>
    </row>
    <row r="106" ht="16.55" customHeight="true" spans="2:10">
      <c r="B106" s="8">
        <v>63</v>
      </c>
      <c r="C106" s="9">
        <v>46330</v>
      </c>
      <c r="D106" s="9">
        <v>46360</v>
      </c>
      <c r="E106" s="10" t="s">
        <v>47</v>
      </c>
      <c r="F106" s="8" t="s">
        <v>42</v>
      </c>
      <c r="G106" s="8">
        <v>1303.42</v>
      </c>
      <c r="H106" s="8">
        <v>0</v>
      </c>
      <c r="J106" s="11">
        <f>IF(AND(E106='TABLA DE PAGOS'!A$12,B106=MAX(CÁLCULOS!R$2:R$160)),F106,IF(AND(B106=MAX(CÁLCULOS!R$2:R$160),E106='TABLA DE PAGOS'!A$13),VLOOKUP(MAX(CÁLCULOS!R$2:R$160),'TABLA DE PAGOS'!C$2:F$160,4)/(D106-C106),IF(VLOOKUP(MAX(CÁLCULOS!R$2:R$160),B$3:E$200,4)='TABLA DE PAGOS'!A$12,IF(AND(F106&gt;0,E106='TABLA DE PAGOS'!A$12),VLOOKUP('TABLA DE PAGOS'!A$12,E$3:F$200,2),0),0)))</f>
        <v>0</v>
      </c>
    </row>
    <row r="107" ht="16.55" customHeight="true" spans="2:10">
      <c r="B107" s="8">
        <v>64</v>
      </c>
      <c r="C107" s="9">
        <v>46360</v>
      </c>
      <c r="D107" s="9">
        <v>46391</v>
      </c>
      <c r="E107" s="10" t="s">
        <v>47</v>
      </c>
      <c r="F107" s="8" t="s">
        <v>42</v>
      </c>
      <c r="G107" s="8">
        <v>1258.88</v>
      </c>
      <c r="H107" s="8">
        <v>0</v>
      </c>
      <c r="J107" s="11"/>
    </row>
    <row r="108" ht="16.55" customHeight="true" spans="2:10">
      <c r="B108" s="8">
        <v>65</v>
      </c>
      <c r="C108" s="9">
        <v>46391</v>
      </c>
      <c r="D108" s="9">
        <v>46422</v>
      </c>
      <c r="E108" s="10" t="s">
        <v>47</v>
      </c>
      <c r="F108" s="8" t="s">
        <v>42</v>
      </c>
      <c r="G108" s="8">
        <v>1270.58</v>
      </c>
      <c r="H108" s="8">
        <v>0</v>
      </c>
      <c r="J108" s="11"/>
    </row>
    <row r="109" ht="16.55" customHeight="true" spans="2:10">
      <c r="B109" s="8">
        <v>66</v>
      </c>
      <c r="C109" s="9">
        <v>46422</v>
      </c>
      <c r="D109" s="9">
        <v>46450</v>
      </c>
      <c r="E109" s="10" t="s">
        <v>47</v>
      </c>
      <c r="F109" s="8" t="s">
        <v>42</v>
      </c>
      <c r="G109" s="8">
        <v>1448.88</v>
      </c>
      <c r="H109" s="8">
        <v>0</v>
      </c>
      <c r="J109" s="11"/>
    </row>
    <row r="110" ht="16.55" customHeight="true" spans="2:10">
      <c r="B110" s="8">
        <v>67</v>
      </c>
      <c r="C110" s="9">
        <v>46450</v>
      </c>
      <c r="D110" s="9">
        <v>46482</v>
      </c>
      <c r="E110" s="10" t="s">
        <v>47</v>
      </c>
      <c r="F110" s="8" t="s">
        <v>42</v>
      </c>
      <c r="G110" s="8">
        <v>1240.78</v>
      </c>
      <c r="H110" s="8">
        <v>0</v>
      </c>
      <c r="J110" s="11"/>
    </row>
    <row r="111" ht="16.55" customHeight="true" spans="2:10">
      <c r="B111" s="8">
        <v>68</v>
      </c>
      <c r="C111" s="9">
        <v>46482</v>
      </c>
      <c r="D111" s="9">
        <v>46511</v>
      </c>
      <c r="E111" s="10" t="s">
        <v>47</v>
      </c>
      <c r="F111" s="8" t="s">
        <v>42</v>
      </c>
      <c r="G111" s="8">
        <v>1416.76</v>
      </c>
      <c r="H111" s="8">
        <v>0</v>
      </c>
      <c r="J111" s="11"/>
    </row>
    <row r="112" ht="16.55" customHeight="true" spans="2:10">
      <c r="B112" s="8">
        <v>69</v>
      </c>
      <c r="C112" s="9">
        <v>46511</v>
      </c>
      <c r="D112" s="9">
        <v>46542</v>
      </c>
      <c r="E112" s="10" t="s">
        <v>47</v>
      </c>
      <c r="F112" s="8" t="s">
        <v>42</v>
      </c>
      <c r="G112" s="8">
        <v>1320.54</v>
      </c>
      <c r="H112" s="8">
        <v>0</v>
      </c>
      <c r="J112" s="11"/>
    </row>
    <row r="113" ht="16.55" customHeight="true" spans="2:10">
      <c r="B113" s="8">
        <v>70</v>
      </c>
      <c r="C113" s="9">
        <v>46542</v>
      </c>
      <c r="D113" s="9">
        <v>46573</v>
      </c>
      <c r="E113" s="10" t="s">
        <v>47</v>
      </c>
      <c r="F113" s="8" t="s">
        <v>42</v>
      </c>
      <c r="G113" s="8">
        <v>1332.81</v>
      </c>
      <c r="H113" s="8">
        <v>0</v>
      </c>
      <c r="J113" s="11"/>
    </row>
    <row r="114" ht="16.55" customHeight="true" spans="2:10">
      <c r="B114" s="8">
        <v>71</v>
      </c>
      <c r="C114" s="9">
        <v>46573</v>
      </c>
      <c r="D114" s="9">
        <v>46603</v>
      </c>
      <c r="E114" s="10" t="s">
        <v>47</v>
      </c>
      <c r="F114" s="8" t="s">
        <v>42</v>
      </c>
      <c r="G114" s="8">
        <v>1398.67</v>
      </c>
      <c r="H114" s="8">
        <v>0</v>
      </c>
      <c r="J114" s="11"/>
    </row>
    <row r="115" ht="16.55" customHeight="true" spans="2:10">
      <c r="B115" s="8">
        <v>72</v>
      </c>
      <c r="C115" s="9">
        <v>46603</v>
      </c>
      <c r="D115" s="9">
        <v>46636</v>
      </c>
      <c r="E115" s="10" t="s">
        <v>47</v>
      </c>
      <c r="F115" s="8" t="s">
        <v>42</v>
      </c>
      <c r="G115" s="8">
        <v>1252.09</v>
      </c>
      <c r="H115" s="8">
        <v>0</v>
      </c>
      <c r="J115" s="11"/>
    </row>
    <row r="116" ht="16.55" customHeight="true" spans="2:10">
      <c r="B116" s="8">
        <v>73</v>
      </c>
      <c r="C116" s="9">
        <v>46636</v>
      </c>
      <c r="D116" s="9">
        <v>46664</v>
      </c>
      <c r="E116" s="10" t="s">
        <v>47</v>
      </c>
      <c r="F116" s="8" t="s">
        <v>42</v>
      </c>
      <c r="G116" s="8">
        <v>1527.87</v>
      </c>
      <c r="H116" s="8">
        <v>0</v>
      </c>
      <c r="J116" s="11"/>
    </row>
    <row r="117" ht="16.55" customHeight="true" spans="2:10">
      <c r="B117" s="8">
        <v>74</v>
      </c>
      <c r="C117" s="9">
        <v>46664</v>
      </c>
      <c r="D117" s="9">
        <v>46695</v>
      </c>
      <c r="E117" s="10" t="s">
        <v>47</v>
      </c>
      <c r="F117" s="8" t="s">
        <v>42</v>
      </c>
      <c r="G117" s="8">
        <v>1384.03</v>
      </c>
      <c r="H117" s="8">
        <v>0</v>
      </c>
      <c r="J117" s="11"/>
    </row>
    <row r="118" ht="16.55" customHeight="true" spans="2:10">
      <c r="B118" s="8">
        <v>75</v>
      </c>
      <c r="C118" s="9">
        <v>46695</v>
      </c>
      <c r="D118" s="9">
        <v>46727</v>
      </c>
      <c r="E118" s="10" t="s">
        <v>47</v>
      </c>
      <c r="F118" s="8" t="s">
        <v>42</v>
      </c>
      <c r="G118" s="8">
        <v>1345.08</v>
      </c>
      <c r="H118" s="8">
        <v>0</v>
      </c>
      <c r="J118" s="11"/>
    </row>
    <row r="119" ht="16.55" customHeight="true" spans="2:10">
      <c r="B119" s="8">
        <v>76</v>
      </c>
      <c r="C119" s="9">
        <v>46727</v>
      </c>
      <c r="D119" s="9">
        <v>46756</v>
      </c>
      <c r="E119" s="10" t="s">
        <v>47</v>
      </c>
      <c r="F119" s="8" t="s">
        <v>42</v>
      </c>
      <c r="G119" s="8">
        <v>1512.19</v>
      </c>
      <c r="H119" s="8">
        <v>0</v>
      </c>
      <c r="J119" s="11"/>
    </row>
    <row r="120" ht="16.55" customHeight="true" spans="2:10">
      <c r="B120" s="8">
        <v>77</v>
      </c>
      <c r="C120" s="9">
        <v>46756</v>
      </c>
      <c r="D120" s="9">
        <v>46787</v>
      </c>
      <c r="E120" s="10" t="s">
        <v>47</v>
      </c>
      <c r="F120" s="8" t="s">
        <v>42</v>
      </c>
      <c r="G120" s="8">
        <v>1423.44</v>
      </c>
      <c r="H120" s="8">
        <v>0</v>
      </c>
      <c r="J120" s="11"/>
    </row>
    <row r="121" ht="16.55" customHeight="true" spans="2:10">
      <c r="B121" s="8">
        <v>78</v>
      </c>
      <c r="C121" s="9">
        <v>46787</v>
      </c>
      <c r="D121" s="9">
        <v>46818</v>
      </c>
      <c r="E121" s="10" t="s">
        <v>47</v>
      </c>
      <c r="F121" s="8" t="s">
        <v>42</v>
      </c>
      <c r="G121" s="8">
        <v>1436.67</v>
      </c>
      <c r="H121" s="8">
        <v>0</v>
      </c>
      <c r="J121" s="11"/>
    </row>
    <row r="122" ht="16.55" customHeight="true" spans="2:10">
      <c r="B122" s="8">
        <v>79</v>
      </c>
      <c r="C122" s="9">
        <v>46818</v>
      </c>
      <c r="D122" s="9">
        <v>46847</v>
      </c>
      <c r="E122" s="10" t="s">
        <v>47</v>
      </c>
      <c r="F122" s="8" t="s">
        <v>42</v>
      </c>
      <c r="G122" s="8">
        <v>1550.2</v>
      </c>
      <c r="H122" s="8">
        <v>0</v>
      </c>
      <c r="J122" s="11"/>
    </row>
    <row r="123" ht="16.55" customHeight="true" spans="2:10">
      <c r="B123" s="8">
        <v>80</v>
      </c>
      <c r="C123" s="9">
        <v>46847</v>
      </c>
      <c r="D123" s="9">
        <v>46877</v>
      </c>
      <c r="E123" s="10" t="s">
        <v>47</v>
      </c>
      <c r="F123" s="8" t="s">
        <v>42</v>
      </c>
      <c r="G123" s="8">
        <v>1514.05</v>
      </c>
      <c r="H123" s="8">
        <v>0</v>
      </c>
      <c r="J123" s="11"/>
    </row>
    <row r="124" ht="16.55" customHeight="true" spans="2:10">
      <c r="B124" s="8">
        <v>81</v>
      </c>
      <c r="C124" s="9">
        <v>46877</v>
      </c>
      <c r="D124" s="9">
        <v>46909</v>
      </c>
      <c r="E124" s="10" t="s">
        <v>47</v>
      </c>
      <c r="F124" s="8" t="s">
        <v>42</v>
      </c>
      <c r="G124" s="8">
        <v>1429.31</v>
      </c>
      <c r="H124" s="8">
        <v>0</v>
      </c>
      <c r="J124" s="11"/>
    </row>
    <row r="125" ht="16.55" customHeight="true" spans="2:10">
      <c r="B125" s="8">
        <v>82</v>
      </c>
      <c r="C125" s="9">
        <v>46909</v>
      </c>
      <c r="D125" s="9">
        <v>46938</v>
      </c>
      <c r="E125" s="10" t="s">
        <v>47</v>
      </c>
      <c r="F125" s="8" t="s">
        <v>42</v>
      </c>
      <c r="G125" s="8">
        <v>1589.26</v>
      </c>
      <c r="H125" s="8">
        <v>0</v>
      </c>
      <c r="J125" s="11"/>
    </row>
    <row r="126" ht="16.55" customHeight="true" spans="2:10">
      <c r="B126" s="8">
        <v>83</v>
      </c>
      <c r="C126" s="9">
        <v>46938</v>
      </c>
      <c r="D126" s="9">
        <v>46969</v>
      </c>
      <c r="E126" s="10" t="s">
        <v>47</v>
      </c>
      <c r="F126" s="8" t="s">
        <v>42</v>
      </c>
      <c r="G126" s="8">
        <v>1506.54</v>
      </c>
      <c r="H126" s="8">
        <v>0</v>
      </c>
      <c r="J126" s="11"/>
    </row>
    <row r="127" ht="16.55" customHeight="true" spans="2:10">
      <c r="B127" s="8">
        <v>84</v>
      </c>
      <c r="C127" s="9">
        <v>46969</v>
      </c>
      <c r="D127" s="9">
        <v>47000</v>
      </c>
      <c r="E127" s="10" t="s">
        <v>47</v>
      </c>
      <c r="F127" s="8" t="s">
        <v>42</v>
      </c>
      <c r="G127" s="8">
        <v>1520.54</v>
      </c>
      <c r="H127" s="8">
        <v>0</v>
      </c>
      <c r="J127" s="11"/>
    </row>
    <row r="128" ht="16.55" customHeight="true" spans="2:10">
      <c r="B128" s="8">
        <v>85</v>
      </c>
      <c r="C128" s="9">
        <v>47000</v>
      </c>
      <c r="D128" s="9">
        <v>47030</v>
      </c>
      <c r="E128" s="10" t="s">
        <v>47</v>
      </c>
      <c r="F128" s="8" t="s">
        <v>42</v>
      </c>
      <c r="G128" s="8">
        <v>1582.03</v>
      </c>
      <c r="H128" s="8">
        <v>0</v>
      </c>
      <c r="J128" s="11"/>
    </row>
    <row r="129" ht="16.55" customHeight="true" spans="2:10">
      <c r="B129" s="8">
        <v>86</v>
      </c>
      <c r="C129" s="9">
        <v>47030</v>
      </c>
      <c r="D129" s="9">
        <v>47063</v>
      </c>
      <c r="E129" s="10" t="s">
        <v>47</v>
      </c>
      <c r="F129" s="8" t="s">
        <v>42</v>
      </c>
      <c r="G129" s="8">
        <v>1455.6</v>
      </c>
      <c r="H129" s="8">
        <v>0</v>
      </c>
      <c r="J129" s="11"/>
    </row>
    <row r="130" ht="16.55" customHeight="true" spans="2:10">
      <c r="B130" s="8">
        <v>87</v>
      </c>
      <c r="C130" s="9">
        <v>47063</v>
      </c>
      <c r="D130" s="9">
        <v>47091</v>
      </c>
      <c r="E130" s="10" t="s">
        <v>47</v>
      </c>
      <c r="F130" s="8" t="s">
        <v>42</v>
      </c>
      <c r="G130" s="8">
        <v>1702.24</v>
      </c>
      <c r="H130" s="8">
        <v>0</v>
      </c>
      <c r="J130" s="11"/>
    </row>
    <row r="131" ht="16.55" customHeight="true" spans="2:10">
      <c r="B131" s="8">
        <v>88</v>
      </c>
      <c r="C131" s="9">
        <v>47091</v>
      </c>
      <c r="D131" s="9">
        <v>47122</v>
      </c>
      <c r="E131" s="10" t="s">
        <v>47</v>
      </c>
      <c r="F131" s="8" t="s">
        <v>42</v>
      </c>
      <c r="G131" s="8">
        <v>1578.72</v>
      </c>
      <c r="H131" s="8">
        <v>0</v>
      </c>
      <c r="J131" s="11"/>
    </row>
    <row r="132" ht="16.55" customHeight="true" spans="2:10">
      <c r="B132" s="8">
        <v>89</v>
      </c>
      <c r="C132" s="9">
        <v>47122</v>
      </c>
      <c r="D132" s="9">
        <v>47154</v>
      </c>
      <c r="E132" s="10" t="s">
        <v>47</v>
      </c>
      <c r="F132" s="8" t="s">
        <v>42</v>
      </c>
      <c r="G132" s="8">
        <v>1547.92</v>
      </c>
      <c r="H132" s="8">
        <v>0</v>
      </c>
      <c r="J132" s="11"/>
    </row>
    <row r="133" ht="16.55" customHeight="true" spans="2:10">
      <c r="B133" s="8">
        <v>90</v>
      </c>
      <c r="C133" s="9">
        <v>47154</v>
      </c>
      <c r="D133" s="9">
        <v>47182</v>
      </c>
      <c r="E133" s="10" t="s">
        <v>47</v>
      </c>
      <c r="F133" s="8" t="s">
        <v>42</v>
      </c>
      <c r="G133" s="8">
        <v>1742.78</v>
      </c>
      <c r="H133" s="8">
        <v>0</v>
      </c>
      <c r="J133" s="11"/>
    </row>
    <row r="134" ht="16.55" customHeight="true" spans="2:10">
      <c r="B134" s="8">
        <v>91</v>
      </c>
      <c r="C134" s="9">
        <v>47182</v>
      </c>
      <c r="D134" s="9">
        <v>47212</v>
      </c>
      <c r="E134" s="10" t="s">
        <v>47</v>
      </c>
      <c r="F134" s="8" t="s">
        <v>42</v>
      </c>
      <c r="G134" s="8">
        <v>1668.45</v>
      </c>
      <c r="H134" s="8">
        <v>0</v>
      </c>
      <c r="J134" s="11"/>
    </row>
    <row r="135" ht="16.55" customHeight="true" spans="2:10">
      <c r="B135" s="8">
        <v>92</v>
      </c>
      <c r="C135" s="9">
        <v>47212</v>
      </c>
      <c r="D135" s="9">
        <v>47242</v>
      </c>
      <c r="E135" s="10" t="s">
        <v>47</v>
      </c>
      <c r="F135" s="8" t="s">
        <v>42</v>
      </c>
      <c r="G135" s="8">
        <v>1683.44</v>
      </c>
      <c r="H135" s="8">
        <v>0</v>
      </c>
      <c r="J135" s="11"/>
    </row>
    <row r="136" ht="16.55" customHeight="true" spans="2:10">
      <c r="B136" s="8">
        <v>93</v>
      </c>
      <c r="C136" s="9">
        <v>47242</v>
      </c>
      <c r="D136" s="9">
        <v>47273</v>
      </c>
      <c r="E136" s="10" t="s">
        <v>47</v>
      </c>
      <c r="F136" s="8" t="s">
        <v>42</v>
      </c>
      <c r="G136" s="8">
        <v>1655.11</v>
      </c>
      <c r="H136" s="8">
        <v>0</v>
      </c>
      <c r="J136" s="11"/>
    </row>
    <row r="137" ht="16.55" customHeight="true" spans="2:10">
      <c r="B137" s="8">
        <v>94</v>
      </c>
      <c r="C137" s="9">
        <v>47273</v>
      </c>
      <c r="D137" s="9">
        <v>47303</v>
      </c>
      <c r="E137" s="10" t="s">
        <v>47</v>
      </c>
      <c r="F137" s="8" t="s">
        <v>42</v>
      </c>
      <c r="G137" s="8">
        <v>1713.47</v>
      </c>
      <c r="H137" s="8">
        <v>0</v>
      </c>
      <c r="J137" s="11"/>
    </row>
    <row r="138" ht="16.55" customHeight="true" spans="2:10">
      <c r="B138" s="8">
        <v>95</v>
      </c>
      <c r="C138" s="9">
        <v>47303</v>
      </c>
      <c r="D138" s="9">
        <v>47336</v>
      </c>
      <c r="E138" s="10" t="s">
        <v>47</v>
      </c>
      <c r="F138" s="8" t="s">
        <v>42</v>
      </c>
      <c r="G138" s="8">
        <v>1601.48</v>
      </c>
      <c r="H138" s="8">
        <v>0</v>
      </c>
      <c r="J138" s="11"/>
    </row>
    <row r="139" ht="16.55" customHeight="true" spans="2:10">
      <c r="B139" s="8">
        <v>96</v>
      </c>
      <c r="C139" s="9">
        <v>47336</v>
      </c>
      <c r="D139" s="9">
        <v>47365</v>
      </c>
      <c r="E139" s="10" t="s">
        <v>47</v>
      </c>
      <c r="F139" s="8" t="s">
        <v>42</v>
      </c>
      <c r="G139" s="8">
        <v>1785.26</v>
      </c>
      <c r="H139" s="8">
        <v>0</v>
      </c>
      <c r="J139" s="11"/>
    </row>
    <row r="140" ht="16.55" customHeight="true" spans="2:10">
      <c r="B140" s="8">
        <v>97</v>
      </c>
      <c r="C140" s="9">
        <v>47365</v>
      </c>
      <c r="D140" s="9">
        <v>47395</v>
      </c>
      <c r="E140" s="10" t="s">
        <v>47</v>
      </c>
      <c r="F140" s="8" t="s">
        <v>42</v>
      </c>
      <c r="G140" s="8">
        <v>1759.33</v>
      </c>
      <c r="H140" s="8">
        <v>0</v>
      </c>
      <c r="J140" s="11"/>
    </row>
    <row r="141" ht="16.55" customHeight="true" spans="2:10">
      <c r="B141" s="8">
        <v>98</v>
      </c>
      <c r="C141" s="9">
        <v>47395</v>
      </c>
      <c r="D141" s="9">
        <v>47427</v>
      </c>
      <c r="E141" s="10" t="s">
        <v>47</v>
      </c>
      <c r="F141" s="8" t="s">
        <v>42</v>
      </c>
      <c r="G141" s="8">
        <v>1693.31</v>
      </c>
      <c r="H141" s="8">
        <v>0</v>
      </c>
      <c r="J141" s="11"/>
    </row>
    <row r="142" ht="16.55" customHeight="true" spans="2:10">
      <c r="B142" s="8">
        <v>99</v>
      </c>
      <c r="C142" s="9">
        <v>47427</v>
      </c>
      <c r="D142" s="9">
        <v>47456</v>
      </c>
      <c r="E142" s="10" t="s">
        <v>47</v>
      </c>
      <c r="F142" s="8" t="s">
        <v>42</v>
      </c>
      <c r="G142" s="8">
        <v>1830.79</v>
      </c>
      <c r="H142" s="8">
        <v>0</v>
      </c>
      <c r="J142" s="11"/>
    </row>
    <row r="143" ht="16.55" customHeight="true" spans="2:10">
      <c r="B143" s="8">
        <v>100</v>
      </c>
      <c r="C143" s="9">
        <v>47456</v>
      </c>
      <c r="D143" s="9">
        <v>47487</v>
      </c>
      <c r="E143" s="10" t="s">
        <v>47</v>
      </c>
      <c r="F143" s="8" t="s">
        <v>42</v>
      </c>
      <c r="G143" s="8">
        <v>1766.98</v>
      </c>
      <c r="H143" s="8">
        <v>0</v>
      </c>
      <c r="J143" s="11"/>
    </row>
    <row r="144" ht="16.55" customHeight="true" spans="2:10">
      <c r="B144" s="8">
        <v>101</v>
      </c>
      <c r="C144" s="9">
        <v>47487</v>
      </c>
      <c r="D144" s="9">
        <v>47518</v>
      </c>
      <c r="E144" s="10" t="s">
        <v>47</v>
      </c>
      <c r="F144" s="8" t="s">
        <v>42</v>
      </c>
      <c r="G144" s="8">
        <v>1783.4</v>
      </c>
      <c r="H144" s="8">
        <v>0</v>
      </c>
      <c r="J144" s="11"/>
    </row>
    <row r="145" ht="16.55" customHeight="true" spans="2:10">
      <c r="B145" s="8">
        <v>102</v>
      </c>
      <c r="C145" s="9">
        <v>47518</v>
      </c>
      <c r="D145" s="9">
        <v>47546</v>
      </c>
      <c r="E145" s="10" t="s">
        <v>47</v>
      </c>
      <c r="F145" s="8" t="s">
        <v>42</v>
      </c>
      <c r="G145" s="8">
        <v>1916.37</v>
      </c>
      <c r="H145" s="8">
        <v>0</v>
      </c>
      <c r="J145" s="11"/>
    </row>
    <row r="146" ht="16.55" customHeight="true" spans="2:10">
      <c r="B146" s="8">
        <v>103</v>
      </c>
      <c r="C146" s="9">
        <v>47546</v>
      </c>
      <c r="D146" s="9">
        <v>47577</v>
      </c>
      <c r="E146" s="10" t="s">
        <v>47</v>
      </c>
      <c r="F146" s="8" t="s">
        <v>42</v>
      </c>
      <c r="G146" s="8">
        <v>1817.77</v>
      </c>
      <c r="H146" s="8">
        <v>0</v>
      </c>
      <c r="J146" s="11"/>
    </row>
    <row r="147" ht="16.55" customHeight="true" spans="2:10">
      <c r="B147" s="8">
        <v>104</v>
      </c>
      <c r="C147" s="9">
        <v>47577</v>
      </c>
      <c r="D147" s="9">
        <v>47609</v>
      </c>
      <c r="E147" s="10" t="s">
        <v>47</v>
      </c>
      <c r="F147" s="8" t="s">
        <v>42</v>
      </c>
      <c r="G147" s="8">
        <v>1796.98</v>
      </c>
      <c r="H147" s="8">
        <v>0</v>
      </c>
      <c r="J147" s="11"/>
    </row>
    <row r="148" ht="16.55" customHeight="true" spans="2:10">
      <c r="B148" s="8">
        <v>105</v>
      </c>
      <c r="C148" s="9">
        <v>47609</v>
      </c>
      <c r="D148" s="9">
        <v>47638</v>
      </c>
      <c r="E148" s="10" t="s">
        <v>47</v>
      </c>
      <c r="F148" s="8" t="s">
        <v>42</v>
      </c>
      <c r="G148" s="8">
        <v>1925.65</v>
      </c>
      <c r="H148" s="8">
        <v>0</v>
      </c>
      <c r="J148" s="11"/>
    </row>
    <row r="149" ht="16.55" customHeight="true" spans="2:10">
      <c r="B149" s="8">
        <v>106</v>
      </c>
      <c r="C149" s="9">
        <v>47638</v>
      </c>
      <c r="D149" s="9">
        <v>47668</v>
      </c>
      <c r="E149" s="10" t="s">
        <v>47</v>
      </c>
      <c r="F149" s="8" t="s">
        <v>42</v>
      </c>
      <c r="G149" s="8">
        <v>1905.83</v>
      </c>
      <c r="H149" s="8">
        <v>0</v>
      </c>
      <c r="J149" s="11"/>
    </row>
    <row r="150" ht="16.55" customHeight="true" spans="2:10">
      <c r="B150" s="8">
        <v>107</v>
      </c>
      <c r="C150" s="9">
        <v>47668</v>
      </c>
      <c r="D150" s="9">
        <v>47700</v>
      </c>
      <c r="E150" s="10" t="s">
        <v>47</v>
      </c>
      <c r="F150" s="8" t="s">
        <v>42</v>
      </c>
      <c r="G150" s="8">
        <v>1850.97</v>
      </c>
      <c r="H150" s="8">
        <v>0</v>
      </c>
      <c r="J150" s="11"/>
    </row>
    <row r="151" ht="16.55" customHeight="true" spans="2:10">
      <c r="B151" s="8">
        <v>108</v>
      </c>
      <c r="C151" s="9">
        <v>47700</v>
      </c>
      <c r="D151" s="9">
        <v>47730</v>
      </c>
      <c r="E151" s="10" t="s">
        <v>47</v>
      </c>
      <c r="F151" s="8" t="s">
        <v>42</v>
      </c>
      <c r="G151" s="8">
        <v>1939.61</v>
      </c>
      <c r="H151" s="8">
        <v>0</v>
      </c>
      <c r="J151" s="11"/>
    </row>
    <row r="152" ht="16.55" customHeight="true" spans="2:10">
      <c r="B152" s="8">
        <v>109</v>
      </c>
      <c r="C152" s="9">
        <v>47730</v>
      </c>
      <c r="D152" s="9">
        <v>47760</v>
      </c>
      <c r="E152" s="10" t="s">
        <v>47</v>
      </c>
      <c r="F152" s="8" t="s">
        <v>42</v>
      </c>
      <c r="G152" s="8">
        <v>1957.06</v>
      </c>
      <c r="H152" s="8">
        <v>0</v>
      </c>
      <c r="J152" s="11"/>
    </row>
    <row r="153" ht="16.55" customHeight="true" spans="2:10">
      <c r="B153" s="8">
        <v>110</v>
      </c>
      <c r="C153" s="9">
        <v>47760</v>
      </c>
      <c r="D153" s="9">
        <v>47791</v>
      </c>
      <c r="E153" s="10" t="s">
        <v>47</v>
      </c>
      <c r="F153" s="8" t="s">
        <v>42</v>
      </c>
      <c r="G153" s="8">
        <v>1940.38</v>
      </c>
      <c r="H153" s="8">
        <v>0</v>
      </c>
      <c r="J153" s="11"/>
    </row>
    <row r="154" ht="16.55" customHeight="true" spans="2:10">
      <c r="B154" s="8">
        <v>111</v>
      </c>
      <c r="C154" s="9">
        <v>47791</v>
      </c>
      <c r="D154" s="9">
        <v>47821</v>
      </c>
      <c r="E154" s="10" t="s">
        <v>47</v>
      </c>
      <c r="F154" s="8" t="s">
        <v>42</v>
      </c>
      <c r="G154" s="8">
        <v>1992.1</v>
      </c>
      <c r="H154" s="8">
        <v>0</v>
      </c>
      <c r="J154" s="11"/>
    </row>
    <row r="155" ht="16.55" customHeight="true" spans="2:10">
      <c r="B155" s="8">
        <v>112</v>
      </c>
      <c r="C155" s="9">
        <v>47821</v>
      </c>
      <c r="D155" s="9">
        <v>47854</v>
      </c>
      <c r="E155" s="10" t="s">
        <v>47</v>
      </c>
      <c r="F155" s="8" t="s">
        <v>42</v>
      </c>
      <c r="G155" s="8">
        <v>1910.73</v>
      </c>
      <c r="H155" s="8">
        <v>0</v>
      </c>
      <c r="J155" s="11"/>
    </row>
    <row r="156" ht="16.55" customHeight="true" spans="2:10">
      <c r="B156" s="8">
        <v>113</v>
      </c>
      <c r="C156" s="9">
        <v>47854</v>
      </c>
      <c r="D156" s="9">
        <v>47883</v>
      </c>
      <c r="E156" s="10" t="s">
        <v>47</v>
      </c>
      <c r="F156" s="8" t="s">
        <v>42</v>
      </c>
      <c r="G156" s="8">
        <v>2059.72</v>
      </c>
      <c r="H156" s="8">
        <v>0</v>
      </c>
      <c r="J156" s="11"/>
    </row>
    <row r="157" ht="16.55" customHeight="true" spans="2:10">
      <c r="B157" s="8">
        <v>114</v>
      </c>
      <c r="C157" s="9">
        <v>47883</v>
      </c>
      <c r="D157" s="9">
        <v>47911</v>
      </c>
      <c r="E157" s="10" t="s">
        <v>47</v>
      </c>
      <c r="F157" s="8" t="s">
        <v>42</v>
      </c>
      <c r="G157" s="8">
        <v>2109.52</v>
      </c>
      <c r="H157" s="8">
        <v>0</v>
      </c>
      <c r="J157" s="11"/>
    </row>
    <row r="158" ht="16.55" customHeight="true" spans="2:10">
      <c r="B158" s="8">
        <v>115</v>
      </c>
      <c r="C158" s="9">
        <v>47911</v>
      </c>
      <c r="D158" s="9">
        <v>47942</v>
      </c>
      <c r="E158" s="10" t="s">
        <v>47</v>
      </c>
      <c r="F158" s="8" t="s">
        <v>42</v>
      </c>
      <c r="G158" s="8">
        <v>2033.42</v>
      </c>
      <c r="H158" s="8">
        <v>0</v>
      </c>
      <c r="J158" s="11"/>
    </row>
    <row r="159" ht="16.55" customHeight="true" spans="2:10">
      <c r="B159" s="8">
        <v>116</v>
      </c>
      <c r="C159" s="9">
        <v>47942</v>
      </c>
      <c r="D159" s="9">
        <v>47973</v>
      </c>
      <c r="E159" s="10" t="s">
        <v>47</v>
      </c>
      <c r="F159" s="8" t="s">
        <v>42</v>
      </c>
      <c r="G159" s="8">
        <v>2052.31</v>
      </c>
      <c r="H159" s="8">
        <v>0</v>
      </c>
      <c r="J159" s="11"/>
    </row>
    <row r="160" ht="16.55" customHeight="true" spans="2:10">
      <c r="B160" s="8">
        <v>117</v>
      </c>
      <c r="C160" s="9">
        <v>47973</v>
      </c>
      <c r="D160" s="9">
        <v>48003</v>
      </c>
      <c r="E160" s="10" t="s">
        <v>47</v>
      </c>
      <c r="F160" s="8" t="s">
        <v>42</v>
      </c>
      <c r="G160" s="8">
        <v>2101.43</v>
      </c>
      <c r="H160" s="8">
        <v>0</v>
      </c>
      <c r="J160" s="11"/>
    </row>
    <row r="161" ht="16.55" customHeight="true" spans="2:10">
      <c r="B161" s="8">
        <v>118</v>
      </c>
      <c r="C161" s="9">
        <v>48003</v>
      </c>
      <c r="D161" s="9">
        <v>48033</v>
      </c>
      <c r="E161" s="10" t="s">
        <v>47</v>
      </c>
      <c r="F161" s="8" t="s">
        <v>42</v>
      </c>
      <c r="G161" s="8">
        <v>2120.33</v>
      </c>
      <c r="H161" s="8">
        <v>0</v>
      </c>
      <c r="J161" s="11"/>
    </row>
    <row r="162" ht="16.55" customHeight="true" spans="2:10">
      <c r="B162" s="8">
        <v>119</v>
      </c>
      <c r="C162" s="9">
        <v>48033</v>
      </c>
      <c r="D162" s="9">
        <v>48064</v>
      </c>
      <c r="E162" s="10" t="s">
        <v>47</v>
      </c>
      <c r="F162" s="8" t="s">
        <v>42</v>
      </c>
      <c r="G162" s="8">
        <v>2110.61</v>
      </c>
      <c r="H162" s="8">
        <v>0</v>
      </c>
      <c r="J162" s="11"/>
    </row>
    <row r="163" ht="16.55" customHeight="true" spans="2:10">
      <c r="B163" s="8">
        <v>120</v>
      </c>
      <c r="C163" s="9">
        <v>48064</v>
      </c>
      <c r="D163" s="9">
        <v>48095</v>
      </c>
      <c r="E163" s="10" t="s">
        <v>47</v>
      </c>
      <c r="F163" s="8" t="s">
        <v>42</v>
      </c>
      <c r="G163" s="8">
        <v>2130.23</v>
      </c>
      <c r="H163" s="8">
        <v>0</v>
      </c>
      <c r="J163" s="11"/>
    </row>
    <row r="164" ht="16.55" customHeight="true" spans="2:10">
      <c r="B164" s="8">
        <v>121</v>
      </c>
      <c r="C164" s="9">
        <v>48095</v>
      </c>
      <c r="D164" s="9">
        <v>48127</v>
      </c>
      <c r="E164" s="10" t="s">
        <v>47</v>
      </c>
      <c r="F164" s="8" t="s">
        <v>42</v>
      </c>
      <c r="G164" s="8">
        <v>2122.51</v>
      </c>
      <c r="H164" s="8">
        <v>0</v>
      </c>
      <c r="J164" s="11"/>
    </row>
    <row r="165" ht="16.55" customHeight="true" spans="2:10">
      <c r="B165" s="8">
        <v>122</v>
      </c>
      <c r="C165" s="9">
        <v>48127</v>
      </c>
      <c r="D165" s="9">
        <v>48156</v>
      </c>
      <c r="E165" s="10" t="s">
        <v>47</v>
      </c>
      <c r="F165" s="8" t="s">
        <v>42</v>
      </c>
      <c r="G165" s="8">
        <v>2223.49</v>
      </c>
      <c r="H165" s="8">
        <v>0</v>
      </c>
      <c r="J165" s="11"/>
    </row>
    <row r="166" ht="16.55" customHeight="true" spans="2:10">
      <c r="B166" s="8">
        <v>123</v>
      </c>
      <c r="C166" s="9">
        <v>48156</v>
      </c>
      <c r="D166" s="9">
        <v>48186</v>
      </c>
      <c r="E166" s="10" t="s">
        <v>47</v>
      </c>
      <c r="F166" s="8" t="s">
        <v>42</v>
      </c>
      <c r="G166" s="8">
        <v>2216.61</v>
      </c>
      <c r="H166" s="8">
        <v>0</v>
      </c>
      <c r="J166" s="11"/>
    </row>
    <row r="167" ht="16.55" customHeight="true" spans="2:10">
      <c r="B167" s="8">
        <v>124</v>
      </c>
      <c r="C167" s="9">
        <v>48186</v>
      </c>
      <c r="D167" s="9">
        <v>48218</v>
      </c>
      <c r="E167" s="10" t="s">
        <v>47</v>
      </c>
      <c r="F167" s="8" t="s">
        <v>42</v>
      </c>
      <c r="G167" s="8">
        <v>2185.46</v>
      </c>
      <c r="H167" s="8">
        <v>0</v>
      </c>
      <c r="J167" s="11"/>
    </row>
    <row r="168" ht="16.55" customHeight="true" spans="2:10">
      <c r="B168" s="8">
        <v>125</v>
      </c>
      <c r="C168" s="9">
        <v>48218</v>
      </c>
      <c r="D168" s="9">
        <v>48248</v>
      </c>
      <c r="E168" s="10" t="s">
        <v>47</v>
      </c>
      <c r="F168" s="8" t="s">
        <v>42</v>
      </c>
      <c r="G168" s="8">
        <v>2256.2</v>
      </c>
      <c r="H168" s="8">
        <v>0</v>
      </c>
      <c r="J168" s="11"/>
    </row>
    <row r="169" ht="16.55" customHeight="true" spans="2:10">
      <c r="B169" s="8">
        <v>126</v>
      </c>
      <c r="C169" s="9">
        <v>48248</v>
      </c>
      <c r="D169" s="9">
        <v>48277</v>
      </c>
      <c r="E169" s="10" t="s">
        <v>47</v>
      </c>
      <c r="F169" s="8" t="s">
        <v>42</v>
      </c>
      <c r="G169" s="8">
        <v>2300.7</v>
      </c>
      <c r="H169" s="8">
        <v>0</v>
      </c>
      <c r="J169" s="11"/>
    </row>
    <row r="170" ht="16.55" customHeight="true" spans="2:10">
      <c r="B170" s="8">
        <v>127</v>
      </c>
      <c r="C170" s="9">
        <v>48277</v>
      </c>
      <c r="D170" s="9">
        <v>48309</v>
      </c>
      <c r="E170" s="10" t="s">
        <v>47</v>
      </c>
      <c r="F170" s="8" t="s">
        <v>42</v>
      </c>
      <c r="G170" s="8">
        <v>2250.13</v>
      </c>
      <c r="H170" s="8">
        <v>0</v>
      </c>
      <c r="J170" s="11"/>
    </row>
    <row r="171" ht="16.55" customHeight="true" spans="2:10">
      <c r="B171" s="8">
        <v>128</v>
      </c>
      <c r="C171" s="9">
        <v>48309</v>
      </c>
      <c r="D171" s="9">
        <v>48338</v>
      </c>
      <c r="E171" s="10" t="s">
        <v>47</v>
      </c>
      <c r="F171" s="8" t="s">
        <v>42</v>
      </c>
      <c r="G171" s="8">
        <v>2340.26</v>
      </c>
      <c r="H171" s="8">
        <v>0</v>
      </c>
      <c r="J171" s="11"/>
    </row>
    <row r="172" ht="16.55" customHeight="true" spans="2:10">
      <c r="B172" s="8">
        <v>129</v>
      </c>
      <c r="C172" s="9">
        <v>48338</v>
      </c>
      <c r="D172" s="9">
        <v>48369</v>
      </c>
      <c r="E172" s="10" t="s">
        <v>47</v>
      </c>
      <c r="F172" s="8" t="s">
        <v>42</v>
      </c>
      <c r="G172" s="8">
        <v>2316.32</v>
      </c>
      <c r="H172" s="8">
        <v>0</v>
      </c>
      <c r="J172" s="11"/>
    </row>
    <row r="173" ht="16.55" customHeight="true" spans="2:10">
      <c r="B173" s="8">
        <v>130</v>
      </c>
      <c r="C173" s="9">
        <v>48369</v>
      </c>
      <c r="D173" s="9">
        <v>48400</v>
      </c>
      <c r="E173" s="10" t="s">
        <v>47</v>
      </c>
      <c r="F173" s="8" t="s">
        <v>42</v>
      </c>
      <c r="G173" s="8">
        <v>2337.83</v>
      </c>
      <c r="H173" s="8">
        <v>0</v>
      </c>
      <c r="J173" s="11"/>
    </row>
    <row r="174" ht="16.55" customHeight="true" spans="2:10">
      <c r="B174" s="8">
        <v>131</v>
      </c>
      <c r="C174" s="9">
        <v>48400</v>
      </c>
      <c r="D174" s="9">
        <v>48430</v>
      </c>
      <c r="E174" s="10" t="s">
        <v>47</v>
      </c>
      <c r="F174" s="8" t="s">
        <v>42</v>
      </c>
      <c r="G174" s="8">
        <v>2380.31</v>
      </c>
      <c r="H174" s="8">
        <v>0</v>
      </c>
      <c r="J174" s="11"/>
    </row>
    <row r="175" ht="16.55" customHeight="true" spans="2:10">
      <c r="B175" s="8">
        <v>132</v>
      </c>
      <c r="C175" s="9">
        <v>48430</v>
      </c>
      <c r="D175" s="9">
        <v>48463</v>
      </c>
      <c r="E175" s="10" t="s">
        <v>47</v>
      </c>
      <c r="F175" s="8" t="s">
        <v>42</v>
      </c>
      <c r="G175" s="8">
        <v>2341.6</v>
      </c>
      <c r="H175" s="8">
        <v>0</v>
      </c>
      <c r="J175" s="11"/>
    </row>
    <row r="176" ht="16.55" customHeight="true" spans="2:10">
      <c r="B176" s="8">
        <v>133</v>
      </c>
      <c r="C176" s="9">
        <v>48463</v>
      </c>
      <c r="D176" s="9">
        <v>48491</v>
      </c>
      <c r="E176" s="10" t="s">
        <v>47</v>
      </c>
      <c r="F176" s="8" t="s">
        <v>42</v>
      </c>
      <c r="G176" s="8">
        <v>2461.45</v>
      </c>
      <c r="H176" s="8">
        <v>0</v>
      </c>
      <c r="J176" s="11"/>
    </row>
    <row r="177" ht="16.55" customHeight="true" spans="2:10">
      <c r="B177" s="8">
        <v>134</v>
      </c>
      <c r="C177" s="9">
        <v>48491</v>
      </c>
      <c r="D177" s="9">
        <v>48522</v>
      </c>
      <c r="E177" s="10" t="s">
        <v>47</v>
      </c>
      <c r="F177" s="8" t="s">
        <v>42</v>
      </c>
      <c r="G177" s="8">
        <v>2426.31</v>
      </c>
      <c r="H177" s="8">
        <v>0</v>
      </c>
      <c r="J177" s="11"/>
    </row>
    <row r="178" ht="16.55" customHeight="true" spans="2:10">
      <c r="B178" s="8">
        <v>135</v>
      </c>
      <c r="C178" s="9">
        <v>48522</v>
      </c>
      <c r="D178" s="9">
        <v>48554</v>
      </c>
      <c r="E178" s="10" t="s">
        <v>47</v>
      </c>
      <c r="F178" s="8" t="s">
        <v>42</v>
      </c>
      <c r="G178" s="8">
        <v>2430.99</v>
      </c>
      <c r="H178" s="8">
        <v>0</v>
      </c>
      <c r="J178" s="11"/>
    </row>
    <row r="179" ht="16.55" customHeight="true" spans="2:10">
      <c r="B179" s="8">
        <v>136</v>
      </c>
      <c r="C179" s="9">
        <v>48554</v>
      </c>
      <c r="D179" s="9">
        <v>48583</v>
      </c>
      <c r="E179" s="10" t="s">
        <v>47</v>
      </c>
      <c r="F179" s="8" t="s">
        <v>42</v>
      </c>
      <c r="G179" s="8">
        <v>2505.73</v>
      </c>
      <c r="H179" s="8">
        <v>0</v>
      </c>
      <c r="J179" s="11"/>
    </row>
    <row r="180" ht="16.55" customHeight="true" spans="2:10">
      <c r="B180" s="8">
        <v>137</v>
      </c>
      <c r="C180" s="9">
        <v>48583</v>
      </c>
      <c r="D180" s="9">
        <v>48614</v>
      </c>
      <c r="E180" s="10" t="s">
        <v>47</v>
      </c>
      <c r="F180" s="8" t="s">
        <v>42</v>
      </c>
      <c r="G180" s="8">
        <v>2494.73</v>
      </c>
      <c r="H180" s="8">
        <v>0</v>
      </c>
      <c r="J180" s="11"/>
    </row>
    <row r="181" ht="16.55" customHeight="true" spans="2:10">
      <c r="B181" s="8">
        <v>138</v>
      </c>
      <c r="C181" s="9">
        <v>48614</v>
      </c>
      <c r="D181" s="9">
        <v>48642</v>
      </c>
      <c r="E181" s="10" t="s">
        <v>47</v>
      </c>
      <c r="F181" s="8" t="s">
        <v>42</v>
      </c>
      <c r="G181" s="8">
        <v>2564.84</v>
      </c>
      <c r="H181" s="8">
        <v>0</v>
      </c>
      <c r="J181" s="11"/>
    </row>
    <row r="182" ht="16.55" customHeight="true" spans="2:10">
      <c r="B182" s="8">
        <v>139</v>
      </c>
      <c r="C182" s="9">
        <v>48642</v>
      </c>
      <c r="D182" s="9">
        <v>48673</v>
      </c>
      <c r="E182" s="10" t="s">
        <v>47</v>
      </c>
      <c r="F182" s="8" t="s">
        <v>42</v>
      </c>
      <c r="G182" s="8">
        <v>2541.75</v>
      </c>
      <c r="H182" s="8">
        <v>0</v>
      </c>
      <c r="J182" s="11"/>
    </row>
    <row r="183" ht="16.55" customHeight="true" spans="2:10">
      <c r="B183" s="8">
        <v>140</v>
      </c>
      <c r="C183" s="9">
        <v>48673</v>
      </c>
      <c r="D183" s="9">
        <v>48703</v>
      </c>
      <c r="E183" s="10" t="s">
        <v>47</v>
      </c>
      <c r="F183" s="8" t="s">
        <v>42</v>
      </c>
      <c r="G183" s="8">
        <v>2579.48</v>
      </c>
      <c r="H183" s="8">
        <v>0</v>
      </c>
      <c r="J183" s="11"/>
    </row>
    <row r="184" ht="16.55" customHeight="true" spans="2:10">
      <c r="B184" s="8">
        <v>141</v>
      </c>
      <c r="C184" s="9">
        <v>48703</v>
      </c>
      <c r="D184" s="9">
        <v>48736</v>
      </c>
      <c r="E184" s="10" t="s">
        <v>47</v>
      </c>
      <c r="F184" s="8" t="s">
        <v>42</v>
      </c>
      <c r="G184" s="8">
        <v>2562.65</v>
      </c>
      <c r="H184" s="8">
        <v>0</v>
      </c>
      <c r="J184" s="11"/>
    </row>
    <row r="185" ht="16.55" customHeight="true" spans="2:10">
      <c r="B185" s="8">
        <v>142</v>
      </c>
      <c r="C185" s="9">
        <v>48736</v>
      </c>
      <c r="D185" s="9">
        <v>48764</v>
      </c>
      <c r="E185" s="10" t="s">
        <v>47</v>
      </c>
      <c r="F185" s="8" t="s">
        <v>42</v>
      </c>
      <c r="G185" s="8">
        <v>2650.86</v>
      </c>
      <c r="H185" s="8">
        <v>0</v>
      </c>
      <c r="J185" s="11"/>
    </row>
    <row r="186" ht="16.55" customHeight="true" spans="2:10">
      <c r="B186" s="8">
        <v>143</v>
      </c>
      <c r="C186" s="9">
        <v>48764</v>
      </c>
      <c r="D186" s="9">
        <v>48795</v>
      </c>
      <c r="E186" s="10" t="s">
        <v>47</v>
      </c>
      <c r="F186" s="8" t="s">
        <v>42</v>
      </c>
      <c r="G186" s="8">
        <v>2637.78</v>
      </c>
      <c r="H186" s="8">
        <v>0</v>
      </c>
      <c r="J186" s="11"/>
    </row>
    <row r="187" ht="16.55" customHeight="true" spans="2:10">
      <c r="B187" s="8">
        <v>144</v>
      </c>
      <c r="C187" s="9">
        <v>48795</v>
      </c>
      <c r="D187" s="9">
        <v>48827</v>
      </c>
      <c r="E187" s="10" t="s">
        <v>47</v>
      </c>
      <c r="F187" s="8" t="s">
        <v>42</v>
      </c>
      <c r="G187" s="8">
        <v>2651.31</v>
      </c>
      <c r="H187" s="8">
        <v>0</v>
      </c>
      <c r="J187" s="11"/>
    </row>
    <row r="188" ht="16.55" customHeight="true" spans="2:10">
      <c r="B188" s="8">
        <v>145</v>
      </c>
      <c r="C188" s="9">
        <v>48827</v>
      </c>
      <c r="D188" s="9">
        <v>48856</v>
      </c>
      <c r="E188" s="10" t="s">
        <v>47</v>
      </c>
      <c r="F188" s="8" t="s">
        <v>42</v>
      </c>
      <c r="G188" s="8">
        <v>2707.31</v>
      </c>
      <c r="H188" s="8">
        <v>0</v>
      </c>
      <c r="J188" s="11"/>
    </row>
    <row r="189" ht="16.55" customHeight="true" spans="2:10">
      <c r="B189" s="8">
        <v>146</v>
      </c>
      <c r="C189" s="9">
        <v>48856</v>
      </c>
      <c r="D189" s="9">
        <v>48887</v>
      </c>
      <c r="E189" s="10" t="s">
        <v>47</v>
      </c>
      <c r="F189" s="8" t="s">
        <v>42</v>
      </c>
      <c r="G189" s="8">
        <v>2712.09</v>
      </c>
      <c r="H189" s="8">
        <v>0</v>
      </c>
      <c r="J189" s="11"/>
    </row>
    <row r="190" ht="16.55" customHeight="true" spans="2:10">
      <c r="B190" s="8">
        <v>147</v>
      </c>
      <c r="C190" s="9">
        <v>48887</v>
      </c>
      <c r="D190" s="9">
        <v>48918</v>
      </c>
      <c r="E190" s="10" t="s">
        <v>47</v>
      </c>
      <c r="F190" s="8" t="s">
        <v>42</v>
      </c>
      <c r="G190" s="8">
        <v>2737.29</v>
      </c>
      <c r="H190" s="8">
        <v>0</v>
      </c>
      <c r="J190" s="11"/>
    </row>
    <row r="191" ht="16.55" customHeight="true" spans="2:10">
      <c r="B191" s="8">
        <v>148</v>
      </c>
      <c r="C191" s="9">
        <v>48918</v>
      </c>
      <c r="D191" s="9">
        <v>48948</v>
      </c>
      <c r="E191" s="10" t="s">
        <v>47</v>
      </c>
      <c r="F191" s="8" t="s">
        <v>42</v>
      </c>
      <c r="G191" s="8">
        <v>2770.47</v>
      </c>
      <c r="H191" s="8">
        <v>0</v>
      </c>
      <c r="J191" s="11"/>
    </row>
    <row r="192" ht="16.55" customHeight="true" spans="2:10">
      <c r="B192" s="8">
        <v>149</v>
      </c>
      <c r="C192" s="9">
        <v>48948</v>
      </c>
      <c r="D192" s="9">
        <v>48981</v>
      </c>
      <c r="E192" s="10" t="s">
        <v>47</v>
      </c>
      <c r="F192" s="8" t="s">
        <v>42</v>
      </c>
      <c r="G192" s="8">
        <v>2774.64</v>
      </c>
      <c r="H192" s="8">
        <v>0</v>
      </c>
      <c r="J192" s="11"/>
    </row>
    <row r="193" ht="16.55" customHeight="true" spans="2:10">
      <c r="B193" s="8">
        <v>150</v>
      </c>
      <c r="C193" s="9">
        <v>48981</v>
      </c>
      <c r="D193" s="9">
        <v>49009</v>
      </c>
      <c r="E193" s="10" t="s">
        <v>47</v>
      </c>
      <c r="F193" s="8" t="s">
        <v>42</v>
      </c>
      <c r="G193" s="8">
        <v>2832.5</v>
      </c>
      <c r="H193" s="8">
        <v>0</v>
      </c>
      <c r="J193" s="11"/>
    </row>
    <row r="194" ht="16.55" customHeight="true" spans="2:10">
      <c r="B194" s="8">
        <v>151</v>
      </c>
      <c r="C194" s="9">
        <v>49009</v>
      </c>
      <c r="D194" s="9">
        <v>49038</v>
      </c>
      <c r="E194" s="10" t="s">
        <v>47</v>
      </c>
      <c r="F194" s="8" t="s">
        <v>42</v>
      </c>
      <c r="G194" s="8">
        <v>2851.04</v>
      </c>
      <c r="H194" s="8">
        <v>0</v>
      </c>
      <c r="J194" s="11"/>
    </row>
    <row r="195" ht="16.55" customHeight="true" spans="2:10">
      <c r="B195" s="8">
        <v>152</v>
      </c>
      <c r="C195" s="9">
        <v>49038</v>
      </c>
      <c r="D195" s="9">
        <v>49068</v>
      </c>
      <c r="E195" s="10" t="s">
        <v>47</v>
      </c>
      <c r="F195" s="8" t="s">
        <v>42</v>
      </c>
      <c r="G195" s="8">
        <v>2871.44</v>
      </c>
      <c r="H195" s="8">
        <v>0</v>
      </c>
      <c r="J195" s="11"/>
    </row>
    <row r="196" ht="16.55" customHeight="true" spans="2:10">
      <c r="B196" s="8">
        <v>153</v>
      </c>
      <c r="C196" s="9">
        <v>49068</v>
      </c>
      <c r="D196" s="9">
        <v>49100</v>
      </c>
      <c r="E196" s="10" t="s">
        <v>47</v>
      </c>
      <c r="F196" s="8" t="s">
        <v>42</v>
      </c>
      <c r="G196" s="8">
        <v>2890.22</v>
      </c>
      <c r="H196" s="8">
        <v>0</v>
      </c>
      <c r="J196" s="11"/>
    </row>
    <row r="197" ht="16.55" customHeight="true" spans="2:10">
      <c r="B197" s="8">
        <v>154</v>
      </c>
      <c r="C197" s="9">
        <v>49100</v>
      </c>
      <c r="D197" s="9">
        <v>49129</v>
      </c>
      <c r="E197" s="10" t="s">
        <v>47</v>
      </c>
      <c r="F197" s="8" t="s">
        <v>42</v>
      </c>
      <c r="G197" s="8">
        <v>2925.91</v>
      </c>
      <c r="H197" s="8">
        <v>0</v>
      </c>
      <c r="J197" s="11"/>
    </row>
    <row r="198" ht="16.55" customHeight="true" spans="2:10">
      <c r="B198" s="8">
        <v>155</v>
      </c>
      <c r="C198" s="9">
        <v>49129</v>
      </c>
      <c r="D198" s="9">
        <v>49160</v>
      </c>
      <c r="E198" s="10" t="s">
        <v>47</v>
      </c>
      <c r="F198" s="8" t="s">
        <v>42</v>
      </c>
      <c r="G198" s="8">
        <v>2947.79</v>
      </c>
      <c r="H198" s="8">
        <v>0</v>
      </c>
      <c r="J198" s="11"/>
    </row>
    <row r="199" ht="16.55" customHeight="true" spans="2:10">
      <c r="B199" s="8">
        <v>156</v>
      </c>
      <c r="C199" s="9">
        <v>49160</v>
      </c>
      <c r="D199" s="9">
        <v>49191</v>
      </c>
      <c r="E199" s="10" t="s">
        <v>47</v>
      </c>
      <c r="F199" s="8" t="s">
        <v>42</v>
      </c>
      <c r="G199" s="8">
        <v>2976.39</v>
      </c>
      <c r="H199" s="8">
        <v>0</v>
      </c>
      <c r="J199" s="11"/>
    </row>
    <row r="200" spans="2:10">
      <c r="B200" s="8"/>
      <c r="C200" s="9"/>
      <c r="D200" s="9"/>
      <c r="E200" s="8"/>
      <c r="F200" s="8"/>
      <c r="G200" s="8"/>
      <c r="H200" s="8"/>
      <c r="J200" s="11"/>
    </row>
    <row r="201" spans="2:10">
      <c r="B201" s="8"/>
      <c r="C201" s="9"/>
      <c r="D201" s="9"/>
      <c r="E201" s="8"/>
      <c r="F201" s="8"/>
      <c r="G201" s="8"/>
      <c r="H201" s="8"/>
      <c r="J201" s="11"/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zoomScale="90" zoomScaleNormal="90" workbookViewId="0">
      <selection activeCell="A13" sqref="A13:A17"/>
    </sheetView>
  </sheetViews>
  <sheetFormatPr defaultColWidth="11.7428571428571" defaultRowHeight="12.75"/>
  <cols>
    <col min="1" max="1" width="132.92380952381" customWidth="true"/>
  </cols>
  <sheetData>
    <row r="1" ht="14.05" customHeight="true" spans="1:1">
      <c r="A1" s="1" t="s">
        <v>74</v>
      </c>
    </row>
    <row r="2" ht="12.8" customHeight="true" spans="1:1">
      <c r="A2" s="2" t="s">
        <v>75</v>
      </c>
    </row>
    <row r="3" spans="1:1">
      <c r="A3" s="2" t="s">
        <v>76</v>
      </c>
    </row>
    <row r="4" ht="18.2" customHeight="true" spans="1:1">
      <c r="A4" s="2" t="s">
        <v>77</v>
      </c>
    </row>
    <row r="5" ht="36.45" customHeight="true" spans="1:1">
      <c r="A5" s="2" t="s">
        <v>78</v>
      </c>
    </row>
    <row r="6" ht="69.65" customHeight="true" spans="1:1">
      <c r="A6" s="2" t="s">
        <v>79</v>
      </c>
    </row>
    <row r="7" spans="1:1">
      <c r="A7" s="3" t="s">
        <v>80</v>
      </c>
    </row>
    <row r="8" ht="12.8" customHeight="true" spans="1:1">
      <c r="A8" s="4" t="s">
        <v>81</v>
      </c>
    </row>
    <row r="9" spans="1:1">
      <c r="A9" s="4"/>
    </row>
    <row r="10" spans="1:1">
      <c r="A10" s="4"/>
    </row>
    <row r="11" ht="24" customHeight="true" spans="1:1">
      <c r="A11" s="4"/>
    </row>
    <row r="12" spans="1:1">
      <c r="A12" s="3" t="s">
        <v>82</v>
      </c>
    </row>
    <row r="13" ht="12.8" customHeight="true" spans="1:1">
      <c r="A13" s="4" t="s">
        <v>83</v>
      </c>
    </row>
    <row r="14" spans="1:1">
      <c r="A14" s="4"/>
    </row>
    <row r="15" spans="1:1">
      <c r="A15" s="4"/>
    </row>
    <row r="16" spans="1:1">
      <c r="A16" s="4"/>
    </row>
    <row r="17" ht="27.35" customHeight="true" spans="1:1">
      <c r="A17" s="4"/>
    </row>
  </sheetData>
  <mergeCells count="3">
    <mergeCell ref="A2:A6"/>
    <mergeCell ref="A8:A11"/>
    <mergeCell ref="A13:A17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VALORES DE LIQUIDACIÓN</vt:lpstr>
      <vt:lpstr>CÁLCULOS</vt:lpstr>
      <vt:lpstr>TABLA DE PAGOS</vt:lpstr>
      <vt:lpstr>DATOS GENERALES</vt:lpstr>
      <vt:lpstr>SALDOS</vt:lpstr>
      <vt:lpstr>SCRIPT'S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ue0100060x</cp:lastModifiedBy>
  <cp:revision>535</cp:revision>
  <dcterms:created xsi:type="dcterms:W3CDTF">2022-03-30T05:31:00Z</dcterms:created>
  <dcterms:modified xsi:type="dcterms:W3CDTF">2022-04-26T16:51:35Z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