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OneDrive\Documents\"/>
    </mc:Choice>
  </mc:AlternateContent>
  <xr:revisionPtr revIDLastSave="0" documentId="13_ncr:1_{B967A4C1-5557-4B21-8325-DE858476A43B}" xr6:coauthVersionLast="47" xr6:coauthVersionMax="47" xr10:uidLastSave="{00000000-0000-0000-0000-000000000000}"/>
  <bookViews>
    <workbookView xWindow="-108" yWindow="-108" windowWidth="23256" windowHeight="12456" activeTab="2" xr2:uid="{30A6BBFC-6489-4BC3-845F-2FBB4BE00093}"/>
  </bookViews>
  <sheets>
    <sheet name="Specs" sheetId="1" r:id="rId1"/>
    <sheet name="Weight Breakdown" sheetId="3" r:id="rId2"/>
    <sheet name="Energy Consumption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2" i="2"/>
  <c r="I21" i="2"/>
  <c r="I22" i="2" s="1"/>
  <c r="I23" i="2" s="1"/>
  <c r="I11" i="2" s="1"/>
  <c r="G13" i="2"/>
  <c r="I13" i="2"/>
  <c r="D18" i="2"/>
  <c r="B18" i="2"/>
  <c r="G3" i="2"/>
  <c r="G9" i="2" s="1"/>
  <c r="G8" i="2"/>
  <c r="B17" i="2"/>
  <c r="B19" i="2" s="1"/>
  <c r="B15" i="2"/>
  <c r="D15" i="2" s="1"/>
  <c r="D16" i="2" s="1"/>
  <c r="D17" i="2" s="1"/>
  <c r="I14" i="2" s="1"/>
  <c r="B6" i="2"/>
  <c r="C7" i="2" s="1"/>
  <c r="G8" i="1"/>
  <c r="H10" i="3"/>
  <c r="H9" i="3"/>
  <c r="H8" i="3"/>
  <c r="H7" i="3"/>
  <c r="H6" i="3"/>
  <c r="H5" i="3"/>
  <c r="H4" i="3"/>
  <c r="H3" i="3"/>
  <c r="H2" i="3"/>
  <c r="G10" i="3"/>
  <c r="G9" i="3"/>
  <c r="G8" i="3"/>
  <c r="G7" i="3"/>
  <c r="G6" i="3"/>
  <c r="G5" i="3"/>
  <c r="G4" i="3"/>
  <c r="G3" i="3"/>
  <c r="G2" i="3"/>
  <c r="D12" i="3"/>
  <c r="C12" i="3"/>
  <c r="B12" i="3"/>
  <c r="B13" i="3" s="1"/>
  <c r="B7" i="3"/>
  <c r="B6" i="3"/>
  <c r="C6" i="3" s="1"/>
  <c r="D3" i="3"/>
  <c r="C3" i="3"/>
  <c r="I3" i="2" l="1"/>
  <c r="G14" i="2"/>
  <c r="G15" i="2" s="1"/>
  <c r="H3" i="2"/>
  <c r="D19" i="2"/>
  <c r="D20" i="2" s="1"/>
  <c r="D21" i="2" s="1"/>
  <c r="C15" i="2"/>
  <c r="C16" i="2" s="1"/>
  <c r="D7" i="2"/>
  <c r="B7" i="2"/>
  <c r="C8" i="2"/>
  <c r="C9" i="2" s="1"/>
  <c r="C6" i="2"/>
  <c r="C5" i="2" s="1"/>
  <c r="D6" i="3"/>
  <c r="D7" i="3" s="1"/>
  <c r="D8" i="3" s="1"/>
  <c r="C7" i="3"/>
  <c r="C8" i="3" s="1"/>
  <c r="C13" i="3" s="1"/>
  <c r="C5" i="3"/>
  <c r="D5" i="3"/>
  <c r="I6" i="2" l="1"/>
  <c r="I15" i="2" s="1"/>
  <c r="I5" i="2"/>
  <c r="I16" i="2"/>
  <c r="I17" i="2" s="1"/>
  <c r="I18" i="2" s="1"/>
  <c r="I10" i="2" s="1"/>
  <c r="I9" i="2" s="1"/>
  <c r="I7" i="2" s="1"/>
  <c r="G16" i="2"/>
  <c r="C17" i="2"/>
  <c r="D6" i="2"/>
  <c r="D5" i="2" s="1"/>
  <c r="D8" i="2"/>
  <c r="D9" i="2" s="1"/>
  <c r="D13" i="3"/>
  <c r="H6" i="2"/>
  <c r="H5" i="2"/>
  <c r="I8" i="2" l="1"/>
  <c r="M6" i="2" s="1"/>
  <c r="M5" i="2"/>
  <c r="C19" i="2"/>
  <c r="C20" i="2" s="1"/>
  <c r="C21" i="2" s="1"/>
  <c r="H14" i="2"/>
  <c r="H16" i="2" s="1"/>
  <c r="H17" i="2" s="1"/>
  <c r="H18" i="2" s="1"/>
</calcChain>
</file>

<file path=xl/sharedStrings.xml><?xml version="1.0" encoding="utf-8"?>
<sst xmlns="http://schemas.openxmlformats.org/spreadsheetml/2006/main" count="108" uniqueCount="68">
  <si>
    <t>PT6A</t>
  </si>
  <si>
    <t>Magni 350</t>
  </si>
  <si>
    <t>Magni 650</t>
  </si>
  <si>
    <t>Power (kW)</t>
  </si>
  <si>
    <t>Weight (lb)</t>
  </si>
  <si>
    <t>SHP</t>
  </si>
  <si>
    <t>Weight (kg)</t>
  </si>
  <si>
    <t>Full/battery weight (kg)</t>
  </si>
  <si>
    <t>Full/battery weight (lb)</t>
  </si>
  <si>
    <t>447-503</t>
  </si>
  <si>
    <t>Takeoff</t>
  </si>
  <si>
    <t>Efficiency</t>
  </si>
  <si>
    <t>Cruise</t>
  </si>
  <si>
    <t>3 Blade Prop</t>
  </si>
  <si>
    <t xml:space="preserve">4 blade Prop </t>
  </si>
  <si>
    <t>Weight (lbs)</t>
  </si>
  <si>
    <t>Diameter (in)</t>
  </si>
  <si>
    <t>Fuel</t>
  </si>
  <si>
    <t>Gallons</t>
  </si>
  <si>
    <t>Max weight (kg)</t>
  </si>
  <si>
    <t>Propeller (kg)</t>
  </si>
  <si>
    <t>Empty weight (kg)</t>
  </si>
  <si>
    <t>Total</t>
  </si>
  <si>
    <t>Seats (kg)</t>
  </si>
  <si>
    <t>Passenger + luggage (kg)</t>
  </si>
  <si>
    <t>fuel/batteries (kg)</t>
  </si>
  <si>
    <t>Useful load (kg)</t>
  </si>
  <si>
    <t>Passenger Number</t>
  </si>
  <si>
    <t>Passengers + Seats total (kg)</t>
  </si>
  <si>
    <t>Empty weight w/o engine, unusable fuel, propeller and seats (kg)</t>
  </si>
  <si>
    <t>Note: Fuel storred in wings, so can't save weight there</t>
  </si>
  <si>
    <t>`</t>
  </si>
  <si>
    <t>Torque (NM)</t>
  </si>
  <si>
    <t>engine + controller (kg)</t>
  </si>
  <si>
    <t>Magni 350 Batteries (kg)</t>
  </si>
  <si>
    <t>Magni 650 Batteries (kg)</t>
  </si>
  <si>
    <t>V (ft/s)</t>
  </si>
  <si>
    <t>distance (ft)</t>
  </si>
  <si>
    <t>Time (s)</t>
  </si>
  <si>
    <t>Energy consumption (kWh)</t>
  </si>
  <si>
    <t>Battery Energy needed (kWh)</t>
  </si>
  <si>
    <t>Battery mass (kg)</t>
  </si>
  <si>
    <t>N/A</t>
  </si>
  <si>
    <t>Climb</t>
  </si>
  <si>
    <t>Total Energy Consumption (kWh)</t>
  </si>
  <si>
    <t>Total Battery Energy (kWh)</t>
  </si>
  <si>
    <t>Total Battery Mass (kg)</t>
  </si>
  <si>
    <t>Total distance (km)</t>
  </si>
  <si>
    <t>SHP (hp)</t>
  </si>
  <si>
    <t>Weight of Aircraft (lbs)</t>
  </si>
  <si>
    <t>Excess Horseppower (hp)</t>
  </si>
  <si>
    <t>Rate of Climb (FPM)</t>
  </si>
  <si>
    <t>Time to 10000 ft (min)</t>
  </si>
  <si>
    <t>Power Consumption (kWh)</t>
  </si>
  <si>
    <t>Propeller efficiency</t>
  </si>
  <si>
    <t>Cruise Power(kW)</t>
  </si>
  <si>
    <t>Cruise Speed (ft/s)</t>
  </si>
  <si>
    <t>time (min)</t>
  </si>
  <si>
    <t>time (h)</t>
  </si>
  <si>
    <t>RPM</t>
  </si>
  <si>
    <t>Torque (lbs ft)</t>
  </si>
  <si>
    <t>Descent</t>
  </si>
  <si>
    <t>Time to descend (min)</t>
  </si>
  <si>
    <t>distance (km)</t>
  </si>
  <si>
    <t>Total time (min)</t>
  </si>
  <si>
    <t>x distance (km)</t>
  </si>
  <si>
    <t>Holding</t>
  </si>
  <si>
    <t xml:space="preserve">Passengers + pilot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</si>
</sst>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12529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/>
    <xf numFmtId="0" fontId="0" fillId="0" borderId="0" xfId="0" applyFill="1" applyBorder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E3A2-A946-4576-AD6E-260769D9DAEB}">
  <dimension ref="A1:M28"/>
  <sheetViews>
    <sheetView workbookViewId="0">
      <selection activeCell="D28" sqref="D28"/>
    </sheetView>
  </sheetViews>
  <sheetFormatPr defaultRowHeight="14.4" x14ac:dyDescent="0.3"/>
  <cols>
    <col min="1" max="1" width="19.44140625" customWidth="1"/>
    <col min="2" max="2" width="10.88671875" customWidth="1"/>
    <col min="3" max="3" width="11.109375" customWidth="1"/>
    <col min="4" max="4" width="9.77734375" customWidth="1"/>
    <col min="5" max="5" width="16.88671875" customWidth="1"/>
    <col min="6" max="6" width="16.33203125" customWidth="1"/>
    <col min="7" max="7" width="11" customWidth="1"/>
    <col min="8" max="8" width="11.77734375" customWidth="1"/>
    <col min="11" max="11" width="16.44140625" customWidth="1"/>
    <col min="12" max="12" width="21.109375" customWidth="1"/>
    <col min="13" max="13" width="20.77734375" customWidth="1"/>
    <col min="14" max="14" width="11.5546875" customWidth="1"/>
  </cols>
  <sheetData>
    <row r="1" spans="1:13" x14ac:dyDescent="0.3">
      <c r="A1" s="1"/>
      <c r="B1" s="1" t="s">
        <v>0</v>
      </c>
      <c r="C1" s="1" t="s">
        <v>1</v>
      </c>
      <c r="D1" s="1" t="s">
        <v>2</v>
      </c>
      <c r="F1" s="2" t="s">
        <v>31</v>
      </c>
      <c r="G1" s="2" t="s">
        <v>13</v>
      </c>
      <c r="H1" s="2" t="s">
        <v>14</v>
      </c>
      <c r="I1" s="6"/>
      <c r="J1" s="6"/>
      <c r="K1" s="6"/>
      <c r="L1" s="6"/>
      <c r="M1" s="6"/>
    </row>
    <row r="2" spans="1:13" x14ac:dyDescent="0.3">
      <c r="A2" t="s">
        <v>6</v>
      </c>
      <c r="B2">
        <v>160</v>
      </c>
      <c r="C2">
        <v>111.5</v>
      </c>
      <c r="D2">
        <v>220</v>
      </c>
      <c r="F2" t="s">
        <v>15</v>
      </c>
      <c r="G2">
        <v>155.69999999999999</v>
      </c>
      <c r="H2">
        <v>117</v>
      </c>
      <c r="I2" s="6"/>
      <c r="K2" s="6"/>
      <c r="L2" s="6"/>
      <c r="M2" s="6"/>
    </row>
    <row r="3" spans="1:13" x14ac:dyDescent="0.3">
      <c r="A3" t="s">
        <v>4</v>
      </c>
      <c r="B3">
        <v>350</v>
      </c>
      <c r="C3">
        <v>245.8</v>
      </c>
      <c r="D3">
        <v>440.9</v>
      </c>
      <c r="F3" t="s">
        <v>6</v>
      </c>
      <c r="G3">
        <v>70.624331999999995</v>
      </c>
      <c r="H3">
        <v>53.070300000000003</v>
      </c>
      <c r="I3" s="6"/>
      <c r="K3" s="6"/>
      <c r="L3" s="6"/>
      <c r="M3" s="6"/>
    </row>
    <row r="4" spans="1:13" x14ac:dyDescent="0.3">
      <c r="A4" t="s">
        <v>7</v>
      </c>
      <c r="F4" t="s">
        <v>16</v>
      </c>
      <c r="G4">
        <v>106</v>
      </c>
      <c r="H4">
        <v>98</v>
      </c>
      <c r="I4" s="6"/>
      <c r="K4" s="6"/>
      <c r="L4" s="6"/>
      <c r="M4" s="6"/>
    </row>
    <row r="5" spans="1:13" x14ac:dyDescent="0.3">
      <c r="A5" t="s">
        <v>8</v>
      </c>
      <c r="F5" s="6"/>
      <c r="G5" s="6"/>
      <c r="H5" s="6"/>
      <c r="I5" s="6"/>
      <c r="K5" s="6"/>
      <c r="L5" s="6"/>
      <c r="M5" s="6"/>
    </row>
    <row r="6" spans="1:13" x14ac:dyDescent="0.3">
      <c r="A6" t="s">
        <v>3</v>
      </c>
      <c r="B6" t="s">
        <v>9</v>
      </c>
      <c r="C6">
        <v>350</v>
      </c>
      <c r="D6">
        <v>640</v>
      </c>
      <c r="F6" s="4"/>
      <c r="G6" s="4" t="s">
        <v>17</v>
      </c>
      <c r="H6" t="s">
        <v>30</v>
      </c>
      <c r="I6" s="6"/>
      <c r="K6" s="6"/>
      <c r="L6" s="6"/>
      <c r="M6" s="6"/>
    </row>
    <row r="7" spans="1:13" x14ac:dyDescent="0.3">
      <c r="A7" t="s">
        <v>5</v>
      </c>
      <c r="B7">
        <v>675</v>
      </c>
      <c r="C7">
        <v>450</v>
      </c>
      <c r="D7">
        <v>850</v>
      </c>
      <c r="F7" t="s">
        <v>18</v>
      </c>
      <c r="G7">
        <v>335.6</v>
      </c>
      <c r="H7" s="6"/>
      <c r="I7" s="6"/>
      <c r="K7" s="6"/>
      <c r="L7" s="6"/>
      <c r="M7" s="6"/>
    </row>
    <row r="8" spans="1:13" x14ac:dyDescent="0.3">
      <c r="A8" t="s">
        <v>32</v>
      </c>
      <c r="C8">
        <v>1600</v>
      </c>
      <c r="D8">
        <v>3200</v>
      </c>
      <c r="F8" t="s">
        <v>15</v>
      </c>
      <c r="G8">
        <f>6.7*G7</f>
        <v>2248.5200000000004</v>
      </c>
      <c r="H8" s="6"/>
      <c r="I8" s="6"/>
      <c r="K8" s="6"/>
      <c r="L8" s="6"/>
      <c r="M8" s="6"/>
    </row>
    <row r="9" spans="1:13" x14ac:dyDescent="0.3">
      <c r="A9" t="s">
        <v>11</v>
      </c>
      <c r="C9">
        <v>73</v>
      </c>
      <c r="D9">
        <v>73</v>
      </c>
      <c r="F9" t="s">
        <v>6</v>
      </c>
      <c r="G9">
        <v>1019.911516</v>
      </c>
      <c r="H9" s="6"/>
      <c r="I9" s="6"/>
      <c r="K9" s="6"/>
      <c r="L9" s="6"/>
      <c r="M9" s="6"/>
    </row>
    <row r="10" spans="1:13" x14ac:dyDescent="0.3">
      <c r="F10" s="6"/>
      <c r="G10" s="6"/>
      <c r="H10" s="6"/>
      <c r="I10" s="6"/>
      <c r="K10" s="6"/>
      <c r="L10" s="6"/>
      <c r="M10" s="6"/>
    </row>
    <row r="11" spans="1:13" ht="15" x14ac:dyDescent="0.35">
      <c r="A11" s="6"/>
      <c r="B11" s="6"/>
      <c r="C11" s="6"/>
      <c r="F11" s="6"/>
      <c r="G11" s="6"/>
      <c r="H11" s="6"/>
      <c r="I11" s="6"/>
      <c r="M11" s="3"/>
    </row>
    <row r="12" spans="1:13" x14ac:dyDescent="0.3">
      <c r="A12" s="6"/>
      <c r="B12" s="6"/>
      <c r="C12" s="6"/>
      <c r="F12" s="6"/>
      <c r="G12" s="6"/>
      <c r="H12" s="6"/>
      <c r="I12" s="6"/>
    </row>
    <row r="13" spans="1:13" x14ac:dyDescent="0.3">
      <c r="A13" s="6"/>
      <c r="B13" s="6"/>
      <c r="C13" s="6"/>
      <c r="F13" s="6"/>
      <c r="G13" s="6"/>
      <c r="H13" s="6"/>
      <c r="I13" s="6"/>
    </row>
    <row r="14" spans="1:13" x14ac:dyDescent="0.3">
      <c r="A14" s="6"/>
      <c r="B14" s="6"/>
      <c r="C14" s="6"/>
    </row>
    <row r="16" spans="1:13" x14ac:dyDescent="0.3">
      <c r="A16" s="6"/>
      <c r="B16" s="6"/>
      <c r="C16" s="6"/>
    </row>
    <row r="17" spans="1:4" x14ac:dyDescent="0.3">
      <c r="A17" s="6"/>
      <c r="B17" s="6"/>
    </row>
    <row r="18" spans="1:4" x14ac:dyDescent="0.3">
      <c r="A18" s="6"/>
      <c r="B18" s="6"/>
    </row>
    <row r="19" spans="1:4" x14ac:dyDescent="0.3">
      <c r="A19" s="6"/>
      <c r="B19" s="6"/>
    </row>
    <row r="21" spans="1:4" x14ac:dyDescent="0.3">
      <c r="A21" s="6"/>
      <c r="B21" s="6"/>
      <c r="C21" s="6"/>
      <c r="D21" s="6"/>
    </row>
    <row r="22" spans="1:4" x14ac:dyDescent="0.3">
      <c r="A22" s="6"/>
      <c r="B22" s="6"/>
      <c r="C22" s="6"/>
      <c r="D22" s="6"/>
    </row>
    <row r="23" spans="1:4" x14ac:dyDescent="0.3">
      <c r="A23" s="6"/>
      <c r="B23" s="6"/>
      <c r="C23" s="6"/>
      <c r="D23" s="6"/>
    </row>
    <row r="24" spans="1:4" x14ac:dyDescent="0.3">
      <c r="A24" s="6"/>
      <c r="B24" s="6"/>
      <c r="C24" s="6"/>
      <c r="D24" s="6"/>
    </row>
    <row r="25" spans="1:4" x14ac:dyDescent="0.3">
      <c r="A25" s="6"/>
      <c r="B25" s="6"/>
      <c r="C25" s="6"/>
      <c r="D25" s="6"/>
    </row>
    <row r="26" spans="1:4" x14ac:dyDescent="0.3">
      <c r="A26" s="6"/>
      <c r="B26" s="6"/>
      <c r="C26" s="6"/>
      <c r="D26" s="6"/>
    </row>
    <row r="27" spans="1:4" x14ac:dyDescent="0.3">
      <c r="A27" s="6"/>
      <c r="B27" s="6"/>
      <c r="C27" s="6"/>
      <c r="D27" s="6"/>
    </row>
    <row r="28" spans="1:4" x14ac:dyDescent="0.3">
      <c r="A28" s="6"/>
      <c r="B28" s="6"/>
      <c r="C28" s="6"/>
      <c r="D28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C41AA-AA50-4587-BE83-B3FEA2BB8702}">
  <dimension ref="A1:H13"/>
  <sheetViews>
    <sheetView workbookViewId="0">
      <selection activeCell="A22" sqref="A22"/>
    </sheetView>
  </sheetViews>
  <sheetFormatPr defaultRowHeight="14.4" x14ac:dyDescent="0.3"/>
  <cols>
    <col min="1" max="1" width="53.21875" customWidth="1"/>
    <col min="2" max="2" width="14.5546875" customWidth="1"/>
    <col min="3" max="3" width="15.6640625" hidden="1" customWidth="1"/>
    <col min="4" max="4" width="14.44140625" customWidth="1"/>
    <col min="7" max="7" width="22.44140625" hidden="1" customWidth="1"/>
    <col min="8" max="8" width="22" customWidth="1"/>
  </cols>
  <sheetData>
    <row r="1" spans="1:8" x14ac:dyDescent="0.3">
      <c r="A1" s="5"/>
      <c r="B1" s="5" t="s">
        <v>0</v>
      </c>
      <c r="C1" s="5" t="s">
        <v>1</v>
      </c>
      <c r="D1" s="5" t="s">
        <v>2</v>
      </c>
      <c r="F1" s="2" t="s">
        <v>27</v>
      </c>
      <c r="G1" s="2" t="s">
        <v>34</v>
      </c>
      <c r="H1" s="2" t="s">
        <v>35</v>
      </c>
    </row>
    <row r="2" spans="1:8" x14ac:dyDescent="0.3">
      <c r="A2" t="s">
        <v>19</v>
      </c>
      <c r="B2">
        <v>3980.2730000000001</v>
      </c>
      <c r="C2">
        <v>3855.5</v>
      </c>
      <c r="D2">
        <v>3855.5</v>
      </c>
      <c r="F2">
        <v>1</v>
      </c>
      <c r="G2">
        <f>$C$7-F2*(95.67+20.4)</f>
        <v>1866.2052319999998</v>
      </c>
      <c r="H2">
        <f>$D$7-F2*(95.67+20.4)</f>
        <v>1734.1184319999998</v>
      </c>
    </row>
    <row r="3" spans="1:8" x14ac:dyDescent="0.3">
      <c r="A3" t="s">
        <v>33</v>
      </c>
      <c r="B3">
        <v>160</v>
      </c>
      <c r="C3">
        <f>111.5+23.5868</f>
        <v>135.08680000000001</v>
      </c>
      <c r="D3">
        <f>2*23.5868+220</f>
        <v>267.17360000000002</v>
      </c>
      <c r="F3">
        <v>2</v>
      </c>
      <c r="G3">
        <f t="shared" ref="G3:G10" si="0">$C$7-F3*(95.67+20.4)</f>
        <v>1750.1352319999996</v>
      </c>
      <c r="H3">
        <f t="shared" ref="H3:H10" si="1">$D$7-F3*(95.67+20.4)</f>
        <v>1618.0484319999996</v>
      </c>
    </row>
    <row r="4" spans="1:8" x14ac:dyDescent="0.3">
      <c r="A4" t="s">
        <v>20</v>
      </c>
      <c r="B4">
        <v>70.624331999999995</v>
      </c>
      <c r="C4">
        <v>53.070300000000003</v>
      </c>
      <c r="D4">
        <v>53.070300000000003</v>
      </c>
      <c r="F4">
        <v>3</v>
      </c>
      <c r="G4">
        <f t="shared" si="0"/>
        <v>1634.0652319999997</v>
      </c>
      <c r="H4">
        <f t="shared" si="1"/>
        <v>1501.9784319999997</v>
      </c>
    </row>
    <row r="5" spans="1:8" x14ac:dyDescent="0.3">
      <c r="A5" t="s">
        <v>21</v>
      </c>
      <c r="B5">
        <v>2122.8119999999999</v>
      </c>
      <c r="C5">
        <f>C3+C4+C6+(20.4*C9)</f>
        <v>1995.6247680000001</v>
      </c>
      <c r="D5">
        <f>D3+D4+D6+(20.4*D9)</f>
        <v>2107.3115680000001</v>
      </c>
      <c r="F5">
        <v>4</v>
      </c>
      <c r="G5">
        <f t="shared" si="0"/>
        <v>1517.9952319999998</v>
      </c>
      <c r="H5">
        <f t="shared" si="1"/>
        <v>1385.9084319999997</v>
      </c>
    </row>
    <row r="6" spans="1:8" x14ac:dyDescent="0.3">
      <c r="A6" t="s">
        <v>29</v>
      </c>
      <c r="B6">
        <f>B5-B4-B3-23.52-(B9*20.4)</f>
        <v>1685.0676680000001</v>
      </c>
      <c r="C6">
        <f>B6</f>
        <v>1685.0676680000001</v>
      </c>
      <c r="D6">
        <f>C6</f>
        <v>1685.0676680000001</v>
      </c>
      <c r="F6">
        <v>5</v>
      </c>
      <c r="G6">
        <f t="shared" si="0"/>
        <v>1401.9252319999998</v>
      </c>
      <c r="H6">
        <f t="shared" si="1"/>
        <v>1269.8384319999998</v>
      </c>
    </row>
    <row r="7" spans="1:8" x14ac:dyDescent="0.3">
      <c r="A7" t="s">
        <v>26</v>
      </c>
      <c r="B7">
        <f>B2-(B6+B4+B3)</f>
        <v>2064.5810000000001</v>
      </c>
      <c r="C7">
        <f>C2-(C6+C4+C3)</f>
        <v>1982.2752319999997</v>
      </c>
      <c r="D7">
        <f>D2-(D6+D4+D3)</f>
        <v>1850.1884319999997</v>
      </c>
      <c r="F7">
        <v>6</v>
      </c>
      <c r="G7">
        <f t="shared" si="0"/>
        <v>1285.8552319999999</v>
      </c>
      <c r="H7">
        <f t="shared" si="1"/>
        <v>1153.7684319999998</v>
      </c>
    </row>
    <row r="8" spans="1:8" x14ac:dyDescent="0.3">
      <c r="A8" t="s">
        <v>25</v>
      </c>
      <c r="B8">
        <v>1019.911516</v>
      </c>
      <c r="C8">
        <f>C7-C12</f>
        <v>1285.8552319999999</v>
      </c>
      <c r="D8">
        <f>D7-D12</f>
        <v>1269.8384319999998</v>
      </c>
      <c r="F8">
        <v>7</v>
      </c>
      <c r="G8">
        <f t="shared" si="0"/>
        <v>1169.7852319999997</v>
      </c>
      <c r="H8">
        <f t="shared" si="1"/>
        <v>1037.6984319999997</v>
      </c>
    </row>
    <row r="9" spans="1:8" x14ac:dyDescent="0.3">
      <c r="A9" t="s">
        <v>67</v>
      </c>
      <c r="B9">
        <v>9</v>
      </c>
      <c r="C9">
        <v>6</v>
      </c>
      <c r="D9">
        <v>5</v>
      </c>
      <c r="F9">
        <v>8</v>
      </c>
      <c r="G9">
        <f t="shared" si="0"/>
        <v>1053.7152319999998</v>
      </c>
      <c r="H9">
        <f t="shared" si="1"/>
        <v>921.62843199999975</v>
      </c>
    </row>
    <row r="10" spans="1:8" x14ac:dyDescent="0.3">
      <c r="A10" t="s">
        <v>23</v>
      </c>
      <c r="B10">
        <v>20.399999999999999</v>
      </c>
      <c r="C10">
        <v>20.399999999999999</v>
      </c>
      <c r="D10">
        <v>20.399999999999999</v>
      </c>
      <c r="F10">
        <v>9</v>
      </c>
      <c r="G10">
        <f t="shared" si="0"/>
        <v>937.64523199999985</v>
      </c>
      <c r="H10">
        <f t="shared" si="1"/>
        <v>805.55843199999981</v>
      </c>
    </row>
    <row r="11" spans="1:8" x14ac:dyDescent="0.3">
      <c r="A11" t="s">
        <v>24</v>
      </c>
      <c r="B11">
        <v>95.67</v>
      </c>
      <c r="C11">
        <v>95.67</v>
      </c>
      <c r="D11">
        <v>95.67</v>
      </c>
    </row>
    <row r="12" spans="1:8" x14ac:dyDescent="0.3">
      <c r="A12" t="s">
        <v>28</v>
      </c>
      <c r="B12">
        <f>B9*(B11+B10)</f>
        <v>1044.6299999999999</v>
      </c>
      <c r="C12">
        <f>C9*(C11+C10)</f>
        <v>696.42</v>
      </c>
      <c r="D12">
        <f>D9*(D11+D10)</f>
        <v>580.34999999999991</v>
      </c>
    </row>
    <row r="13" spans="1:8" x14ac:dyDescent="0.3">
      <c r="A13" t="s">
        <v>22</v>
      </c>
      <c r="B13">
        <f>SUM(B3, B4, B6, B12, B8)</f>
        <v>3980.2335160000002</v>
      </c>
      <c r="C13">
        <f>SUM(C3, C4, C6, C12, C8)</f>
        <v>3855.5</v>
      </c>
      <c r="D13">
        <f>SUM(D3, D4, D6, D12, D8)</f>
        <v>3855.5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D809-9886-4E01-8D40-4BBA7B7F17E7}">
  <dimension ref="A1:M34"/>
  <sheetViews>
    <sheetView tabSelected="1" workbookViewId="0">
      <selection activeCell="K14" sqref="K14"/>
    </sheetView>
  </sheetViews>
  <sheetFormatPr defaultRowHeight="14.4" x14ac:dyDescent="0.3"/>
  <cols>
    <col min="1" max="1" width="24.77734375" customWidth="1"/>
    <col min="3" max="3" width="9.77734375" hidden="1" customWidth="1"/>
    <col min="4" max="4" width="10.109375" customWidth="1"/>
    <col min="6" max="6" width="29.44140625" customWidth="1"/>
    <col min="7" max="7" width="10" customWidth="1"/>
    <col min="8" max="8" width="10" hidden="1" customWidth="1"/>
    <col min="11" max="11" width="29" customWidth="1"/>
    <col min="12" max="12" width="10.44140625" hidden="1" customWidth="1"/>
    <col min="13" max="13" width="10.44140625" customWidth="1"/>
  </cols>
  <sheetData>
    <row r="1" spans="1:13" x14ac:dyDescent="0.3">
      <c r="A1" s="1"/>
      <c r="B1" s="1" t="s">
        <v>0</v>
      </c>
      <c r="C1" s="1" t="s">
        <v>1</v>
      </c>
      <c r="D1" s="1" t="s">
        <v>2</v>
      </c>
      <c r="F1" s="1"/>
      <c r="G1" s="1" t="s">
        <v>0</v>
      </c>
      <c r="H1" s="1" t="s">
        <v>1</v>
      </c>
      <c r="I1" s="1" t="s">
        <v>2</v>
      </c>
      <c r="K1" s="10"/>
      <c r="L1" s="10" t="s">
        <v>1</v>
      </c>
      <c r="M1" s="10" t="s">
        <v>2</v>
      </c>
    </row>
    <row r="2" spans="1:13" x14ac:dyDescent="0.3">
      <c r="A2" s="8" t="s">
        <v>10</v>
      </c>
      <c r="B2" s="8"/>
      <c r="C2" s="8"/>
      <c r="D2" s="8"/>
      <c r="F2" s="12" t="s">
        <v>12</v>
      </c>
      <c r="G2" s="12"/>
      <c r="H2" s="12"/>
      <c r="I2" s="12"/>
      <c r="K2" s="6" t="s">
        <v>44</v>
      </c>
      <c r="L2" s="6"/>
      <c r="M2" s="6">
        <f>D7+D19+I9+I16+I21</f>
        <v>246.8776411754252</v>
      </c>
    </row>
    <row r="3" spans="1:13" x14ac:dyDescent="0.3">
      <c r="A3" s="6" t="s">
        <v>3</v>
      </c>
      <c r="B3" s="6">
        <v>503</v>
      </c>
      <c r="C3" s="6">
        <v>350</v>
      </c>
      <c r="D3" s="6">
        <v>640</v>
      </c>
      <c r="F3" s="11" t="s">
        <v>55</v>
      </c>
      <c r="G3">
        <f>0.746*G4*G5/(5252)</f>
        <v>345.44402132520946</v>
      </c>
      <c r="H3">
        <f>G3</f>
        <v>345.44402132520946</v>
      </c>
      <c r="I3">
        <f>G3</f>
        <v>345.44402132520946</v>
      </c>
      <c r="K3" s="6" t="s">
        <v>45</v>
      </c>
      <c r="L3" s="6"/>
      <c r="M3" s="6">
        <f>D8+D20+I10+I22+I17</f>
        <v>336.49699999999996</v>
      </c>
    </row>
    <row r="4" spans="1:13" x14ac:dyDescent="0.3">
      <c r="A4" s="6" t="s">
        <v>36</v>
      </c>
      <c r="B4" s="6">
        <v>143.464</v>
      </c>
      <c r="C4" s="6">
        <v>143.464</v>
      </c>
      <c r="D4" s="6">
        <v>143.464</v>
      </c>
      <c r="F4" s="11" t="s">
        <v>59</v>
      </c>
      <c r="G4">
        <v>1900</v>
      </c>
      <c r="H4">
        <v>1900</v>
      </c>
      <c r="I4">
        <v>1900</v>
      </c>
      <c r="K4" s="6" t="s">
        <v>46</v>
      </c>
      <c r="L4" s="6"/>
      <c r="M4">
        <v>1269.8</v>
      </c>
    </row>
    <row r="5" spans="1:13" x14ac:dyDescent="0.3">
      <c r="A5" s="6" t="s">
        <v>37</v>
      </c>
      <c r="B5" s="6">
        <v>2420</v>
      </c>
      <c r="C5" s="6">
        <f>C4*C6/2</f>
        <v>3477.8857142857141</v>
      </c>
      <c r="D5" s="6">
        <f>D4*D6/2</f>
        <v>1901.96875</v>
      </c>
      <c r="F5" s="11" t="s">
        <v>60</v>
      </c>
      <c r="G5">
        <v>1280</v>
      </c>
      <c r="H5">
        <f>H3*5252/(0.746*H4)</f>
        <v>1280</v>
      </c>
      <c r="I5">
        <f>I3*5252/(0.746*I4)</f>
        <v>1280</v>
      </c>
      <c r="K5" s="6" t="s">
        <v>64</v>
      </c>
      <c r="M5">
        <f>(I7*60)+(2*I14)</f>
        <v>25.790880176630864</v>
      </c>
    </row>
    <row r="6" spans="1:13" x14ac:dyDescent="0.3">
      <c r="A6" s="6" t="s">
        <v>38</v>
      </c>
      <c r="B6">
        <f>2*$B$5/$B$4</f>
        <v>33.736686555512186</v>
      </c>
      <c r="C6">
        <f>3600*C7/C3</f>
        <v>48.484438106921793</v>
      </c>
      <c r="D6">
        <f>3600*D7/D3</f>
        <v>26.514927089722857</v>
      </c>
      <c r="F6" s="11" t="s">
        <v>56</v>
      </c>
      <c r="G6">
        <v>307.18099999999998</v>
      </c>
      <c r="H6">
        <f>G6*(H3/G3)^(1/3)</f>
        <v>307.18099999999998</v>
      </c>
      <c r="I6">
        <f>G6*(I3/G3)^(1/3)</f>
        <v>307.18099999999998</v>
      </c>
      <c r="K6" s="6" t="s">
        <v>47</v>
      </c>
      <c r="L6" s="6"/>
      <c r="M6" s="6">
        <f>D18+I8+I15</f>
        <v>144.88610143237645</v>
      </c>
    </row>
    <row r="7" spans="1:13" x14ac:dyDescent="0.3">
      <c r="A7" s="6" t="s">
        <v>39</v>
      </c>
      <c r="B7">
        <f>$B$3*$B$6/3600</f>
        <v>4.7137648159507304</v>
      </c>
      <c r="C7">
        <f t="shared" ref="C7:D7" si="0">$B$3*$B$6/3600</f>
        <v>4.7137648159507304</v>
      </c>
      <c r="D7">
        <f t="shared" si="0"/>
        <v>4.7137648159507304</v>
      </c>
      <c r="F7" s="11" t="s">
        <v>58</v>
      </c>
      <c r="G7">
        <v>5.0999999999999996</v>
      </c>
      <c r="I7">
        <f>I9/I3</f>
        <v>0.18472345804640353</v>
      </c>
      <c r="K7" s="6"/>
      <c r="L7" s="6"/>
      <c r="M7" s="6"/>
    </row>
    <row r="8" spans="1:13" x14ac:dyDescent="0.3">
      <c r="A8" s="6" t="s">
        <v>40</v>
      </c>
      <c r="B8" t="s">
        <v>42</v>
      </c>
      <c r="C8">
        <f>C7/0.73</f>
        <v>6.4572120766448364</v>
      </c>
      <c r="D8">
        <f>D7/0.73</f>
        <v>6.4572120766448364</v>
      </c>
      <c r="F8" s="11" t="s">
        <v>63</v>
      </c>
      <c r="G8">
        <f>907*1.852</f>
        <v>1679.7640000000001</v>
      </c>
      <c r="I8">
        <f>0.0003048*I6*I7*3600</f>
        <v>62.263547803307567</v>
      </c>
      <c r="K8" s="6"/>
      <c r="L8" s="6"/>
      <c r="M8" s="6"/>
    </row>
    <row r="9" spans="1:13" x14ac:dyDescent="0.3">
      <c r="A9" s="6" t="s">
        <v>41</v>
      </c>
      <c r="B9" t="s">
        <v>42</v>
      </c>
      <c r="C9">
        <f>C8*1000/265</f>
        <v>24.366838025074852</v>
      </c>
      <c r="D9">
        <f>D8*1000/265</f>
        <v>24.366838025074852</v>
      </c>
      <c r="F9" s="11" t="s">
        <v>53</v>
      </c>
      <c r="G9">
        <f>G7*G3</f>
        <v>1761.7645087585681</v>
      </c>
      <c r="I9">
        <f>I10*0.73</f>
        <v>63.811614180648256</v>
      </c>
    </row>
    <row r="10" spans="1:13" x14ac:dyDescent="0.3">
      <c r="A10" s="9" t="s">
        <v>43</v>
      </c>
      <c r="B10" s="9"/>
      <c r="C10" s="9"/>
      <c r="D10" s="9"/>
      <c r="F10" s="6" t="s">
        <v>40</v>
      </c>
      <c r="G10" t="s">
        <v>42</v>
      </c>
      <c r="I10">
        <f>I11*265/1000</f>
        <v>87.413170110477068</v>
      </c>
      <c r="K10" s="6"/>
      <c r="L10" s="6"/>
      <c r="M10" s="6"/>
    </row>
    <row r="11" spans="1:13" x14ac:dyDescent="0.3">
      <c r="A11" s="11" t="s">
        <v>48</v>
      </c>
      <c r="B11">
        <v>675</v>
      </c>
      <c r="C11">
        <v>450</v>
      </c>
      <c r="D11">
        <v>850</v>
      </c>
      <c r="F11" s="6" t="s">
        <v>41</v>
      </c>
      <c r="G11" t="s">
        <v>42</v>
      </c>
      <c r="I11">
        <f>M4-(I18+D21+D9+I23)</f>
        <v>329.86101928481912</v>
      </c>
      <c r="K11" s="6"/>
      <c r="L11" s="6"/>
      <c r="M11" s="6"/>
    </row>
    <row r="12" spans="1:13" x14ac:dyDescent="0.3">
      <c r="A12" s="6" t="s">
        <v>3</v>
      </c>
      <c r="B12" s="6">
        <v>503</v>
      </c>
      <c r="C12" s="6">
        <v>350</v>
      </c>
      <c r="D12" s="6">
        <v>640</v>
      </c>
      <c r="F12" s="13" t="s">
        <v>61</v>
      </c>
      <c r="G12" s="13"/>
      <c r="H12" s="13"/>
      <c r="I12" s="13"/>
      <c r="K12" s="6"/>
      <c r="L12" s="6"/>
      <c r="M12" s="6"/>
    </row>
    <row r="13" spans="1:13" x14ac:dyDescent="0.3">
      <c r="A13" s="11" t="s">
        <v>49</v>
      </c>
      <c r="B13">
        <v>8750</v>
      </c>
      <c r="C13">
        <v>8500</v>
      </c>
      <c r="D13">
        <v>8500</v>
      </c>
      <c r="F13" s="11" t="s">
        <v>55</v>
      </c>
      <c r="G13">
        <f>G3</f>
        <v>345.44402132520946</v>
      </c>
      <c r="H13">
        <v>280</v>
      </c>
      <c r="I13">
        <f>I3</f>
        <v>345.44402132520946</v>
      </c>
      <c r="K13" s="6"/>
      <c r="L13" s="6"/>
      <c r="M13" s="6"/>
    </row>
    <row r="14" spans="1:13" x14ac:dyDescent="0.3">
      <c r="A14" s="11" t="s">
        <v>54</v>
      </c>
      <c r="B14">
        <v>0.85</v>
      </c>
      <c r="C14">
        <v>0.85</v>
      </c>
      <c r="D14">
        <v>0.85</v>
      </c>
      <c r="F14" s="11" t="s">
        <v>62</v>
      </c>
      <c r="G14">
        <f>B17</f>
        <v>13.157894736842104</v>
      </c>
      <c r="H14">
        <f>C17</f>
        <v>250.92250922509257</v>
      </c>
      <c r="I14">
        <f>D17</f>
        <v>7.353736346923327</v>
      </c>
    </row>
    <row r="15" spans="1:13" x14ac:dyDescent="0.3">
      <c r="A15" s="11" t="s">
        <v>50</v>
      </c>
      <c r="B15">
        <f>(B16*B13)/(33000*B14)</f>
        <v>237.07664884135471</v>
      </c>
      <c r="C15">
        <f>C11-($B$11-$B$15)</f>
        <v>12.076648841354711</v>
      </c>
      <c r="D15">
        <f>D11-($B$11-$B$15)</f>
        <v>412.07664884135471</v>
      </c>
      <c r="F15" s="11" t="s">
        <v>65</v>
      </c>
      <c r="G15">
        <f>0.0003048*G14*60*G6</f>
        <v>73.917449052631568</v>
      </c>
      <c r="I15">
        <f>0.0003048*I14*60*I6</f>
        <v>41.311276814534438</v>
      </c>
    </row>
    <row r="16" spans="1:13" x14ac:dyDescent="0.3">
      <c r="A16" s="11" t="s">
        <v>51</v>
      </c>
      <c r="B16">
        <v>760</v>
      </c>
      <c r="C16">
        <f>C15*33000*C14/C13</f>
        <v>39.852941176470537</v>
      </c>
      <c r="D16">
        <f>D15*33000*D14/D13</f>
        <v>1359.8529411764705</v>
      </c>
      <c r="F16" s="11" t="s">
        <v>53</v>
      </c>
      <c r="G16">
        <f>G13*G14/60</f>
        <v>75.755267834475745</v>
      </c>
      <c r="H16">
        <f>H13*H14/60</f>
        <v>1170.9717097170985</v>
      </c>
      <c r="I16">
        <f>I13*I14/60</f>
        <v>42.338404257442491</v>
      </c>
    </row>
    <row r="17" spans="1:9" x14ac:dyDescent="0.3">
      <c r="A17" s="11" t="s">
        <v>52</v>
      </c>
      <c r="B17">
        <f>10000/B16</f>
        <v>13.157894736842104</v>
      </c>
      <c r="C17">
        <f>10000/C16</f>
        <v>250.92250922509257</v>
      </c>
      <c r="D17">
        <f>10000/$D$16</f>
        <v>7.353736346923327</v>
      </c>
      <c r="F17" s="6" t="s">
        <v>40</v>
      </c>
      <c r="G17" t="s">
        <v>42</v>
      </c>
      <c r="H17">
        <f>H16/0.73</f>
        <v>1604.0708352289021</v>
      </c>
      <c r="I17">
        <f>I16/0.73</f>
        <v>57.997814051291087</v>
      </c>
    </row>
    <row r="18" spans="1:9" x14ac:dyDescent="0.3">
      <c r="A18" s="11" t="s">
        <v>65</v>
      </c>
      <c r="B18">
        <f>0.0003048*B17*60*G6</f>
        <v>73.917449052631568</v>
      </c>
      <c r="D18">
        <f>0.0003048*D17*60*I6</f>
        <v>41.311276814534438</v>
      </c>
      <c r="F18" s="6" t="s">
        <v>41</v>
      </c>
      <c r="G18" t="s">
        <v>42</v>
      </c>
      <c r="H18">
        <f>H17*1000/265</f>
        <v>6053.0974914298195</v>
      </c>
      <c r="I18">
        <f>I17*1000/265</f>
        <v>218.8596756652494</v>
      </c>
    </row>
    <row r="19" spans="1:9" x14ac:dyDescent="0.3">
      <c r="A19" s="11" t="s">
        <v>53</v>
      </c>
      <c r="B19">
        <f>B12*B17/60</f>
        <v>110.30701754385964</v>
      </c>
      <c r="C19">
        <f>C12*C17/60</f>
        <v>1463.7146371463734</v>
      </c>
      <c r="D19">
        <f>D12*D17/60</f>
        <v>78.43985436718215</v>
      </c>
      <c r="F19" s="14" t="s">
        <v>66</v>
      </c>
      <c r="G19" s="14"/>
      <c r="H19" s="14"/>
      <c r="I19" s="14"/>
    </row>
    <row r="20" spans="1:9" x14ac:dyDescent="0.3">
      <c r="A20" s="6" t="s">
        <v>40</v>
      </c>
      <c r="B20" t="s">
        <v>42</v>
      </c>
      <c r="C20">
        <f>C19/0.73</f>
        <v>2005.088544036128</v>
      </c>
      <c r="D20">
        <f>D19/0.73</f>
        <v>107.45185529750979</v>
      </c>
      <c r="F20" s="11" t="s">
        <v>57</v>
      </c>
      <c r="G20" t="s">
        <v>42</v>
      </c>
      <c r="I20">
        <v>10</v>
      </c>
    </row>
    <row r="21" spans="1:9" x14ac:dyDescent="0.3">
      <c r="A21" s="6" t="s">
        <v>41</v>
      </c>
      <c r="B21" t="s">
        <v>42</v>
      </c>
      <c r="C21">
        <f>C20*1000/265</f>
        <v>7566.3718642872755</v>
      </c>
      <c r="D21">
        <f>D20*1000/265</f>
        <v>405.47869923588604</v>
      </c>
      <c r="F21" s="11" t="s">
        <v>53</v>
      </c>
      <c r="G21" t="s">
        <v>42</v>
      </c>
      <c r="I21">
        <f>I3*I20/60</f>
        <v>57.574003554201575</v>
      </c>
    </row>
    <row r="22" spans="1:9" x14ac:dyDescent="0.3">
      <c r="A22" s="7"/>
      <c r="B22" s="7"/>
      <c r="C22" s="7"/>
      <c r="D22" s="7"/>
      <c r="F22" s="6" t="s">
        <v>40</v>
      </c>
      <c r="G22" t="s">
        <v>42</v>
      </c>
      <c r="I22">
        <f>I21/0.746</f>
        <v>77.176948464077185</v>
      </c>
    </row>
    <row r="23" spans="1:9" x14ac:dyDescent="0.3">
      <c r="A23" s="11"/>
      <c r="B23" s="6"/>
      <c r="C23" s="6"/>
      <c r="D23" s="6"/>
      <c r="F23" s="6" t="s">
        <v>41</v>
      </c>
      <c r="G23" t="s">
        <v>42</v>
      </c>
      <c r="I23">
        <f>I22*1000/265</f>
        <v>291.23376778897051</v>
      </c>
    </row>
    <row r="24" spans="1:9" x14ac:dyDescent="0.3">
      <c r="A24" s="11"/>
      <c r="B24" s="6"/>
      <c r="C24" s="6"/>
      <c r="D24" s="6"/>
    </row>
    <row r="25" spans="1:9" x14ac:dyDescent="0.3">
      <c r="A25" s="11"/>
      <c r="B25" s="6"/>
      <c r="C25" s="6"/>
      <c r="D25" s="6"/>
    </row>
    <row r="26" spans="1:9" x14ac:dyDescent="0.3">
      <c r="A26" s="11"/>
      <c r="B26" s="6"/>
      <c r="C26" s="6"/>
      <c r="D26" s="6"/>
    </row>
    <row r="27" spans="1:9" x14ac:dyDescent="0.3">
      <c r="A27" s="11"/>
      <c r="B27" s="6"/>
      <c r="C27" s="6"/>
      <c r="D27" s="6"/>
    </row>
    <row r="28" spans="1:9" x14ac:dyDescent="0.3">
      <c r="A28" s="11"/>
      <c r="B28" s="6"/>
      <c r="C28" s="6"/>
      <c r="D28" s="6"/>
    </row>
    <row r="29" spans="1:9" x14ac:dyDescent="0.3">
      <c r="A29" s="11"/>
      <c r="B29" s="6"/>
      <c r="C29" s="6"/>
      <c r="D29" s="6"/>
    </row>
    <row r="30" spans="1:9" x14ac:dyDescent="0.3">
      <c r="A30" s="6"/>
      <c r="B30" s="6"/>
      <c r="C30" s="6"/>
      <c r="D30" s="6"/>
    </row>
    <row r="31" spans="1:9" x14ac:dyDescent="0.3">
      <c r="A31" s="6"/>
      <c r="B31" s="6"/>
      <c r="C31" s="6"/>
      <c r="D31" s="6"/>
    </row>
    <row r="32" spans="1:9" x14ac:dyDescent="0.3">
      <c r="A32" s="7"/>
      <c r="B32" s="7"/>
      <c r="C32" s="7"/>
      <c r="D32" s="7"/>
    </row>
    <row r="33" spans="1:4" x14ac:dyDescent="0.3">
      <c r="A33" s="11"/>
      <c r="B33" s="6"/>
      <c r="C33" s="6"/>
      <c r="D33" s="6"/>
    </row>
    <row r="34" spans="1:4" x14ac:dyDescent="0.3">
      <c r="A34" s="11"/>
    </row>
  </sheetData>
  <mergeCells count="7">
    <mergeCell ref="A2:D2"/>
    <mergeCell ref="A10:D10"/>
    <mergeCell ref="A22:D22"/>
    <mergeCell ref="A32:D32"/>
    <mergeCell ref="F2:I2"/>
    <mergeCell ref="F12:I12"/>
    <mergeCell ref="F19:I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Specs</vt:lpstr>
      <vt:lpstr>Weight Breakdown</vt:lpstr>
      <vt:lpstr>Energy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Lalonde</dc:creator>
  <cp:lastModifiedBy>Marco Lalonde</cp:lastModifiedBy>
  <dcterms:created xsi:type="dcterms:W3CDTF">2022-11-26T21:14:35Z</dcterms:created>
  <dcterms:modified xsi:type="dcterms:W3CDTF">2022-11-29T22:15:55Z</dcterms:modified>
</cp:coreProperties>
</file>